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prawl\Downloads\"/>
    </mc:Choice>
  </mc:AlternateContent>
  <bookViews>
    <workbookView xWindow="0" yWindow="0" windowWidth="18930" windowHeight="6690"/>
  </bookViews>
  <sheets>
    <sheet name="Sheet1" sheetId="1" r:id="rId1"/>
    <sheet name="Loan Amortization Schedule" sheetId="2" r:id="rId2"/>
    <sheet name="Estimated Rent" sheetId="3" r:id="rId3"/>
    <sheet name="Sheet2" sheetId="4" r:id="rId4"/>
  </sheets>
  <definedNames>
    <definedName name="solver_adj" localSheetId="0" hidden="1">Sheet1!$E$24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Sheet1!$E$24</definedName>
    <definedName name="solver_lhs2" localSheetId="0" hidden="1">Sheet1!$E$10</definedName>
    <definedName name="solver_lhs3" localSheetId="0" hidden="1">Sheet1!$E$10</definedName>
    <definedName name="solver_lin" localSheetId="0" hidden="1">2</definedName>
    <definedName name="solver_neg" localSheetId="0" hidden="1">2</definedName>
    <definedName name="solver_num" localSheetId="0" hidden="1">3</definedName>
    <definedName name="solver_nwt" localSheetId="0" hidden="1">1</definedName>
    <definedName name="solver_opt" localSheetId="0" hidden="1">Sheet1!$E$26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30</definedName>
    <definedName name="solver_rhs2" localSheetId="0" hidden="1">0</definedName>
    <definedName name="solver_rhs3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" l="1"/>
  <c r="P38" i="1" l="1"/>
  <c r="P33" i="1"/>
  <c r="P32" i="1"/>
  <c r="P30" i="1"/>
  <c r="P37" i="1"/>
  <c r="H31" i="1"/>
  <c r="P28" i="1"/>
  <c r="P27" i="1" l="1"/>
  <c r="P29" i="1" s="1"/>
  <c r="D3" i="1" l="1"/>
  <c r="E6" i="1"/>
  <c r="K35" i="1" l="1"/>
  <c r="K37" i="1" s="1"/>
  <c r="K38" i="1" s="1"/>
  <c r="E5" i="2"/>
  <c r="E58" i="1" l="1"/>
  <c r="E59" i="1"/>
  <c r="E51" i="1"/>
  <c r="E53" i="1"/>
  <c r="E54" i="1"/>
  <c r="E55" i="1"/>
  <c r="E56" i="1"/>
  <c r="E57" i="1"/>
  <c r="K14" i="1"/>
  <c r="E11" i="1"/>
  <c r="K15" i="1" s="1"/>
  <c r="E17" i="1"/>
  <c r="H29" i="1"/>
  <c r="B10" i="2"/>
  <c r="B400" i="2" s="1"/>
  <c r="G14" i="3"/>
  <c r="G13" i="3"/>
  <c r="G12" i="3"/>
  <c r="G11" i="3"/>
  <c r="G10" i="3"/>
  <c r="G9" i="3"/>
  <c r="G8" i="3"/>
  <c r="G7" i="3"/>
  <c r="G4" i="3"/>
  <c r="G3" i="3"/>
  <c r="G6" i="3"/>
  <c r="G5" i="3"/>
  <c r="G2" i="3"/>
  <c r="H11" i="1"/>
  <c r="B325" i="2"/>
  <c r="B100" i="2"/>
  <c r="B115" i="2"/>
  <c r="E52" i="1"/>
  <c r="B40" i="2" l="1"/>
  <c r="B475" i="2"/>
  <c r="B250" i="2"/>
  <c r="B55" i="2"/>
  <c r="B235" i="2"/>
  <c r="B175" i="2"/>
  <c r="B220" i="2"/>
  <c r="B430" i="2"/>
  <c r="B160" i="2"/>
  <c r="B145" i="2"/>
  <c r="B415" i="2"/>
  <c r="B190" i="2"/>
  <c r="E5" i="1"/>
  <c r="E7" i="1"/>
  <c r="E13" i="1"/>
  <c r="C5" i="2" s="1"/>
  <c r="C13" i="2" s="1"/>
  <c r="H16" i="1"/>
  <c r="H17" i="1" s="1"/>
  <c r="H18" i="1" s="1"/>
  <c r="H19" i="1" s="1"/>
  <c r="H20" i="1" s="1"/>
  <c r="H21" i="1" s="1"/>
  <c r="B445" i="2"/>
  <c r="B295" i="2"/>
  <c r="B205" i="2"/>
  <c r="B385" i="2"/>
  <c r="B130" i="2"/>
  <c r="B460" i="2"/>
  <c r="B370" i="2"/>
  <c r="B25" i="2"/>
  <c r="B85" i="2"/>
  <c r="B340" i="2"/>
  <c r="B280" i="2"/>
  <c r="B70" i="2"/>
  <c r="B355" i="2"/>
  <c r="B310" i="2"/>
  <c r="B13" i="2"/>
  <c r="B265" i="2"/>
  <c r="H32" i="1"/>
  <c r="H40" i="1" s="1"/>
  <c r="H43" i="1" s="1"/>
  <c r="K17" i="1"/>
  <c r="E12" i="1" s="1"/>
  <c r="C7" i="2" l="1"/>
  <c r="E14" i="1" s="1"/>
  <c r="E20" i="1"/>
  <c r="K10" i="1"/>
  <c r="E2" i="1"/>
  <c r="E30" i="1"/>
  <c r="D13" i="2" l="1"/>
  <c r="E13" i="2" s="1"/>
  <c r="C14" i="2" s="1"/>
  <c r="D14" i="2" s="1"/>
  <c r="E21" i="1"/>
  <c r="H23" i="1" s="1"/>
  <c r="H24" i="1" s="1"/>
  <c r="H26" i="1" s="1"/>
  <c r="K11" i="1"/>
  <c r="K12" i="1" s="1"/>
  <c r="K18" i="1" s="1"/>
  <c r="E4" i="1" s="1"/>
  <c r="H44" i="1" l="1"/>
  <c r="E47" i="1"/>
  <c r="E46" i="1"/>
  <c r="E49" i="1"/>
  <c r="E44" i="1"/>
  <c r="E43" i="1"/>
  <c r="B14" i="2"/>
  <c r="E33" i="1"/>
  <c r="E31" i="1"/>
  <c r="E32" i="1"/>
  <c r="E14" i="2"/>
  <c r="B15" i="2" l="1"/>
  <c r="C15" i="2"/>
  <c r="D15" i="2" l="1"/>
  <c r="E15" i="2" l="1"/>
  <c r="C16" i="2" l="1"/>
  <c r="D16" i="2" s="1"/>
  <c r="B16" i="2"/>
  <c r="E16" i="2" l="1"/>
  <c r="B17" i="2" l="1"/>
  <c r="C17" i="2"/>
  <c r="D17" i="2" s="1"/>
  <c r="E17" i="2" s="1"/>
  <c r="B18" i="2" l="1"/>
  <c r="C18" i="2"/>
  <c r="D18" i="2" s="1"/>
  <c r="E18" i="2" s="1"/>
  <c r="C19" i="2" l="1"/>
  <c r="D19" i="2" s="1"/>
  <c r="E19" i="2" s="1"/>
  <c r="B19" i="2"/>
  <c r="C20" i="2" l="1"/>
  <c r="D20" i="2" s="1"/>
  <c r="E20" i="2" s="1"/>
  <c r="B20" i="2"/>
  <c r="B21" i="2" l="1"/>
  <c r="C21" i="2"/>
  <c r="D21" i="2" s="1"/>
  <c r="E21" i="2" s="1"/>
  <c r="C22" i="2" l="1"/>
  <c r="D22" i="2" s="1"/>
  <c r="E22" i="2" s="1"/>
  <c r="B22" i="2"/>
  <c r="B23" i="2" l="1"/>
  <c r="C23" i="2"/>
  <c r="D23" i="2" s="1"/>
  <c r="E23" i="2" s="1"/>
  <c r="C24" i="2" l="1"/>
  <c r="C25" i="2" s="1"/>
  <c r="B24" i="2"/>
  <c r="D24" i="2" l="1"/>
  <c r="D25" i="2" l="1"/>
  <c r="E24" i="2"/>
  <c r="B28" i="2" l="1"/>
  <c r="C28" i="2"/>
  <c r="D28" i="2" l="1"/>
  <c r="E28" i="2" l="1"/>
  <c r="B29" i="2" l="1"/>
  <c r="C29" i="2"/>
  <c r="D29" i="2" s="1"/>
  <c r="E29" i="2" s="1"/>
  <c r="C30" i="2" l="1"/>
  <c r="D30" i="2" s="1"/>
  <c r="B30" i="2"/>
  <c r="E30" i="2" l="1"/>
  <c r="B31" i="2" l="1"/>
  <c r="C31" i="2"/>
  <c r="D31" i="2" s="1"/>
  <c r="E31" i="2" s="1"/>
  <c r="B32" i="2" l="1"/>
  <c r="C32" i="2"/>
  <c r="D32" i="2" s="1"/>
  <c r="E32" i="2" s="1"/>
  <c r="B33" i="2" l="1"/>
  <c r="C33" i="2"/>
  <c r="D33" i="2" s="1"/>
  <c r="E33" i="2" s="1"/>
  <c r="C34" i="2" l="1"/>
  <c r="D34" i="2" s="1"/>
  <c r="E34" i="2" s="1"/>
  <c r="B34" i="2"/>
  <c r="B35" i="2" l="1"/>
  <c r="C35" i="2"/>
  <c r="D35" i="2" s="1"/>
  <c r="E35" i="2" s="1"/>
  <c r="B36" i="2" l="1"/>
  <c r="C36" i="2"/>
  <c r="D36" i="2" s="1"/>
  <c r="E36" i="2" s="1"/>
  <c r="B37" i="2" l="1"/>
  <c r="C37" i="2"/>
  <c r="D37" i="2" s="1"/>
  <c r="E37" i="2" s="1"/>
  <c r="C38" i="2" l="1"/>
  <c r="D38" i="2" s="1"/>
  <c r="E38" i="2" s="1"/>
  <c r="B38" i="2"/>
  <c r="B39" i="2" l="1"/>
  <c r="C39" i="2"/>
  <c r="C40" i="2" s="1"/>
  <c r="D39" i="2" l="1"/>
  <c r="D40" i="2" l="1"/>
  <c r="E39" i="2"/>
  <c r="B43" i="2" l="1"/>
  <c r="C43" i="2"/>
  <c r="D43" i="2" l="1"/>
  <c r="E43" i="2" l="1"/>
  <c r="B44" i="2" l="1"/>
  <c r="C44" i="2"/>
  <c r="D44" i="2" s="1"/>
  <c r="E44" i="2" l="1"/>
  <c r="B45" i="2" l="1"/>
  <c r="C45" i="2"/>
  <c r="D45" i="2" l="1"/>
  <c r="E45" i="2" l="1"/>
  <c r="B46" i="2" l="1"/>
  <c r="C46" i="2"/>
  <c r="D46" i="2" s="1"/>
  <c r="E46" i="2" l="1"/>
  <c r="C47" i="2" l="1"/>
  <c r="D47" i="2" s="1"/>
  <c r="E47" i="2" s="1"/>
  <c r="B47" i="2"/>
  <c r="B48" i="2" l="1"/>
  <c r="C48" i="2"/>
  <c r="D48" i="2" s="1"/>
  <c r="E48" i="2" s="1"/>
  <c r="B49" i="2" l="1"/>
  <c r="C49" i="2"/>
  <c r="D49" i="2" s="1"/>
  <c r="E49" i="2" s="1"/>
  <c r="B50" i="2" l="1"/>
  <c r="C50" i="2"/>
  <c r="D50" i="2" s="1"/>
  <c r="E50" i="2" s="1"/>
  <c r="C51" i="2" l="1"/>
  <c r="D51" i="2" s="1"/>
  <c r="E51" i="2" s="1"/>
  <c r="B51" i="2"/>
  <c r="B52" i="2" l="1"/>
  <c r="C52" i="2"/>
  <c r="D52" i="2" s="1"/>
  <c r="E52" i="2" s="1"/>
  <c r="B53" i="2" l="1"/>
  <c r="C53" i="2"/>
  <c r="D53" i="2" s="1"/>
  <c r="E53" i="2" s="1"/>
  <c r="B54" i="2" l="1"/>
  <c r="C54" i="2"/>
  <c r="C55" i="2" s="1"/>
  <c r="D54" i="2" l="1"/>
  <c r="D55" i="2" l="1"/>
  <c r="E54" i="2"/>
  <c r="C58" i="2" l="1"/>
  <c r="D58" i="2" s="1"/>
  <c r="E58" i="2" s="1"/>
  <c r="B58" i="2"/>
  <c r="B59" i="2" l="1"/>
  <c r="C59" i="2"/>
  <c r="D59" i="2" s="1"/>
  <c r="E59" i="2" s="1"/>
  <c r="B60" i="2" l="1"/>
  <c r="C60" i="2"/>
  <c r="D60" i="2" s="1"/>
  <c r="E60" i="2" l="1"/>
  <c r="B61" i="2" l="1"/>
  <c r="C61" i="2"/>
  <c r="D61" i="2" s="1"/>
  <c r="E61" i="2" s="1"/>
  <c r="B62" i="2" l="1"/>
  <c r="C62" i="2"/>
  <c r="D62" i="2" s="1"/>
  <c r="E62" i="2" s="1"/>
  <c r="B63" i="2" l="1"/>
  <c r="C63" i="2"/>
  <c r="D63" i="2" s="1"/>
  <c r="E63" i="2" s="1"/>
  <c r="B64" i="2" l="1"/>
  <c r="C64" i="2"/>
  <c r="D64" i="2" s="1"/>
  <c r="E64" i="2" s="1"/>
  <c r="B65" i="2" l="1"/>
  <c r="C65" i="2"/>
  <c r="D65" i="2" s="1"/>
  <c r="E65" i="2" s="1"/>
  <c r="B66" i="2" l="1"/>
  <c r="C66" i="2"/>
  <c r="D66" i="2" s="1"/>
  <c r="E66" i="2" s="1"/>
  <c r="B67" i="2" l="1"/>
  <c r="C67" i="2"/>
  <c r="D67" i="2" s="1"/>
  <c r="E67" i="2" s="1"/>
  <c r="B68" i="2" l="1"/>
  <c r="C68" i="2"/>
  <c r="D68" i="2" s="1"/>
  <c r="E68" i="2" s="1"/>
  <c r="B69" i="2" l="1"/>
  <c r="C69" i="2"/>
  <c r="C70" i="2" s="1"/>
  <c r="D69" i="2" l="1"/>
  <c r="D70" i="2" s="1"/>
  <c r="E69" i="2" l="1"/>
  <c r="C73" i="2" s="1"/>
  <c r="B73" i="2" l="1"/>
  <c r="D73" i="2"/>
  <c r="E73" i="2" l="1"/>
  <c r="C74" i="2" l="1"/>
  <c r="B74" i="2"/>
  <c r="D74" i="2" l="1"/>
  <c r="E74" i="2" l="1"/>
  <c r="C75" i="2" l="1"/>
  <c r="B75" i="2"/>
  <c r="D75" i="2" l="1"/>
  <c r="E75" i="2" l="1"/>
  <c r="B76" i="2" l="1"/>
  <c r="C76" i="2"/>
  <c r="D76" i="2" s="1"/>
  <c r="E76" i="2" l="1"/>
  <c r="B77" i="2" l="1"/>
  <c r="C77" i="2"/>
  <c r="D77" i="2" s="1"/>
  <c r="E77" i="2" l="1"/>
  <c r="C78" i="2" l="1"/>
  <c r="D78" i="2" s="1"/>
  <c r="E78" i="2" s="1"/>
  <c r="B78" i="2"/>
  <c r="C79" i="2" l="1"/>
  <c r="D79" i="2" s="1"/>
  <c r="E79" i="2" s="1"/>
  <c r="B79" i="2"/>
  <c r="C80" i="2" l="1"/>
  <c r="D80" i="2" s="1"/>
  <c r="E80" i="2" s="1"/>
  <c r="B80" i="2"/>
  <c r="C81" i="2" l="1"/>
  <c r="D81" i="2" s="1"/>
  <c r="E81" i="2" s="1"/>
  <c r="B81" i="2"/>
  <c r="C82" i="2" l="1"/>
  <c r="D82" i="2" s="1"/>
  <c r="E82" i="2" s="1"/>
  <c r="B82" i="2"/>
  <c r="C83" i="2" l="1"/>
  <c r="D83" i="2" s="1"/>
  <c r="E83" i="2" s="1"/>
  <c r="B83" i="2"/>
  <c r="B84" i="2" l="1"/>
  <c r="C84" i="2"/>
  <c r="C85" i="2" s="1"/>
  <c r="D84" i="2" l="1"/>
  <c r="D85" i="2" l="1"/>
  <c r="E84" i="2"/>
  <c r="B88" i="2" l="1"/>
  <c r="C88" i="2"/>
  <c r="D88" i="2" l="1"/>
  <c r="E88" i="2" l="1"/>
  <c r="B89" i="2" l="1"/>
  <c r="C89" i="2"/>
  <c r="D89" i="2" s="1"/>
  <c r="E89" i="2" s="1"/>
  <c r="B90" i="2" l="1"/>
  <c r="C90" i="2"/>
  <c r="D90" i="2" s="1"/>
  <c r="E90" i="2" l="1"/>
  <c r="C91" i="2" l="1"/>
  <c r="D91" i="2" s="1"/>
  <c r="B91" i="2"/>
  <c r="E91" i="2" l="1"/>
  <c r="B92" i="2" l="1"/>
  <c r="C92" i="2"/>
  <c r="D92" i="2" s="1"/>
  <c r="E92" i="2" s="1"/>
  <c r="B93" i="2" l="1"/>
  <c r="C93" i="2"/>
  <c r="D93" i="2" s="1"/>
  <c r="E93" i="2" s="1"/>
  <c r="B94" i="2" l="1"/>
  <c r="C94" i="2"/>
  <c r="D94" i="2" s="1"/>
  <c r="E94" i="2" s="1"/>
  <c r="C95" i="2" l="1"/>
  <c r="D95" i="2" s="1"/>
  <c r="E95" i="2" s="1"/>
  <c r="B95" i="2"/>
  <c r="B96" i="2" l="1"/>
  <c r="C96" i="2"/>
  <c r="D96" i="2" s="1"/>
  <c r="E96" i="2" s="1"/>
  <c r="B97" i="2" l="1"/>
  <c r="C97" i="2"/>
  <c r="D97" i="2" s="1"/>
  <c r="E97" i="2" s="1"/>
  <c r="B98" i="2" l="1"/>
  <c r="C98" i="2"/>
  <c r="D98" i="2" s="1"/>
  <c r="E98" i="2" s="1"/>
  <c r="C99" i="2" l="1"/>
  <c r="C100" i="2" s="1"/>
  <c r="B99" i="2"/>
  <c r="D99" i="2" l="1"/>
  <c r="D100" i="2" l="1"/>
  <c r="E99" i="2"/>
  <c r="B103" i="2" l="1"/>
  <c r="C103" i="2"/>
  <c r="D103" i="2" s="1"/>
  <c r="E103" i="2" s="1"/>
  <c r="B104" i="2" l="1"/>
  <c r="C104" i="2"/>
  <c r="D104" i="2" s="1"/>
  <c r="E104" i="2" l="1"/>
  <c r="B105" i="2" l="1"/>
  <c r="C105" i="2"/>
  <c r="D105" i="2" s="1"/>
  <c r="E105" i="2" l="1"/>
  <c r="B106" i="2" l="1"/>
  <c r="C106" i="2"/>
  <c r="D106" i="2" s="1"/>
  <c r="E106" i="2" l="1"/>
  <c r="B107" i="2" l="1"/>
  <c r="C107" i="2"/>
  <c r="D107" i="2" s="1"/>
  <c r="E107" i="2" s="1"/>
  <c r="C108" i="2" l="1"/>
  <c r="D108" i="2" s="1"/>
  <c r="E108" i="2" s="1"/>
  <c r="B108" i="2"/>
  <c r="B109" i="2" l="1"/>
  <c r="C109" i="2"/>
  <c r="D109" i="2" s="1"/>
  <c r="E109" i="2" s="1"/>
  <c r="B110" i="2" l="1"/>
  <c r="C110" i="2"/>
  <c r="D110" i="2" s="1"/>
  <c r="E110" i="2" s="1"/>
  <c r="B111" i="2" l="1"/>
  <c r="C111" i="2"/>
  <c r="D111" i="2" s="1"/>
  <c r="E111" i="2" s="1"/>
  <c r="C112" i="2" l="1"/>
  <c r="D112" i="2" s="1"/>
  <c r="E112" i="2" s="1"/>
  <c r="B112" i="2"/>
  <c r="B113" i="2" l="1"/>
  <c r="C113" i="2"/>
  <c r="D113" i="2" s="1"/>
  <c r="E113" i="2" s="1"/>
  <c r="B114" i="2" l="1"/>
  <c r="C114" i="2"/>
  <c r="C115" i="2" s="1"/>
  <c r="D114" i="2" l="1"/>
  <c r="D115" i="2" l="1"/>
  <c r="E114" i="2"/>
  <c r="B118" i="2" l="1"/>
  <c r="C118" i="2"/>
  <c r="D118" i="2" s="1"/>
  <c r="E118" i="2" s="1"/>
  <c r="B119" i="2" l="1"/>
  <c r="C119" i="2"/>
  <c r="D119" i="2" s="1"/>
  <c r="E119" i="2" s="1"/>
  <c r="B120" i="2" l="1"/>
  <c r="C120" i="2"/>
  <c r="D120" i="2" s="1"/>
  <c r="E120" i="2" l="1"/>
  <c r="B121" i="2" l="1"/>
  <c r="C121" i="2"/>
  <c r="D121" i="2" l="1"/>
  <c r="E121" i="2" l="1"/>
  <c r="B122" i="2" l="1"/>
  <c r="C122" i="2"/>
  <c r="D122" i="2" s="1"/>
  <c r="E122" i="2" s="1"/>
  <c r="B123" i="2" l="1"/>
  <c r="C123" i="2"/>
  <c r="D123" i="2" s="1"/>
  <c r="E123" i="2" s="1"/>
  <c r="B124" i="2" l="1"/>
  <c r="C124" i="2"/>
  <c r="D124" i="2" s="1"/>
  <c r="E124" i="2" s="1"/>
  <c r="B125" i="2" l="1"/>
  <c r="C125" i="2"/>
  <c r="D125" i="2" s="1"/>
  <c r="E125" i="2" s="1"/>
  <c r="B126" i="2" l="1"/>
  <c r="C126" i="2"/>
  <c r="D126" i="2" s="1"/>
  <c r="E126" i="2" s="1"/>
  <c r="B127" i="2" l="1"/>
  <c r="C127" i="2"/>
  <c r="D127" i="2" s="1"/>
  <c r="E127" i="2" s="1"/>
  <c r="B128" i="2" l="1"/>
  <c r="C128" i="2"/>
  <c r="D128" i="2" s="1"/>
  <c r="E128" i="2" s="1"/>
  <c r="B129" i="2" l="1"/>
  <c r="C129" i="2"/>
  <c r="C130" i="2" s="1"/>
  <c r="D129" i="2" l="1"/>
  <c r="D130" i="2" s="1"/>
  <c r="E129" i="2" l="1"/>
  <c r="C133" i="2" s="1"/>
  <c r="D133" i="2" s="1"/>
  <c r="B133" i="2" l="1"/>
  <c r="E133" i="2"/>
  <c r="C134" i="2" l="1"/>
  <c r="D134" i="2" s="1"/>
  <c r="B134" i="2"/>
  <c r="E134" i="2" l="1"/>
  <c r="C135" i="2" l="1"/>
  <c r="D135" i="2" s="1"/>
  <c r="B135" i="2"/>
  <c r="E135" i="2" l="1"/>
  <c r="B136" i="2" l="1"/>
  <c r="C136" i="2"/>
  <c r="D136" i="2" s="1"/>
  <c r="E136" i="2" s="1"/>
  <c r="B137" i="2" l="1"/>
  <c r="C137" i="2"/>
  <c r="D137" i="2" s="1"/>
  <c r="E137" i="2" s="1"/>
  <c r="C138" i="2" l="1"/>
  <c r="D138" i="2" s="1"/>
  <c r="E138" i="2" s="1"/>
  <c r="B138" i="2"/>
  <c r="C139" i="2" l="1"/>
  <c r="D139" i="2" s="1"/>
  <c r="E139" i="2" s="1"/>
  <c r="B139" i="2"/>
  <c r="C140" i="2" l="1"/>
  <c r="D140" i="2" s="1"/>
  <c r="E140" i="2" s="1"/>
  <c r="B140" i="2"/>
  <c r="C141" i="2" l="1"/>
  <c r="D141" i="2" s="1"/>
  <c r="E141" i="2" s="1"/>
  <c r="B141" i="2"/>
  <c r="C142" i="2" l="1"/>
  <c r="D142" i="2" s="1"/>
  <c r="E142" i="2" s="1"/>
  <c r="B142" i="2"/>
  <c r="C143" i="2" l="1"/>
  <c r="D143" i="2" s="1"/>
  <c r="E143" i="2" s="1"/>
  <c r="B143" i="2"/>
  <c r="B144" i="2" l="1"/>
  <c r="C144" i="2"/>
  <c r="C145" i="2" s="1"/>
  <c r="D144" i="2" l="1"/>
  <c r="D145" i="2" l="1"/>
  <c r="E144" i="2"/>
  <c r="C148" i="2" l="1"/>
  <c r="D148" i="2" s="1"/>
  <c r="B148" i="2"/>
  <c r="E148" i="2" l="1"/>
  <c r="B149" i="2" l="1"/>
  <c r="C149" i="2"/>
  <c r="D149" i="2" s="1"/>
  <c r="E149" i="2" l="1"/>
  <c r="B150" i="2" l="1"/>
  <c r="C150" i="2"/>
  <c r="D150" i="2" l="1"/>
  <c r="E150" i="2" l="1"/>
  <c r="B151" i="2" l="1"/>
  <c r="C151" i="2"/>
  <c r="D151" i="2" s="1"/>
  <c r="E151" i="2" s="1"/>
  <c r="C152" i="2" l="1"/>
  <c r="D152" i="2" s="1"/>
  <c r="E152" i="2" s="1"/>
  <c r="B152" i="2"/>
  <c r="B153" i="2" l="1"/>
  <c r="C153" i="2"/>
  <c r="D153" i="2" s="1"/>
  <c r="E153" i="2" s="1"/>
  <c r="B154" i="2" l="1"/>
  <c r="C154" i="2"/>
  <c r="D154" i="2" s="1"/>
  <c r="E154" i="2" s="1"/>
  <c r="B155" i="2" l="1"/>
  <c r="C155" i="2"/>
  <c r="D155" i="2" s="1"/>
  <c r="E155" i="2" s="1"/>
  <c r="C156" i="2" l="1"/>
  <c r="D156" i="2" s="1"/>
  <c r="E156" i="2" s="1"/>
  <c r="B156" i="2"/>
  <c r="B157" i="2" l="1"/>
  <c r="C157" i="2"/>
  <c r="D157" i="2" s="1"/>
  <c r="E157" i="2" s="1"/>
  <c r="B158" i="2" l="1"/>
  <c r="C158" i="2"/>
  <c r="D158" i="2" s="1"/>
  <c r="E158" i="2" s="1"/>
  <c r="B159" i="2" l="1"/>
  <c r="C159" i="2"/>
  <c r="C160" i="2" s="1"/>
  <c r="D159" i="2" l="1"/>
  <c r="D160" i="2" l="1"/>
  <c r="E159" i="2"/>
  <c r="E41" i="1" l="1"/>
  <c r="E50" i="1"/>
  <c r="C163" i="2"/>
  <c r="B163" i="2"/>
  <c r="D163" i="2" l="1"/>
  <c r="E163" i="2" l="1"/>
  <c r="B164" i="2" l="1"/>
  <c r="C164" i="2"/>
  <c r="D164" i="2" s="1"/>
  <c r="E164" i="2" l="1"/>
  <c r="C165" i="2" l="1"/>
  <c r="D165" i="2" s="1"/>
  <c r="B165" i="2"/>
  <c r="E165" i="2" l="1"/>
  <c r="B166" i="2" l="1"/>
  <c r="C166" i="2"/>
  <c r="D166" i="2" s="1"/>
  <c r="E166" i="2" l="1"/>
  <c r="B167" i="2" l="1"/>
  <c r="C167" i="2"/>
  <c r="D167" i="2" s="1"/>
  <c r="E167" i="2" s="1"/>
  <c r="B168" i="2" l="1"/>
  <c r="C168" i="2"/>
  <c r="D168" i="2" s="1"/>
  <c r="E168" i="2" s="1"/>
  <c r="C169" i="2" l="1"/>
  <c r="D169" i="2" s="1"/>
  <c r="E169" i="2" s="1"/>
  <c r="B169" i="2"/>
  <c r="B170" i="2" l="1"/>
  <c r="C170" i="2"/>
  <c r="D170" i="2" s="1"/>
  <c r="E170" i="2" s="1"/>
  <c r="B171" i="2" l="1"/>
  <c r="C171" i="2"/>
  <c r="D171" i="2" s="1"/>
  <c r="E171" i="2" s="1"/>
  <c r="B172" i="2" l="1"/>
  <c r="C172" i="2"/>
  <c r="D172" i="2" s="1"/>
  <c r="E172" i="2" s="1"/>
  <c r="C173" i="2" l="1"/>
  <c r="D173" i="2" s="1"/>
  <c r="E173" i="2" s="1"/>
  <c r="B173" i="2"/>
  <c r="B174" i="2" l="1"/>
  <c r="C174" i="2"/>
  <c r="C175" i="2" s="1"/>
  <c r="D174" i="2" l="1"/>
  <c r="D175" i="2" l="1"/>
  <c r="E174" i="2"/>
  <c r="C178" i="2" l="1"/>
  <c r="D178" i="2" s="1"/>
  <c r="B178" i="2"/>
  <c r="E178" i="2" l="1"/>
  <c r="B179" i="2" l="1"/>
  <c r="C179" i="2"/>
  <c r="D179" i="2" l="1"/>
  <c r="E179" i="2" l="1"/>
  <c r="B180" i="2" l="1"/>
  <c r="C180" i="2"/>
  <c r="D180" i="2" l="1"/>
  <c r="E180" i="2" l="1"/>
  <c r="B181" i="2" l="1"/>
  <c r="C181" i="2"/>
  <c r="D181" i="2" s="1"/>
  <c r="E181" i="2" l="1"/>
  <c r="B182" i="2" l="1"/>
  <c r="C182" i="2"/>
  <c r="D182" i="2" s="1"/>
  <c r="E182" i="2" s="1"/>
  <c r="B183" i="2" l="1"/>
  <c r="C183" i="2"/>
  <c r="D183" i="2" s="1"/>
  <c r="E183" i="2" s="1"/>
  <c r="B184" i="2" l="1"/>
  <c r="C184" i="2"/>
  <c r="D184" i="2" s="1"/>
  <c r="E184" i="2" s="1"/>
  <c r="B185" i="2" l="1"/>
  <c r="C185" i="2"/>
  <c r="D185" i="2" s="1"/>
  <c r="E185" i="2" s="1"/>
  <c r="B186" i="2" l="1"/>
  <c r="C186" i="2"/>
  <c r="D186" i="2" s="1"/>
  <c r="E186" i="2" s="1"/>
  <c r="B187" i="2" l="1"/>
  <c r="C187" i="2"/>
  <c r="D187" i="2" s="1"/>
  <c r="E187" i="2" s="1"/>
  <c r="B188" i="2" l="1"/>
  <c r="C188" i="2"/>
  <c r="D188" i="2" s="1"/>
  <c r="E188" i="2" s="1"/>
  <c r="B189" i="2" l="1"/>
  <c r="C189" i="2"/>
  <c r="C190" i="2" s="1"/>
  <c r="D189" i="2" l="1"/>
  <c r="D190" i="2" s="1"/>
  <c r="E189" i="2" l="1"/>
  <c r="C193" i="2" l="1"/>
  <c r="D193" i="2" s="1"/>
  <c r="E193" i="2" s="1"/>
  <c r="C194" i="2" s="1"/>
  <c r="D194" i="2" s="1"/>
  <c r="H37" i="1"/>
  <c r="H41" i="1" s="1"/>
  <c r="H45" i="1" s="1"/>
  <c r="E60" i="1" s="1"/>
  <c r="B193" i="2"/>
  <c r="E48" i="1" l="1"/>
  <c r="E45" i="1"/>
  <c r="E34" i="1"/>
  <c r="E35" i="1"/>
  <c r="E37" i="1"/>
  <c r="E36" i="1"/>
  <c r="E39" i="1"/>
  <c r="E38" i="1"/>
  <c r="E42" i="1"/>
  <c r="E40" i="1"/>
  <c r="B194" i="2"/>
  <c r="E194" i="2"/>
  <c r="E26" i="1" l="1"/>
  <c r="E3" i="1" s="1"/>
  <c r="C195" i="2"/>
  <c r="D195" i="2" s="1"/>
  <c r="E195" i="2" s="1"/>
  <c r="B195" i="2"/>
  <c r="B196" i="2" l="1"/>
  <c r="C196" i="2"/>
  <c r="D196" i="2" s="1"/>
  <c r="E196" i="2" s="1"/>
  <c r="C197" i="2" l="1"/>
  <c r="B197" i="2"/>
  <c r="D197" i="2" l="1"/>
  <c r="E197" i="2" s="1"/>
  <c r="C198" i="2" l="1"/>
  <c r="D198" i="2" s="1"/>
  <c r="E198" i="2" s="1"/>
  <c r="B198" i="2"/>
  <c r="C199" i="2" l="1"/>
  <c r="D199" i="2" s="1"/>
  <c r="E199" i="2" s="1"/>
  <c r="B199" i="2"/>
  <c r="C200" i="2" l="1"/>
  <c r="D200" i="2" s="1"/>
  <c r="E200" i="2" s="1"/>
  <c r="B200" i="2"/>
  <c r="C201" i="2" l="1"/>
  <c r="D201" i="2" s="1"/>
  <c r="E201" i="2" s="1"/>
  <c r="B201" i="2"/>
  <c r="C202" i="2" l="1"/>
  <c r="D202" i="2" s="1"/>
  <c r="E202" i="2" s="1"/>
  <c r="B202" i="2"/>
  <c r="C203" i="2" l="1"/>
  <c r="D203" i="2" s="1"/>
  <c r="E203" i="2" s="1"/>
  <c r="B203" i="2"/>
  <c r="B204" i="2" l="1"/>
  <c r="C204" i="2"/>
  <c r="C205" i="2" s="1"/>
  <c r="D204" i="2" l="1"/>
  <c r="D205" i="2" l="1"/>
  <c r="E204" i="2"/>
  <c r="B208" i="2" l="1"/>
  <c r="C208" i="2"/>
  <c r="D208" i="2" s="1"/>
  <c r="E208" i="2" l="1"/>
  <c r="C209" i="2" l="1"/>
  <c r="D209" i="2" s="1"/>
  <c r="B209" i="2"/>
  <c r="E209" i="2" l="1"/>
  <c r="B210" i="2" l="1"/>
  <c r="C210" i="2"/>
  <c r="D210" i="2" l="1"/>
  <c r="E210" i="2" l="1"/>
  <c r="B211" i="2" l="1"/>
  <c r="C211" i="2"/>
  <c r="D211" i="2" s="1"/>
  <c r="E211" i="2" s="1"/>
  <c r="B212" i="2" l="1"/>
  <c r="C212" i="2"/>
  <c r="D212" i="2" s="1"/>
  <c r="E212" i="2" s="1"/>
  <c r="C213" i="2" l="1"/>
  <c r="D213" i="2" s="1"/>
  <c r="E213" i="2" s="1"/>
  <c r="B213" i="2"/>
  <c r="B214" i="2" l="1"/>
  <c r="C214" i="2"/>
  <c r="D214" i="2" s="1"/>
  <c r="E214" i="2" s="1"/>
  <c r="B215" i="2" l="1"/>
  <c r="C215" i="2"/>
  <c r="D215" i="2" s="1"/>
  <c r="E215" i="2" s="1"/>
  <c r="B216" i="2" l="1"/>
  <c r="C216" i="2"/>
  <c r="D216" i="2" s="1"/>
  <c r="E216" i="2" s="1"/>
  <c r="C217" i="2" l="1"/>
  <c r="D217" i="2" s="1"/>
  <c r="E217" i="2" s="1"/>
  <c r="B217" i="2"/>
  <c r="B218" i="2" l="1"/>
  <c r="C218" i="2"/>
  <c r="D218" i="2" s="1"/>
  <c r="E218" i="2" s="1"/>
  <c r="B219" i="2" l="1"/>
  <c r="C219" i="2"/>
  <c r="C220" i="2" s="1"/>
  <c r="D219" i="2" l="1"/>
  <c r="D220" i="2" l="1"/>
  <c r="E219" i="2"/>
  <c r="B223" i="2" l="1"/>
  <c r="C223" i="2"/>
  <c r="D223" i="2" s="1"/>
  <c r="E223" i="2" s="1"/>
  <c r="B224" i="2" l="1"/>
  <c r="C224" i="2"/>
  <c r="D224" i="2" s="1"/>
  <c r="E224" i="2" l="1"/>
  <c r="B225" i="2" l="1"/>
  <c r="C225" i="2"/>
  <c r="D225" i="2" s="1"/>
  <c r="E225" i="2" s="1"/>
  <c r="C226" i="2" l="1"/>
  <c r="D226" i="2" s="1"/>
  <c r="E226" i="2" s="1"/>
  <c r="B226" i="2"/>
  <c r="B227" i="2" l="1"/>
  <c r="C227" i="2"/>
  <c r="D227" i="2" s="1"/>
  <c r="E227" i="2" s="1"/>
  <c r="B228" i="2" l="1"/>
  <c r="C228" i="2"/>
  <c r="D228" i="2" s="1"/>
  <c r="E228" i="2" s="1"/>
  <c r="B229" i="2" l="1"/>
  <c r="C229" i="2"/>
  <c r="D229" i="2" s="1"/>
  <c r="E229" i="2" s="1"/>
  <c r="C230" i="2" l="1"/>
  <c r="D230" i="2" s="1"/>
  <c r="E230" i="2" s="1"/>
  <c r="B230" i="2"/>
  <c r="B231" i="2" l="1"/>
  <c r="C231" i="2"/>
  <c r="D231" i="2" s="1"/>
  <c r="E231" i="2" s="1"/>
  <c r="B232" i="2" l="1"/>
  <c r="C232" i="2"/>
  <c r="D232" i="2" s="1"/>
  <c r="E232" i="2" s="1"/>
  <c r="B233" i="2" l="1"/>
  <c r="C233" i="2"/>
  <c r="D233" i="2" s="1"/>
  <c r="E233" i="2" s="1"/>
  <c r="B234" i="2" l="1"/>
  <c r="C234" i="2"/>
  <c r="C235" i="2" s="1"/>
  <c r="D234" i="2" l="1"/>
  <c r="D235" i="2" s="1"/>
  <c r="E234" i="2" l="1"/>
  <c r="B238" i="2" s="1"/>
  <c r="C238" i="2" l="1"/>
  <c r="D238" i="2" s="1"/>
  <c r="E238" i="2" l="1"/>
  <c r="C239" i="2" l="1"/>
  <c r="B239" i="2"/>
  <c r="D239" i="2" l="1"/>
  <c r="E239" i="2" l="1"/>
  <c r="C240" i="2" l="1"/>
  <c r="D240" i="2" s="1"/>
  <c r="B240" i="2"/>
  <c r="E240" i="2" l="1"/>
  <c r="C241" i="2" l="1"/>
  <c r="D241" i="2" s="1"/>
  <c r="B241" i="2"/>
  <c r="E241" i="2" l="1"/>
  <c r="C242" i="2" l="1"/>
  <c r="D242" i="2" s="1"/>
  <c r="E242" i="2" s="1"/>
  <c r="B242" i="2"/>
  <c r="C243" i="2" l="1"/>
  <c r="D243" i="2" s="1"/>
  <c r="E243" i="2" s="1"/>
  <c r="B243" i="2"/>
  <c r="C244" i="2" l="1"/>
  <c r="D244" i="2" s="1"/>
  <c r="E244" i="2" s="1"/>
  <c r="B244" i="2"/>
  <c r="C245" i="2" l="1"/>
  <c r="D245" i="2" s="1"/>
  <c r="E245" i="2" s="1"/>
  <c r="B245" i="2"/>
  <c r="C246" i="2" l="1"/>
  <c r="D246" i="2" s="1"/>
  <c r="E246" i="2" s="1"/>
  <c r="B246" i="2"/>
  <c r="C247" i="2" l="1"/>
  <c r="D247" i="2" s="1"/>
  <c r="E247" i="2" s="1"/>
  <c r="B247" i="2"/>
  <c r="C248" i="2" l="1"/>
  <c r="D248" i="2" s="1"/>
  <c r="E248" i="2" s="1"/>
  <c r="B248" i="2"/>
  <c r="C249" i="2" l="1"/>
  <c r="C250" i="2" s="1"/>
  <c r="B249" i="2"/>
  <c r="D249" i="2" l="1"/>
  <c r="D250" i="2" s="1"/>
  <c r="E249" i="2" l="1"/>
  <c r="C253" i="2" s="1"/>
  <c r="D253" i="2" s="1"/>
  <c r="B253" i="2" l="1"/>
  <c r="E253" i="2"/>
  <c r="B254" i="2" l="1"/>
  <c r="C254" i="2"/>
  <c r="D254" i="2" s="1"/>
  <c r="E254" i="2" s="1"/>
  <c r="B255" i="2" l="1"/>
  <c r="C255" i="2"/>
  <c r="D255" i="2" s="1"/>
  <c r="E255" i="2" l="1"/>
  <c r="C256" i="2" l="1"/>
  <c r="D256" i="2" s="1"/>
  <c r="E256" i="2" s="1"/>
  <c r="B256" i="2"/>
  <c r="B257" i="2" l="1"/>
  <c r="C257" i="2"/>
  <c r="D257" i="2" s="1"/>
  <c r="E257" i="2" s="1"/>
  <c r="B258" i="2" l="1"/>
  <c r="C258" i="2"/>
  <c r="D258" i="2" s="1"/>
  <c r="E258" i="2" s="1"/>
  <c r="B259" i="2" l="1"/>
  <c r="C259" i="2"/>
  <c r="D259" i="2" s="1"/>
  <c r="E259" i="2" s="1"/>
  <c r="B260" i="2" l="1"/>
  <c r="C260" i="2"/>
  <c r="D260" i="2" s="1"/>
  <c r="E260" i="2" s="1"/>
  <c r="B261" i="2" l="1"/>
  <c r="C261" i="2"/>
  <c r="D261" i="2" s="1"/>
  <c r="E261" i="2" s="1"/>
  <c r="B262" i="2" l="1"/>
  <c r="C262" i="2"/>
  <c r="D262" i="2" s="1"/>
  <c r="E262" i="2" s="1"/>
  <c r="B263" i="2" l="1"/>
  <c r="C263" i="2"/>
  <c r="D263" i="2" s="1"/>
  <c r="E263" i="2" s="1"/>
  <c r="C264" i="2" l="1"/>
  <c r="C265" i="2" s="1"/>
  <c r="B264" i="2"/>
  <c r="D264" i="2" l="1"/>
  <c r="D265" i="2" s="1"/>
  <c r="E264" i="2" l="1"/>
  <c r="B268" i="2" s="1"/>
  <c r="C268" i="2" l="1"/>
  <c r="D268" i="2" s="1"/>
  <c r="E268" i="2" s="1"/>
  <c r="C269" i="2" l="1"/>
  <c r="D269" i="2" s="1"/>
  <c r="B269" i="2"/>
  <c r="E269" i="2" l="1"/>
  <c r="B270" i="2" l="1"/>
  <c r="C270" i="2"/>
  <c r="D270" i="2" s="1"/>
  <c r="E270" i="2" l="1"/>
  <c r="C271" i="2" l="1"/>
  <c r="D271" i="2" s="1"/>
  <c r="E271" i="2" s="1"/>
  <c r="B271" i="2"/>
  <c r="B272" i="2" l="1"/>
  <c r="C272" i="2"/>
  <c r="D272" i="2" s="1"/>
  <c r="E272" i="2" s="1"/>
  <c r="C273" i="2" l="1"/>
  <c r="D273" i="2" s="1"/>
  <c r="E273" i="2" s="1"/>
  <c r="B273" i="2"/>
  <c r="B274" i="2" l="1"/>
  <c r="C274" i="2"/>
  <c r="D274" i="2" s="1"/>
  <c r="E274" i="2" s="1"/>
  <c r="B275" i="2" l="1"/>
  <c r="C275" i="2"/>
  <c r="D275" i="2" s="1"/>
  <c r="E275" i="2" s="1"/>
  <c r="B276" i="2" l="1"/>
  <c r="C276" i="2"/>
  <c r="D276" i="2" s="1"/>
  <c r="E276" i="2" s="1"/>
  <c r="C277" i="2" l="1"/>
  <c r="D277" i="2" s="1"/>
  <c r="E277" i="2" s="1"/>
  <c r="B277" i="2"/>
  <c r="B278" i="2" l="1"/>
  <c r="C278" i="2"/>
  <c r="D278" i="2" s="1"/>
  <c r="E278" i="2" s="1"/>
  <c r="C279" i="2" l="1"/>
  <c r="C280" i="2" s="1"/>
  <c r="B279" i="2"/>
  <c r="D279" i="2" l="1"/>
  <c r="D280" i="2" s="1"/>
  <c r="E279" i="2" l="1"/>
  <c r="B283" i="2" s="1"/>
  <c r="C283" i="2" l="1"/>
  <c r="D283" i="2" s="1"/>
  <c r="E283" i="2" l="1"/>
  <c r="C284" i="2" l="1"/>
  <c r="B284" i="2"/>
  <c r="D284" i="2" l="1"/>
  <c r="E284" i="2" l="1"/>
  <c r="C285" i="2" l="1"/>
  <c r="B285" i="2"/>
  <c r="D285" i="2" l="1"/>
  <c r="E285" i="2" l="1"/>
  <c r="C286" i="2" l="1"/>
  <c r="D286" i="2" s="1"/>
  <c r="B286" i="2"/>
  <c r="E286" i="2" l="1"/>
  <c r="B287" i="2" l="1"/>
  <c r="C287" i="2"/>
  <c r="D287" i="2" s="1"/>
  <c r="E287" i="2" l="1"/>
  <c r="C288" i="2" l="1"/>
  <c r="D288" i="2" s="1"/>
  <c r="E288" i="2" s="1"/>
  <c r="B288" i="2"/>
  <c r="C289" i="2" l="1"/>
  <c r="D289" i="2" s="1"/>
  <c r="E289" i="2" s="1"/>
  <c r="B289" i="2"/>
  <c r="C290" i="2" l="1"/>
  <c r="D290" i="2" s="1"/>
  <c r="E290" i="2" s="1"/>
  <c r="B290" i="2"/>
  <c r="B291" i="2" l="1"/>
  <c r="C291" i="2"/>
  <c r="D291" i="2" s="1"/>
  <c r="E291" i="2" s="1"/>
  <c r="C292" i="2" l="1"/>
  <c r="D292" i="2" s="1"/>
  <c r="E292" i="2" s="1"/>
  <c r="B292" i="2"/>
  <c r="C293" i="2" l="1"/>
  <c r="D293" i="2" s="1"/>
  <c r="E293" i="2" s="1"/>
  <c r="B293" i="2"/>
  <c r="C294" i="2" l="1"/>
  <c r="C295" i="2" s="1"/>
  <c r="B294" i="2"/>
  <c r="D294" i="2" l="1"/>
  <c r="D295" i="2" l="1"/>
  <c r="E294" i="2"/>
  <c r="C298" i="2" l="1"/>
  <c r="B298" i="2"/>
  <c r="D298" i="2" l="1"/>
  <c r="E298" i="2" l="1"/>
  <c r="C299" i="2" l="1"/>
  <c r="D299" i="2" s="1"/>
  <c r="E299" i="2" s="1"/>
  <c r="B299" i="2"/>
  <c r="B300" i="2" l="1"/>
  <c r="C300" i="2"/>
  <c r="D300" i="2" s="1"/>
  <c r="E300" i="2" l="1"/>
  <c r="B301" i="2" l="1"/>
  <c r="C301" i="2"/>
  <c r="D301" i="2" s="1"/>
  <c r="E301" i="2" l="1"/>
  <c r="C302" i="2" l="1"/>
  <c r="D302" i="2" s="1"/>
  <c r="E302" i="2" s="1"/>
  <c r="B302" i="2"/>
  <c r="C303" i="2" l="1"/>
  <c r="D303" i="2" s="1"/>
  <c r="E303" i="2" s="1"/>
  <c r="B303" i="2"/>
  <c r="B304" i="2" l="1"/>
  <c r="C304" i="2"/>
  <c r="D304" i="2" s="1"/>
  <c r="E304" i="2" s="1"/>
  <c r="B305" i="2" l="1"/>
  <c r="C305" i="2"/>
  <c r="D305" i="2" s="1"/>
  <c r="E305" i="2" s="1"/>
  <c r="C306" i="2" l="1"/>
  <c r="D306" i="2" s="1"/>
  <c r="E306" i="2" s="1"/>
  <c r="B306" i="2"/>
  <c r="C307" i="2" l="1"/>
  <c r="D307" i="2" s="1"/>
  <c r="E307" i="2" s="1"/>
  <c r="B307" i="2"/>
  <c r="C308" i="2" l="1"/>
  <c r="D308" i="2" s="1"/>
  <c r="E308" i="2" s="1"/>
  <c r="B308" i="2"/>
  <c r="B309" i="2" l="1"/>
  <c r="C309" i="2"/>
  <c r="C310" i="2" s="1"/>
  <c r="D309" i="2" l="1"/>
  <c r="D310" i="2" l="1"/>
  <c r="E309" i="2"/>
  <c r="C313" i="2" l="1"/>
  <c r="D313" i="2" s="1"/>
  <c r="E313" i="2" s="1"/>
  <c r="B313" i="2"/>
  <c r="B314" i="2" l="1"/>
  <c r="C314" i="2"/>
  <c r="D314" i="2" s="1"/>
  <c r="E314" i="2" s="1"/>
  <c r="B315" i="2" l="1"/>
  <c r="C315" i="2"/>
  <c r="D315" i="2" l="1"/>
  <c r="E315" i="2" l="1"/>
  <c r="B316" i="2" l="1"/>
  <c r="C316" i="2"/>
  <c r="D316" i="2" s="1"/>
  <c r="E316" i="2" s="1"/>
  <c r="B317" i="2" l="1"/>
  <c r="C317" i="2"/>
  <c r="D317" i="2" s="1"/>
  <c r="E317" i="2" s="1"/>
  <c r="B318" i="2" l="1"/>
  <c r="C318" i="2"/>
  <c r="D318" i="2" s="1"/>
  <c r="E318" i="2" s="1"/>
  <c r="B319" i="2" l="1"/>
  <c r="C319" i="2"/>
  <c r="D319" i="2" s="1"/>
  <c r="E319" i="2" s="1"/>
  <c r="B320" i="2" l="1"/>
  <c r="C320" i="2"/>
  <c r="D320" i="2" s="1"/>
  <c r="E320" i="2" s="1"/>
  <c r="B321" i="2" l="1"/>
  <c r="C321" i="2"/>
  <c r="D321" i="2" s="1"/>
  <c r="E321" i="2" s="1"/>
  <c r="B322" i="2" l="1"/>
  <c r="C322" i="2"/>
  <c r="D322" i="2" s="1"/>
  <c r="E322" i="2" s="1"/>
  <c r="B323" i="2" l="1"/>
  <c r="C323" i="2"/>
  <c r="D323" i="2" s="1"/>
  <c r="E323" i="2" s="1"/>
  <c r="B324" i="2" l="1"/>
  <c r="C324" i="2"/>
  <c r="C325" i="2" s="1"/>
  <c r="D324" i="2" l="1"/>
  <c r="D325" i="2" l="1"/>
  <c r="E324" i="2"/>
  <c r="B328" i="2" l="1"/>
  <c r="C328" i="2"/>
  <c r="D328" i="2" s="1"/>
  <c r="E328" i="2" s="1"/>
  <c r="B329" i="2" l="1"/>
  <c r="C329" i="2"/>
  <c r="D329" i="2" s="1"/>
  <c r="E329" i="2" s="1"/>
  <c r="B330" i="2" l="1"/>
  <c r="C330" i="2"/>
  <c r="D330" i="2" s="1"/>
  <c r="E330" i="2" l="1"/>
  <c r="C331" i="2" l="1"/>
  <c r="B331" i="2"/>
  <c r="D331" i="2" l="1"/>
  <c r="E331" i="2" l="1"/>
  <c r="B332" i="2" l="1"/>
  <c r="C332" i="2"/>
  <c r="D332" i="2" s="1"/>
  <c r="E332" i="2" s="1"/>
  <c r="B333" i="2" l="1"/>
  <c r="C333" i="2"/>
  <c r="D333" i="2" s="1"/>
  <c r="E333" i="2" s="1"/>
  <c r="B334" i="2" l="1"/>
  <c r="C334" i="2"/>
  <c r="D334" i="2" s="1"/>
  <c r="E334" i="2" s="1"/>
  <c r="C335" i="2" l="1"/>
  <c r="D335" i="2" s="1"/>
  <c r="E335" i="2" s="1"/>
  <c r="B335" i="2"/>
  <c r="B336" i="2" l="1"/>
  <c r="C336" i="2"/>
  <c r="D336" i="2" s="1"/>
  <c r="E336" i="2" s="1"/>
  <c r="B337" i="2" l="1"/>
  <c r="C337" i="2"/>
  <c r="D337" i="2" s="1"/>
  <c r="E337" i="2" s="1"/>
  <c r="B338" i="2" l="1"/>
  <c r="C338" i="2"/>
  <c r="D338" i="2" s="1"/>
  <c r="E338" i="2" s="1"/>
  <c r="C339" i="2" l="1"/>
  <c r="C340" i="2" s="1"/>
  <c r="B339" i="2"/>
  <c r="D339" i="2" l="1"/>
  <c r="D340" i="2" l="1"/>
  <c r="E339" i="2"/>
  <c r="B343" i="2" l="1"/>
  <c r="C343" i="2"/>
  <c r="D343" i="2" s="1"/>
  <c r="E343" i="2" l="1"/>
  <c r="C344" i="2" l="1"/>
  <c r="D344" i="2" s="1"/>
  <c r="E344" i="2" s="1"/>
  <c r="B344" i="2"/>
  <c r="C345" i="2" l="1"/>
  <c r="D345" i="2" s="1"/>
  <c r="B345" i="2"/>
  <c r="E345" i="2" l="1"/>
  <c r="C346" i="2" l="1"/>
  <c r="D346" i="2" s="1"/>
  <c r="E346" i="2" s="1"/>
  <c r="B346" i="2"/>
  <c r="C347" i="2" l="1"/>
  <c r="D347" i="2" s="1"/>
  <c r="E347" i="2" s="1"/>
  <c r="B347" i="2"/>
  <c r="B348" i="2" l="1"/>
  <c r="C348" i="2"/>
  <c r="D348" i="2" s="1"/>
  <c r="E348" i="2" s="1"/>
  <c r="C349" i="2" l="1"/>
  <c r="D349" i="2" s="1"/>
  <c r="E349" i="2" s="1"/>
  <c r="B349" i="2"/>
  <c r="C350" i="2" l="1"/>
  <c r="D350" i="2" s="1"/>
  <c r="E350" i="2" s="1"/>
  <c r="B350" i="2"/>
  <c r="C351" i="2" l="1"/>
  <c r="D351" i="2" s="1"/>
  <c r="E351" i="2" s="1"/>
  <c r="B351" i="2"/>
  <c r="B352" i="2" l="1"/>
  <c r="C352" i="2"/>
  <c r="D352" i="2" s="1"/>
  <c r="E352" i="2" s="1"/>
  <c r="C353" i="2" l="1"/>
  <c r="D353" i="2" s="1"/>
  <c r="E353" i="2" s="1"/>
  <c r="B353" i="2"/>
  <c r="C354" i="2" l="1"/>
  <c r="C355" i="2" s="1"/>
  <c r="B354" i="2"/>
  <c r="D354" i="2" l="1"/>
  <c r="D355" i="2" l="1"/>
  <c r="E354" i="2"/>
  <c r="C358" i="2" l="1"/>
  <c r="D358" i="2" s="1"/>
  <c r="B358" i="2"/>
  <c r="E358" i="2" l="1"/>
  <c r="B359" i="2" l="1"/>
  <c r="C359" i="2"/>
  <c r="D359" i="2" s="1"/>
  <c r="E359" i="2" s="1"/>
  <c r="B360" i="2" l="1"/>
  <c r="C360" i="2"/>
  <c r="D360" i="2" s="1"/>
  <c r="E360" i="2" l="1"/>
  <c r="B361" i="2" l="1"/>
  <c r="C361" i="2"/>
  <c r="D361" i="2" s="1"/>
  <c r="E361" i="2" l="1"/>
  <c r="B362" i="2" l="1"/>
  <c r="C362" i="2"/>
  <c r="D362" i="2" s="1"/>
  <c r="E362" i="2" s="1"/>
  <c r="B363" i="2" l="1"/>
  <c r="C363" i="2"/>
  <c r="D363" i="2" s="1"/>
  <c r="E363" i="2" s="1"/>
  <c r="B364" i="2" l="1"/>
  <c r="C364" i="2"/>
  <c r="D364" i="2" s="1"/>
  <c r="E364" i="2" s="1"/>
  <c r="B365" i="2" l="1"/>
  <c r="C365" i="2"/>
  <c r="D365" i="2" s="1"/>
  <c r="E365" i="2" s="1"/>
  <c r="B366" i="2" l="1"/>
  <c r="C366" i="2"/>
  <c r="D366" i="2" s="1"/>
  <c r="E366" i="2" s="1"/>
  <c r="B367" i="2" l="1"/>
  <c r="C367" i="2"/>
  <c r="D367" i="2" s="1"/>
  <c r="E367" i="2" s="1"/>
  <c r="B368" i="2" l="1"/>
  <c r="C368" i="2"/>
  <c r="D368" i="2" s="1"/>
  <c r="E368" i="2" s="1"/>
  <c r="B369" i="2" l="1"/>
  <c r="C369" i="2"/>
  <c r="C370" i="2" s="1"/>
  <c r="D369" i="2" l="1"/>
  <c r="D370" i="2" s="1"/>
  <c r="E369" i="2" l="1"/>
  <c r="C373" i="2" s="1"/>
  <c r="D373" i="2" l="1"/>
  <c r="E373" i="2" s="1"/>
  <c r="C374" i="2" s="1"/>
  <c r="D374" i="2" s="1"/>
  <c r="E374" i="2" s="1"/>
  <c r="B373" i="2"/>
  <c r="B374" i="2" l="1"/>
  <c r="B375" i="2"/>
  <c r="C375" i="2"/>
  <c r="D375" i="2" s="1"/>
  <c r="E375" i="2" l="1"/>
  <c r="B376" i="2" l="1"/>
  <c r="C376" i="2"/>
  <c r="D376" i="2" s="1"/>
  <c r="E376" i="2" s="1"/>
  <c r="B377" i="2" l="1"/>
  <c r="C377" i="2"/>
  <c r="D377" i="2" s="1"/>
  <c r="E377" i="2" s="1"/>
  <c r="B378" i="2" l="1"/>
  <c r="C378" i="2"/>
  <c r="D378" i="2" s="1"/>
  <c r="E378" i="2" s="1"/>
  <c r="B379" i="2" l="1"/>
  <c r="C379" i="2"/>
  <c r="D379" i="2" s="1"/>
  <c r="E379" i="2" s="1"/>
  <c r="C380" i="2" l="1"/>
  <c r="D380" i="2" s="1"/>
  <c r="E380" i="2" s="1"/>
  <c r="B380" i="2"/>
  <c r="B381" i="2" l="1"/>
  <c r="C381" i="2"/>
  <c r="D381" i="2" s="1"/>
  <c r="E381" i="2" s="1"/>
  <c r="B382" i="2" l="1"/>
  <c r="C382" i="2"/>
  <c r="D382" i="2" s="1"/>
  <c r="E382" i="2" s="1"/>
  <c r="B383" i="2" l="1"/>
  <c r="C383" i="2"/>
  <c r="D383" i="2" s="1"/>
  <c r="E383" i="2" s="1"/>
  <c r="B384" i="2" l="1"/>
  <c r="C384" i="2"/>
  <c r="C385" i="2" s="1"/>
  <c r="D384" i="2" l="1"/>
  <c r="D385" i="2" l="1"/>
  <c r="E384" i="2"/>
  <c r="C388" i="2" l="1"/>
  <c r="B388" i="2"/>
  <c r="D388" i="2" l="1"/>
  <c r="E388" i="2" l="1"/>
  <c r="B389" i="2" l="1"/>
  <c r="C389" i="2"/>
  <c r="D389" i="2" s="1"/>
  <c r="E389" i="2" l="1"/>
  <c r="B390" i="2" l="1"/>
  <c r="C390" i="2"/>
  <c r="D390" i="2" s="1"/>
  <c r="E390" i="2" l="1"/>
  <c r="B391" i="2" l="1"/>
  <c r="C391" i="2"/>
  <c r="D391" i="2" s="1"/>
  <c r="E391" i="2" s="1"/>
  <c r="C392" i="2" l="1"/>
  <c r="D392" i="2" s="1"/>
  <c r="E392" i="2" s="1"/>
  <c r="B392" i="2"/>
  <c r="B393" i="2" l="1"/>
  <c r="C393" i="2"/>
  <c r="D393" i="2" s="1"/>
  <c r="E393" i="2" s="1"/>
  <c r="B394" i="2" l="1"/>
  <c r="C394" i="2"/>
  <c r="D394" i="2" s="1"/>
  <c r="E394" i="2" s="1"/>
  <c r="B395" i="2" l="1"/>
  <c r="C395" i="2"/>
  <c r="D395" i="2" s="1"/>
  <c r="E395" i="2" s="1"/>
  <c r="C396" i="2" l="1"/>
  <c r="D396" i="2" s="1"/>
  <c r="E396" i="2" s="1"/>
  <c r="B396" i="2"/>
  <c r="B397" i="2" l="1"/>
  <c r="C397" i="2"/>
  <c r="D397" i="2" s="1"/>
  <c r="E397" i="2" s="1"/>
  <c r="B398" i="2" l="1"/>
  <c r="C398" i="2"/>
  <c r="D398" i="2" s="1"/>
  <c r="E398" i="2" s="1"/>
  <c r="B399" i="2" l="1"/>
  <c r="C399" i="2"/>
  <c r="C400" i="2" s="1"/>
  <c r="D399" i="2" l="1"/>
  <c r="D400" i="2" l="1"/>
  <c r="E399" i="2"/>
  <c r="B403" i="2" l="1"/>
  <c r="C403" i="2"/>
  <c r="D403" i="2" s="1"/>
  <c r="E403" i="2" l="1"/>
  <c r="C404" i="2" l="1"/>
  <c r="D404" i="2" s="1"/>
  <c r="B404" i="2"/>
  <c r="E404" i="2" l="1"/>
  <c r="B405" i="2" l="1"/>
  <c r="C405" i="2"/>
  <c r="D405" i="2" s="1"/>
  <c r="E405" i="2" l="1"/>
  <c r="C406" i="2" l="1"/>
  <c r="D406" i="2" s="1"/>
  <c r="B406" i="2"/>
  <c r="E406" i="2" l="1"/>
  <c r="C407" i="2" l="1"/>
  <c r="D407" i="2" s="1"/>
  <c r="E407" i="2" s="1"/>
  <c r="B407" i="2"/>
  <c r="C408" i="2" l="1"/>
  <c r="D408" i="2" s="1"/>
  <c r="E408" i="2" s="1"/>
  <c r="B408" i="2"/>
  <c r="B409" i="2" l="1"/>
  <c r="C409" i="2"/>
  <c r="D409" i="2" s="1"/>
  <c r="E409" i="2" s="1"/>
  <c r="C410" i="2" l="1"/>
  <c r="D410" i="2" s="1"/>
  <c r="E410" i="2" s="1"/>
  <c r="B410" i="2"/>
  <c r="C411" i="2" l="1"/>
  <c r="D411" i="2" s="1"/>
  <c r="E411" i="2" s="1"/>
  <c r="B411" i="2"/>
  <c r="C412" i="2" l="1"/>
  <c r="D412" i="2" s="1"/>
  <c r="E412" i="2" s="1"/>
  <c r="B412" i="2"/>
  <c r="B413" i="2" l="1"/>
  <c r="C413" i="2"/>
  <c r="D413" i="2" s="1"/>
  <c r="E413" i="2" s="1"/>
  <c r="C414" i="2" l="1"/>
  <c r="C415" i="2" s="1"/>
  <c r="B414" i="2"/>
  <c r="D414" i="2" l="1"/>
  <c r="D415" i="2" l="1"/>
  <c r="E414" i="2"/>
  <c r="C418" i="2" l="1"/>
  <c r="B418" i="2"/>
  <c r="D418" i="2" l="1"/>
  <c r="E418" i="2" l="1"/>
  <c r="B419" i="2" l="1"/>
  <c r="C419" i="2"/>
  <c r="D419" i="2" s="1"/>
  <c r="E419" i="2" l="1"/>
  <c r="B420" i="2" l="1"/>
  <c r="C420" i="2"/>
  <c r="D420" i="2" l="1"/>
  <c r="E420" i="2" l="1"/>
  <c r="B421" i="2" l="1"/>
  <c r="C421" i="2"/>
  <c r="D421" i="2" s="1"/>
  <c r="E421" i="2" l="1"/>
  <c r="B422" i="2" l="1"/>
  <c r="C422" i="2"/>
  <c r="D422" i="2" s="1"/>
  <c r="E422" i="2" s="1"/>
  <c r="B423" i="2" l="1"/>
  <c r="C423" i="2"/>
  <c r="D423" i="2" s="1"/>
  <c r="E423" i="2" s="1"/>
  <c r="B424" i="2" l="1"/>
  <c r="C424" i="2"/>
  <c r="D424" i="2" s="1"/>
  <c r="E424" i="2" s="1"/>
  <c r="B425" i="2" l="1"/>
  <c r="C425" i="2"/>
  <c r="D425" i="2" s="1"/>
  <c r="E425" i="2" s="1"/>
  <c r="B426" i="2" l="1"/>
  <c r="C426" i="2"/>
  <c r="D426" i="2" s="1"/>
  <c r="E426" i="2" s="1"/>
  <c r="B427" i="2" l="1"/>
  <c r="C427" i="2"/>
  <c r="D427" i="2" s="1"/>
  <c r="E427" i="2" s="1"/>
  <c r="B428" i="2" l="1"/>
  <c r="C428" i="2"/>
  <c r="D428" i="2" s="1"/>
  <c r="E428" i="2" s="1"/>
  <c r="B429" i="2" l="1"/>
  <c r="C429" i="2"/>
  <c r="C430" i="2" s="1"/>
  <c r="D429" i="2" l="1"/>
  <c r="D430" i="2" s="1"/>
  <c r="E429" i="2" l="1"/>
  <c r="B433" i="2" s="1"/>
  <c r="C433" i="2" l="1"/>
  <c r="D433" i="2" s="1"/>
  <c r="E433" i="2" s="1"/>
  <c r="B434" i="2" l="1"/>
  <c r="C434" i="2"/>
  <c r="D434" i="2" s="1"/>
  <c r="E434" i="2" l="1"/>
  <c r="B435" i="2" l="1"/>
  <c r="C435" i="2"/>
  <c r="D435" i="2" s="1"/>
  <c r="E435" i="2" l="1"/>
  <c r="B436" i="2" l="1"/>
  <c r="C436" i="2"/>
  <c r="D436" i="2" s="1"/>
  <c r="E436" i="2" s="1"/>
  <c r="B437" i="2" l="1"/>
  <c r="C437" i="2"/>
  <c r="D437" i="2" s="1"/>
  <c r="E437" i="2" s="1"/>
  <c r="C438" i="2" l="1"/>
  <c r="D438" i="2" s="1"/>
  <c r="E438" i="2" s="1"/>
  <c r="B438" i="2"/>
  <c r="B439" i="2" l="1"/>
  <c r="C439" i="2"/>
  <c r="D439" i="2" s="1"/>
  <c r="E439" i="2" s="1"/>
  <c r="B440" i="2" l="1"/>
  <c r="C440" i="2"/>
  <c r="D440" i="2" s="1"/>
  <c r="E440" i="2" s="1"/>
  <c r="B441" i="2" l="1"/>
  <c r="C441" i="2"/>
  <c r="D441" i="2" s="1"/>
  <c r="E441" i="2" s="1"/>
  <c r="C442" i="2" l="1"/>
  <c r="D442" i="2" s="1"/>
  <c r="E442" i="2" s="1"/>
  <c r="B442" i="2"/>
  <c r="B443" i="2" l="1"/>
  <c r="C443" i="2"/>
  <c r="D443" i="2" s="1"/>
  <c r="E443" i="2" s="1"/>
  <c r="B444" i="2" l="1"/>
  <c r="C444" i="2"/>
  <c r="C445" i="2" s="1"/>
  <c r="D444" i="2" l="1"/>
  <c r="D445" i="2" l="1"/>
  <c r="E444" i="2"/>
  <c r="B448" i="2" l="1"/>
  <c r="C448" i="2"/>
  <c r="D448" i="2" s="1"/>
  <c r="E448" i="2" l="1"/>
  <c r="C449" i="2" l="1"/>
  <c r="D449" i="2" s="1"/>
  <c r="B449" i="2"/>
  <c r="E449" i="2" l="1"/>
  <c r="B450" i="2" l="1"/>
  <c r="C450" i="2"/>
  <c r="D450" i="2" s="1"/>
  <c r="E450" i="2" l="1"/>
  <c r="B451" i="2" l="1"/>
  <c r="C451" i="2"/>
  <c r="D451" i="2" s="1"/>
  <c r="E451" i="2" s="1"/>
  <c r="B452" i="2" l="1"/>
  <c r="C452" i="2"/>
  <c r="D452" i="2" s="1"/>
  <c r="E452" i="2" s="1"/>
  <c r="C453" i="2" l="1"/>
  <c r="D453" i="2" s="1"/>
  <c r="E453" i="2" s="1"/>
  <c r="B453" i="2"/>
  <c r="B454" i="2" l="1"/>
  <c r="C454" i="2"/>
  <c r="D454" i="2" s="1"/>
  <c r="E454" i="2" s="1"/>
  <c r="C455" i="2" l="1"/>
  <c r="D455" i="2" s="1"/>
  <c r="E455" i="2" s="1"/>
  <c r="B455" i="2"/>
  <c r="C456" i="2" l="1"/>
  <c r="D456" i="2" s="1"/>
  <c r="E456" i="2" s="1"/>
  <c r="B456" i="2"/>
  <c r="B457" i="2" l="1"/>
  <c r="C457" i="2"/>
  <c r="D457" i="2" s="1"/>
  <c r="E457" i="2" s="1"/>
  <c r="C458" i="2" l="1"/>
  <c r="D458" i="2" s="1"/>
  <c r="E458" i="2" s="1"/>
  <c r="B458" i="2"/>
  <c r="C459" i="2" l="1"/>
  <c r="C460" i="2" s="1"/>
  <c r="B459" i="2"/>
  <c r="D459" i="2" l="1"/>
  <c r="D460" i="2" s="1"/>
  <c r="E459" i="2" l="1"/>
  <c r="D463" i="2" s="1"/>
  <c r="C463" i="2" l="1"/>
  <c r="E463" i="2"/>
  <c r="D464" i="2" l="1"/>
  <c r="E464" i="2" s="1"/>
  <c r="C464" i="2"/>
  <c r="D465" i="2" l="1"/>
  <c r="E465" i="2" s="1"/>
  <c r="C465" i="2"/>
  <c r="C466" i="2" l="1"/>
  <c r="D466" i="2" s="1"/>
  <c r="E466" i="2" s="1"/>
  <c r="D467" i="2" l="1"/>
  <c r="E467" i="2" s="1"/>
  <c r="C467" i="2"/>
  <c r="C468" i="2" l="1"/>
  <c r="D468" i="2" s="1"/>
  <c r="E468" i="2" s="1"/>
  <c r="D469" i="2" l="1"/>
  <c r="E469" i="2" s="1"/>
  <c r="C469" i="2"/>
  <c r="C470" i="2" l="1"/>
  <c r="D470" i="2" s="1"/>
  <c r="E470" i="2" s="1"/>
  <c r="D471" i="2" l="1"/>
  <c r="E471" i="2" s="1"/>
  <c r="C471" i="2"/>
  <c r="D472" i="2" l="1"/>
  <c r="E472" i="2" s="1"/>
  <c r="C472" i="2"/>
  <c r="D473" i="2" l="1"/>
  <c r="E473" i="2" s="1"/>
  <c r="C473" i="2"/>
  <c r="C474" i="2" l="1"/>
  <c r="C475" i="2" s="1"/>
  <c r="D474" i="2" l="1"/>
  <c r="D475" i="2" l="1"/>
  <c r="E474" i="2"/>
</calcChain>
</file>

<file path=xl/comments1.xml><?xml version="1.0" encoding="utf-8"?>
<comments xmlns="http://schemas.openxmlformats.org/spreadsheetml/2006/main">
  <authors>
    <author>Andrew Prawl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8-10% is good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Should be from 12-15%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Linked to Loan Amort Schedule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Comes from Loan Amort Schedule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PMI fees vary, depending on the size of the down payment - 0.3 percent to 1.15 percent of the original loan amount per year.</t>
        </r>
      </text>
    </comment>
  </commentList>
</comments>
</file>

<file path=xl/comments2.xml><?xml version="1.0" encoding="utf-8"?>
<comments xmlns="http://schemas.openxmlformats.org/spreadsheetml/2006/main">
  <authors>
    <author>Andrew Prawl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Linked to Sheet 1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Andrew Prawl:</t>
        </r>
        <r>
          <rPr>
            <sz val="9"/>
            <color indexed="81"/>
            <rFont val="Tahoma"/>
            <family val="2"/>
          </rPr>
          <t xml:space="preserve">
Linked to Sheet 1</t>
        </r>
      </text>
    </comment>
  </commentList>
</comments>
</file>

<file path=xl/sharedStrings.xml><?xml version="1.0" encoding="utf-8"?>
<sst xmlns="http://schemas.openxmlformats.org/spreadsheetml/2006/main" count="235" uniqueCount="137">
  <si>
    <t>Initial Investment (as negative amount)</t>
  </si>
  <si>
    <t>Internal Rate of Return</t>
  </si>
  <si>
    <t>Down Payment</t>
  </si>
  <si>
    <t>Loan Amount</t>
  </si>
  <si>
    <t>Gross Income</t>
  </si>
  <si>
    <t xml:space="preserve">Income per room </t>
  </si>
  <si>
    <t>number of rooms</t>
  </si>
  <si>
    <t>Vacancy Allowance</t>
  </si>
  <si>
    <t>Vacany allowance</t>
  </si>
  <si>
    <t>Expenses</t>
  </si>
  <si>
    <t>Total Expense</t>
  </si>
  <si>
    <t>Cap Rate</t>
  </si>
  <si>
    <t>Gross Operating Income</t>
  </si>
  <si>
    <t>Monthly NOI</t>
  </si>
  <si>
    <t>Yearly NOI</t>
  </si>
  <si>
    <t>Montly Loan Payment</t>
  </si>
  <si>
    <t>Yearly Payments</t>
  </si>
  <si>
    <t>Yearly Cash flow</t>
  </si>
  <si>
    <t>Amount of Money Left on Loan</t>
  </si>
  <si>
    <t>Amount Left</t>
  </si>
  <si>
    <t>Value Appreciation</t>
  </si>
  <si>
    <t>Initial amount</t>
  </si>
  <si>
    <t>Interest Rate</t>
  </si>
  <si>
    <t>Years</t>
  </si>
  <si>
    <t>FV</t>
  </si>
  <si>
    <t>Sale Proceeds</t>
  </si>
  <si>
    <t>FV of Sale</t>
  </si>
  <si>
    <t>Amount Left on Loan</t>
  </si>
  <si>
    <t>Yearly Cash Flow</t>
  </si>
  <si>
    <t>What is the average IRR for a property?</t>
  </si>
  <si>
    <t>Cash On Cash Return</t>
  </si>
  <si>
    <t>Interest + Principal</t>
  </si>
  <si>
    <t>Yearly Debt Service (no taxes)</t>
  </si>
  <si>
    <t>CF before taxes</t>
  </si>
  <si>
    <t>Amount Invested</t>
  </si>
  <si>
    <t>average cash on cash return</t>
  </si>
  <si>
    <t>Kensignton</t>
  </si>
  <si>
    <t>Fishtown</t>
  </si>
  <si>
    <t>Northern Liberties</t>
  </si>
  <si>
    <t>North Phil East</t>
  </si>
  <si>
    <t>Southwest Center City</t>
  </si>
  <si>
    <t>Point Breeze</t>
  </si>
  <si>
    <t>Grey's Ferry</t>
  </si>
  <si>
    <t>Row Home - 3 Bed room, 2 Bathroom</t>
  </si>
  <si>
    <t>Fairmont Park</t>
  </si>
  <si>
    <t>East Falls</t>
  </si>
  <si>
    <t>Manayunk</t>
  </si>
  <si>
    <t>Average</t>
  </si>
  <si>
    <t>Washington Square</t>
  </si>
  <si>
    <t>Bella Vista - Southwark</t>
  </si>
  <si>
    <t>Graduate Hospital</t>
  </si>
  <si>
    <t>West Powelton</t>
  </si>
  <si>
    <t>Sale Price</t>
  </si>
  <si>
    <t>Down Payment + Closing Costs + Pre Rental Improvements/Repairs</t>
  </si>
  <si>
    <t>LOAN AMORTIZATION SCHEDULE</t>
  </si>
  <si>
    <t xml:space="preserve">   © Copyright 1982-2014, RealData®, Inc.</t>
  </si>
  <si>
    <t>Data Input:</t>
  </si>
  <si>
    <t>Begining Balance:</t>
  </si>
  <si>
    <t>Ann. Int. Rate:</t>
  </si>
  <si>
    <t>Term, Months:</t>
  </si>
  <si>
    <t>First Pmt Month:</t>
  </si>
  <si>
    <t xml:space="preserve">   Calculated Pmt:</t>
  </si>
  <si>
    <t>First Pmt Year:</t>
  </si>
  <si>
    <t>INTEREST</t>
  </si>
  <si>
    <t>PRINCIPAL</t>
  </si>
  <si>
    <t>BALANCE</t>
  </si>
  <si>
    <t>Sell in Year</t>
  </si>
  <si>
    <t>Property Tax Rate</t>
  </si>
  <si>
    <t xml:space="preserve">Monthly Taxes </t>
  </si>
  <si>
    <t>PMI Rate</t>
  </si>
  <si>
    <t>PMI (Monthly)</t>
  </si>
  <si>
    <t>Monthy Insurance</t>
  </si>
  <si>
    <t>TOTAL monthly loan payment</t>
  </si>
  <si>
    <t>Down Payment Percentage</t>
  </si>
  <si>
    <t>Commission Fee</t>
  </si>
  <si>
    <t>Commission Fee Amount</t>
  </si>
  <si>
    <t>Monte Carlo to analyze Maximize down payment, and year</t>
  </si>
  <si>
    <t>The ability to set limits on down payment and years</t>
  </si>
  <si>
    <t>How to calculate closing costs?</t>
  </si>
  <si>
    <t>Max Sell Year</t>
  </si>
  <si>
    <t>Model</t>
  </si>
  <si>
    <t>Comp 1</t>
  </si>
  <si>
    <t xml:space="preserve">Comp 2 </t>
  </si>
  <si>
    <t xml:space="preserve">Comp3 </t>
  </si>
  <si>
    <t>Selling Price</t>
  </si>
  <si>
    <t>Square Feet</t>
  </si>
  <si>
    <t>Bedrooms</t>
  </si>
  <si>
    <t>Bathrooms</t>
  </si>
  <si>
    <t>Positives</t>
  </si>
  <si>
    <t>Central Air</t>
  </si>
  <si>
    <t>Garage</t>
  </si>
  <si>
    <t>Deck</t>
  </si>
  <si>
    <t>Double Vanity Sink</t>
  </si>
  <si>
    <t>Hardwood Floors</t>
  </si>
  <si>
    <t>Partial Bathroom</t>
  </si>
  <si>
    <t>Granite Countertop</t>
  </si>
  <si>
    <t>Negatives</t>
  </si>
  <si>
    <t>New flooring</t>
  </si>
  <si>
    <t>Functional Obsolosence</t>
  </si>
  <si>
    <t>Expected Selling Price</t>
  </si>
  <si>
    <t>Closing Cost Percentage</t>
  </si>
  <si>
    <t>Closing Cost</t>
  </si>
  <si>
    <t>Pre Rental Improvements</t>
  </si>
  <si>
    <r>
      <t>between about 2 to 5 percent of the purchase price of their home in </t>
    </r>
    <r>
      <rPr>
        <b/>
        <sz val="12"/>
        <color rgb="FF222222"/>
        <rFont val="Roboto"/>
      </rPr>
      <t>closing</t>
    </r>
    <r>
      <rPr>
        <sz val="12"/>
        <color rgb="FF222222"/>
        <rFont val="Roboto"/>
      </rPr>
      <t> fees. </t>
    </r>
  </si>
  <si>
    <t>Total Down Payment</t>
  </si>
  <si>
    <t>Taxes</t>
  </si>
  <si>
    <t>Depreciation</t>
  </si>
  <si>
    <t>Manual FV Guess (Not Mandatory)</t>
  </si>
  <si>
    <t>Debt to Income Ratio</t>
  </si>
  <si>
    <t>House Value Percentage of Purchase price</t>
  </si>
  <si>
    <t>Straight Line Depreciation</t>
  </si>
  <si>
    <t>Depreciable Amount</t>
  </si>
  <si>
    <t>Depreciation Write Off Per Year</t>
  </si>
  <si>
    <t>Depreciation Write Off Per Month</t>
  </si>
  <si>
    <t>Price to Rent Ratio</t>
  </si>
  <si>
    <t>At the peak of the U.S. market in 2006, the ratio for the U.S. was 18.46. The ratio dropped to 11.34 by the end of 2010. The long-term average (from 1989 to 2003) was 9.56. As a general rule of thumb, consumers should consider buying when the ratio is under 15 and rent when it is above 20.</t>
  </si>
  <si>
    <t>Price to Income Ratio</t>
  </si>
  <si>
    <t>??</t>
  </si>
  <si>
    <t>Rent Ratio</t>
  </si>
  <si>
    <t>Green if above 1% - 2% is surprising</t>
  </si>
  <si>
    <t xml:space="preserve">Income </t>
  </si>
  <si>
    <t>The price-to-rent ratio is a calculation that compares median home prices and median rents in a particular market.</t>
  </si>
  <si>
    <t>Yearly Salary</t>
  </si>
  <si>
    <t>yearly amount on loan</t>
  </si>
  <si>
    <t>Period</t>
  </si>
  <si>
    <t>rate</t>
  </si>
  <si>
    <t>Can the Area support the Neighborhood</t>
  </si>
  <si>
    <t>PMI</t>
  </si>
  <si>
    <t>Percentage Down payment</t>
  </si>
  <si>
    <t>Est. Min Debt Obligations</t>
  </si>
  <si>
    <t xml:space="preserve">PV </t>
  </si>
  <si>
    <t>CHECK PV, PMT, AND FV formulas.  Are they compounded Annually or MONTHLY??????</t>
  </si>
  <si>
    <t>Monthly Insurance</t>
  </si>
  <si>
    <t>Total monthly amount on loan</t>
  </si>
  <si>
    <t>Money Just for Loan Payment</t>
  </si>
  <si>
    <t>If down payment or % model statement</t>
  </si>
  <si>
    <t>Philly median price to rent ratio is 11.1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</si>
</sst>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3" formatCode="_(* #,##0.00_);_(* \(#,##0.00\);_(* &quot;-&quot;??_);_(@_)"/>
    <numFmt numFmtId="164" formatCode="#,##0.0"/>
    <numFmt numFmtId="165" formatCode="_(* #,##0_);_(* \(#,##0\);_(* &quot;-&quot;??_);_(@_)"/>
    <numFmt numFmtId="166" formatCode="&quot;$&quot;#,##0.00"/>
    <numFmt numFmtId="167" formatCode="&quot;Cash Flow, End of Year &quot;#"/>
    <numFmt numFmtId="168" formatCode="0.000%"/>
    <numFmt numFmtId="169" formatCode="_(* #,##0.0000_);_(* \(#,##0.0000\);_(* &quot;-&quot;??_);_(@_)"/>
    <numFmt numFmtId="170" formatCode="0.0%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color indexed="8"/>
      <name val="Geneva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12"/>
      <name val="Arial"/>
      <family val="2"/>
    </font>
    <font>
      <sz val="10"/>
      <color indexed="12"/>
      <name val="Geneva"/>
    </font>
    <font>
      <sz val="10"/>
      <color indexed="9"/>
      <name val="Genev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222222"/>
      <name val="Roboto"/>
    </font>
    <font>
      <b/>
      <sz val="12"/>
      <color rgb="FF222222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68">
    <xf numFmtId="0" fontId="0" fillId="0" borderId="0" xfId="0"/>
    <xf numFmtId="37" fontId="3" fillId="0" borderId="1" xfId="1" applyNumberFormat="1" applyFont="1" applyBorder="1" applyProtection="1">
      <protection locked="0"/>
    </xf>
    <xf numFmtId="0" fontId="4" fillId="0" borderId="0" xfId="0" applyFont="1"/>
    <xf numFmtId="10" fontId="4" fillId="0" borderId="0" xfId="0" applyNumberFormat="1" applyFont="1" applyAlignment="1">
      <alignment horizontal="right"/>
    </xf>
    <xf numFmtId="9" fontId="0" fillId="0" borderId="0" xfId="2" applyFont="1"/>
    <xf numFmtId="0" fontId="2" fillId="0" borderId="0" xfId="0" applyFont="1"/>
    <xf numFmtId="8" fontId="0" fillId="0" borderId="0" xfId="0" applyNumberFormat="1"/>
    <xf numFmtId="8" fontId="2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  <xf numFmtId="9" fontId="0" fillId="2" borderId="0" xfId="2" applyFont="1" applyFill="1"/>
    <xf numFmtId="10" fontId="0" fillId="2" borderId="0" xfId="2" applyNumberFormat="1" applyFont="1" applyFill="1"/>
    <xf numFmtId="43" fontId="0" fillId="0" borderId="0" xfId="1" applyFont="1"/>
    <xf numFmtId="43" fontId="2" fillId="0" borderId="0" xfId="1" applyFont="1"/>
    <xf numFmtId="165" fontId="0" fillId="2" borderId="0" xfId="1" applyNumberFormat="1" applyFont="1" applyFill="1"/>
    <xf numFmtId="165" fontId="2" fillId="0" borderId="0" xfId="1" applyNumberFormat="1" applyFont="1"/>
    <xf numFmtId="0" fontId="6" fillId="0" borderId="0" xfId="3" applyNumberFormat="1" applyFont="1" applyFill="1" applyBorder="1" applyAlignment="1" applyProtection="1"/>
    <xf numFmtId="0" fontId="7" fillId="0" borderId="0" xfId="3" applyNumberFormat="1" applyFont="1" applyFill="1" applyBorder="1" applyAlignment="1" applyProtection="1"/>
    <xf numFmtId="0" fontId="6" fillId="0" borderId="0" xfId="3" applyFont="1"/>
    <xf numFmtId="0" fontId="5" fillId="0" borderId="0" xfId="3" applyProtection="1"/>
    <xf numFmtId="0" fontId="8" fillId="0" borderId="0" xfId="3" applyNumberFormat="1" applyFont="1" applyFill="1" applyBorder="1" applyAlignment="1" applyProtection="1"/>
    <xf numFmtId="0" fontId="7" fillId="0" borderId="0" xfId="3" applyNumberFormat="1" applyFont="1" applyFill="1" applyBorder="1" applyAlignment="1" applyProtection="1">
      <alignment vertical="center"/>
    </xf>
    <xf numFmtId="0" fontId="6" fillId="0" borderId="0" xfId="3" applyFont="1" applyProtection="1"/>
    <xf numFmtId="0" fontId="6" fillId="0" borderId="0" xfId="3" applyNumberFormat="1" applyFont="1" applyFill="1" applyBorder="1" applyAlignment="1" applyProtection="1">
      <alignment horizontal="right"/>
    </xf>
    <xf numFmtId="166" fontId="6" fillId="0" borderId="0" xfId="3" applyNumberFormat="1" applyFont="1" applyFill="1" applyBorder="1" applyAlignment="1" applyProtection="1"/>
    <xf numFmtId="0" fontId="10" fillId="0" borderId="0" xfId="3" applyFont="1" applyBorder="1" applyProtection="1"/>
    <xf numFmtId="14" fontId="11" fillId="0" borderId="2" xfId="3" applyNumberFormat="1" applyFont="1" applyBorder="1"/>
    <xf numFmtId="166" fontId="6" fillId="0" borderId="2" xfId="3" applyNumberFormat="1" applyFont="1" applyFill="1" applyBorder="1" applyAlignment="1" applyProtection="1"/>
    <xf numFmtId="0" fontId="6" fillId="0" borderId="2" xfId="3" applyNumberFormat="1" applyFont="1" applyFill="1" applyBorder="1" applyAlignment="1" applyProtection="1">
      <alignment horizontal="right"/>
    </xf>
    <xf numFmtId="14" fontId="6" fillId="0" borderId="2" xfId="3" applyNumberFormat="1" applyFont="1" applyFill="1" applyBorder="1" applyAlignment="1" applyProtection="1">
      <alignment horizontal="right"/>
      <protection locked="0"/>
    </xf>
    <xf numFmtId="0" fontId="7" fillId="0" borderId="0" xfId="3" applyNumberFormat="1" applyFont="1" applyFill="1" applyBorder="1" applyAlignment="1" applyProtection="1">
      <alignment horizontal="right"/>
    </xf>
    <xf numFmtId="4" fontId="6" fillId="0" borderId="0" xfId="3" applyNumberFormat="1" applyFont="1" applyFill="1" applyBorder="1" applyAlignment="1" applyProtection="1">
      <alignment horizontal="right"/>
    </xf>
    <xf numFmtId="0" fontId="7" fillId="0" borderId="3" xfId="3" applyNumberFormat="1" applyFont="1" applyFill="1" applyBorder="1" applyAlignment="1" applyProtection="1"/>
    <xf numFmtId="4" fontId="7" fillId="0" borderId="3" xfId="3" applyNumberFormat="1" applyFont="1" applyFill="1" applyBorder="1" applyAlignment="1" applyProtection="1">
      <alignment horizontal="right"/>
    </xf>
    <xf numFmtId="4" fontId="6" fillId="0" borderId="3" xfId="3" applyNumberFormat="1" applyFont="1" applyFill="1" applyBorder="1" applyAlignment="1" applyProtection="1">
      <alignment horizontal="right"/>
    </xf>
    <xf numFmtId="4" fontId="7" fillId="0" borderId="0" xfId="3" applyNumberFormat="1" applyFont="1" applyFill="1" applyBorder="1" applyAlignment="1" applyProtection="1">
      <alignment horizontal="right"/>
    </xf>
    <xf numFmtId="4" fontId="9" fillId="3" borderId="0" xfId="3" applyNumberFormat="1" applyFont="1" applyFill="1" applyBorder="1" applyAlignment="1" applyProtection="1">
      <protection locked="0"/>
    </xf>
    <xf numFmtId="0" fontId="9" fillId="2" borderId="0" xfId="3" applyNumberFormat="1" applyFont="1" applyFill="1" applyBorder="1" applyAlignment="1" applyProtection="1">
      <protection locked="0"/>
    </xf>
    <xf numFmtId="0" fontId="10" fillId="2" borderId="0" xfId="3" applyFont="1" applyFill="1" applyBorder="1" applyProtection="1">
      <protection locked="0"/>
    </xf>
    <xf numFmtId="43" fontId="0" fillId="0" borderId="0" xfId="1" applyFont="1" applyFill="1"/>
    <xf numFmtId="167" fontId="0" fillId="0" borderId="0" xfId="0" applyNumberFormat="1"/>
    <xf numFmtId="165" fontId="0" fillId="2" borderId="0" xfId="0" applyNumberFormat="1" applyFill="1"/>
    <xf numFmtId="0" fontId="0" fillId="6" borderId="0" xfId="0" applyFill="1"/>
    <xf numFmtId="0" fontId="0" fillId="0" borderId="0" xfId="0" applyFill="1"/>
    <xf numFmtId="168" fontId="0" fillId="0" borderId="0" xfId="2" applyNumberFormat="1" applyFont="1"/>
    <xf numFmtId="43" fontId="0" fillId="4" borderId="0" xfId="1" applyFont="1" applyFill="1" applyProtection="1"/>
    <xf numFmtId="2" fontId="0" fillId="0" borderId="0" xfId="0" applyNumberFormat="1" applyFill="1"/>
    <xf numFmtId="8" fontId="0" fillId="0" borderId="0" xfId="0" applyNumberFormat="1" applyFill="1"/>
    <xf numFmtId="2" fontId="0" fillId="0" borderId="0" xfId="0" applyNumberFormat="1"/>
    <xf numFmtId="9" fontId="0" fillId="0" borderId="0" xfId="2" applyNumberFormat="1" applyFont="1"/>
    <xf numFmtId="9" fontId="0" fillId="5" borderId="0" xfId="2" applyFont="1" applyFill="1"/>
    <xf numFmtId="165" fontId="0" fillId="0" borderId="0" xfId="1" applyNumberFormat="1" applyFont="1" applyFill="1"/>
    <xf numFmtId="43" fontId="0" fillId="0" borderId="0" xfId="0" applyNumberFormat="1" applyFill="1"/>
    <xf numFmtId="165" fontId="0" fillId="0" borderId="0" xfId="0" applyNumberFormat="1"/>
    <xf numFmtId="0" fontId="14" fillId="0" borderId="0" xfId="0" applyFont="1"/>
    <xf numFmtId="37" fontId="3" fillId="0" borderId="1" xfId="0" applyNumberFormat="1" applyFont="1" applyFill="1" applyBorder="1" applyProtection="1">
      <protection locked="0"/>
    </xf>
    <xf numFmtId="43" fontId="0" fillId="0" borderId="4" xfId="0" applyNumberFormat="1" applyBorder="1"/>
    <xf numFmtId="4" fontId="9" fillId="2" borderId="0" xfId="3" applyNumberFormat="1" applyFont="1" applyFill="1" applyBorder="1" applyAlignment="1" applyProtection="1">
      <protection locked="0"/>
    </xf>
    <xf numFmtId="43" fontId="0" fillId="0" borderId="0" xfId="0" applyNumberFormat="1"/>
    <xf numFmtId="43" fontId="2" fillId="0" borderId="0" xfId="0" applyNumberFormat="1" applyFont="1"/>
    <xf numFmtId="2" fontId="0" fillId="0" borderId="0" xfId="2" applyNumberFormat="1" applyFont="1"/>
    <xf numFmtId="170" fontId="0" fillId="0" borderId="0" xfId="2" applyNumberFormat="1" applyFont="1"/>
    <xf numFmtId="10" fontId="0" fillId="0" borderId="0" xfId="0" applyNumberFormat="1"/>
    <xf numFmtId="0" fontId="0" fillId="7" borderId="0" xfId="0" applyFill="1"/>
    <xf numFmtId="169" fontId="0" fillId="7" borderId="0" xfId="0" applyNumberFormat="1" applyFill="1"/>
    <xf numFmtId="0" fontId="2" fillId="7" borderId="0" xfId="0" applyFont="1" applyFill="1"/>
    <xf numFmtId="0" fontId="0" fillId="8" borderId="0" xfId="0" applyFill="1"/>
  </cellXfs>
  <cellStyles count="4">
    <cellStyle name="Comma" xfId="1" builtinId="3"/>
    <cellStyle name="Normal" xfId="0" builtinId="0"/>
    <cellStyle name="Normal_amort" xfId="3"/>
    <cellStyle name="Percent" xfId="2" builtinId="5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60"/>
  <sheetViews>
    <sheetView tabSelected="1" topLeftCell="B1" workbookViewId="0">
      <selection activeCell="H9" sqref="H9"/>
    </sheetView>
  </sheetViews>
  <sheetFormatPr defaultColWidth="9" defaultRowHeight="15"/>
  <cols>
    <col min="4" max="4" width="36.85546875" bestFit="1" customWidth="1"/>
    <col min="5" max="5" width="11.42578125" bestFit="1" customWidth="1"/>
    <col min="7" max="7" width="28.42578125" customWidth="1"/>
    <col min="8" max="8" width="12.42578125" bestFit="1" customWidth="1"/>
    <col min="9" max="9" width="5.42578125" customWidth="1"/>
    <col min="10" max="10" width="28.140625" customWidth="1"/>
    <col min="11" max="11" width="10.42578125" bestFit="1" customWidth="1"/>
    <col min="15" max="15" width="22.7109375" customWidth="1"/>
    <col min="16" max="16" width="18.28515625" bestFit="1" customWidth="1"/>
  </cols>
  <sheetData>
    <row r="1" spans="2:12">
      <c r="G1" s="64" t="s">
        <v>131</v>
      </c>
    </row>
    <row r="2" spans="2:12">
      <c r="D2" s="5" t="s">
        <v>11</v>
      </c>
      <c r="E2" s="50">
        <f>(H21)/E9</f>
        <v>5.4771952575027781E-2</v>
      </c>
      <c r="G2" t="s">
        <v>121</v>
      </c>
    </row>
    <row r="3" spans="2:12">
      <c r="D3" s="5" t="str">
        <f>D26</f>
        <v>Internal Rate of Return</v>
      </c>
      <c r="E3" s="4">
        <f>IF(E26="n/a",0,E26)</f>
        <v>8.897050007666496E-2</v>
      </c>
    </row>
    <row r="4" spans="2:12">
      <c r="D4" s="5" t="s">
        <v>30</v>
      </c>
      <c r="E4" s="50">
        <f>K18</f>
        <v>3.3425342719525769E-2</v>
      </c>
      <c r="J4" t="s">
        <v>136</v>
      </c>
    </row>
    <row r="5" spans="2:12">
      <c r="D5" s="5" t="s">
        <v>114</v>
      </c>
      <c r="E5" s="61">
        <f>E9/(H11*12)</f>
        <v>11.274018379281538</v>
      </c>
      <c r="F5" t="s">
        <v>115</v>
      </c>
    </row>
    <row r="6" spans="2:12">
      <c r="D6" s="5" t="s">
        <v>116</v>
      </c>
      <c r="E6" s="61">
        <f>E9/C8</f>
        <v>3.1752941176470588</v>
      </c>
      <c r="F6" t="s">
        <v>117</v>
      </c>
    </row>
    <row r="7" spans="2:12">
      <c r="D7" s="5" t="s">
        <v>118</v>
      </c>
      <c r="E7" s="62">
        <f>H11/(E9+K16)</f>
        <v>7.3916265283438315E-3</v>
      </c>
      <c r="F7" t="s">
        <v>119</v>
      </c>
    </row>
    <row r="8" spans="2:12">
      <c r="B8" t="s">
        <v>120</v>
      </c>
      <c r="C8">
        <v>85000</v>
      </c>
    </row>
    <row r="9" spans="2:12">
      <c r="D9" t="s">
        <v>52</v>
      </c>
      <c r="E9" s="15">
        <v>269900</v>
      </c>
      <c r="G9" t="s">
        <v>5</v>
      </c>
      <c r="H9" s="15">
        <f>795+1200</f>
        <v>1995</v>
      </c>
      <c r="J9" s="5" t="s">
        <v>30</v>
      </c>
    </row>
    <row r="10" spans="2:12">
      <c r="D10" t="s">
        <v>73</v>
      </c>
      <c r="E10" s="11">
        <v>0.15</v>
      </c>
      <c r="G10" t="s">
        <v>6</v>
      </c>
      <c r="H10" s="10">
        <v>1</v>
      </c>
      <c r="J10" t="s">
        <v>14</v>
      </c>
      <c r="K10" s="13">
        <f>H21</f>
        <v>14782.949999999999</v>
      </c>
    </row>
    <row r="11" spans="2:12">
      <c r="B11" s="64"/>
      <c r="C11" s="67" t="s">
        <v>135</v>
      </c>
      <c r="D11" t="s">
        <v>2</v>
      </c>
      <c r="E11" s="52">
        <f>E9*E10</f>
        <v>40485</v>
      </c>
      <c r="G11" s="5" t="s">
        <v>4</v>
      </c>
      <c r="H11" s="16">
        <f>H9*H10</f>
        <v>1995</v>
      </c>
      <c r="J11" s="8" t="s">
        <v>32</v>
      </c>
      <c r="K11" s="40">
        <f>E14*12</f>
        <v>13159.079999999998</v>
      </c>
    </row>
    <row r="12" spans="2:12" ht="15.75" thickBot="1">
      <c r="B12" s="64"/>
      <c r="D12" t="s">
        <v>104</v>
      </c>
      <c r="E12" s="57">
        <f>K17</f>
        <v>48582</v>
      </c>
      <c r="J12" t="s">
        <v>33</v>
      </c>
      <c r="K12" s="13">
        <f>K10-K11</f>
        <v>1623.8700000000008</v>
      </c>
    </row>
    <row r="13" spans="2:12" ht="16.5" thickTop="1">
      <c r="B13" s="64"/>
      <c r="D13" t="s">
        <v>3</v>
      </c>
      <c r="E13" s="42">
        <f>E9-E11</f>
        <v>229415</v>
      </c>
      <c r="G13" t="s">
        <v>7</v>
      </c>
      <c r="H13" s="11">
        <v>0.05</v>
      </c>
      <c r="J13" t="s">
        <v>100</v>
      </c>
      <c r="K13" s="11">
        <v>0.03</v>
      </c>
      <c r="L13" s="55" t="s">
        <v>103</v>
      </c>
    </row>
    <row r="14" spans="2:12">
      <c r="B14" s="64"/>
      <c r="D14" t="s">
        <v>31</v>
      </c>
      <c r="E14" s="46">
        <f>'Loan Amortization Schedule'!C7</f>
        <v>1096.5899999999999</v>
      </c>
      <c r="G14" t="s">
        <v>9</v>
      </c>
      <c r="H14" s="11">
        <v>0.35</v>
      </c>
      <c r="J14" t="s">
        <v>101</v>
      </c>
      <c r="K14" s="54">
        <f>K13*E9</f>
        <v>8097</v>
      </c>
    </row>
    <row r="15" spans="2:12">
      <c r="B15" s="64"/>
      <c r="D15" t="s">
        <v>22</v>
      </c>
      <c r="E15" s="12">
        <v>4.0099999999999997E-2</v>
      </c>
      <c r="J15" t="s">
        <v>2</v>
      </c>
      <c r="K15" s="54">
        <f>E11</f>
        <v>40485</v>
      </c>
    </row>
    <row r="16" spans="2:12">
      <c r="B16" s="65"/>
      <c r="D16" t="s">
        <v>67</v>
      </c>
      <c r="E16" s="45">
        <v>9.4900000000000002E-3</v>
      </c>
      <c r="G16" t="s">
        <v>8</v>
      </c>
      <c r="H16" s="13">
        <f>H11*H13</f>
        <v>99.75</v>
      </c>
      <c r="J16" t="s">
        <v>102</v>
      </c>
      <c r="K16" s="10">
        <v>0</v>
      </c>
    </row>
    <row r="17" spans="2:16">
      <c r="B17" s="64"/>
      <c r="D17" t="s">
        <v>68</v>
      </c>
      <c r="E17" s="49">
        <f>(E9*E16)/12</f>
        <v>213.44591666666668</v>
      </c>
      <c r="G17" t="s">
        <v>12</v>
      </c>
      <c r="H17" s="13">
        <f>H11-H16</f>
        <v>1895.25</v>
      </c>
      <c r="J17" s="44" t="s">
        <v>34</v>
      </c>
      <c r="K17" s="40">
        <f>K14+K15+K16</f>
        <v>48582</v>
      </c>
      <c r="L17" t="s">
        <v>53</v>
      </c>
    </row>
    <row r="18" spans="2:16">
      <c r="B18" s="64"/>
      <c r="D18" t="s">
        <v>71</v>
      </c>
      <c r="E18" s="43">
        <v>65</v>
      </c>
      <c r="G18" t="s">
        <v>9</v>
      </c>
      <c r="H18" s="40">
        <f>H17*H14</f>
        <v>663.33749999999998</v>
      </c>
      <c r="J18" t="s">
        <v>30</v>
      </c>
      <c r="K18" s="4">
        <f>K12/K17</f>
        <v>3.3425342719525769E-2</v>
      </c>
    </row>
    <row r="19" spans="2:16">
      <c r="B19" s="64"/>
      <c r="D19" t="s">
        <v>69</v>
      </c>
      <c r="E19" s="12">
        <v>7.9000000000000008E-3</v>
      </c>
      <c r="G19" t="s">
        <v>10</v>
      </c>
      <c r="H19" s="13">
        <f>H18+H16</f>
        <v>763.08749999999998</v>
      </c>
    </row>
    <row r="20" spans="2:16">
      <c r="D20" t="s">
        <v>70</v>
      </c>
      <c r="E20" s="47">
        <f>IF(E10&gt;0.19, 0, (E13*E19)/12)</f>
        <v>151.0315416666667</v>
      </c>
      <c r="G20" s="5" t="s">
        <v>13</v>
      </c>
      <c r="H20" s="14">
        <f>H11-H19</f>
        <v>1231.9124999999999</v>
      </c>
    </row>
    <row r="21" spans="2:16">
      <c r="D21" t="s">
        <v>72</v>
      </c>
      <c r="E21" s="53">
        <f>E14+E17+E18+E20</f>
        <v>1526.0674583333334</v>
      </c>
      <c r="G21" t="s">
        <v>14</v>
      </c>
      <c r="H21" s="13">
        <f>H20*12</f>
        <v>14782.949999999999</v>
      </c>
    </row>
    <row r="22" spans="2:16">
      <c r="H22" s="13"/>
      <c r="J22" t="s">
        <v>76</v>
      </c>
    </row>
    <row r="23" spans="2:16">
      <c r="E23" s="44"/>
      <c r="G23" t="s">
        <v>15</v>
      </c>
      <c r="H23" s="40">
        <f>E21</f>
        <v>1526.0674583333334</v>
      </c>
      <c r="J23" t="s">
        <v>77</v>
      </c>
    </row>
    <row r="24" spans="2:16">
      <c r="D24" t="s">
        <v>66</v>
      </c>
      <c r="E24" s="10">
        <v>8</v>
      </c>
      <c r="G24" s="5" t="s">
        <v>16</v>
      </c>
      <c r="H24" s="14">
        <f>H23*12</f>
        <v>18312.809500000003</v>
      </c>
      <c r="O24" s="64"/>
      <c r="P24" s="64"/>
    </row>
    <row r="25" spans="2:16">
      <c r="J25" t="s">
        <v>78</v>
      </c>
      <c r="O25" s="5" t="s">
        <v>126</v>
      </c>
    </row>
    <row r="26" spans="2:16">
      <c r="D26" s="2" t="s">
        <v>1</v>
      </c>
      <c r="E26" s="3">
        <f>IF(ISERROR(IRR((E30:E60))),"n/a",IRR((E30:E60)))</f>
        <v>8.897050007666496E-2</v>
      </c>
      <c r="G26" s="5" t="s">
        <v>17</v>
      </c>
      <c r="H26" s="14">
        <f>H21-H24</f>
        <v>-3529.8595000000041</v>
      </c>
      <c r="O26" t="s">
        <v>122</v>
      </c>
      <c r="P26" s="10">
        <v>85000</v>
      </c>
    </row>
    <row r="27" spans="2:16">
      <c r="D27" t="s">
        <v>29</v>
      </c>
      <c r="O27" t="s">
        <v>123</v>
      </c>
      <c r="P27">
        <f>P26*0.28</f>
        <v>23800.000000000004</v>
      </c>
    </row>
    <row r="28" spans="2:16">
      <c r="B28" s="5"/>
      <c r="D28" t="s">
        <v>35</v>
      </c>
      <c r="G28" s="66" t="s">
        <v>20</v>
      </c>
      <c r="J28" t="s">
        <v>79</v>
      </c>
      <c r="O28" t="s">
        <v>129</v>
      </c>
      <c r="P28">
        <f>P26*0.08</f>
        <v>6800</v>
      </c>
    </row>
    <row r="29" spans="2:16">
      <c r="B29" s="44"/>
      <c r="G29" t="s">
        <v>21</v>
      </c>
      <c r="H29" s="40">
        <f>E9*(-1)</f>
        <v>-269900</v>
      </c>
      <c r="O29" t="s">
        <v>133</v>
      </c>
      <c r="P29" s="13">
        <f>P27/12</f>
        <v>1983.3333333333337</v>
      </c>
    </row>
    <row r="30" spans="2:16">
      <c r="B30" s="44"/>
      <c r="C30" s="44"/>
      <c r="D30" t="s">
        <v>0</v>
      </c>
      <c r="E30" s="56">
        <f>K17*(-1)</f>
        <v>-48582</v>
      </c>
      <c r="G30" t="s">
        <v>22</v>
      </c>
      <c r="H30" s="12">
        <v>3.5000000000000003E-2</v>
      </c>
      <c r="O30" t="s">
        <v>105</v>
      </c>
      <c r="P30" s="59">
        <f>P27*E16</f>
        <v>225.86200000000005</v>
      </c>
    </row>
    <row r="31" spans="2:16">
      <c r="B31" s="44"/>
      <c r="C31" s="44"/>
      <c r="D31" s="41">
        <v>1</v>
      </c>
      <c r="E31" s="1">
        <f t="shared" ref="E31:E60" si="0">IF(D31&lt;$E$24, $H$26, IF(D31=$E$24, $H$26+$H$45, 0))</f>
        <v>-3529.8595000000041</v>
      </c>
      <c r="G31" t="s">
        <v>23</v>
      </c>
      <c r="H31" s="44">
        <f>E24</f>
        <v>8</v>
      </c>
      <c r="J31" t="s">
        <v>105</v>
      </c>
      <c r="O31" t="s">
        <v>132</v>
      </c>
      <c r="P31">
        <v>65</v>
      </c>
    </row>
    <row r="32" spans="2:16">
      <c r="B32" s="44"/>
      <c r="C32" s="44"/>
      <c r="D32" s="41">
        <v>2</v>
      </c>
      <c r="E32" s="1">
        <f t="shared" si="0"/>
        <v>-3529.8595000000041</v>
      </c>
      <c r="G32" t="s">
        <v>24</v>
      </c>
      <c r="H32" s="7">
        <f>FV(H30,H31,,H29)</f>
        <v>355406.75907642243</v>
      </c>
      <c r="O32" t="s">
        <v>127</v>
      </c>
      <c r="P32">
        <f>P27*E19</f>
        <v>188.02000000000004</v>
      </c>
    </row>
    <row r="33" spans="2:16">
      <c r="B33" s="44"/>
      <c r="C33" s="44"/>
      <c r="D33" s="41">
        <v>3</v>
      </c>
      <c r="E33" s="1">
        <f t="shared" si="0"/>
        <v>-3529.8595000000041</v>
      </c>
      <c r="J33" s="5" t="s">
        <v>106</v>
      </c>
      <c r="O33" t="s">
        <v>134</v>
      </c>
      <c r="P33" s="59">
        <f>P29-SUM(P30:P32)</f>
        <v>1504.4513333333337</v>
      </c>
    </row>
    <row r="34" spans="2:16">
      <c r="B34" s="44"/>
      <c r="C34" s="44"/>
      <c r="D34" s="41">
        <v>4</v>
      </c>
      <c r="E34" s="1">
        <f t="shared" si="0"/>
        <v>-3529.8595000000041</v>
      </c>
      <c r="G34" s="5" t="s">
        <v>107</v>
      </c>
      <c r="H34" s="15"/>
      <c r="J34" t="s">
        <v>109</v>
      </c>
      <c r="K34" s="51">
        <v>0.85</v>
      </c>
    </row>
    <row r="35" spans="2:16">
      <c r="B35" s="44"/>
      <c r="C35" s="44"/>
      <c r="D35" s="41">
        <v>5</v>
      </c>
      <c r="E35" s="1">
        <f t="shared" si="0"/>
        <v>-3529.8595000000041</v>
      </c>
      <c r="J35" t="s">
        <v>111</v>
      </c>
      <c r="K35" s="54">
        <f>K34*E9</f>
        <v>229415</v>
      </c>
      <c r="O35" t="s">
        <v>128</v>
      </c>
    </row>
    <row r="36" spans="2:16">
      <c r="B36" s="44"/>
      <c r="C36" s="44"/>
      <c r="D36" s="41">
        <v>6</v>
      </c>
      <c r="E36" s="1">
        <f t="shared" si="0"/>
        <v>-3529.8595000000041</v>
      </c>
      <c r="G36" s="5" t="s">
        <v>18</v>
      </c>
      <c r="J36" t="s">
        <v>110</v>
      </c>
      <c r="K36">
        <v>27.5</v>
      </c>
      <c r="O36" t="s">
        <v>124</v>
      </c>
      <c r="P36">
        <v>30</v>
      </c>
    </row>
    <row r="37" spans="2:16">
      <c r="B37" s="44"/>
      <c r="C37" s="44"/>
      <c r="D37" s="41">
        <v>7</v>
      </c>
      <c r="E37" s="1">
        <f t="shared" si="0"/>
        <v>-3529.8595000000041</v>
      </c>
      <c r="G37" t="s">
        <v>19</v>
      </c>
      <c r="H37" s="13">
        <f>VLOOKUP(E24,'Loan Amortization Schedule'!A23:E474,5, FALSE)</f>
        <v>192140.71000000011</v>
      </c>
      <c r="J37" t="s">
        <v>112</v>
      </c>
      <c r="K37" s="59">
        <f>K35/K36</f>
        <v>8342.363636363636</v>
      </c>
      <c r="O37" t="s">
        <v>125</v>
      </c>
      <c r="P37" s="63">
        <f>E15</f>
        <v>4.0099999999999997E-2</v>
      </c>
    </row>
    <row r="38" spans="2:16">
      <c r="B38" s="44"/>
      <c r="C38" s="44"/>
      <c r="D38" s="41">
        <v>8</v>
      </c>
      <c r="E38" s="1">
        <f t="shared" si="0"/>
        <v>131327.85694107277</v>
      </c>
      <c r="J38" s="5" t="s">
        <v>113</v>
      </c>
      <c r="K38" s="60">
        <f>K37/12</f>
        <v>695.19696969696963</v>
      </c>
      <c r="O38" t="s">
        <v>130</v>
      </c>
      <c r="P38" s="6">
        <f>PV(P37,P36,-P33*12,,1)</f>
        <v>324304.82138565136</v>
      </c>
    </row>
    <row r="39" spans="2:16">
      <c r="B39" s="44"/>
      <c r="D39" s="41">
        <v>9</v>
      </c>
      <c r="E39" s="1">
        <f t="shared" si="0"/>
        <v>0</v>
      </c>
      <c r="G39" s="5" t="s">
        <v>25</v>
      </c>
    </row>
    <row r="40" spans="2:16">
      <c r="B40" s="44"/>
      <c r="D40" s="41">
        <v>10</v>
      </c>
      <c r="E40" s="1">
        <f t="shared" si="0"/>
        <v>0</v>
      </c>
      <c r="G40" t="s">
        <v>26</v>
      </c>
      <c r="H40" s="48">
        <f>IF(H34&gt;0, H34, H32)</f>
        <v>355406.75907642243</v>
      </c>
      <c r="J40" t="s">
        <v>108</v>
      </c>
    </row>
    <row r="41" spans="2:16">
      <c r="D41" s="41">
        <v>11</v>
      </c>
      <c r="E41" s="1">
        <f t="shared" si="0"/>
        <v>0</v>
      </c>
      <c r="G41" t="s">
        <v>27</v>
      </c>
      <c r="H41" s="40">
        <f>H37</f>
        <v>192140.71000000011</v>
      </c>
    </row>
    <row r="42" spans="2:16">
      <c r="D42" s="41">
        <v>12</v>
      </c>
      <c r="E42" s="1">
        <f t="shared" si="0"/>
        <v>0</v>
      </c>
      <c r="G42" t="s">
        <v>74</v>
      </c>
      <c r="H42" s="51">
        <v>7.0000000000000007E-2</v>
      </c>
    </row>
    <row r="43" spans="2:16">
      <c r="D43" s="41">
        <v>13</v>
      </c>
      <c r="E43" s="1">
        <f t="shared" si="0"/>
        <v>0</v>
      </c>
      <c r="G43" t="s">
        <v>75</v>
      </c>
      <c r="H43" s="6">
        <f>H40*H42</f>
        <v>24878.473135349574</v>
      </c>
    </row>
    <row r="44" spans="2:16">
      <c r="D44" s="41">
        <v>14</v>
      </c>
      <c r="E44" s="1">
        <f t="shared" si="0"/>
        <v>0</v>
      </c>
      <c r="G44" t="s">
        <v>28</v>
      </c>
      <c r="H44" s="40">
        <f>H26</f>
        <v>-3529.8595000000041</v>
      </c>
    </row>
    <row r="45" spans="2:16">
      <c r="D45" s="41">
        <v>15</v>
      </c>
      <c r="E45" s="1">
        <f t="shared" si="0"/>
        <v>0</v>
      </c>
      <c r="G45" s="5" t="s">
        <v>25</v>
      </c>
      <c r="H45" s="7">
        <f>H40-H41+H44-H43</f>
        <v>134857.71644107276</v>
      </c>
    </row>
    <row r="46" spans="2:16">
      <c r="D46" s="41">
        <v>16</v>
      </c>
      <c r="E46" s="1">
        <f t="shared" si="0"/>
        <v>0</v>
      </c>
    </row>
    <row r="47" spans="2:16">
      <c r="D47" s="41">
        <v>17</v>
      </c>
      <c r="E47" s="1">
        <f t="shared" si="0"/>
        <v>0</v>
      </c>
    </row>
    <row r="48" spans="2:16">
      <c r="D48" s="41">
        <v>18</v>
      </c>
      <c r="E48" s="1">
        <f t="shared" si="0"/>
        <v>0</v>
      </c>
    </row>
    <row r="49" spans="4:5">
      <c r="D49" s="41">
        <v>19</v>
      </c>
      <c r="E49" s="1">
        <f t="shared" si="0"/>
        <v>0</v>
      </c>
    </row>
    <row r="50" spans="4:5">
      <c r="D50" s="41">
        <v>20</v>
      </c>
      <c r="E50" s="1">
        <f t="shared" si="0"/>
        <v>0</v>
      </c>
    </row>
    <row r="51" spans="4:5">
      <c r="D51" s="41">
        <v>21</v>
      </c>
      <c r="E51" s="1">
        <f t="shared" si="0"/>
        <v>0</v>
      </c>
    </row>
    <row r="52" spans="4:5">
      <c r="D52" s="41">
        <v>22</v>
      </c>
      <c r="E52" s="1">
        <f t="shared" si="0"/>
        <v>0</v>
      </c>
    </row>
    <row r="53" spans="4:5">
      <c r="D53" s="41">
        <v>23</v>
      </c>
      <c r="E53" s="1">
        <f t="shared" si="0"/>
        <v>0</v>
      </c>
    </row>
    <row r="54" spans="4:5">
      <c r="D54" s="41">
        <v>24</v>
      </c>
      <c r="E54" s="1">
        <f t="shared" si="0"/>
        <v>0</v>
      </c>
    </row>
    <row r="55" spans="4:5">
      <c r="D55" s="41">
        <v>25</v>
      </c>
      <c r="E55" s="1">
        <f t="shared" si="0"/>
        <v>0</v>
      </c>
    </row>
    <row r="56" spans="4:5">
      <c r="D56" s="41">
        <v>26</v>
      </c>
      <c r="E56" s="1">
        <f t="shared" si="0"/>
        <v>0</v>
      </c>
    </row>
    <row r="57" spans="4:5">
      <c r="D57" s="41">
        <v>27</v>
      </c>
      <c r="E57" s="1">
        <f t="shared" si="0"/>
        <v>0</v>
      </c>
    </row>
    <row r="58" spans="4:5">
      <c r="D58" s="41">
        <v>28</v>
      </c>
      <c r="E58" s="1">
        <f t="shared" si="0"/>
        <v>0</v>
      </c>
    </row>
    <row r="59" spans="4:5">
      <c r="D59" s="41">
        <v>29</v>
      </c>
      <c r="E59" s="1">
        <f t="shared" si="0"/>
        <v>0</v>
      </c>
    </row>
    <row r="60" spans="4:5">
      <c r="D60" s="41">
        <v>30</v>
      </c>
      <c r="E60" s="1">
        <f t="shared" si="0"/>
        <v>0</v>
      </c>
    </row>
  </sheetData>
  <scenarios current="0">
    <scenario name="Max - Just Sell Year" count="1" user="Andrew Prawl" comment="Created by Andrew Prawl on 12/2/2016">
      <inputCells r="E24" val="9"/>
    </scenario>
  </scenarios>
  <conditionalFormatting sqref="E2">
    <cfRule type="cellIs" dxfId="13" priority="10" operator="lessThan">
      <formula>0.079</formula>
    </cfRule>
    <cfRule type="cellIs" dxfId="12" priority="14" operator="greaterThan">
      <formula>0.079</formula>
    </cfRule>
    <cfRule type="cellIs" dxfId="11" priority="22" operator="lessThan">
      <formula>0.05</formula>
    </cfRule>
    <cfRule type="cellIs" dxfId="10" priority="24" operator="greaterThan">
      <formula>0.08</formula>
    </cfRule>
  </conditionalFormatting>
  <conditionalFormatting sqref="E4">
    <cfRule type="cellIs" dxfId="9" priority="11" operator="lessThan">
      <formula>0.119</formula>
    </cfRule>
    <cfRule type="cellIs" dxfId="8" priority="12" operator="greaterThan">
      <formula>11.9</formula>
    </cfRule>
    <cfRule type="cellIs" dxfId="7" priority="21" operator="lessThan">
      <formula>0.1</formula>
    </cfRule>
    <cfRule type="cellIs" dxfId="6" priority="23" operator="greaterThan">
      <formula>0.12</formula>
    </cfRule>
  </conditionalFormatting>
  <conditionalFormatting sqref="E7">
    <cfRule type="cellIs" dxfId="5" priority="17" operator="greaterThan">
      <formula>0.02</formula>
    </cfRule>
    <cfRule type="cellIs" dxfId="4" priority="18" operator="greaterThan">
      <formula>0.01</formula>
    </cfRule>
  </conditionalFormatting>
  <conditionalFormatting sqref="E5">
    <cfRule type="cellIs" dxfId="3" priority="15" operator="greaterThan">
      <formula>15</formula>
    </cfRule>
    <cfRule type="cellIs" dxfId="2" priority="16" operator="lessThan">
      <formula>15.1</formula>
    </cfRule>
  </conditionalFormatting>
  <conditionalFormatting sqref="E3">
    <cfRule type="cellIs" dxfId="1" priority="1" operator="lessThan">
      <formula>0.0999</formula>
    </cfRule>
    <cfRule type="cellIs" dxfId="0" priority="2" operator="greaterThan">
      <formula>0.0999</formula>
    </cfRule>
  </conditionalFormatting>
  <dataValidations count="1">
    <dataValidation type="decimal" operator="lessThanOrEqual" allowBlank="1" showInputMessage="1" showErrorMessage="1" errorTitle="Initial Investment" error="Please enter the initial investment as a negative number." sqref="E30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5"/>
  <sheetViews>
    <sheetView workbookViewId="0">
      <selection activeCell="E6" sqref="E6"/>
    </sheetView>
  </sheetViews>
  <sheetFormatPr defaultColWidth="9" defaultRowHeight="15"/>
  <cols>
    <col min="1" max="1" width="3" bestFit="1" customWidth="1"/>
    <col min="2" max="2" width="16.140625" bestFit="1" customWidth="1"/>
    <col min="3" max="3" width="13.140625" customWidth="1"/>
    <col min="4" max="4" width="15.140625" bestFit="1" customWidth="1"/>
    <col min="5" max="5" width="10.140625" bestFit="1" customWidth="1"/>
  </cols>
  <sheetData>
    <row r="1" spans="2:5">
      <c r="B1" s="17"/>
      <c r="C1" s="17"/>
      <c r="D1" s="17"/>
      <c r="E1" s="17"/>
    </row>
    <row r="2" spans="2:5">
      <c r="B2" s="17"/>
      <c r="C2" s="18" t="s">
        <v>54</v>
      </c>
      <c r="D2" s="17"/>
      <c r="E2" s="19"/>
    </row>
    <row r="3" spans="2:5">
      <c r="B3" s="20"/>
      <c r="C3" s="21" t="s">
        <v>55</v>
      </c>
      <c r="D3" s="20"/>
      <c r="E3" s="17"/>
    </row>
    <row r="4" spans="2:5">
      <c r="B4" s="22" t="s">
        <v>56</v>
      </c>
      <c r="C4" s="23"/>
      <c r="D4" s="23"/>
      <c r="E4" s="23"/>
    </row>
    <row r="5" spans="2:5">
      <c r="B5" s="24" t="s">
        <v>57</v>
      </c>
      <c r="C5" s="37">
        <f>Sheet1!E13</f>
        <v>229415</v>
      </c>
      <c r="D5" s="24" t="s">
        <v>58</v>
      </c>
      <c r="E5" s="58">
        <f>(Sheet1!E15)*100</f>
        <v>4.01</v>
      </c>
    </row>
    <row r="6" spans="2:5">
      <c r="B6" s="24" t="s">
        <v>59</v>
      </c>
      <c r="C6" s="38">
        <v>360</v>
      </c>
      <c r="D6" s="24" t="s">
        <v>60</v>
      </c>
      <c r="E6" s="39">
        <v>1</v>
      </c>
    </row>
    <row r="7" spans="2:5">
      <c r="B7" s="24" t="s">
        <v>61</v>
      </c>
      <c r="C7" s="25">
        <f>IF(OR(C6=0,E5=0),0,ROUND($C$5*(($E$5/1200)*(1+($E$5/1200))^$C$6)/((1+($E$5/1200))^$C$6-1),2))</f>
        <v>1096.5899999999999</v>
      </c>
      <c r="D7" s="24" t="s">
        <v>62</v>
      </c>
      <c r="E7" s="39">
        <v>2016</v>
      </c>
    </row>
    <row r="8" spans="2:5">
      <c r="B8" s="24"/>
      <c r="C8" s="25"/>
      <c r="D8" s="24"/>
      <c r="E8" s="26"/>
    </row>
    <row r="9" spans="2:5">
      <c r="B9" s="24"/>
      <c r="C9" s="25"/>
      <c r="D9" s="24"/>
      <c r="E9" s="26"/>
    </row>
    <row r="10" spans="2:5">
      <c r="B10" s="27">
        <f>DATE(E7,E6,1)</f>
        <v>42370</v>
      </c>
      <c r="C10" s="28"/>
      <c r="D10" s="29"/>
      <c r="E10" s="30"/>
    </row>
    <row r="11" spans="2:5">
      <c r="B11" s="23"/>
      <c r="C11" s="23"/>
      <c r="D11" s="23"/>
      <c r="E11" s="23"/>
    </row>
    <row r="12" spans="2:5">
      <c r="B12" s="23"/>
      <c r="C12" s="31" t="s">
        <v>63</v>
      </c>
      <c r="D12" s="31" t="s">
        <v>64</v>
      </c>
      <c r="E12" s="31" t="s">
        <v>65</v>
      </c>
    </row>
    <row r="13" spans="2:5">
      <c r="B13" s="17" t="str">
        <f>IF(MONTH($B$10)&gt;1,"",IF(MONTH($B$10)=1,"January",""))</f>
        <v>January</v>
      </c>
      <c r="C13" s="32">
        <f>IF(MONTH($B$10)&gt;1,"",IF(MONTH($B$10)=1,ROUND($C$5*($E$5/1200),2),0))</f>
        <v>766.63</v>
      </c>
      <c r="D13" s="32">
        <f>IF(MONTH($B$10)&gt;1,"",IF(MONTH($B$10)=1,$C$7-C13,0))</f>
        <v>329.95999999999992</v>
      </c>
      <c r="E13" s="32">
        <f>IF(MONTH($B$10)&gt;1,"",IF(MONTH($B$10)=1,$C$5-D13,0))</f>
        <v>229085.04</v>
      </c>
    </row>
    <row r="14" spans="2:5">
      <c r="B14" s="17" t="str">
        <f>IF(MONTH($B$10)&gt;2,"",IF(MONTH($B$10)=2,"February",IF(E13&gt;0.005,"February","")))</f>
        <v>February</v>
      </c>
      <c r="C14" s="32">
        <f>IF(MONTH($B$10)&gt;2,"",IF(MONTH($B$10)=2,ROUND($C$5*($E$5/1200),2),IF(E13&gt;0,ROUND(E13*($E$5/1200),2),0)))</f>
        <v>765.53</v>
      </c>
      <c r="D14" s="32">
        <f>IF(MONTH($B$10)&gt;2,"",IF(MONTH($B$10)=2,$C$7-C14,IF(E13&lt;$C$7,E13,$C$7-C14)))</f>
        <v>331.05999999999995</v>
      </c>
      <c r="E14" s="32">
        <f>IF(MONTH($B$10)&gt;2,"",IF(MONTH($B$10)=2,$C$5-D14,IF(E13-D14&gt;0,E13-D14,0)))</f>
        <v>228753.98</v>
      </c>
    </row>
    <row r="15" spans="2:5">
      <c r="B15" s="17" t="str">
        <f>IF(MONTH($B$10)&gt;3,"",IF(MONTH($B$10)=3,"March",IF(E14&gt;0.005,"March","")))</f>
        <v>March</v>
      </c>
      <c r="C15" s="32">
        <f>IF(MONTH($B$10)&gt;3,"",IF(MONTH($B$10)=3,ROUND($C$5*($E$5/1200),2),IF(E14&gt;0,ROUND(E14*($E$5/1200),2),0)))</f>
        <v>764.42</v>
      </c>
      <c r="D15" s="32">
        <f>IF(MONTH($B$10)&gt;3,"",IF(MONTH($B$10)=3,$C$7-C15,IF(E14&lt;$C$7,E14,$C$7-C15)))</f>
        <v>332.16999999999996</v>
      </c>
      <c r="E15" s="32">
        <f>IF(MONTH($B$10)&gt;3,"",IF(MONTH($B$10)=3,$C$5-D15,IF(E14-D15&gt;0,E14-D15,0)))</f>
        <v>228421.81</v>
      </c>
    </row>
    <row r="16" spans="2:5">
      <c r="B16" s="17" t="str">
        <f>IF(MONTH($B$10)&gt;4,"",IF(MONTH($B$10)=4,"April",IF(E15&gt;0.005,"April","")))</f>
        <v>April</v>
      </c>
      <c r="C16" s="32">
        <f>IF(MONTH($B$10)&gt;4,"",IF(MONTH($B$10)=4,ROUND($C$5*($E$5/1200),2),IF(E15&gt;0,ROUND(E15*($E$5/1200),2),0)))</f>
        <v>763.31</v>
      </c>
      <c r="D16" s="32">
        <f>IF(MONTH($B$10)&gt;4,"",IF(MONTH($B$10)=4,$C$7-C16,IF(E15&lt;$C$7,E15,$C$7-C16)))</f>
        <v>333.28</v>
      </c>
      <c r="E16" s="32">
        <f>IF(MONTH($B$10)&gt;4,"",IF(MONTH($B$10)=4,$C$5-D16,IF(E15-D16&gt;0,E15-D16,0)))</f>
        <v>228088.53</v>
      </c>
    </row>
    <row r="17" spans="1:5">
      <c r="B17" s="17" t="str">
        <f>IF(MONTH($B$10)&gt;5,"",IF(MONTH($B$10)=5,"May",IF(E16&gt;0.005,"May","")))</f>
        <v>May</v>
      </c>
      <c r="C17" s="32">
        <f>IF(MONTH($B$10)&gt;5,"",IF(MONTH($B$10)=5,ROUND($C$5*($E$5/1200),2),IF(E16&gt;0,ROUND(E16*($E$5/1200),2),0)))</f>
        <v>762.2</v>
      </c>
      <c r="D17" s="32">
        <f>IF(MONTH($B$10)&gt;5,"",IF(MONTH($B$10)=5,$C$7-C17,IF(E16&lt;$C$7,E16,$C$7-C17)))</f>
        <v>334.38999999999987</v>
      </c>
      <c r="E17" s="32">
        <f>IF(MONTH($B$10)&gt;5,"",IF(MONTH($B$10)=5,$C$5-D17,IF(E16-D17&gt;0,E16-D17,0)))</f>
        <v>227754.13999999998</v>
      </c>
    </row>
    <row r="18" spans="1:5">
      <c r="B18" s="17" t="str">
        <f>IF(MONTH($B$10)&gt;6,"",IF(MONTH($B$10)=6,"June",IF(E17&gt;0.005,"June","")))</f>
        <v>June</v>
      </c>
      <c r="C18" s="32">
        <f>IF(MONTH($B$10)&gt;6,"",IF(MONTH($B$10)=6,ROUND($C$5*($E$5/1200),2),IF(E17&gt;0,ROUND(E17*($E$5/1200),2),0)))</f>
        <v>761.08</v>
      </c>
      <c r="D18" s="32">
        <f>IF(MONTH($B$10)&gt;6,"",IF(MONTH($B$10)=6,$C$7-C18,IF(E17&lt;$C$7,E17,$C$7-C18)))</f>
        <v>335.50999999999988</v>
      </c>
      <c r="E18" s="32">
        <f>IF(MONTH($B$10)&gt;6,"",IF(MONTH($B$10)=6,$C$5-D18,IF(E17-D18&gt;0,E17-D18,0)))</f>
        <v>227418.62999999998</v>
      </c>
    </row>
    <row r="19" spans="1:5">
      <c r="B19" s="17" t="str">
        <f>IF(MONTH($B$10)&gt;7,"",IF(MONTH($B$10)=7,"July",IF(E18&gt;0.005,"July","")))</f>
        <v>July</v>
      </c>
      <c r="C19" s="32">
        <f>IF(MONTH($B$10)&gt;7,"",IF(MONTH($B$10)=7,ROUND($C$5*($E$5/1200),2),IF(E18&gt;0,ROUND(E18*($E$5/1200),2),0)))</f>
        <v>759.96</v>
      </c>
      <c r="D19" s="32">
        <f>IF(MONTH($B$10)&gt;7,"",IF(MONTH($B$10)=7,$C$7-C19,IF(E18&lt;$C$7,E18,$C$7-C19)))</f>
        <v>336.62999999999988</v>
      </c>
      <c r="E19" s="32">
        <f>IF(MONTH($B$10)&gt;7,"",IF(MONTH($B$10)=7,$C$5-D19,IF(E18-D19&gt;0,E18-D19,0)))</f>
        <v>227081.99999999997</v>
      </c>
    </row>
    <row r="20" spans="1:5">
      <c r="B20" s="17" t="str">
        <f>IF(MONTH($B$10)&gt;8,"",IF(MONTH($B$10)=8,"August",IF(E19&gt;0.005,"August","")))</f>
        <v>August</v>
      </c>
      <c r="C20" s="32">
        <f>IF(MONTH($B$10)&gt;8,"",IF(MONTH($B$10)=8,ROUND($C$5*($E$5/1200),2),IF(E19&gt;0,ROUND(E19*($E$5/1200),2),0)))</f>
        <v>758.83</v>
      </c>
      <c r="D20" s="32">
        <f>IF(MONTH($B$10)&gt;8,"",IF(MONTH($B$10)=8,$C$7-C20,IF(E19&lt;$C$7,E19,$C$7-C20)))</f>
        <v>337.75999999999988</v>
      </c>
      <c r="E20" s="32">
        <f>IF(MONTH($B$10)&gt;8,"",IF(MONTH($B$10)=8,$C$5-D20,IF(E19-D20&gt;0,E19-D20,0)))</f>
        <v>226744.23999999996</v>
      </c>
    </row>
    <row r="21" spans="1:5">
      <c r="B21" s="17" t="str">
        <f>IF(MONTH($B$10)&gt;9,"",IF(MONTH($B$10)=9,"September",IF(E20&gt;0.005,"September","")))</f>
        <v>September</v>
      </c>
      <c r="C21" s="32">
        <f>IF(MONTH($B$10)&gt;9,"",IF(MONTH($B$10)=9,ROUND($C$5*($E$5/1200),2),IF(E20&gt;0,ROUND(E20*($E$5/1200),2),0)))</f>
        <v>757.7</v>
      </c>
      <c r="D21" s="32">
        <f>IF(MONTH($B$10)&gt;9,"",IF(MONTH($B$10)=9,$C$7-C21,IF(E20&lt;$C$7,E20,$C$7-C21)))</f>
        <v>338.88999999999987</v>
      </c>
      <c r="E21" s="32">
        <f>IF(MONTH($B$10)&gt;9,"",IF(MONTH($B$10)=9,$C$5-D21,IF(E20-D21&gt;0,E20-D21,0)))</f>
        <v>226405.34999999995</v>
      </c>
    </row>
    <row r="22" spans="1:5">
      <c r="B22" s="17" t="str">
        <f>IF(MONTH($B$10)&gt;10,"",IF(MONTH($B$10)=10,"October",IF(E21&gt;0.005,"October","")))</f>
        <v>October</v>
      </c>
      <c r="C22" s="32">
        <f>IF(MONTH($B$10)&gt;10,"",IF(MONTH($B$10)=10,ROUND($C$5*($E$5/1200),2),IF(E21&gt;0,ROUND(E21*($E$5/1200),2),0)))</f>
        <v>756.57</v>
      </c>
      <c r="D22" s="32">
        <f>IF(MONTH($B$10)&gt;10,"",IF(MONTH($B$10)=10,$C$7-C22,IF(E21&lt;$C$7,E21,$C$7-C22)))</f>
        <v>340.01999999999987</v>
      </c>
      <c r="E22" s="32">
        <f>IF(MONTH($B$10)&gt;10,"",IF(MONTH($B$10)=10,$C$5-D22,IF(E21-D22&gt;0,E21-D22,0)))</f>
        <v>226065.32999999996</v>
      </c>
    </row>
    <row r="23" spans="1:5">
      <c r="B23" s="17" t="str">
        <f>IF(MONTH($B$10)&gt;11,"",IF(MONTH($B$10)=11,"November",IF(E22&gt;0.005,"November","")))</f>
        <v>November</v>
      </c>
      <c r="C23" s="32">
        <f>IF(MONTH($B$10)&gt;11,"",IF(MONTH($B$10)=11,ROUND($C$5*($E$5/1200),2),IF(E22&gt;0,ROUND(E22*($E$5/1200),2),0)))</f>
        <v>755.43</v>
      </c>
      <c r="D23" s="32">
        <f>IF(MONTH($B$10)&gt;11,"",IF(MONTH($B$10)=11,$C$7-C23,IF(E22&lt;$C$7,E22,$C$7-C23)))</f>
        <v>341.15999999999997</v>
      </c>
      <c r="E23" s="32">
        <f>IF(MONTH($B$10)&gt;11,"",IF(MONTH($B$10)=11,$C$5-D23,IF(E22-D23&gt;0,E22-D23,0)))</f>
        <v>225724.16999999995</v>
      </c>
    </row>
    <row r="24" spans="1:5">
      <c r="A24">
        <v>1</v>
      </c>
      <c r="B24" s="17" t="str">
        <f>IF(MONTH($B$10)=12,"December",IF(E23&gt;0.005,"December",""))</f>
        <v>December</v>
      </c>
      <c r="C24" s="32">
        <f>IF(MONTH($B$10)=12,ROUND($C$5*($E$5/1200),2),IF(E23&gt;0,ROUND(E23*($E$5/1200),2),0))</f>
        <v>754.29</v>
      </c>
      <c r="D24" s="32">
        <f>IF(MONTH($B$10)=12,$C$7-C24,IF(E23&lt;$C$7,E23,$C$7-C24))</f>
        <v>342.29999999999995</v>
      </c>
      <c r="E24" s="32">
        <f>IF(MONTH($B$10)=12,$C$5-D24,IF(E23-D24&gt;0,E23-D24,0))</f>
        <v>225381.86999999997</v>
      </c>
    </row>
    <row r="25" spans="1:5">
      <c r="B25" s="33" t="str">
        <f>"Total "&amp;YEAR(B10)</f>
        <v>Total 2016</v>
      </c>
      <c r="C25" s="34">
        <f>SUM(C13:C24)</f>
        <v>9125.9500000000007</v>
      </c>
      <c r="D25" s="34">
        <f>SUM(D13:D24)</f>
        <v>4033.1299999999983</v>
      </c>
      <c r="E25" s="35"/>
    </row>
    <row r="26" spans="1:5">
      <c r="B26" s="23"/>
      <c r="C26" s="32"/>
      <c r="D26" s="32"/>
      <c r="E26" s="32"/>
    </row>
    <row r="27" spans="1:5">
      <c r="B27" s="23"/>
      <c r="C27" s="31" t="s">
        <v>63</v>
      </c>
      <c r="D27" s="31" t="s">
        <v>64</v>
      </c>
      <c r="E27" s="31" t="s">
        <v>65</v>
      </c>
    </row>
    <row r="28" spans="1:5">
      <c r="B28" s="17" t="str">
        <f>IF(E24&gt;0.005,"January","")</f>
        <v>January</v>
      </c>
      <c r="C28" s="32">
        <f>IF(E24&gt;0,ROUND(E24*($E$5/1200),2),0)</f>
        <v>753.15</v>
      </c>
      <c r="D28" s="32">
        <f>IF(E24&lt;$C$7,E24,$C$7-C28)</f>
        <v>343.43999999999994</v>
      </c>
      <c r="E28" s="32">
        <f>IF(E24-D28&gt;0,E24-D28,0)</f>
        <v>225038.42999999996</v>
      </c>
    </row>
    <row r="29" spans="1:5">
      <c r="B29" s="17" t="str">
        <f>IF(E28&gt;0.005,"February","")</f>
        <v>February</v>
      </c>
      <c r="C29" s="32">
        <f t="shared" ref="C29:C39" si="0">IF(E28&gt;0,ROUND(E28*($E$5/1200),2),0)</f>
        <v>752</v>
      </c>
      <c r="D29" s="32">
        <f t="shared" ref="D29:D39" si="1">IF(E28&lt;$C$7,E28,$C$7-C29)</f>
        <v>344.58999999999992</v>
      </c>
      <c r="E29" s="32">
        <f t="shared" ref="E29:E39" si="2">IF(E28-D29&gt;0,E28-D29,0)</f>
        <v>224693.83999999997</v>
      </c>
    </row>
    <row r="30" spans="1:5">
      <c r="B30" s="17" t="str">
        <f>IF(E29&gt;0.005,"March","")</f>
        <v>March</v>
      </c>
      <c r="C30" s="32">
        <f t="shared" si="0"/>
        <v>750.85</v>
      </c>
      <c r="D30" s="32">
        <f t="shared" si="1"/>
        <v>345.7399999999999</v>
      </c>
      <c r="E30" s="32">
        <f t="shared" si="2"/>
        <v>224348.09999999998</v>
      </c>
    </row>
    <row r="31" spans="1:5">
      <c r="B31" s="17" t="str">
        <f>IF(E30&gt;0.005,"April","")</f>
        <v>April</v>
      </c>
      <c r="C31" s="32">
        <f t="shared" si="0"/>
        <v>749.7</v>
      </c>
      <c r="D31" s="32">
        <f t="shared" si="1"/>
        <v>346.88999999999987</v>
      </c>
      <c r="E31" s="32">
        <f t="shared" si="2"/>
        <v>224001.20999999996</v>
      </c>
    </row>
    <row r="32" spans="1:5">
      <c r="B32" s="17" t="str">
        <f>IF(E31&gt;0.005,"May","")</f>
        <v>May</v>
      </c>
      <c r="C32" s="32">
        <f t="shared" si="0"/>
        <v>748.54</v>
      </c>
      <c r="D32" s="32">
        <f t="shared" si="1"/>
        <v>348.04999999999995</v>
      </c>
      <c r="E32" s="32">
        <f t="shared" si="2"/>
        <v>223653.15999999997</v>
      </c>
    </row>
    <row r="33" spans="1:5">
      <c r="B33" s="17" t="str">
        <f>IF(E32&gt;0.005,"June","")</f>
        <v>June</v>
      </c>
      <c r="C33" s="32">
        <f t="shared" si="0"/>
        <v>747.37</v>
      </c>
      <c r="D33" s="32">
        <f t="shared" si="1"/>
        <v>349.21999999999991</v>
      </c>
      <c r="E33" s="32">
        <f t="shared" si="2"/>
        <v>223303.93999999997</v>
      </c>
    </row>
    <row r="34" spans="1:5">
      <c r="B34" s="17" t="str">
        <f>IF(E33&gt;0.005,"July","")</f>
        <v>July</v>
      </c>
      <c r="C34" s="32">
        <f t="shared" si="0"/>
        <v>746.21</v>
      </c>
      <c r="D34" s="32">
        <f t="shared" si="1"/>
        <v>350.37999999999988</v>
      </c>
      <c r="E34" s="32">
        <f t="shared" si="2"/>
        <v>222953.55999999997</v>
      </c>
    </row>
    <row r="35" spans="1:5">
      <c r="B35" s="17" t="str">
        <f>IF(E34&gt;0.005,"August","")</f>
        <v>August</v>
      </c>
      <c r="C35" s="32">
        <f t="shared" si="0"/>
        <v>745.04</v>
      </c>
      <c r="D35" s="32">
        <f t="shared" si="1"/>
        <v>351.54999999999995</v>
      </c>
      <c r="E35" s="32">
        <f t="shared" si="2"/>
        <v>222602.00999999998</v>
      </c>
    </row>
    <row r="36" spans="1:5">
      <c r="B36" s="17" t="str">
        <f>IF(E35&gt;0.005,"September","")</f>
        <v>September</v>
      </c>
      <c r="C36" s="32">
        <f t="shared" si="0"/>
        <v>743.86</v>
      </c>
      <c r="D36" s="32">
        <f t="shared" si="1"/>
        <v>352.7299999999999</v>
      </c>
      <c r="E36" s="32">
        <f t="shared" si="2"/>
        <v>222249.27999999997</v>
      </c>
    </row>
    <row r="37" spans="1:5">
      <c r="B37" s="17" t="str">
        <f>IF(E36&gt;0.005,"October","")</f>
        <v>October</v>
      </c>
      <c r="C37" s="32">
        <f t="shared" si="0"/>
        <v>742.68</v>
      </c>
      <c r="D37" s="32">
        <f t="shared" si="1"/>
        <v>353.90999999999997</v>
      </c>
      <c r="E37" s="32">
        <f t="shared" si="2"/>
        <v>221895.36999999997</v>
      </c>
    </row>
    <row r="38" spans="1:5">
      <c r="B38" s="17" t="str">
        <f>IF(E37&gt;0.005,"November","")</f>
        <v>November</v>
      </c>
      <c r="C38" s="32">
        <f t="shared" si="0"/>
        <v>741.5</v>
      </c>
      <c r="D38" s="32">
        <f t="shared" si="1"/>
        <v>355.08999999999992</v>
      </c>
      <c r="E38" s="32">
        <f t="shared" si="2"/>
        <v>221540.27999999997</v>
      </c>
    </row>
    <row r="39" spans="1:5">
      <c r="A39">
        <v>2</v>
      </c>
      <c r="B39" s="17" t="str">
        <f>IF(E38&gt;0.005,"December","")</f>
        <v>December</v>
      </c>
      <c r="C39" s="32">
        <f t="shared" si="0"/>
        <v>740.31</v>
      </c>
      <c r="D39" s="32">
        <f t="shared" si="1"/>
        <v>356.28</v>
      </c>
      <c r="E39" s="32">
        <f t="shared" si="2"/>
        <v>221183.99999999997</v>
      </c>
    </row>
    <row r="40" spans="1:5">
      <c r="B40" s="33" t="str">
        <f>"Total "&amp;YEAR($B$10)+1</f>
        <v>Total 2017</v>
      </c>
      <c r="C40" s="34">
        <f>SUM(C28:C39)</f>
        <v>8961.2099999999991</v>
      </c>
      <c r="D40" s="34">
        <f>SUM(D28:D39)</f>
        <v>4197.869999999999</v>
      </c>
      <c r="E40" s="35"/>
    </row>
    <row r="41" spans="1:5">
      <c r="B41" s="23"/>
      <c r="C41" s="32"/>
      <c r="D41" s="32"/>
      <c r="E41" s="32"/>
    </row>
    <row r="42" spans="1:5">
      <c r="B42" s="23"/>
      <c r="C42" s="31" t="s">
        <v>63</v>
      </c>
      <c r="D42" s="31" t="s">
        <v>64</v>
      </c>
      <c r="E42" s="31" t="s">
        <v>65</v>
      </c>
    </row>
    <row r="43" spans="1:5">
      <c r="B43" s="17" t="str">
        <f>IF(E39&gt;0.005,"January","")</f>
        <v>January</v>
      </c>
      <c r="C43" s="32">
        <f>IF(E39&gt;0,ROUND(E39*($E$5/1200),2),0)</f>
        <v>739.12</v>
      </c>
      <c r="D43" s="32">
        <f>IF(E39&lt;$C$7,E39,$C$7-C43)</f>
        <v>357.46999999999991</v>
      </c>
      <c r="E43" s="32">
        <f>IF(E39-D43&gt;0,E39-D43,0)</f>
        <v>220826.52999999997</v>
      </c>
    </row>
    <row r="44" spans="1:5">
      <c r="B44" s="17" t="str">
        <f>IF(E43&gt;0.005,"February","")</f>
        <v>February</v>
      </c>
      <c r="C44" s="32">
        <f t="shared" ref="C44:C54" si="3">IF(E43&gt;0,ROUND(E43*($E$5/1200),2),0)</f>
        <v>737.93</v>
      </c>
      <c r="D44" s="32">
        <f t="shared" ref="D44:D54" si="4">IF(E43&lt;$C$7,E43,$C$7-C44)</f>
        <v>358.65999999999997</v>
      </c>
      <c r="E44" s="32">
        <f t="shared" ref="E44:E54" si="5">IF(E43-D44&gt;0,E43-D44,0)</f>
        <v>220467.86999999997</v>
      </c>
    </row>
    <row r="45" spans="1:5">
      <c r="B45" s="17" t="str">
        <f>IF(E44&gt;0.005,"March","")</f>
        <v>March</v>
      </c>
      <c r="C45" s="32">
        <f t="shared" si="3"/>
        <v>736.73</v>
      </c>
      <c r="D45" s="32">
        <f t="shared" si="4"/>
        <v>359.8599999999999</v>
      </c>
      <c r="E45" s="32">
        <f t="shared" si="5"/>
        <v>220108.00999999998</v>
      </c>
    </row>
    <row r="46" spans="1:5">
      <c r="B46" s="17" t="str">
        <f>IF(E45&gt;0.005,"April","")</f>
        <v>April</v>
      </c>
      <c r="C46" s="32">
        <f t="shared" si="3"/>
        <v>735.53</v>
      </c>
      <c r="D46" s="32">
        <f t="shared" si="4"/>
        <v>361.05999999999995</v>
      </c>
      <c r="E46" s="32">
        <f t="shared" si="5"/>
        <v>219746.94999999998</v>
      </c>
    </row>
    <row r="47" spans="1:5">
      <c r="B47" s="17" t="str">
        <f>IF(E46&gt;0.005,"May","")</f>
        <v>May</v>
      </c>
      <c r="C47" s="32">
        <f t="shared" si="3"/>
        <v>734.32</v>
      </c>
      <c r="D47" s="32">
        <f t="shared" si="4"/>
        <v>362.26999999999987</v>
      </c>
      <c r="E47" s="32">
        <f t="shared" si="5"/>
        <v>219384.68</v>
      </c>
    </row>
    <row r="48" spans="1:5">
      <c r="B48" s="17" t="str">
        <f>IF(E47&gt;0.005,"June","")</f>
        <v>June</v>
      </c>
      <c r="C48" s="32">
        <f t="shared" si="3"/>
        <v>733.11</v>
      </c>
      <c r="D48" s="32">
        <f t="shared" si="4"/>
        <v>363.4799999999999</v>
      </c>
      <c r="E48" s="32">
        <f t="shared" si="5"/>
        <v>219021.19999999998</v>
      </c>
    </row>
    <row r="49" spans="1:5">
      <c r="B49" s="17" t="str">
        <f>IF(E48&gt;0.005,"July","")</f>
        <v>July</v>
      </c>
      <c r="C49" s="32">
        <f t="shared" si="3"/>
        <v>731.9</v>
      </c>
      <c r="D49" s="32">
        <f t="shared" si="4"/>
        <v>364.68999999999994</v>
      </c>
      <c r="E49" s="32">
        <f t="shared" si="5"/>
        <v>218656.50999999998</v>
      </c>
    </row>
    <row r="50" spans="1:5">
      <c r="B50" s="17" t="str">
        <f>IF(E49&gt;0.005,"August","")</f>
        <v>August</v>
      </c>
      <c r="C50" s="32">
        <f t="shared" si="3"/>
        <v>730.68</v>
      </c>
      <c r="D50" s="32">
        <f t="shared" si="4"/>
        <v>365.90999999999997</v>
      </c>
      <c r="E50" s="32">
        <f t="shared" si="5"/>
        <v>218290.59999999998</v>
      </c>
    </row>
    <row r="51" spans="1:5">
      <c r="B51" s="17" t="str">
        <f>IF(E50&gt;0.005,"September","")</f>
        <v>September</v>
      </c>
      <c r="C51" s="32">
        <f t="shared" si="3"/>
        <v>729.45</v>
      </c>
      <c r="D51" s="32">
        <f t="shared" si="4"/>
        <v>367.13999999999987</v>
      </c>
      <c r="E51" s="32">
        <f t="shared" si="5"/>
        <v>217923.45999999996</v>
      </c>
    </row>
    <row r="52" spans="1:5">
      <c r="B52" s="17" t="str">
        <f>IF(E51&gt;0.005,"October","")</f>
        <v>October</v>
      </c>
      <c r="C52" s="32">
        <f t="shared" si="3"/>
        <v>728.23</v>
      </c>
      <c r="D52" s="32">
        <f t="shared" si="4"/>
        <v>368.3599999999999</v>
      </c>
      <c r="E52" s="32">
        <f t="shared" si="5"/>
        <v>217555.09999999998</v>
      </c>
    </row>
    <row r="53" spans="1:5">
      <c r="B53" s="17" t="str">
        <f>IF(E52&gt;0.005,"November","")</f>
        <v>November</v>
      </c>
      <c r="C53" s="32">
        <f t="shared" si="3"/>
        <v>727</v>
      </c>
      <c r="D53" s="32">
        <f t="shared" si="4"/>
        <v>369.58999999999992</v>
      </c>
      <c r="E53" s="32">
        <f t="shared" si="5"/>
        <v>217185.50999999998</v>
      </c>
    </row>
    <row r="54" spans="1:5">
      <c r="A54">
        <v>3</v>
      </c>
      <c r="B54" s="17" t="str">
        <f>IF(E53&gt;0.005,"December","")</f>
        <v>December</v>
      </c>
      <c r="C54" s="32">
        <f t="shared" si="3"/>
        <v>725.76</v>
      </c>
      <c r="D54" s="32">
        <f t="shared" si="4"/>
        <v>370.82999999999993</v>
      </c>
      <c r="E54" s="32">
        <f t="shared" si="5"/>
        <v>216814.68</v>
      </c>
    </row>
    <row r="55" spans="1:5">
      <c r="B55" s="33" t="str">
        <f>"Total "&amp;YEAR($B$10)+2</f>
        <v>Total 2018</v>
      </c>
      <c r="C55" s="34">
        <f>SUM(C43:C54)</f>
        <v>8789.76</v>
      </c>
      <c r="D55" s="34">
        <f>SUM(D43:D54)</f>
        <v>4369.32</v>
      </c>
      <c r="E55" s="35"/>
    </row>
    <row r="56" spans="1:5">
      <c r="B56" s="23"/>
      <c r="C56" s="32"/>
      <c r="D56" s="32"/>
      <c r="E56" s="32"/>
    </row>
    <row r="57" spans="1:5">
      <c r="B57" s="23"/>
      <c r="C57" s="31" t="s">
        <v>63</v>
      </c>
      <c r="D57" s="31" t="s">
        <v>64</v>
      </c>
      <c r="E57" s="31" t="s">
        <v>65</v>
      </c>
    </row>
    <row r="58" spans="1:5">
      <c r="B58" s="17" t="str">
        <f>IF(E54&gt;0.005,"January","")</f>
        <v>January</v>
      </c>
      <c r="C58" s="32">
        <f>IF(E54&gt;0,ROUND(E54*($E$5/1200),2),0)</f>
        <v>724.52</v>
      </c>
      <c r="D58" s="32">
        <f>IF(E54&lt;$C$7,E54,$C$7-C58)</f>
        <v>372.06999999999994</v>
      </c>
      <c r="E58" s="32">
        <f>IF(E54-D58&gt;0,E54-D58,0)</f>
        <v>216442.61</v>
      </c>
    </row>
    <row r="59" spans="1:5">
      <c r="B59" s="17" t="str">
        <f>IF(E58&gt;0.005,"February","")</f>
        <v>February</v>
      </c>
      <c r="C59" s="32">
        <f t="shared" ref="C59:C69" si="6">IF(E58&gt;0,ROUND(E58*($E$5/1200),2),0)</f>
        <v>723.28</v>
      </c>
      <c r="D59" s="32">
        <f t="shared" ref="D59:D69" si="7">IF(E58&lt;$C$7,E58,$C$7-C59)</f>
        <v>373.30999999999995</v>
      </c>
      <c r="E59" s="32">
        <f t="shared" ref="E59:E69" si="8">IF(E58-D59&gt;0,E58-D59,0)</f>
        <v>216069.3</v>
      </c>
    </row>
    <row r="60" spans="1:5">
      <c r="B60" s="17" t="str">
        <f>IF(E59&gt;0.005,"March","")</f>
        <v>March</v>
      </c>
      <c r="C60" s="32">
        <f t="shared" si="6"/>
        <v>722.03</v>
      </c>
      <c r="D60" s="32">
        <f t="shared" si="7"/>
        <v>374.55999999999995</v>
      </c>
      <c r="E60" s="32">
        <f t="shared" si="8"/>
        <v>215694.74</v>
      </c>
    </row>
    <row r="61" spans="1:5">
      <c r="B61" s="17" t="str">
        <f>IF(E60&gt;0.005,"April","")</f>
        <v>April</v>
      </c>
      <c r="C61" s="32">
        <f t="shared" si="6"/>
        <v>720.78</v>
      </c>
      <c r="D61" s="32">
        <f t="shared" si="7"/>
        <v>375.80999999999995</v>
      </c>
      <c r="E61" s="32">
        <f t="shared" si="8"/>
        <v>215318.93</v>
      </c>
    </row>
    <row r="62" spans="1:5">
      <c r="B62" s="17" t="str">
        <f>IF(E61&gt;0.005,"May","")</f>
        <v>May</v>
      </c>
      <c r="C62" s="32">
        <f t="shared" si="6"/>
        <v>719.52</v>
      </c>
      <c r="D62" s="32">
        <f t="shared" si="7"/>
        <v>377.06999999999994</v>
      </c>
      <c r="E62" s="32">
        <f t="shared" si="8"/>
        <v>214941.86</v>
      </c>
    </row>
    <row r="63" spans="1:5">
      <c r="B63" s="17" t="str">
        <f>IF(E62&gt;0.005,"June","")</f>
        <v>June</v>
      </c>
      <c r="C63" s="32">
        <f t="shared" si="6"/>
        <v>718.26</v>
      </c>
      <c r="D63" s="32">
        <f t="shared" si="7"/>
        <v>378.32999999999993</v>
      </c>
      <c r="E63" s="32">
        <f t="shared" si="8"/>
        <v>214563.53</v>
      </c>
    </row>
    <row r="64" spans="1:5">
      <c r="B64" s="17" t="str">
        <f>IF(E63&gt;0.005,"July","")</f>
        <v>July</v>
      </c>
      <c r="C64" s="32">
        <f t="shared" si="6"/>
        <v>717</v>
      </c>
      <c r="D64" s="32">
        <f t="shared" si="7"/>
        <v>379.58999999999992</v>
      </c>
      <c r="E64" s="32">
        <f t="shared" si="8"/>
        <v>214183.94</v>
      </c>
    </row>
    <row r="65" spans="1:5">
      <c r="B65" s="17" t="str">
        <f>IF(E64&gt;0.005,"August","")</f>
        <v>August</v>
      </c>
      <c r="C65" s="32">
        <f t="shared" si="6"/>
        <v>715.73</v>
      </c>
      <c r="D65" s="32">
        <f t="shared" si="7"/>
        <v>380.8599999999999</v>
      </c>
      <c r="E65" s="32">
        <f t="shared" si="8"/>
        <v>213803.08000000002</v>
      </c>
    </row>
    <row r="66" spans="1:5">
      <c r="B66" s="17" t="str">
        <f>IF(E65&gt;0.005,"September","")</f>
        <v>September</v>
      </c>
      <c r="C66" s="32">
        <f t="shared" si="6"/>
        <v>714.46</v>
      </c>
      <c r="D66" s="32">
        <f t="shared" si="7"/>
        <v>382.12999999999988</v>
      </c>
      <c r="E66" s="32">
        <f t="shared" si="8"/>
        <v>213420.95</v>
      </c>
    </row>
    <row r="67" spans="1:5">
      <c r="B67" s="17" t="str">
        <f>IF(E66&gt;0.005,"October","")</f>
        <v>October</v>
      </c>
      <c r="C67" s="32">
        <f t="shared" si="6"/>
        <v>713.18</v>
      </c>
      <c r="D67" s="32">
        <f t="shared" si="7"/>
        <v>383.40999999999997</v>
      </c>
      <c r="E67" s="32">
        <f t="shared" si="8"/>
        <v>213037.54</v>
      </c>
    </row>
    <row r="68" spans="1:5">
      <c r="B68" s="17" t="str">
        <f>IF(E67&gt;0.005,"November","")</f>
        <v>November</v>
      </c>
      <c r="C68" s="32">
        <f t="shared" si="6"/>
        <v>711.9</v>
      </c>
      <c r="D68" s="32">
        <f t="shared" si="7"/>
        <v>384.68999999999994</v>
      </c>
      <c r="E68" s="32">
        <f t="shared" si="8"/>
        <v>212652.85</v>
      </c>
    </row>
    <row r="69" spans="1:5">
      <c r="A69">
        <v>4</v>
      </c>
      <c r="B69" s="17" t="str">
        <f>IF(E68&gt;0.005,"December","")</f>
        <v>December</v>
      </c>
      <c r="C69" s="32">
        <f t="shared" si="6"/>
        <v>710.61</v>
      </c>
      <c r="D69" s="32">
        <f t="shared" si="7"/>
        <v>385.9799999999999</v>
      </c>
      <c r="E69" s="32">
        <f t="shared" si="8"/>
        <v>212266.87</v>
      </c>
    </row>
    <row r="70" spans="1:5">
      <c r="B70" s="33" t="str">
        <f>"Total "&amp;YEAR($B$10)+3</f>
        <v>Total 2019</v>
      </c>
      <c r="C70" s="34">
        <f>SUM(C58:C69)</f>
        <v>8611.2699999999986</v>
      </c>
      <c r="D70" s="34">
        <f>SUM(D58:D69)</f>
        <v>4547.8099999999986</v>
      </c>
      <c r="E70" s="35"/>
    </row>
    <row r="71" spans="1:5">
      <c r="B71" s="23"/>
      <c r="C71" s="32"/>
      <c r="D71" s="32"/>
      <c r="E71" s="32"/>
    </row>
    <row r="72" spans="1:5">
      <c r="B72" s="23"/>
      <c r="C72" s="31" t="s">
        <v>63</v>
      </c>
      <c r="D72" s="31" t="s">
        <v>64</v>
      </c>
      <c r="E72" s="31" t="s">
        <v>65</v>
      </c>
    </row>
    <row r="73" spans="1:5">
      <c r="B73" s="17" t="str">
        <f>IF(E69&gt;0.005,"January","")</f>
        <v>January</v>
      </c>
      <c r="C73" s="32">
        <f>IF(E69&gt;0,ROUND(E69*($E$5/1200),2),0)</f>
        <v>709.33</v>
      </c>
      <c r="D73" s="32">
        <f>IF(E69&lt;$C$7,E69,$C$7-C73)</f>
        <v>387.25999999999988</v>
      </c>
      <c r="E73" s="32">
        <f>IF(E69-D73&gt;0,E69-D73,0)</f>
        <v>211879.61</v>
      </c>
    </row>
    <row r="74" spans="1:5">
      <c r="B74" s="17" t="str">
        <f>IF(E73&gt;0.005,"February","")</f>
        <v>February</v>
      </c>
      <c r="C74" s="32">
        <f t="shared" ref="C74:C84" si="9">IF(E73&gt;0,ROUND(E73*($E$5/1200),2),0)</f>
        <v>708.03</v>
      </c>
      <c r="D74" s="32">
        <f t="shared" ref="D74:D84" si="10">IF(E73&lt;$C$7,E73,$C$7-C74)</f>
        <v>388.55999999999995</v>
      </c>
      <c r="E74" s="32">
        <f t="shared" ref="E74:E84" si="11">IF(E73-D74&gt;0,E73-D74,0)</f>
        <v>211491.05</v>
      </c>
    </row>
    <row r="75" spans="1:5">
      <c r="B75" s="17" t="str">
        <f>IF(E74&gt;0.005,"March","")</f>
        <v>March</v>
      </c>
      <c r="C75" s="32">
        <f t="shared" si="9"/>
        <v>706.73</v>
      </c>
      <c r="D75" s="32">
        <f t="shared" si="10"/>
        <v>389.8599999999999</v>
      </c>
      <c r="E75" s="32">
        <f t="shared" si="11"/>
        <v>211101.19</v>
      </c>
    </row>
    <row r="76" spans="1:5">
      <c r="B76" s="17" t="str">
        <f>IF(E75&gt;0.005,"April","")</f>
        <v>April</v>
      </c>
      <c r="C76" s="32">
        <f t="shared" si="9"/>
        <v>705.43</v>
      </c>
      <c r="D76" s="32">
        <f t="shared" si="10"/>
        <v>391.15999999999997</v>
      </c>
      <c r="E76" s="32">
        <f t="shared" si="11"/>
        <v>210710.03</v>
      </c>
    </row>
    <row r="77" spans="1:5">
      <c r="B77" s="17" t="str">
        <f>IF(E76&gt;0.005,"May","")</f>
        <v>May</v>
      </c>
      <c r="C77" s="32">
        <f t="shared" si="9"/>
        <v>704.12</v>
      </c>
      <c r="D77" s="32">
        <f t="shared" si="10"/>
        <v>392.46999999999991</v>
      </c>
      <c r="E77" s="32">
        <f t="shared" si="11"/>
        <v>210317.56</v>
      </c>
    </row>
    <row r="78" spans="1:5">
      <c r="B78" s="17" t="str">
        <f>IF(E77&gt;0.005,"June","")</f>
        <v>June</v>
      </c>
      <c r="C78" s="32">
        <f t="shared" si="9"/>
        <v>702.81</v>
      </c>
      <c r="D78" s="32">
        <f t="shared" si="10"/>
        <v>393.78</v>
      </c>
      <c r="E78" s="32">
        <f t="shared" si="11"/>
        <v>209923.78</v>
      </c>
    </row>
    <row r="79" spans="1:5">
      <c r="B79" s="17" t="str">
        <f>IF(E78&gt;0.005,"July","")</f>
        <v>July</v>
      </c>
      <c r="C79" s="32">
        <f t="shared" si="9"/>
        <v>701.5</v>
      </c>
      <c r="D79" s="32">
        <f t="shared" si="10"/>
        <v>395.08999999999992</v>
      </c>
      <c r="E79" s="32">
        <f t="shared" si="11"/>
        <v>209528.69</v>
      </c>
    </row>
    <row r="80" spans="1:5">
      <c r="B80" s="17" t="str">
        <f>IF(E79&gt;0.005,"August","")</f>
        <v>August</v>
      </c>
      <c r="C80" s="32">
        <f t="shared" si="9"/>
        <v>700.18</v>
      </c>
      <c r="D80" s="32">
        <f t="shared" si="10"/>
        <v>396.40999999999997</v>
      </c>
      <c r="E80" s="32">
        <f t="shared" si="11"/>
        <v>209132.28</v>
      </c>
    </row>
    <row r="81" spans="1:5">
      <c r="B81" s="17" t="str">
        <f>IF(E80&gt;0.005,"September","")</f>
        <v>September</v>
      </c>
      <c r="C81" s="32">
        <f t="shared" si="9"/>
        <v>698.85</v>
      </c>
      <c r="D81" s="32">
        <f t="shared" si="10"/>
        <v>397.7399999999999</v>
      </c>
      <c r="E81" s="32">
        <f t="shared" si="11"/>
        <v>208734.54</v>
      </c>
    </row>
    <row r="82" spans="1:5">
      <c r="B82" s="17" t="str">
        <f>IF(E81&gt;0.005,"October","")</f>
        <v>October</v>
      </c>
      <c r="C82" s="32">
        <f t="shared" si="9"/>
        <v>697.52</v>
      </c>
      <c r="D82" s="32">
        <f t="shared" si="10"/>
        <v>399.06999999999994</v>
      </c>
      <c r="E82" s="32">
        <f t="shared" si="11"/>
        <v>208335.47</v>
      </c>
    </row>
    <row r="83" spans="1:5">
      <c r="B83" s="17" t="str">
        <f>IF(E82&gt;0.005,"November","")</f>
        <v>November</v>
      </c>
      <c r="C83" s="32">
        <f t="shared" si="9"/>
        <v>696.19</v>
      </c>
      <c r="D83" s="32">
        <f t="shared" si="10"/>
        <v>400.39999999999986</v>
      </c>
      <c r="E83" s="32">
        <f t="shared" si="11"/>
        <v>207935.07</v>
      </c>
    </row>
    <row r="84" spans="1:5">
      <c r="A84">
        <v>5</v>
      </c>
      <c r="B84" s="17" t="str">
        <f>IF(E83&gt;0.005,"December","")</f>
        <v>December</v>
      </c>
      <c r="C84" s="32">
        <f t="shared" si="9"/>
        <v>694.85</v>
      </c>
      <c r="D84" s="32">
        <f t="shared" si="10"/>
        <v>401.7399999999999</v>
      </c>
      <c r="E84" s="32">
        <f t="shared" si="11"/>
        <v>207533.33000000002</v>
      </c>
    </row>
    <row r="85" spans="1:5">
      <c r="B85" s="33" t="str">
        <f>"Total "&amp;YEAR($B$10)+4</f>
        <v>Total 2020</v>
      </c>
      <c r="C85" s="34">
        <f>SUM(C73:C84)</f>
        <v>8425.5400000000009</v>
      </c>
      <c r="D85" s="34">
        <f>SUM(D73:D84)</f>
        <v>4733.5399999999981</v>
      </c>
      <c r="E85" s="35"/>
    </row>
    <row r="86" spans="1:5">
      <c r="B86" s="18"/>
      <c r="C86" s="36"/>
      <c r="D86" s="36"/>
      <c r="E86" s="32"/>
    </row>
    <row r="87" spans="1:5">
      <c r="B87" s="23"/>
      <c r="C87" s="31" t="s">
        <v>63</v>
      </c>
      <c r="D87" s="31" t="s">
        <v>64</v>
      </c>
      <c r="E87" s="31" t="s">
        <v>65</v>
      </c>
    </row>
    <row r="88" spans="1:5">
      <c r="B88" s="17" t="str">
        <f>IF(E84&gt;0.005,"January","")</f>
        <v>January</v>
      </c>
      <c r="C88" s="32">
        <f>IF(E84&gt;0,ROUND(E84*($E$5/1200),2),0)</f>
        <v>693.51</v>
      </c>
      <c r="D88" s="32">
        <f>IF(E84&lt;$C$7,E84,$C$7-C88)</f>
        <v>403.07999999999993</v>
      </c>
      <c r="E88" s="32">
        <f>IF(E84-D88&gt;0,E84-D88,0)</f>
        <v>207130.25000000003</v>
      </c>
    </row>
    <row r="89" spans="1:5">
      <c r="B89" s="17" t="str">
        <f>IF(E88&gt;0.005,"February","")</f>
        <v>February</v>
      </c>
      <c r="C89" s="32">
        <f t="shared" ref="C89:C99" si="12">IF(E88&gt;0,ROUND(E88*($E$5/1200),2),0)</f>
        <v>692.16</v>
      </c>
      <c r="D89" s="32">
        <f t="shared" ref="D89:D99" si="13">IF(E88&lt;$C$7,E88,$C$7-C89)</f>
        <v>404.42999999999995</v>
      </c>
      <c r="E89" s="32">
        <f t="shared" ref="E89:E99" si="14">IF(E88-D89&gt;0,E88-D89,0)</f>
        <v>206725.82000000004</v>
      </c>
    </row>
    <row r="90" spans="1:5">
      <c r="B90" s="17" t="str">
        <f>IF(E89&gt;0.005,"March","")</f>
        <v>March</v>
      </c>
      <c r="C90" s="32">
        <f t="shared" si="12"/>
        <v>690.81</v>
      </c>
      <c r="D90" s="32">
        <f t="shared" si="13"/>
        <v>405.78</v>
      </c>
      <c r="E90" s="32">
        <f t="shared" si="14"/>
        <v>206320.04000000004</v>
      </c>
    </row>
    <row r="91" spans="1:5">
      <c r="B91" s="17" t="str">
        <f>IF(E90&gt;0.005,"April","")</f>
        <v>April</v>
      </c>
      <c r="C91" s="32">
        <f t="shared" si="12"/>
        <v>689.45</v>
      </c>
      <c r="D91" s="32">
        <f t="shared" si="13"/>
        <v>407.13999999999987</v>
      </c>
      <c r="E91" s="32">
        <f t="shared" si="14"/>
        <v>205912.90000000002</v>
      </c>
    </row>
    <row r="92" spans="1:5">
      <c r="B92" s="17" t="str">
        <f>IF(E91&gt;0.005,"May","")</f>
        <v>May</v>
      </c>
      <c r="C92" s="32">
        <f t="shared" si="12"/>
        <v>688.09</v>
      </c>
      <c r="D92" s="32">
        <f t="shared" si="13"/>
        <v>408.49999999999989</v>
      </c>
      <c r="E92" s="32">
        <f t="shared" si="14"/>
        <v>205504.40000000002</v>
      </c>
    </row>
    <row r="93" spans="1:5">
      <c r="B93" s="17" t="str">
        <f>IF(E92&gt;0.005,"June","")</f>
        <v>June</v>
      </c>
      <c r="C93" s="32">
        <f t="shared" si="12"/>
        <v>686.73</v>
      </c>
      <c r="D93" s="32">
        <f t="shared" si="13"/>
        <v>409.8599999999999</v>
      </c>
      <c r="E93" s="32">
        <f t="shared" si="14"/>
        <v>205094.54000000004</v>
      </c>
    </row>
    <row r="94" spans="1:5">
      <c r="B94" s="17" t="str">
        <f>IF(E93&gt;0.005,"July","")</f>
        <v>July</v>
      </c>
      <c r="C94" s="32">
        <f t="shared" si="12"/>
        <v>685.36</v>
      </c>
      <c r="D94" s="32">
        <f t="shared" si="13"/>
        <v>411.2299999999999</v>
      </c>
      <c r="E94" s="32">
        <f t="shared" si="14"/>
        <v>204683.31000000003</v>
      </c>
    </row>
    <row r="95" spans="1:5">
      <c r="B95" s="17" t="str">
        <f>IF(E94&gt;0.005,"August","")</f>
        <v>August</v>
      </c>
      <c r="C95" s="32">
        <f t="shared" si="12"/>
        <v>683.98</v>
      </c>
      <c r="D95" s="32">
        <f t="shared" si="13"/>
        <v>412.6099999999999</v>
      </c>
      <c r="E95" s="32">
        <f t="shared" si="14"/>
        <v>204270.70000000004</v>
      </c>
    </row>
    <row r="96" spans="1:5">
      <c r="B96" s="17" t="str">
        <f>IF(E95&gt;0.005,"September","")</f>
        <v>September</v>
      </c>
      <c r="C96" s="32">
        <f t="shared" si="12"/>
        <v>682.6</v>
      </c>
      <c r="D96" s="32">
        <f t="shared" si="13"/>
        <v>413.9899999999999</v>
      </c>
      <c r="E96" s="32">
        <f t="shared" si="14"/>
        <v>203856.71000000005</v>
      </c>
    </row>
    <row r="97" spans="1:5">
      <c r="B97" s="17" t="str">
        <f>IF(E96&gt;0.005,"October","")</f>
        <v>October</v>
      </c>
      <c r="C97" s="32">
        <f t="shared" si="12"/>
        <v>681.22</v>
      </c>
      <c r="D97" s="32">
        <f t="shared" si="13"/>
        <v>415.36999999999989</v>
      </c>
      <c r="E97" s="32">
        <f t="shared" si="14"/>
        <v>203441.34000000005</v>
      </c>
    </row>
    <row r="98" spans="1:5">
      <c r="B98" s="17" t="str">
        <f>IF(E97&gt;0.005,"November","")</f>
        <v>November</v>
      </c>
      <c r="C98" s="32">
        <f t="shared" si="12"/>
        <v>679.83</v>
      </c>
      <c r="D98" s="32">
        <f t="shared" si="13"/>
        <v>416.75999999999988</v>
      </c>
      <c r="E98" s="32">
        <f t="shared" si="14"/>
        <v>203024.58000000005</v>
      </c>
    </row>
    <row r="99" spans="1:5">
      <c r="A99">
        <v>6</v>
      </c>
      <c r="B99" s="17" t="str">
        <f>IF(E98&gt;0.005,"December","")</f>
        <v>December</v>
      </c>
      <c r="C99" s="32">
        <f t="shared" si="12"/>
        <v>678.44</v>
      </c>
      <c r="D99" s="32">
        <f t="shared" si="13"/>
        <v>418.14999999999986</v>
      </c>
      <c r="E99" s="32">
        <f t="shared" si="14"/>
        <v>202606.43000000005</v>
      </c>
    </row>
    <row r="100" spans="1:5">
      <c r="B100" s="33" t="str">
        <f>"Total "&amp;YEAR($B$10)+5</f>
        <v>Total 2021</v>
      </c>
      <c r="C100" s="34">
        <f>SUM(C88:C99)</f>
        <v>8232.18</v>
      </c>
      <c r="D100" s="34">
        <f>SUM(D88:D99)</f>
        <v>4926.8999999999996</v>
      </c>
      <c r="E100" s="35"/>
    </row>
    <row r="101" spans="1:5">
      <c r="B101" s="23"/>
      <c r="C101" s="32"/>
      <c r="D101" s="32"/>
      <c r="E101" s="32"/>
    </row>
    <row r="102" spans="1:5">
      <c r="B102" s="23"/>
      <c r="C102" s="31" t="s">
        <v>63</v>
      </c>
      <c r="D102" s="31" t="s">
        <v>64</v>
      </c>
      <c r="E102" s="31" t="s">
        <v>65</v>
      </c>
    </row>
    <row r="103" spans="1:5">
      <c r="B103" s="17" t="str">
        <f>IF(E99&gt;0.005,"January","")</f>
        <v>January</v>
      </c>
      <c r="C103" s="32">
        <f>IF(E99&gt;0,ROUND(E99*($E$5/1200),2),0)</f>
        <v>677.04</v>
      </c>
      <c r="D103" s="32">
        <f>IF(E99&lt;$C$7,E99,$C$7-C103)</f>
        <v>419.54999999999995</v>
      </c>
      <c r="E103" s="32">
        <f>IF(E99-D103&gt;0,E99-D103,0)</f>
        <v>202186.88000000006</v>
      </c>
    </row>
    <row r="104" spans="1:5">
      <c r="B104" s="17" t="str">
        <f>IF(E103&gt;0.005,"February","")</f>
        <v>February</v>
      </c>
      <c r="C104" s="32">
        <f t="shared" ref="C104:C114" si="15">IF(E103&gt;0,ROUND(E103*($E$5/1200),2),0)</f>
        <v>675.64</v>
      </c>
      <c r="D104" s="32">
        <f t="shared" ref="D104:D114" si="16">IF(E103&lt;$C$7,E103,$C$7-C104)</f>
        <v>420.94999999999993</v>
      </c>
      <c r="E104" s="32">
        <f t="shared" ref="E104:E114" si="17">IF(E103-D104&gt;0,E103-D104,0)</f>
        <v>201765.93000000005</v>
      </c>
    </row>
    <row r="105" spans="1:5">
      <c r="B105" s="17" t="str">
        <f>IF(E104&gt;0.005,"March","")</f>
        <v>March</v>
      </c>
      <c r="C105" s="32">
        <f t="shared" si="15"/>
        <v>674.23</v>
      </c>
      <c r="D105" s="32">
        <f t="shared" si="16"/>
        <v>422.3599999999999</v>
      </c>
      <c r="E105" s="32">
        <f t="shared" si="17"/>
        <v>201343.57000000007</v>
      </c>
    </row>
    <row r="106" spans="1:5">
      <c r="B106" s="17" t="str">
        <f>IF(E105&gt;0.005,"April","")</f>
        <v>April</v>
      </c>
      <c r="C106" s="32">
        <f t="shared" si="15"/>
        <v>672.82</v>
      </c>
      <c r="D106" s="32">
        <f t="shared" si="16"/>
        <v>423.76999999999987</v>
      </c>
      <c r="E106" s="32">
        <f t="shared" si="17"/>
        <v>200919.80000000008</v>
      </c>
    </row>
    <row r="107" spans="1:5">
      <c r="B107" s="17" t="str">
        <f>IF(E106&gt;0.005,"May","")</f>
        <v>May</v>
      </c>
      <c r="C107" s="32">
        <f t="shared" si="15"/>
        <v>671.41</v>
      </c>
      <c r="D107" s="32">
        <f t="shared" si="16"/>
        <v>425.17999999999995</v>
      </c>
      <c r="E107" s="32">
        <f t="shared" si="17"/>
        <v>200494.62000000008</v>
      </c>
    </row>
    <row r="108" spans="1:5">
      <c r="B108" s="17" t="str">
        <f>IF(E107&gt;0.005,"June","")</f>
        <v>June</v>
      </c>
      <c r="C108" s="32">
        <f t="shared" si="15"/>
        <v>669.99</v>
      </c>
      <c r="D108" s="32">
        <f t="shared" si="16"/>
        <v>426.59999999999991</v>
      </c>
      <c r="E108" s="32">
        <f t="shared" si="17"/>
        <v>200068.02000000008</v>
      </c>
    </row>
    <row r="109" spans="1:5">
      <c r="B109" s="17" t="str">
        <f>IF(E108&gt;0.005,"July","")</f>
        <v>July</v>
      </c>
      <c r="C109" s="32">
        <f t="shared" si="15"/>
        <v>668.56</v>
      </c>
      <c r="D109" s="32">
        <f t="shared" si="16"/>
        <v>428.03</v>
      </c>
      <c r="E109" s="32">
        <f t="shared" si="17"/>
        <v>199639.99000000008</v>
      </c>
    </row>
    <row r="110" spans="1:5">
      <c r="B110" s="17" t="str">
        <f>IF(E109&gt;0.005,"August","")</f>
        <v>August</v>
      </c>
      <c r="C110" s="32">
        <f t="shared" si="15"/>
        <v>667.13</v>
      </c>
      <c r="D110" s="32">
        <f t="shared" si="16"/>
        <v>429.45999999999992</v>
      </c>
      <c r="E110" s="32">
        <f t="shared" si="17"/>
        <v>199210.53000000009</v>
      </c>
    </row>
    <row r="111" spans="1:5">
      <c r="B111" s="17" t="str">
        <f>IF(E110&gt;0.005,"September","")</f>
        <v>September</v>
      </c>
      <c r="C111" s="32">
        <f t="shared" si="15"/>
        <v>665.7</v>
      </c>
      <c r="D111" s="32">
        <f t="shared" si="16"/>
        <v>430.88999999999987</v>
      </c>
      <c r="E111" s="32">
        <f t="shared" si="17"/>
        <v>198779.64000000007</v>
      </c>
    </row>
    <row r="112" spans="1:5">
      <c r="B112" s="17" t="str">
        <f>IF(E111&gt;0.005,"October","")</f>
        <v>October</v>
      </c>
      <c r="C112" s="32">
        <f t="shared" si="15"/>
        <v>664.26</v>
      </c>
      <c r="D112" s="32">
        <f t="shared" si="16"/>
        <v>432.32999999999993</v>
      </c>
      <c r="E112" s="32">
        <f t="shared" si="17"/>
        <v>198347.31000000008</v>
      </c>
    </row>
    <row r="113" spans="1:5">
      <c r="B113" s="17" t="str">
        <f>IF(E112&gt;0.005,"November","")</f>
        <v>November</v>
      </c>
      <c r="C113" s="32">
        <f t="shared" si="15"/>
        <v>662.81</v>
      </c>
      <c r="D113" s="32">
        <f t="shared" si="16"/>
        <v>433.78</v>
      </c>
      <c r="E113" s="32">
        <f t="shared" si="17"/>
        <v>197913.53000000009</v>
      </c>
    </row>
    <row r="114" spans="1:5">
      <c r="A114">
        <v>7</v>
      </c>
      <c r="B114" s="17" t="str">
        <f>IF(E113&gt;0.005,"December","")</f>
        <v>December</v>
      </c>
      <c r="C114" s="32">
        <f t="shared" si="15"/>
        <v>661.36</v>
      </c>
      <c r="D114" s="32">
        <f t="shared" si="16"/>
        <v>435.2299999999999</v>
      </c>
      <c r="E114" s="32">
        <f t="shared" si="17"/>
        <v>197478.30000000008</v>
      </c>
    </row>
    <row r="115" spans="1:5">
      <c r="B115" s="33" t="str">
        <f>"Total "&amp;YEAR($B$10)+6</f>
        <v>Total 2022</v>
      </c>
      <c r="C115" s="34">
        <f>SUM(C103:C114)</f>
        <v>8030.95</v>
      </c>
      <c r="D115" s="34">
        <f>SUM(D103:D114)</f>
        <v>5128.1299999999983</v>
      </c>
      <c r="E115" s="35"/>
    </row>
    <row r="116" spans="1:5">
      <c r="B116" s="23"/>
      <c r="C116" s="32"/>
      <c r="D116" s="32"/>
      <c r="E116" s="32"/>
    </row>
    <row r="117" spans="1:5">
      <c r="B117" s="23"/>
      <c r="C117" s="31" t="s">
        <v>63</v>
      </c>
      <c r="D117" s="31" t="s">
        <v>64</v>
      </c>
      <c r="E117" s="31" t="s">
        <v>65</v>
      </c>
    </row>
    <row r="118" spans="1:5">
      <c r="B118" s="17" t="str">
        <f>IF(E114&gt;0.005,"January","")</f>
        <v>January</v>
      </c>
      <c r="C118" s="32">
        <f>IF(E114&gt;0,ROUND(E114*($E$5/1200),2),0)</f>
        <v>659.91</v>
      </c>
      <c r="D118" s="32">
        <f>IF(E114&lt;$C$7,E114,$C$7-C118)</f>
        <v>436.67999999999995</v>
      </c>
      <c r="E118" s="32">
        <f>IF(E114-D118&gt;0,E114-D118,0)</f>
        <v>197041.62000000008</v>
      </c>
    </row>
    <row r="119" spans="1:5">
      <c r="B119" s="17" t="str">
        <f>IF(E118&gt;0.005,"February","")</f>
        <v>February</v>
      </c>
      <c r="C119" s="32">
        <f t="shared" ref="C119:C129" si="18">IF(E118&gt;0,ROUND(E118*($E$5/1200),2),0)</f>
        <v>658.45</v>
      </c>
      <c r="D119" s="32">
        <f t="shared" ref="D119:D129" si="19">IF(E118&lt;$C$7,E118,$C$7-C119)</f>
        <v>438.13999999999987</v>
      </c>
      <c r="E119" s="32">
        <f t="shared" ref="E119:E129" si="20">IF(E118-D119&gt;0,E118-D119,0)</f>
        <v>196603.48000000007</v>
      </c>
    </row>
    <row r="120" spans="1:5">
      <c r="B120" s="17" t="str">
        <f>IF(E119&gt;0.005,"March","")</f>
        <v>March</v>
      </c>
      <c r="C120" s="32">
        <f t="shared" si="18"/>
        <v>656.98</v>
      </c>
      <c r="D120" s="32">
        <f t="shared" si="19"/>
        <v>439.6099999999999</v>
      </c>
      <c r="E120" s="32">
        <f t="shared" si="20"/>
        <v>196163.87000000008</v>
      </c>
    </row>
    <row r="121" spans="1:5">
      <c r="B121" s="17" t="str">
        <f>IF(E120&gt;0.005,"April","")</f>
        <v>April</v>
      </c>
      <c r="C121" s="32">
        <f t="shared" si="18"/>
        <v>655.51</v>
      </c>
      <c r="D121" s="32">
        <f t="shared" si="19"/>
        <v>441.07999999999993</v>
      </c>
      <c r="E121" s="32">
        <f t="shared" si="20"/>
        <v>195722.7900000001</v>
      </c>
    </row>
    <row r="122" spans="1:5">
      <c r="B122" s="17" t="str">
        <f>IF(E121&gt;0.005,"May","")</f>
        <v>May</v>
      </c>
      <c r="C122" s="32">
        <f t="shared" si="18"/>
        <v>654.04</v>
      </c>
      <c r="D122" s="32">
        <f t="shared" si="19"/>
        <v>442.54999999999995</v>
      </c>
      <c r="E122" s="32">
        <f t="shared" si="20"/>
        <v>195280.24000000011</v>
      </c>
    </row>
    <row r="123" spans="1:5">
      <c r="B123" s="17" t="str">
        <f>IF(E122&gt;0.005,"June","")</f>
        <v>June</v>
      </c>
      <c r="C123" s="32">
        <f t="shared" si="18"/>
        <v>652.55999999999995</v>
      </c>
      <c r="D123" s="32">
        <f t="shared" si="19"/>
        <v>444.03</v>
      </c>
      <c r="E123" s="32">
        <f t="shared" si="20"/>
        <v>194836.21000000011</v>
      </c>
    </row>
    <row r="124" spans="1:5">
      <c r="B124" s="17" t="str">
        <f>IF(E123&gt;0.005,"July","")</f>
        <v>July</v>
      </c>
      <c r="C124" s="32">
        <f t="shared" si="18"/>
        <v>651.08000000000004</v>
      </c>
      <c r="D124" s="32">
        <f t="shared" si="19"/>
        <v>445.50999999999988</v>
      </c>
      <c r="E124" s="32">
        <f t="shared" si="20"/>
        <v>194390.7000000001</v>
      </c>
    </row>
    <row r="125" spans="1:5">
      <c r="B125" s="17" t="str">
        <f>IF(E124&gt;0.005,"August","")</f>
        <v>August</v>
      </c>
      <c r="C125" s="32">
        <f t="shared" si="18"/>
        <v>649.59</v>
      </c>
      <c r="D125" s="32">
        <f t="shared" si="19"/>
        <v>446.99999999999989</v>
      </c>
      <c r="E125" s="32">
        <f t="shared" si="20"/>
        <v>193943.7000000001</v>
      </c>
    </row>
    <row r="126" spans="1:5">
      <c r="B126" s="17" t="str">
        <f>IF(E125&gt;0.005,"September","")</f>
        <v>September</v>
      </c>
      <c r="C126" s="32">
        <f t="shared" si="18"/>
        <v>648.1</v>
      </c>
      <c r="D126" s="32">
        <f t="shared" si="19"/>
        <v>448.4899999999999</v>
      </c>
      <c r="E126" s="32">
        <f t="shared" si="20"/>
        <v>193495.21000000011</v>
      </c>
    </row>
    <row r="127" spans="1:5">
      <c r="B127" s="17" t="str">
        <f>IF(E126&gt;0.005,"October","")</f>
        <v>October</v>
      </c>
      <c r="C127" s="32">
        <f t="shared" si="18"/>
        <v>646.6</v>
      </c>
      <c r="D127" s="32">
        <f t="shared" si="19"/>
        <v>449.9899999999999</v>
      </c>
      <c r="E127" s="32">
        <f t="shared" si="20"/>
        <v>193045.22000000012</v>
      </c>
    </row>
    <row r="128" spans="1:5">
      <c r="B128" s="17" t="str">
        <f>IF(E127&gt;0.005,"November","")</f>
        <v>November</v>
      </c>
      <c r="C128" s="32">
        <f t="shared" si="18"/>
        <v>645.09</v>
      </c>
      <c r="D128" s="32">
        <f t="shared" si="19"/>
        <v>451.49999999999989</v>
      </c>
      <c r="E128" s="32">
        <f t="shared" si="20"/>
        <v>192593.72000000012</v>
      </c>
    </row>
    <row r="129" spans="1:5">
      <c r="A129">
        <v>8</v>
      </c>
      <c r="B129" s="17" t="str">
        <f>IF(E128&gt;0.005,"December","")</f>
        <v>December</v>
      </c>
      <c r="C129" s="32">
        <f t="shared" si="18"/>
        <v>643.58000000000004</v>
      </c>
      <c r="D129" s="32">
        <f t="shared" si="19"/>
        <v>453.00999999999988</v>
      </c>
      <c r="E129" s="32">
        <f t="shared" si="20"/>
        <v>192140.71000000011</v>
      </c>
    </row>
    <row r="130" spans="1:5">
      <c r="B130" s="33" t="str">
        <f>"Total "&amp;YEAR($B$10)+7</f>
        <v>Total 2023</v>
      </c>
      <c r="C130" s="34">
        <f>SUM(C118:C129)</f>
        <v>7821.4900000000016</v>
      </c>
      <c r="D130" s="34">
        <f>SUM(D118:D129)</f>
        <v>5337.5899999999992</v>
      </c>
      <c r="E130" s="35"/>
    </row>
    <row r="131" spans="1:5">
      <c r="B131" s="18"/>
      <c r="C131" s="36"/>
      <c r="D131" s="36"/>
      <c r="E131" s="32"/>
    </row>
    <row r="132" spans="1:5">
      <c r="B132" s="23"/>
      <c r="C132" s="31" t="s">
        <v>63</v>
      </c>
      <c r="D132" s="31" t="s">
        <v>64</v>
      </c>
      <c r="E132" s="31" t="s">
        <v>65</v>
      </c>
    </row>
    <row r="133" spans="1:5">
      <c r="B133" s="17" t="str">
        <f>IF(E129&gt;0.005,"January","")</f>
        <v>January</v>
      </c>
      <c r="C133" s="32">
        <f>IF(E129&gt;0,ROUND(E129*($E$5/1200),2),0)</f>
        <v>642.07000000000005</v>
      </c>
      <c r="D133" s="32">
        <f>IF(E129&lt;$C$7,E129,$C$7-C133)</f>
        <v>454.51999999999987</v>
      </c>
      <c r="E133" s="32">
        <f>IF(E129-D133&gt;0,E129-D133,0)</f>
        <v>191686.19000000012</v>
      </c>
    </row>
    <row r="134" spans="1:5">
      <c r="B134" s="17" t="str">
        <f>IF(E133&gt;0.005,"February","")</f>
        <v>February</v>
      </c>
      <c r="C134" s="32">
        <f t="shared" ref="C134:C144" si="21">IF(E133&gt;0,ROUND(E133*($E$5/1200),2),0)</f>
        <v>640.54999999999995</v>
      </c>
      <c r="D134" s="32">
        <f t="shared" ref="D134:D144" si="22">IF(E133&lt;$C$7,E133,$C$7-C134)</f>
        <v>456.03999999999996</v>
      </c>
      <c r="E134" s="32">
        <f t="shared" ref="E134:E144" si="23">IF(E133-D134&gt;0,E133-D134,0)</f>
        <v>191230.15000000011</v>
      </c>
    </row>
    <row r="135" spans="1:5">
      <c r="B135" s="17" t="str">
        <f>IF(E134&gt;0.005,"March","")</f>
        <v>March</v>
      </c>
      <c r="C135" s="32">
        <f t="shared" si="21"/>
        <v>639.03</v>
      </c>
      <c r="D135" s="32">
        <f t="shared" si="22"/>
        <v>457.55999999999995</v>
      </c>
      <c r="E135" s="32">
        <f t="shared" si="23"/>
        <v>190772.59000000011</v>
      </c>
    </row>
    <row r="136" spans="1:5">
      <c r="B136" s="17" t="str">
        <f>IF(E135&gt;0.005,"April","")</f>
        <v>April</v>
      </c>
      <c r="C136" s="32">
        <f t="shared" si="21"/>
        <v>637.5</v>
      </c>
      <c r="D136" s="32">
        <f t="shared" si="22"/>
        <v>459.08999999999992</v>
      </c>
      <c r="E136" s="32">
        <f t="shared" si="23"/>
        <v>190313.50000000012</v>
      </c>
    </row>
    <row r="137" spans="1:5">
      <c r="B137" s="17" t="str">
        <f>IF(E136&gt;0.005,"May","")</f>
        <v>May</v>
      </c>
      <c r="C137" s="32">
        <f t="shared" si="21"/>
        <v>635.96</v>
      </c>
      <c r="D137" s="32">
        <f t="shared" si="22"/>
        <v>460.62999999999988</v>
      </c>
      <c r="E137" s="32">
        <f t="shared" si="23"/>
        <v>189852.87000000011</v>
      </c>
    </row>
    <row r="138" spans="1:5">
      <c r="B138" s="17" t="str">
        <f>IF(E137&gt;0.005,"June","")</f>
        <v>June</v>
      </c>
      <c r="C138" s="32">
        <f t="shared" si="21"/>
        <v>634.42999999999995</v>
      </c>
      <c r="D138" s="32">
        <f t="shared" si="22"/>
        <v>462.15999999999997</v>
      </c>
      <c r="E138" s="32">
        <f t="shared" si="23"/>
        <v>189390.71000000011</v>
      </c>
    </row>
    <row r="139" spans="1:5">
      <c r="B139" s="17" t="str">
        <f>IF(E138&gt;0.005,"July","")</f>
        <v>July</v>
      </c>
      <c r="C139" s="32">
        <f t="shared" si="21"/>
        <v>632.88</v>
      </c>
      <c r="D139" s="32">
        <f t="shared" si="22"/>
        <v>463.70999999999992</v>
      </c>
      <c r="E139" s="32">
        <f t="shared" si="23"/>
        <v>188927.00000000012</v>
      </c>
    </row>
    <row r="140" spans="1:5">
      <c r="B140" s="17" t="str">
        <f>IF(E139&gt;0.005,"August","")</f>
        <v>August</v>
      </c>
      <c r="C140" s="32">
        <f t="shared" si="21"/>
        <v>631.33000000000004</v>
      </c>
      <c r="D140" s="32">
        <f t="shared" si="22"/>
        <v>465.25999999999988</v>
      </c>
      <c r="E140" s="32">
        <f t="shared" si="23"/>
        <v>188461.74000000011</v>
      </c>
    </row>
    <row r="141" spans="1:5">
      <c r="B141" s="17" t="str">
        <f>IF(E140&gt;0.005,"September","")</f>
        <v>September</v>
      </c>
      <c r="C141" s="32">
        <f t="shared" si="21"/>
        <v>629.78</v>
      </c>
      <c r="D141" s="32">
        <f t="shared" si="22"/>
        <v>466.80999999999995</v>
      </c>
      <c r="E141" s="32">
        <f t="shared" si="23"/>
        <v>187994.93000000011</v>
      </c>
    </row>
    <row r="142" spans="1:5">
      <c r="B142" s="17" t="str">
        <f>IF(E141&gt;0.005,"October","")</f>
        <v>October</v>
      </c>
      <c r="C142" s="32">
        <f t="shared" si="21"/>
        <v>628.22</v>
      </c>
      <c r="D142" s="32">
        <f t="shared" si="22"/>
        <v>468.36999999999989</v>
      </c>
      <c r="E142" s="32">
        <f t="shared" si="23"/>
        <v>187526.56000000011</v>
      </c>
    </row>
    <row r="143" spans="1:5">
      <c r="B143" s="17" t="str">
        <f>IF(E142&gt;0.005,"November","")</f>
        <v>November</v>
      </c>
      <c r="C143" s="32">
        <f t="shared" si="21"/>
        <v>626.65</v>
      </c>
      <c r="D143" s="32">
        <f t="shared" si="22"/>
        <v>469.93999999999994</v>
      </c>
      <c r="E143" s="32">
        <f t="shared" si="23"/>
        <v>187056.62000000011</v>
      </c>
    </row>
    <row r="144" spans="1:5">
      <c r="A144">
        <v>9</v>
      </c>
      <c r="B144" s="17" t="str">
        <f>IF(E143&gt;0.005,"December","")</f>
        <v>December</v>
      </c>
      <c r="C144" s="32">
        <f t="shared" si="21"/>
        <v>625.08000000000004</v>
      </c>
      <c r="D144" s="32">
        <f t="shared" si="22"/>
        <v>471.50999999999988</v>
      </c>
      <c r="E144" s="32">
        <f t="shared" si="23"/>
        <v>186585.1100000001</v>
      </c>
    </row>
    <row r="145" spans="1:5">
      <c r="B145" s="33" t="str">
        <f>"Total "&amp;YEAR($B$10)+8</f>
        <v>Total 2024</v>
      </c>
      <c r="C145" s="34">
        <f>SUM(C133:C144)</f>
        <v>7603.4799999999987</v>
      </c>
      <c r="D145" s="34">
        <f>SUM(D133:D144)</f>
        <v>5555.5999999999985</v>
      </c>
      <c r="E145" s="35"/>
    </row>
    <row r="146" spans="1:5">
      <c r="B146" s="23"/>
      <c r="C146" s="32"/>
      <c r="D146" s="32"/>
      <c r="E146" s="32"/>
    </row>
    <row r="147" spans="1:5">
      <c r="B147" s="23"/>
      <c r="C147" s="31" t="s">
        <v>63</v>
      </c>
      <c r="D147" s="31" t="s">
        <v>64</v>
      </c>
      <c r="E147" s="31" t="s">
        <v>65</v>
      </c>
    </row>
    <row r="148" spans="1:5">
      <c r="B148" s="17" t="str">
        <f>IF(E144&gt;0.005,"January","")</f>
        <v>January</v>
      </c>
      <c r="C148" s="32">
        <f>IF(E144&gt;0,ROUND(E144*($E$5/1200),2),0)</f>
        <v>623.51</v>
      </c>
      <c r="D148" s="32">
        <f>IF(E144&lt;$C$7,E144,$C$7-C148)</f>
        <v>473.07999999999993</v>
      </c>
      <c r="E148" s="32">
        <f>IF(E144-D148&gt;0,E144-D148,0)</f>
        <v>186112.03000000012</v>
      </c>
    </row>
    <row r="149" spans="1:5">
      <c r="B149" s="17" t="str">
        <f>IF(E148&gt;0.005,"February","")</f>
        <v>February</v>
      </c>
      <c r="C149" s="32">
        <f t="shared" ref="C149:C159" si="24">IF(E148&gt;0,ROUND(E148*($E$5/1200),2),0)</f>
        <v>621.91999999999996</v>
      </c>
      <c r="D149" s="32">
        <f t="shared" ref="D149:D159" si="25">IF(E148&lt;$C$7,E148,$C$7-C149)</f>
        <v>474.66999999999996</v>
      </c>
      <c r="E149" s="32">
        <f t="shared" ref="E149:E159" si="26">IF(E148-D149&gt;0,E148-D149,0)</f>
        <v>185637.3600000001</v>
      </c>
    </row>
    <row r="150" spans="1:5">
      <c r="B150" s="17" t="str">
        <f>IF(E149&gt;0.005,"March","")</f>
        <v>March</v>
      </c>
      <c r="C150" s="32">
        <f t="shared" si="24"/>
        <v>620.34</v>
      </c>
      <c r="D150" s="32">
        <f t="shared" si="25"/>
        <v>476.24999999999989</v>
      </c>
      <c r="E150" s="32">
        <f t="shared" si="26"/>
        <v>185161.1100000001</v>
      </c>
    </row>
    <row r="151" spans="1:5">
      <c r="B151" s="17" t="str">
        <f>IF(E150&gt;0.005,"April","")</f>
        <v>April</v>
      </c>
      <c r="C151" s="32">
        <f t="shared" si="24"/>
        <v>618.75</v>
      </c>
      <c r="D151" s="32">
        <f t="shared" si="25"/>
        <v>477.83999999999992</v>
      </c>
      <c r="E151" s="32">
        <f t="shared" si="26"/>
        <v>184683.27000000011</v>
      </c>
    </row>
    <row r="152" spans="1:5">
      <c r="B152" s="17" t="str">
        <f>IF(E151&gt;0.005,"May","")</f>
        <v>May</v>
      </c>
      <c r="C152" s="32">
        <f t="shared" si="24"/>
        <v>617.15</v>
      </c>
      <c r="D152" s="32">
        <f t="shared" si="25"/>
        <v>479.43999999999994</v>
      </c>
      <c r="E152" s="32">
        <f t="shared" si="26"/>
        <v>184203.8300000001</v>
      </c>
    </row>
    <row r="153" spans="1:5">
      <c r="B153" s="17" t="str">
        <f>IF(E152&gt;0.005,"June","")</f>
        <v>June</v>
      </c>
      <c r="C153" s="32">
        <f t="shared" si="24"/>
        <v>615.54999999999995</v>
      </c>
      <c r="D153" s="32">
        <f t="shared" si="25"/>
        <v>481.03999999999996</v>
      </c>
      <c r="E153" s="32">
        <f t="shared" si="26"/>
        <v>183722.7900000001</v>
      </c>
    </row>
    <row r="154" spans="1:5">
      <c r="B154" s="17" t="str">
        <f>IF(E153&gt;0.005,"July","")</f>
        <v>July</v>
      </c>
      <c r="C154" s="32">
        <f t="shared" si="24"/>
        <v>613.94000000000005</v>
      </c>
      <c r="D154" s="32">
        <f t="shared" si="25"/>
        <v>482.64999999999986</v>
      </c>
      <c r="E154" s="32">
        <f t="shared" si="26"/>
        <v>183240.1400000001</v>
      </c>
    </row>
    <row r="155" spans="1:5">
      <c r="B155" s="17" t="str">
        <f>IF(E154&gt;0.005,"August","")</f>
        <v>August</v>
      </c>
      <c r="C155" s="32">
        <f t="shared" si="24"/>
        <v>612.33000000000004</v>
      </c>
      <c r="D155" s="32">
        <f t="shared" si="25"/>
        <v>484.25999999999988</v>
      </c>
      <c r="E155" s="32">
        <f t="shared" si="26"/>
        <v>182755.88000000009</v>
      </c>
    </row>
    <row r="156" spans="1:5">
      <c r="B156" s="17" t="str">
        <f>IF(E155&gt;0.005,"September","")</f>
        <v>September</v>
      </c>
      <c r="C156" s="32">
        <f t="shared" si="24"/>
        <v>610.71</v>
      </c>
      <c r="D156" s="32">
        <f t="shared" si="25"/>
        <v>485.87999999999988</v>
      </c>
      <c r="E156" s="32">
        <f t="shared" si="26"/>
        <v>182270.00000000009</v>
      </c>
    </row>
    <row r="157" spans="1:5">
      <c r="B157" s="17" t="str">
        <f>IF(E156&gt;0.005,"October","")</f>
        <v>October</v>
      </c>
      <c r="C157" s="32">
        <f t="shared" si="24"/>
        <v>609.09</v>
      </c>
      <c r="D157" s="32">
        <f t="shared" si="25"/>
        <v>487.49999999999989</v>
      </c>
      <c r="E157" s="32">
        <f t="shared" si="26"/>
        <v>181782.50000000009</v>
      </c>
    </row>
    <row r="158" spans="1:5">
      <c r="B158" s="17" t="str">
        <f>IF(E157&gt;0.005,"November","")</f>
        <v>November</v>
      </c>
      <c r="C158" s="32">
        <f t="shared" si="24"/>
        <v>607.46</v>
      </c>
      <c r="D158" s="32">
        <f t="shared" si="25"/>
        <v>489.12999999999988</v>
      </c>
      <c r="E158" s="32">
        <f t="shared" si="26"/>
        <v>181293.37000000008</v>
      </c>
    </row>
    <row r="159" spans="1:5">
      <c r="A159">
        <v>10</v>
      </c>
      <c r="B159" s="17" t="str">
        <f>IF(E158&gt;0.005,"December","")</f>
        <v>December</v>
      </c>
      <c r="C159" s="32">
        <f t="shared" si="24"/>
        <v>605.82000000000005</v>
      </c>
      <c r="D159" s="32">
        <f t="shared" si="25"/>
        <v>490.76999999999987</v>
      </c>
      <c r="E159" s="32">
        <f t="shared" si="26"/>
        <v>180802.60000000009</v>
      </c>
    </row>
    <row r="160" spans="1:5">
      <c r="B160" s="33" t="str">
        <f>"Total "&amp;YEAR($B$10)+9</f>
        <v>Total 2025</v>
      </c>
      <c r="C160" s="34">
        <f>SUM(C148:C159)</f>
        <v>7376.57</v>
      </c>
      <c r="D160" s="34">
        <f>SUM(D148:D159)</f>
        <v>5782.5099999999984</v>
      </c>
      <c r="E160" s="35"/>
    </row>
    <row r="161" spans="1:5">
      <c r="B161" s="23"/>
      <c r="C161" s="32"/>
      <c r="D161" s="32"/>
      <c r="E161" s="32"/>
    </row>
    <row r="162" spans="1:5">
      <c r="B162" s="23"/>
      <c r="C162" s="31" t="s">
        <v>63</v>
      </c>
      <c r="D162" s="31" t="s">
        <v>64</v>
      </c>
      <c r="E162" s="31" t="s">
        <v>65</v>
      </c>
    </row>
    <row r="163" spans="1:5">
      <c r="B163" s="17" t="str">
        <f>IF(E159&gt;0.005,"January","")</f>
        <v>January</v>
      </c>
      <c r="C163" s="32">
        <f>IF(E159&gt;0,ROUND(E159*($E$5/1200),2),0)</f>
        <v>604.17999999999995</v>
      </c>
      <c r="D163" s="32">
        <f>IF(E159&lt;$C$7,E159,$C$7-C163)</f>
        <v>492.40999999999997</v>
      </c>
      <c r="E163" s="32">
        <f>IF(E159-D163&gt;0,E159-D163,0)</f>
        <v>180310.19000000009</v>
      </c>
    </row>
    <row r="164" spans="1:5">
      <c r="B164" s="17" t="str">
        <f>IF(E163&gt;0.005,"February","")</f>
        <v>February</v>
      </c>
      <c r="C164" s="32">
        <f t="shared" ref="C164:C174" si="27">IF(E163&gt;0,ROUND(E163*($E$5/1200),2),0)</f>
        <v>602.54</v>
      </c>
      <c r="D164" s="32">
        <f t="shared" ref="D164:D174" si="28">IF(E163&lt;$C$7,E163,$C$7-C164)</f>
        <v>494.04999999999995</v>
      </c>
      <c r="E164" s="32">
        <f t="shared" ref="E164:E174" si="29">IF(E163-D164&gt;0,E163-D164,0)</f>
        <v>179816.1400000001</v>
      </c>
    </row>
    <row r="165" spans="1:5">
      <c r="B165" s="17" t="str">
        <f>IF(E164&gt;0.005,"March","")</f>
        <v>March</v>
      </c>
      <c r="C165" s="32">
        <f t="shared" si="27"/>
        <v>600.89</v>
      </c>
      <c r="D165" s="32">
        <f t="shared" si="28"/>
        <v>495.69999999999993</v>
      </c>
      <c r="E165" s="32">
        <f t="shared" si="29"/>
        <v>179320.44000000009</v>
      </c>
    </row>
    <row r="166" spans="1:5">
      <c r="B166" s="17" t="str">
        <f>IF(E165&gt;0.005,"April","")</f>
        <v>April</v>
      </c>
      <c r="C166" s="32">
        <f t="shared" si="27"/>
        <v>599.23</v>
      </c>
      <c r="D166" s="32">
        <f t="shared" si="28"/>
        <v>497.3599999999999</v>
      </c>
      <c r="E166" s="32">
        <f t="shared" si="29"/>
        <v>178823.0800000001</v>
      </c>
    </row>
    <row r="167" spans="1:5">
      <c r="B167" s="17" t="str">
        <f>IF(E166&gt;0.005,"May","")</f>
        <v>May</v>
      </c>
      <c r="C167" s="32">
        <f t="shared" si="27"/>
        <v>597.57000000000005</v>
      </c>
      <c r="D167" s="32">
        <f t="shared" si="28"/>
        <v>499.01999999999987</v>
      </c>
      <c r="E167" s="32">
        <f t="shared" si="29"/>
        <v>178324.06000000011</v>
      </c>
    </row>
    <row r="168" spans="1:5">
      <c r="B168" s="17" t="str">
        <f>IF(E167&gt;0.005,"June","")</f>
        <v>June</v>
      </c>
      <c r="C168" s="32">
        <f t="shared" si="27"/>
        <v>595.9</v>
      </c>
      <c r="D168" s="32">
        <f t="shared" si="28"/>
        <v>500.68999999999994</v>
      </c>
      <c r="E168" s="32">
        <f t="shared" si="29"/>
        <v>177823.37000000011</v>
      </c>
    </row>
    <row r="169" spans="1:5">
      <c r="B169" s="17" t="str">
        <f>IF(E168&gt;0.005,"July","")</f>
        <v>July</v>
      </c>
      <c r="C169" s="32">
        <f t="shared" si="27"/>
        <v>594.23</v>
      </c>
      <c r="D169" s="32">
        <f t="shared" si="28"/>
        <v>502.3599999999999</v>
      </c>
      <c r="E169" s="32">
        <f t="shared" si="29"/>
        <v>177321.01000000013</v>
      </c>
    </row>
    <row r="170" spans="1:5">
      <c r="B170" s="17" t="str">
        <f>IF(E169&gt;0.005,"August","")</f>
        <v>August</v>
      </c>
      <c r="C170" s="32">
        <f t="shared" si="27"/>
        <v>592.54999999999995</v>
      </c>
      <c r="D170" s="32">
        <f t="shared" si="28"/>
        <v>504.03999999999996</v>
      </c>
      <c r="E170" s="32">
        <f t="shared" si="29"/>
        <v>176816.97000000012</v>
      </c>
    </row>
    <row r="171" spans="1:5">
      <c r="B171" s="17" t="str">
        <f>IF(E170&gt;0.005,"September","")</f>
        <v>September</v>
      </c>
      <c r="C171" s="32">
        <f t="shared" si="27"/>
        <v>590.86</v>
      </c>
      <c r="D171" s="32">
        <f t="shared" si="28"/>
        <v>505.7299999999999</v>
      </c>
      <c r="E171" s="32">
        <f t="shared" si="29"/>
        <v>176311.24000000011</v>
      </c>
    </row>
    <row r="172" spans="1:5">
      <c r="B172" s="17" t="str">
        <f>IF(E171&gt;0.005,"October","")</f>
        <v>October</v>
      </c>
      <c r="C172" s="32">
        <f t="shared" si="27"/>
        <v>589.16999999999996</v>
      </c>
      <c r="D172" s="32">
        <f t="shared" si="28"/>
        <v>507.41999999999996</v>
      </c>
      <c r="E172" s="32">
        <f t="shared" si="29"/>
        <v>175803.82000000009</v>
      </c>
    </row>
    <row r="173" spans="1:5">
      <c r="B173" s="17" t="str">
        <f>IF(E172&gt;0.005,"November","")</f>
        <v>November</v>
      </c>
      <c r="C173" s="32">
        <f t="shared" si="27"/>
        <v>587.48</v>
      </c>
      <c r="D173" s="32">
        <f t="shared" si="28"/>
        <v>509.1099999999999</v>
      </c>
      <c r="E173" s="32">
        <f t="shared" si="29"/>
        <v>175294.71000000011</v>
      </c>
    </row>
    <row r="174" spans="1:5">
      <c r="A174">
        <v>11</v>
      </c>
      <c r="B174" s="17" t="str">
        <f>IF(E173&gt;0.005,"December","")</f>
        <v>December</v>
      </c>
      <c r="C174" s="32">
        <f t="shared" si="27"/>
        <v>585.78</v>
      </c>
      <c r="D174" s="32">
        <f t="shared" si="28"/>
        <v>510.80999999999995</v>
      </c>
      <c r="E174" s="32">
        <f t="shared" si="29"/>
        <v>174783.90000000011</v>
      </c>
    </row>
    <row r="175" spans="1:5">
      <c r="B175" s="33" t="str">
        <f>"Total "&amp;YEAR($B$10)+10</f>
        <v>Total 2026</v>
      </c>
      <c r="C175" s="34">
        <f>SUM(C163:C174)</f>
        <v>7140.38</v>
      </c>
      <c r="D175" s="34">
        <f>SUM(D163:D174)</f>
        <v>6018.6999999999989</v>
      </c>
      <c r="E175" s="35"/>
    </row>
    <row r="176" spans="1:5">
      <c r="B176" s="18"/>
      <c r="C176" s="36"/>
      <c r="D176" s="36"/>
      <c r="E176" s="32"/>
    </row>
    <row r="177" spans="1:5">
      <c r="B177" s="23"/>
      <c r="C177" s="31" t="s">
        <v>63</v>
      </c>
      <c r="D177" s="31" t="s">
        <v>64</v>
      </c>
      <c r="E177" s="31" t="s">
        <v>65</v>
      </c>
    </row>
    <row r="178" spans="1:5">
      <c r="B178" s="17" t="str">
        <f>IF(E174&gt;0.005,"January","")</f>
        <v>January</v>
      </c>
      <c r="C178" s="32">
        <f>IF(E174&gt;0,ROUND(E174*($E$5/1200),2),0)</f>
        <v>584.07000000000005</v>
      </c>
      <c r="D178" s="32">
        <f>IF(E174&lt;$C$7,E174,$C$7-C178)</f>
        <v>512.51999999999987</v>
      </c>
      <c r="E178" s="32">
        <f>IF(E174-D178&gt;0,E174-D178,0)</f>
        <v>174271.38000000012</v>
      </c>
    </row>
    <row r="179" spans="1:5">
      <c r="B179" s="17" t="str">
        <f>IF(E178&gt;0.005,"February","")</f>
        <v>February</v>
      </c>
      <c r="C179" s="32">
        <f t="shared" ref="C179:C189" si="30">IF(E178&gt;0,ROUND(E178*($E$5/1200),2),0)</f>
        <v>582.36</v>
      </c>
      <c r="D179" s="32">
        <f t="shared" ref="D179:D189" si="31">IF(E178&lt;$C$7,E178,$C$7-C179)</f>
        <v>514.2299999999999</v>
      </c>
      <c r="E179" s="32">
        <f t="shared" ref="E179:E189" si="32">IF(E178-D179&gt;0,E178-D179,0)</f>
        <v>173757.15000000011</v>
      </c>
    </row>
    <row r="180" spans="1:5">
      <c r="B180" s="17" t="str">
        <f>IF(E179&gt;0.005,"March","")</f>
        <v>March</v>
      </c>
      <c r="C180" s="32">
        <f t="shared" si="30"/>
        <v>580.64</v>
      </c>
      <c r="D180" s="32">
        <f t="shared" si="31"/>
        <v>515.94999999999993</v>
      </c>
      <c r="E180" s="32">
        <f t="shared" si="32"/>
        <v>173241.2000000001</v>
      </c>
    </row>
    <row r="181" spans="1:5">
      <c r="B181" s="17" t="str">
        <f>IF(E180&gt;0.005,"April","")</f>
        <v>April</v>
      </c>
      <c r="C181" s="32">
        <f t="shared" si="30"/>
        <v>578.91</v>
      </c>
      <c r="D181" s="32">
        <f t="shared" si="31"/>
        <v>517.67999999999995</v>
      </c>
      <c r="E181" s="32">
        <f t="shared" si="32"/>
        <v>172723.52000000011</v>
      </c>
    </row>
    <row r="182" spans="1:5">
      <c r="B182" s="17" t="str">
        <f>IF(E181&gt;0.005,"May","")</f>
        <v>May</v>
      </c>
      <c r="C182" s="32">
        <f t="shared" si="30"/>
        <v>577.17999999999995</v>
      </c>
      <c r="D182" s="32">
        <f t="shared" si="31"/>
        <v>519.41</v>
      </c>
      <c r="E182" s="32">
        <f t="shared" si="32"/>
        <v>172204.1100000001</v>
      </c>
    </row>
    <row r="183" spans="1:5">
      <c r="B183" s="17" t="str">
        <f>IF(E182&gt;0.005,"June","")</f>
        <v>June</v>
      </c>
      <c r="C183" s="32">
        <f t="shared" si="30"/>
        <v>575.45000000000005</v>
      </c>
      <c r="D183" s="32">
        <f t="shared" si="31"/>
        <v>521.13999999999987</v>
      </c>
      <c r="E183" s="32">
        <f t="shared" si="32"/>
        <v>171682.97000000009</v>
      </c>
    </row>
    <row r="184" spans="1:5">
      <c r="B184" s="17" t="str">
        <f>IF(E183&gt;0.005,"July","")</f>
        <v>July</v>
      </c>
      <c r="C184" s="32">
        <f t="shared" si="30"/>
        <v>573.71</v>
      </c>
      <c r="D184" s="32">
        <f t="shared" si="31"/>
        <v>522.87999999999988</v>
      </c>
      <c r="E184" s="32">
        <f t="shared" si="32"/>
        <v>171160.09000000008</v>
      </c>
    </row>
    <row r="185" spans="1:5">
      <c r="B185" s="17" t="str">
        <f>IF(E184&gt;0.005,"August","")</f>
        <v>August</v>
      </c>
      <c r="C185" s="32">
        <f t="shared" si="30"/>
        <v>571.96</v>
      </c>
      <c r="D185" s="32">
        <f t="shared" si="31"/>
        <v>524.62999999999988</v>
      </c>
      <c r="E185" s="32">
        <f t="shared" si="32"/>
        <v>170635.46000000008</v>
      </c>
    </row>
    <row r="186" spans="1:5">
      <c r="B186" s="17" t="str">
        <f>IF(E185&gt;0.005,"September","")</f>
        <v>September</v>
      </c>
      <c r="C186" s="32">
        <f t="shared" si="30"/>
        <v>570.21</v>
      </c>
      <c r="D186" s="32">
        <f t="shared" si="31"/>
        <v>526.37999999999988</v>
      </c>
      <c r="E186" s="32">
        <f t="shared" si="32"/>
        <v>170109.08000000007</v>
      </c>
    </row>
    <row r="187" spans="1:5">
      <c r="B187" s="17" t="str">
        <f>IF(E186&gt;0.005,"October","")</f>
        <v>October</v>
      </c>
      <c r="C187" s="32">
        <f t="shared" si="30"/>
        <v>568.45000000000005</v>
      </c>
      <c r="D187" s="32">
        <f t="shared" si="31"/>
        <v>528.13999999999987</v>
      </c>
      <c r="E187" s="32">
        <f t="shared" si="32"/>
        <v>169580.94000000006</v>
      </c>
    </row>
    <row r="188" spans="1:5">
      <c r="B188" s="17" t="str">
        <f>IF(E187&gt;0.005,"November","")</f>
        <v>November</v>
      </c>
      <c r="C188" s="32">
        <f t="shared" si="30"/>
        <v>566.67999999999995</v>
      </c>
      <c r="D188" s="32">
        <f t="shared" si="31"/>
        <v>529.91</v>
      </c>
      <c r="E188" s="32">
        <f t="shared" si="32"/>
        <v>169051.03000000006</v>
      </c>
    </row>
    <row r="189" spans="1:5">
      <c r="A189">
        <v>12</v>
      </c>
      <c r="B189" s="17" t="str">
        <f>IF(E188&gt;0.005,"December","")</f>
        <v>December</v>
      </c>
      <c r="C189" s="32">
        <f t="shared" si="30"/>
        <v>564.91</v>
      </c>
      <c r="D189" s="32">
        <f t="shared" si="31"/>
        <v>531.67999999999995</v>
      </c>
      <c r="E189" s="32">
        <f t="shared" si="32"/>
        <v>168519.35000000006</v>
      </c>
    </row>
    <row r="190" spans="1:5">
      <c r="B190" s="33" t="str">
        <f>"Total "&amp;YEAR($B$10)+11</f>
        <v>Total 2027</v>
      </c>
      <c r="C190" s="34">
        <f>SUM(C178:C189)</f>
        <v>6894.53</v>
      </c>
      <c r="D190" s="34">
        <f>SUM(D178:D189)</f>
        <v>6264.5499999999993</v>
      </c>
      <c r="E190" s="35"/>
    </row>
    <row r="191" spans="1:5">
      <c r="B191" s="23"/>
      <c r="C191" s="32"/>
      <c r="D191" s="32"/>
      <c r="E191" s="32"/>
    </row>
    <row r="192" spans="1:5">
      <c r="B192" s="23"/>
      <c r="C192" s="31" t="s">
        <v>63</v>
      </c>
      <c r="D192" s="31" t="s">
        <v>64</v>
      </c>
      <c r="E192" s="31" t="s">
        <v>65</v>
      </c>
    </row>
    <row r="193" spans="1:5">
      <c r="B193" s="17" t="str">
        <f>IF(E189&gt;0.005,"January","")</f>
        <v>January</v>
      </c>
      <c r="C193" s="32">
        <f>IF(E189&gt;0,ROUND(E189*($E$5/1200),2),0)</f>
        <v>563.14</v>
      </c>
      <c r="D193" s="32">
        <f>IF(E189&lt;$C$7,E189,$C$7-C193)</f>
        <v>533.44999999999993</v>
      </c>
      <c r="E193" s="32">
        <f>IF(E189-D193&gt;0,E189-D193,0)</f>
        <v>167985.90000000005</v>
      </c>
    </row>
    <row r="194" spans="1:5">
      <c r="B194" s="17" t="str">
        <f>IF(E193&gt;0.005,"February","")</f>
        <v>February</v>
      </c>
      <c r="C194" s="32">
        <f t="shared" ref="C194:C204" si="33">IF(E193&gt;0,ROUND(E193*($E$5/1200),2),0)</f>
        <v>561.35</v>
      </c>
      <c r="D194" s="32">
        <f t="shared" ref="D194:D204" si="34">IF(E193&lt;$C$7,E193,$C$7-C194)</f>
        <v>535.2399999999999</v>
      </c>
      <c r="E194" s="32">
        <f t="shared" ref="E194:E204" si="35">IF(E193-D194&gt;0,E193-D194,0)</f>
        <v>167450.66000000006</v>
      </c>
    </row>
    <row r="195" spans="1:5">
      <c r="B195" s="17" t="str">
        <f>IF(E194&gt;0.005,"March","")</f>
        <v>March</v>
      </c>
      <c r="C195" s="32">
        <f t="shared" si="33"/>
        <v>559.55999999999995</v>
      </c>
      <c r="D195" s="32">
        <f t="shared" si="34"/>
        <v>537.03</v>
      </c>
      <c r="E195" s="32">
        <f t="shared" si="35"/>
        <v>166913.63000000006</v>
      </c>
    </row>
    <row r="196" spans="1:5">
      <c r="B196" s="17" t="str">
        <f>IF(E195&gt;0.005,"April","")</f>
        <v>April</v>
      </c>
      <c r="C196" s="32">
        <f t="shared" si="33"/>
        <v>557.77</v>
      </c>
      <c r="D196" s="32">
        <f t="shared" si="34"/>
        <v>538.81999999999994</v>
      </c>
      <c r="E196" s="32">
        <f t="shared" si="35"/>
        <v>166374.81000000006</v>
      </c>
    </row>
    <row r="197" spans="1:5">
      <c r="B197" s="17" t="str">
        <f>IF(E196&gt;0.005,"May","")</f>
        <v>May</v>
      </c>
      <c r="C197" s="32">
        <f t="shared" si="33"/>
        <v>555.97</v>
      </c>
      <c r="D197" s="32">
        <f t="shared" si="34"/>
        <v>540.61999999999989</v>
      </c>
      <c r="E197" s="32">
        <f t="shared" si="35"/>
        <v>165834.19000000006</v>
      </c>
    </row>
    <row r="198" spans="1:5">
      <c r="B198" s="17" t="str">
        <f>IF(E197&gt;0.005,"June","")</f>
        <v>June</v>
      </c>
      <c r="C198" s="32">
        <f t="shared" si="33"/>
        <v>554.16</v>
      </c>
      <c r="D198" s="32">
        <f t="shared" si="34"/>
        <v>542.42999999999995</v>
      </c>
      <c r="E198" s="32">
        <f t="shared" si="35"/>
        <v>165291.76000000007</v>
      </c>
    </row>
    <row r="199" spans="1:5">
      <c r="B199" s="17" t="str">
        <f>IF(E198&gt;0.005,"July","")</f>
        <v>July</v>
      </c>
      <c r="C199" s="32">
        <f t="shared" si="33"/>
        <v>552.35</v>
      </c>
      <c r="D199" s="32">
        <f t="shared" si="34"/>
        <v>544.2399999999999</v>
      </c>
      <c r="E199" s="32">
        <f t="shared" si="35"/>
        <v>164747.52000000008</v>
      </c>
    </row>
    <row r="200" spans="1:5">
      <c r="B200" s="17" t="str">
        <f>IF(E199&gt;0.005,"August","")</f>
        <v>August</v>
      </c>
      <c r="C200" s="32">
        <f t="shared" si="33"/>
        <v>550.53</v>
      </c>
      <c r="D200" s="32">
        <f t="shared" si="34"/>
        <v>546.05999999999995</v>
      </c>
      <c r="E200" s="32">
        <f t="shared" si="35"/>
        <v>164201.46000000008</v>
      </c>
    </row>
    <row r="201" spans="1:5">
      <c r="B201" s="17" t="str">
        <f>IF(E200&gt;0.005,"September","")</f>
        <v>September</v>
      </c>
      <c r="C201" s="32">
        <f t="shared" si="33"/>
        <v>548.71</v>
      </c>
      <c r="D201" s="32">
        <f t="shared" si="34"/>
        <v>547.87999999999988</v>
      </c>
      <c r="E201" s="32">
        <f t="shared" si="35"/>
        <v>163653.58000000007</v>
      </c>
    </row>
    <row r="202" spans="1:5">
      <c r="B202" s="17" t="str">
        <f>IF(E201&gt;0.005,"October","")</f>
        <v>October</v>
      </c>
      <c r="C202" s="32">
        <f t="shared" si="33"/>
        <v>546.88</v>
      </c>
      <c r="D202" s="32">
        <f t="shared" si="34"/>
        <v>549.70999999999992</v>
      </c>
      <c r="E202" s="32">
        <f t="shared" si="35"/>
        <v>163103.87000000008</v>
      </c>
    </row>
    <row r="203" spans="1:5">
      <c r="B203" s="17" t="str">
        <f>IF(E202&gt;0.005,"November","")</f>
        <v>November</v>
      </c>
      <c r="C203" s="32">
        <f t="shared" si="33"/>
        <v>545.04</v>
      </c>
      <c r="D203" s="32">
        <f t="shared" si="34"/>
        <v>551.54999999999995</v>
      </c>
      <c r="E203" s="32">
        <f t="shared" si="35"/>
        <v>162552.32000000009</v>
      </c>
    </row>
    <row r="204" spans="1:5">
      <c r="A204">
        <v>13</v>
      </c>
      <c r="B204" s="17" t="str">
        <f>IF(E203&gt;0.005,"December","")</f>
        <v>December</v>
      </c>
      <c r="C204" s="32">
        <f t="shared" si="33"/>
        <v>543.20000000000005</v>
      </c>
      <c r="D204" s="32">
        <f t="shared" si="34"/>
        <v>553.38999999999987</v>
      </c>
      <c r="E204" s="32">
        <f t="shared" si="35"/>
        <v>161998.93000000008</v>
      </c>
    </row>
    <row r="205" spans="1:5">
      <c r="B205" s="33" t="str">
        <f>"Total "&amp;YEAR($B$10)+12</f>
        <v>Total 2028</v>
      </c>
      <c r="C205" s="34">
        <f>SUM(C193:C204)</f>
        <v>6638.66</v>
      </c>
      <c r="D205" s="34">
        <f>SUM(D193:D204)</f>
        <v>6520.42</v>
      </c>
      <c r="E205" s="35"/>
    </row>
    <row r="206" spans="1:5">
      <c r="B206" s="23"/>
      <c r="C206" s="32"/>
      <c r="D206" s="32"/>
      <c r="E206" s="32"/>
    </row>
    <row r="207" spans="1:5">
      <c r="B207" s="23"/>
      <c r="C207" s="31" t="s">
        <v>63</v>
      </c>
      <c r="D207" s="31" t="s">
        <v>64</v>
      </c>
      <c r="E207" s="31" t="s">
        <v>65</v>
      </c>
    </row>
    <row r="208" spans="1:5">
      <c r="B208" s="17" t="str">
        <f>IF(E204&gt;0.005,"January","")</f>
        <v>January</v>
      </c>
      <c r="C208" s="32">
        <f>IF(E204&gt;0,ROUND(E204*($E$5/1200),2),0)</f>
        <v>541.35</v>
      </c>
      <c r="D208" s="32">
        <f>IF(E204&lt;$C$7,E204,$C$7-C208)</f>
        <v>555.2399999999999</v>
      </c>
      <c r="E208" s="32">
        <f>IF(E204-D208&gt;0,E204-D208,0)</f>
        <v>161443.69000000009</v>
      </c>
    </row>
    <row r="209" spans="1:5">
      <c r="B209" s="17" t="str">
        <f>IF(E208&gt;0.005,"February","")</f>
        <v>February</v>
      </c>
      <c r="C209" s="32">
        <f t="shared" ref="C209:C219" si="36">IF(E208&gt;0,ROUND(E208*($E$5/1200),2),0)</f>
        <v>539.49</v>
      </c>
      <c r="D209" s="32">
        <f t="shared" ref="D209:D219" si="37">IF(E208&lt;$C$7,E208,$C$7-C209)</f>
        <v>557.09999999999991</v>
      </c>
      <c r="E209" s="32">
        <f t="shared" ref="E209:E219" si="38">IF(E208-D209&gt;0,E208-D209,0)</f>
        <v>160886.59000000008</v>
      </c>
    </row>
    <row r="210" spans="1:5">
      <c r="B210" s="17" t="str">
        <f>IF(E209&gt;0.005,"March","")</f>
        <v>March</v>
      </c>
      <c r="C210" s="32">
        <f t="shared" si="36"/>
        <v>537.63</v>
      </c>
      <c r="D210" s="32">
        <f t="shared" si="37"/>
        <v>558.95999999999992</v>
      </c>
      <c r="E210" s="32">
        <f t="shared" si="38"/>
        <v>160327.63000000009</v>
      </c>
    </row>
    <row r="211" spans="1:5">
      <c r="B211" s="17" t="str">
        <f>IF(E210&gt;0.005,"April","")</f>
        <v>April</v>
      </c>
      <c r="C211" s="32">
        <f t="shared" si="36"/>
        <v>535.76</v>
      </c>
      <c r="D211" s="32">
        <f t="shared" si="37"/>
        <v>560.82999999999993</v>
      </c>
      <c r="E211" s="32">
        <f t="shared" si="38"/>
        <v>159766.8000000001</v>
      </c>
    </row>
    <row r="212" spans="1:5">
      <c r="B212" s="17" t="str">
        <f>IF(E211&gt;0.005,"May","")</f>
        <v>May</v>
      </c>
      <c r="C212" s="32">
        <f t="shared" si="36"/>
        <v>533.89</v>
      </c>
      <c r="D212" s="32">
        <f t="shared" si="37"/>
        <v>562.69999999999993</v>
      </c>
      <c r="E212" s="32">
        <f t="shared" si="38"/>
        <v>159204.10000000009</v>
      </c>
    </row>
    <row r="213" spans="1:5">
      <c r="B213" s="17" t="str">
        <f>IF(E212&gt;0.005,"June","")</f>
        <v>June</v>
      </c>
      <c r="C213" s="32">
        <f t="shared" si="36"/>
        <v>532.01</v>
      </c>
      <c r="D213" s="32">
        <f t="shared" si="37"/>
        <v>564.57999999999993</v>
      </c>
      <c r="E213" s="32">
        <f t="shared" si="38"/>
        <v>158639.52000000011</v>
      </c>
    </row>
    <row r="214" spans="1:5">
      <c r="B214" s="17" t="str">
        <f>IF(E213&gt;0.005,"July","")</f>
        <v>July</v>
      </c>
      <c r="C214" s="32">
        <f t="shared" si="36"/>
        <v>530.12</v>
      </c>
      <c r="D214" s="32">
        <f t="shared" si="37"/>
        <v>566.46999999999991</v>
      </c>
      <c r="E214" s="32">
        <f t="shared" si="38"/>
        <v>158073.0500000001</v>
      </c>
    </row>
    <row r="215" spans="1:5">
      <c r="B215" s="17" t="str">
        <f>IF(E214&gt;0.005,"August","")</f>
        <v>August</v>
      </c>
      <c r="C215" s="32">
        <f t="shared" si="36"/>
        <v>528.23</v>
      </c>
      <c r="D215" s="32">
        <f t="shared" si="37"/>
        <v>568.3599999999999</v>
      </c>
      <c r="E215" s="32">
        <f t="shared" si="38"/>
        <v>157504.69000000012</v>
      </c>
    </row>
    <row r="216" spans="1:5">
      <c r="B216" s="17" t="str">
        <f>IF(E215&gt;0.005,"September","")</f>
        <v>September</v>
      </c>
      <c r="C216" s="32">
        <f t="shared" si="36"/>
        <v>526.33000000000004</v>
      </c>
      <c r="D216" s="32">
        <f t="shared" si="37"/>
        <v>570.25999999999988</v>
      </c>
      <c r="E216" s="32">
        <f t="shared" si="38"/>
        <v>156934.43000000011</v>
      </c>
    </row>
    <row r="217" spans="1:5">
      <c r="B217" s="17" t="str">
        <f>IF(E216&gt;0.005,"October","")</f>
        <v>October</v>
      </c>
      <c r="C217" s="32">
        <f t="shared" si="36"/>
        <v>524.41999999999996</v>
      </c>
      <c r="D217" s="32">
        <f t="shared" si="37"/>
        <v>572.16999999999996</v>
      </c>
      <c r="E217" s="32">
        <f t="shared" si="38"/>
        <v>156362.2600000001</v>
      </c>
    </row>
    <row r="218" spans="1:5">
      <c r="B218" s="17" t="str">
        <f>IF(E217&gt;0.005,"November","")</f>
        <v>November</v>
      </c>
      <c r="C218" s="32">
        <f t="shared" si="36"/>
        <v>522.51</v>
      </c>
      <c r="D218" s="32">
        <f t="shared" si="37"/>
        <v>574.07999999999993</v>
      </c>
      <c r="E218" s="32">
        <f t="shared" si="38"/>
        <v>155788.18000000011</v>
      </c>
    </row>
    <row r="219" spans="1:5">
      <c r="A219">
        <v>14</v>
      </c>
      <c r="B219" s="17" t="str">
        <f>IF(E218&gt;0.005,"December","")</f>
        <v>December</v>
      </c>
      <c r="C219" s="32">
        <f t="shared" si="36"/>
        <v>520.59</v>
      </c>
      <c r="D219" s="32">
        <f t="shared" si="37"/>
        <v>575.99999999999989</v>
      </c>
      <c r="E219" s="32">
        <f t="shared" si="38"/>
        <v>155212.18000000011</v>
      </c>
    </row>
    <row r="220" spans="1:5">
      <c r="B220" s="33" t="str">
        <f>"Total "&amp;YEAR($B$10)+13</f>
        <v>Total 2029</v>
      </c>
      <c r="C220" s="34">
        <f>SUM(C208:C219)</f>
        <v>6372.33</v>
      </c>
      <c r="D220" s="34">
        <f>SUM(D208:D219)</f>
        <v>6786.7499999999991</v>
      </c>
      <c r="E220" s="35"/>
    </row>
    <row r="221" spans="1:5">
      <c r="B221" s="18"/>
      <c r="C221" s="36"/>
      <c r="D221" s="36"/>
      <c r="E221" s="32"/>
    </row>
    <row r="222" spans="1:5">
      <c r="B222" s="23"/>
      <c r="C222" s="31" t="s">
        <v>63</v>
      </c>
      <c r="D222" s="31" t="s">
        <v>64</v>
      </c>
      <c r="E222" s="31" t="s">
        <v>65</v>
      </c>
    </row>
    <row r="223" spans="1:5">
      <c r="B223" s="17" t="str">
        <f>IF(E219&gt;0.005,"January","")</f>
        <v>January</v>
      </c>
      <c r="C223" s="32">
        <f>IF(E219&gt;0,ROUND(E219*($E$5/1200),2),0)</f>
        <v>518.66999999999996</v>
      </c>
      <c r="D223" s="32">
        <f>IF(E219&lt;$C$7,E219,$C$7-C223)</f>
        <v>577.91999999999996</v>
      </c>
      <c r="E223" s="32">
        <f>IF(E219-D223&gt;0,E219-D223,0)</f>
        <v>154634.2600000001</v>
      </c>
    </row>
    <row r="224" spans="1:5">
      <c r="B224" s="17" t="str">
        <f>IF(E223&gt;0.005,"February","")</f>
        <v>February</v>
      </c>
      <c r="C224" s="32">
        <f t="shared" ref="C224:C234" si="39">IF(E223&gt;0,ROUND(E223*($E$5/1200),2),0)</f>
        <v>516.74</v>
      </c>
      <c r="D224" s="32">
        <f t="shared" ref="D224:D234" si="40">IF(E223&lt;$C$7,E223,$C$7-C224)</f>
        <v>579.84999999999991</v>
      </c>
      <c r="E224" s="32">
        <f t="shared" ref="E224:E234" si="41">IF(E223-D224&gt;0,E223-D224,0)</f>
        <v>154054.41000000009</v>
      </c>
    </row>
    <row r="225" spans="1:5">
      <c r="B225" s="17" t="str">
        <f>IF(E224&gt;0.005,"March","")</f>
        <v>March</v>
      </c>
      <c r="C225" s="32">
        <f t="shared" si="39"/>
        <v>514.79999999999995</v>
      </c>
      <c r="D225" s="32">
        <f t="shared" si="40"/>
        <v>581.79</v>
      </c>
      <c r="E225" s="32">
        <f t="shared" si="41"/>
        <v>153472.62000000008</v>
      </c>
    </row>
    <row r="226" spans="1:5">
      <c r="B226" s="17" t="str">
        <f>IF(E225&gt;0.005,"April","")</f>
        <v>April</v>
      </c>
      <c r="C226" s="32">
        <f t="shared" si="39"/>
        <v>512.85</v>
      </c>
      <c r="D226" s="32">
        <f t="shared" si="40"/>
        <v>583.7399999999999</v>
      </c>
      <c r="E226" s="32">
        <f t="shared" si="41"/>
        <v>152888.88000000009</v>
      </c>
    </row>
    <row r="227" spans="1:5">
      <c r="B227" s="17" t="str">
        <f>IF(E226&gt;0.005,"May","")</f>
        <v>May</v>
      </c>
      <c r="C227" s="32">
        <f t="shared" si="39"/>
        <v>510.9</v>
      </c>
      <c r="D227" s="32">
        <f t="shared" si="40"/>
        <v>585.68999999999994</v>
      </c>
      <c r="E227" s="32">
        <f t="shared" si="41"/>
        <v>152303.19000000009</v>
      </c>
    </row>
    <row r="228" spans="1:5">
      <c r="B228" s="17" t="str">
        <f>IF(E227&gt;0.005,"June","")</f>
        <v>June</v>
      </c>
      <c r="C228" s="32">
        <f t="shared" si="39"/>
        <v>508.95</v>
      </c>
      <c r="D228" s="32">
        <f t="shared" si="40"/>
        <v>587.63999999999987</v>
      </c>
      <c r="E228" s="32">
        <f t="shared" si="41"/>
        <v>151715.55000000008</v>
      </c>
    </row>
    <row r="229" spans="1:5">
      <c r="B229" s="17" t="str">
        <f>IF(E228&gt;0.005,"July","")</f>
        <v>July</v>
      </c>
      <c r="C229" s="32">
        <f t="shared" si="39"/>
        <v>506.98</v>
      </c>
      <c r="D229" s="32">
        <f t="shared" si="40"/>
        <v>589.6099999999999</v>
      </c>
      <c r="E229" s="32">
        <f t="shared" si="41"/>
        <v>151125.94000000009</v>
      </c>
    </row>
    <row r="230" spans="1:5">
      <c r="B230" s="17" t="str">
        <f>IF(E229&gt;0.005,"August","")</f>
        <v>August</v>
      </c>
      <c r="C230" s="32">
        <f t="shared" si="39"/>
        <v>505.01</v>
      </c>
      <c r="D230" s="32">
        <f t="shared" si="40"/>
        <v>591.57999999999993</v>
      </c>
      <c r="E230" s="32">
        <f t="shared" si="41"/>
        <v>150534.3600000001</v>
      </c>
    </row>
    <row r="231" spans="1:5">
      <c r="B231" s="17" t="str">
        <f>IF(E230&gt;0.005,"September","")</f>
        <v>September</v>
      </c>
      <c r="C231" s="32">
        <f t="shared" si="39"/>
        <v>503.04</v>
      </c>
      <c r="D231" s="32">
        <f t="shared" si="40"/>
        <v>593.54999999999995</v>
      </c>
      <c r="E231" s="32">
        <f t="shared" si="41"/>
        <v>149940.81000000011</v>
      </c>
    </row>
    <row r="232" spans="1:5">
      <c r="B232" s="17" t="str">
        <f>IF(E231&gt;0.005,"October","")</f>
        <v>October</v>
      </c>
      <c r="C232" s="32">
        <f t="shared" si="39"/>
        <v>501.05</v>
      </c>
      <c r="D232" s="32">
        <f t="shared" si="40"/>
        <v>595.54</v>
      </c>
      <c r="E232" s="32">
        <f t="shared" si="41"/>
        <v>149345.27000000011</v>
      </c>
    </row>
    <row r="233" spans="1:5">
      <c r="B233" s="17" t="str">
        <f>IF(E232&gt;0.005,"November","")</f>
        <v>November</v>
      </c>
      <c r="C233" s="32">
        <f t="shared" si="39"/>
        <v>499.06</v>
      </c>
      <c r="D233" s="32">
        <f t="shared" si="40"/>
        <v>597.53</v>
      </c>
      <c r="E233" s="32">
        <f t="shared" si="41"/>
        <v>148747.74000000011</v>
      </c>
    </row>
    <row r="234" spans="1:5">
      <c r="A234">
        <v>15</v>
      </c>
      <c r="B234" s="17" t="str">
        <f>IF(E233&gt;0.005,"December","")</f>
        <v>December</v>
      </c>
      <c r="C234" s="32">
        <f t="shared" si="39"/>
        <v>497.07</v>
      </c>
      <c r="D234" s="32">
        <f t="shared" si="40"/>
        <v>599.52</v>
      </c>
      <c r="E234" s="32">
        <f t="shared" si="41"/>
        <v>148148.22000000012</v>
      </c>
    </row>
    <row r="235" spans="1:5">
      <c r="B235" s="33" t="str">
        <f>"Total "&amp;YEAR($B$10)+14</f>
        <v>Total 2030</v>
      </c>
      <c r="C235" s="34">
        <f>SUM(C223:C234)</f>
        <v>6095.12</v>
      </c>
      <c r="D235" s="34">
        <f>SUM(D223:D234)</f>
        <v>7063.9599999999991</v>
      </c>
      <c r="E235" s="35"/>
    </row>
    <row r="236" spans="1:5">
      <c r="B236" s="23"/>
      <c r="C236" s="32"/>
      <c r="D236" s="32"/>
      <c r="E236" s="32"/>
    </row>
    <row r="237" spans="1:5">
      <c r="B237" s="23"/>
      <c r="C237" s="31" t="s">
        <v>63</v>
      </c>
      <c r="D237" s="31" t="s">
        <v>64</v>
      </c>
      <c r="E237" s="31" t="s">
        <v>65</v>
      </c>
    </row>
    <row r="238" spans="1:5">
      <c r="B238" s="17" t="str">
        <f>IF(E234&gt;0.005,"January","")</f>
        <v>January</v>
      </c>
      <c r="C238" s="32">
        <f>IF(E234&gt;0,ROUND(E234*($E$5/1200),2),0)</f>
        <v>495.06</v>
      </c>
      <c r="D238" s="32">
        <f>IF(E234&lt;$C$7,E234,$C$7-C238)</f>
        <v>601.53</v>
      </c>
      <c r="E238" s="32">
        <f>IF(E234-D238&gt;0,E234-D238,0)</f>
        <v>147546.69000000012</v>
      </c>
    </row>
    <row r="239" spans="1:5">
      <c r="B239" s="17" t="str">
        <f>IF(E238&gt;0.005,"February","")</f>
        <v>February</v>
      </c>
      <c r="C239" s="32">
        <f t="shared" ref="C239:C249" si="42">IF(E238&gt;0,ROUND(E238*($E$5/1200),2),0)</f>
        <v>493.05</v>
      </c>
      <c r="D239" s="32">
        <f t="shared" ref="D239:D249" si="43">IF(E238&lt;$C$7,E238,$C$7-C239)</f>
        <v>603.54</v>
      </c>
      <c r="E239" s="32">
        <f t="shared" ref="E239:E249" si="44">IF(E238-D239&gt;0,E238-D239,0)</f>
        <v>146943.15000000011</v>
      </c>
    </row>
    <row r="240" spans="1:5">
      <c r="B240" s="17" t="str">
        <f>IF(E239&gt;0.005,"March","")</f>
        <v>March</v>
      </c>
      <c r="C240" s="32">
        <f t="shared" si="42"/>
        <v>491.04</v>
      </c>
      <c r="D240" s="32">
        <f t="shared" si="43"/>
        <v>605.54999999999995</v>
      </c>
      <c r="E240" s="32">
        <f t="shared" si="44"/>
        <v>146337.60000000012</v>
      </c>
    </row>
    <row r="241" spans="1:5">
      <c r="B241" s="17" t="str">
        <f>IF(E240&gt;0.005,"April","")</f>
        <v>April</v>
      </c>
      <c r="C241" s="32">
        <f t="shared" si="42"/>
        <v>489.01</v>
      </c>
      <c r="D241" s="32">
        <f t="shared" si="43"/>
        <v>607.57999999999993</v>
      </c>
      <c r="E241" s="32">
        <f t="shared" si="44"/>
        <v>145730.02000000014</v>
      </c>
    </row>
    <row r="242" spans="1:5">
      <c r="B242" s="17" t="str">
        <f>IF(E241&gt;0.005,"May","")</f>
        <v>May</v>
      </c>
      <c r="C242" s="32">
        <f t="shared" si="42"/>
        <v>486.98</v>
      </c>
      <c r="D242" s="32">
        <f t="shared" si="43"/>
        <v>609.6099999999999</v>
      </c>
      <c r="E242" s="32">
        <f t="shared" si="44"/>
        <v>145120.41000000015</v>
      </c>
    </row>
    <row r="243" spans="1:5">
      <c r="B243" s="17" t="str">
        <f>IF(E242&gt;0.005,"June","")</f>
        <v>June</v>
      </c>
      <c r="C243" s="32">
        <f t="shared" si="42"/>
        <v>484.94</v>
      </c>
      <c r="D243" s="32">
        <f t="shared" si="43"/>
        <v>611.64999999999986</v>
      </c>
      <c r="E243" s="32">
        <f t="shared" si="44"/>
        <v>144508.76000000015</v>
      </c>
    </row>
    <row r="244" spans="1:5">
      <c r="B244" s="17" t="str">
        <f>IF(E243&gt;0.005,"July","")</f>
        <v>July</v>
      </c>
      <c r="C244" s="32">
        <f t="shared" si="42"/>
        <v>482.9</v>
      </c>
      <c r="D244" s="32">
        <f t="shared" si="43"/>
        <v>613.68999999999994</v>
      </c>
      <c r="E244" s="32">
        <f t="shared" si="44"/>
        <v>143895.07000000015</v>
      </c>
    </row>
    <row r="245" spans="1:5">
      <c r="B245" s="17" t="str">
        <f>IF(E244&gt;0.005,"August","")</f>
        <v>August</v>
      </c>
      <c r="C245" s="32">
        <f t="shared" si="42"/>
        <v>480.85</v>
      </c>
      <c r="D245" s="32">
        <f t="shared" si="43"/>
        <v>615.7399999999999</v>
      </c>
      <c r="E245" s="32">
        <f t="shared" si="44"/>
        <v>143279.33000000016</v>
      </c>
    </row>
    <row r="246" spans="1:5">
      <c r="B246" s="17" t="str">
        <f>IF(E245&gt;0.005,"September","")</f>
        <v>September</v>
      </c>
      <c r="C246" s="32">
        <f t="shared" si="42"/>
        <v>478.79</v>
      </c>
      <c r="D246" s="32">
        <f t="shared" si="43"/>
        <v>617.79999999999995</v>
      </c>
      <c r="E246" s="32">
        <f t="shared" si="44"/>
        <v>142661.53000000017</v>
      </c>
    </row>
    <row r="247" spans="1:5">
      <c r="B247" s="17" t="str">
        <f>IF(E246&gt;0.005,"October","")</f>
        <v>October</v>
      </c>
      <c r="C247" s="32">
        <f t="shared" si="42"/>
        <v>476.73</v>
      </c>
      <c r="D247" s="32">
        <f t="shared" si="43"/>
        <v>619.8599999999999</v>
      </c>
      <c r="E247" s="32">
        <f t="shared" si="44"/>
        <v>142041.67000000019</v>
      </c>
    </row>
    <row r="248" spans="1:5">
      <c r="B248" s="17" t="str">
        <f>IF(E247&gt;0.005,"November","")</f>
        <v>November</v>
      </c>
      <c r="C248" s="32">
        <f t="shared" si="42"/>
        <v>474.66</v>
      </c>
      <c r="D248" s="32">
        <f t="shared" si="43"/>
        <v>621.92999999999984</v>
      </c>
      <c r="E248" s="32">
        <f t="shared" si="44"/>
        <v>141419.74000000019</v>
      </c>
    </row>
    <row r="249" spans="1:5">
      <c r="A249">
        <v>16</v>
      </c>
      <c r="B249" s="17" t="str">
        <f>IF(E248&gt;0.005,"December","")</f>
        <v>December</v>
      </c>
      <c r="C249" s="32">
        <f t="shared" si="42"/>
        <v>472.58</v>
      </c>
      <c r="D249" s="32">
        <f t="shared" si="43"/>
        <v>624.01</v>
      </c>
      <c r="E249" s="32">
        <f t="shared" si="44"/>
        <v>140795.73000000019</v>
      </c>
    </row>
    <row r="250" spans="1:5">
      <c r="B250" s="33" t="str">
        <f>"Total "&amp;YEAR($B$10)+15</f>
        <v>Total 2031</v>
      </c>
      <c r="C250" s="34">
        <f>SUM(C238:C249)</f>
        <v>5806.59</v>
      </c>
      <c r="D250" s="34">
        <f>SUM(D238:D249)</f>
        <v>7352.489999999998</v>
      </c>
      <c r="E250" s="35"/>
    </row>
    <row r="251" spans="1:5">
      <c r="B251" s="23"/>
      <c r="C251" s="32"/>
      <c r="D251" s="32"/>
      <c r="E251" s="32"/>
    </row>
    <row r="252" spans="1:5">
      <c r="B252" s="23"/>
      <c r="C252" s="31" t="s">
        <v>63</v>
      </c>
      <c r="D252" s="31" t="s">
        <v>64</v>
      </c>
      <c r="E252" s="31" t="s">
        <v>65</v>
      </c>
    </row>
    <row r="253" spans="1:5">
      <c r="B253" s="17" t="str">
        <f>IF(E249&gt;0.005,"January","")</f>
        <v>January</v>
      </c>
      <c r="C253" s="32">
        <f>IF(E249&gt;0,ROUND(E249*($E$5/1200),2),0)</f>
        <v>470.49</v>
      </c>
      <c r="D253" s="32">
        <f>IF(E249&lt;$C$7,E249,$C$7-C253)</f>
        <v>626.09999999999991</v>
      </c>
      <c r="E253" s="32">
        <f>IF(E249-D253&gt;0,E249-D253,0)</f>
        <v>140169.63000000018</v>
      </c>
    </row>
    <row r="254" spans="1:5">
      <c r="B254" s="17" t="str">
        <f>IF(E253&gt;0.005,"February","")</f>
        <v>February</v>
      </c>
      <c r="C254" s="32">
        <f t="shared" ref="C254:C264" si="45">IF(E253&gt;0,ROUND(E253*($E$5/1200),2),0)</f>
        <v>468.4</v>
      </c>
      <c r="D254" s="32">
        <f t="shared" ref="D254:D264" si="46">IF(E253&lt;$C$7,E253,$C$7-C254)</f>
        <v>628.18999999999994</v>
      </c>
      <c r="E254" s="32">
        <f t="shared" ref="E254:E264" si="47">IF(E253-D254&gt;0,E253-D254,0)</f>
        <v>139541.44000000018</v>
      </c>
    </row>
    <row r="255" spans="1:5">
      <c r="B255" s="17" t="str">
        <f>IF(E254&gt;0.005,"March","")</f>
        <v>March</v>
      </c>
      <c r="C255" s="32">
        <f t="shared" si="45"/>
        <v>466.3</v>
      </c>
      <c r="D255" s="32">
        <f t="shared" si="46"/>
        <v>630.29</v>
      </c>
      <c r="E255" s="32">
        <f t="shared" si="47"/>
        <v>138911.15000000017</v>
      </c>
    </row>
    <row r="256" spans="1:5">
      <c r="B256" s="17" t="str">
        <f>IF(E255&gt;0.005,"April","")</f>
        <v>April</v>
      </c>
      <c r="C256" s="32">
        <f t="shared" si="45"/>
        <v>464.19</v>
      </c>
      <c r="D256" s="32">
        <f t="shared" si="46"/>
        <v>632.39999999999986</v>
      </c>
      <c r="E256" s="32">
        <f t="shared" si="47"/>
        <v>138278.75000000017</v>
      </c>
    </row>
    <row r="257" spans="1:5">
      <c r="B257" s="17" t="str">
        <f>IF(E256&gt;0.005,"May","")</f>
        <v>May</v>
      </c>
      <c r="C257" s="32">
        <f t="shared" si="45"/>
        <v>462.08</v>
      </c>
      <c r="D257" s="32">
        <f t="shared" si="46"/>
        <v>634.51</v>
      </c>
      <c r="E257" s="32">
        <f t="shared" si="47"/>
        <v>137644.24000000017</v>
      </c>
    </row>
    <row r="258" spans="1:5">
      <c r="B258" s="17" t="str">
        <f>IF(E257&gt;0.005,"June","")</f>
        <v>June</v>
      </c>
      <c r="C258" s="32">
        <f t="shared" si="45"/>
        <v>459.96</v>
      </c>
      <c r="D258" s="32">
        <f t="shared" si="46"/>
        <v>636.62999999999988</v>
      </c>
      <c r="E258" s="32">
        <f t="shared" si="47"/>
        <v>137007.61000000016</v>
      </c>
    </row>
    <row r="259" spans="1:5">
      <c r="B259" s="17" t="str">
        <f>IF(E258&gt;0.005,"July","")</f>
        <v>July</v>
      </c>
      <c r="C259" s="32">
        <f t="shared" si="45"/>
        <v>457.83</v>
      </c>
      <c r="D259" s="32">
        <f t="shared" si="46"/>
        <v>638.76</v>
      </c>
      <c r="E259" s="32">
        <f t="shared" si="47"/>
        <v>136368.85000000015</v>
      </c>
    </row>
    <row r="260" spans="1:5">
      <c r="B260" s="17" t="str">
        <f>IF(E259&gt;0.005,"August","")</f>
        <v>August</v>
      </c>
      <c r="C260" s="32">
        <f t="shared" si="45"/>
        <v>455.7</v>
      </c>
      <c r="D260" s="32">
        <f t="shared" si="46"/>
        <v>640.88999999999987</v>
      </c>
      <c r="E260" s="32">
        <f t="shared" si="47"/>
        <v>135727.96000000014</v>
      </c>
    </row>
    <row r="261" spans="1:5">
      <c r="B261" s="17" t="str">
        <f>IF(E260&gt;0.005,"September","")</f>
        <v>September</v>
      </c>
      <c r="C261" s="32">
        <f t="shared" si="45"/>
        <v>453.56</v>
      </c>
      <c r="D261" s="32">
        <f t="shared" si="46"/>
        <v>643.03</v>
      </c>
      <c r="E261" s="32">
        <f t="shared" si="47"/>
        <v>135084.93000000014</v>
      </c>
    </row>
    <row r="262" spans="1:5">
      <c r="B262" s="17" t="str">
        <f>IF(E261&gt;0.005,"October","")</f>
        <v>October</v>
      </c>
      <c r="C262" s="32">
        <f t="shared" si="45"/>
        <v>451.41</v>
      </c>
      <c r="D262" s="32">
        <f t="shared" si="46"/>
        <v>645.17999999999984</v>
      </c>
      <c r="E262" s="32">
        <f t="shared" si="47"/>
        <v>134439.75000000015</v>
      </c>
    </row>
    <row r="263" spans="1:5">
      <c r="B263" s="17" t="str">
        <f>IF(E262&gt;0.005,"November","")</f>
        <v>November</v>
      </c>
      <c r="C263" s="32">
        <f t="shared" si="45"/>
        <v>449.25</v>
      </c>
      <c r="D263" s="32">
        <f t="shared" si="46"/>
        <v>647.33999999999992</v>
      </c>
      <c r="E263" s="32">
        <f t="shared" si="47"/>
        <v>133792.41000000015</v>
      </c>
    </row>
    <row r="264" spans="1:5">
      <c r="A264">
        <v>17</v>
      </c>
      <c r="B264" s="17" t="str">
        <f>IF(E263&gt;0.005,"December","")</f>
        <v>December</v>
      </c>
      <c r="C264" s="32">
        <f t="shared" si="45"/>
        <v>447.09</v>
      </c>
      <c r="D264" s="32">
        <f t="shared" si="46"/>
        <v>649.5</v>
      </c>
      <c r="E264" s="32">
        <f t="shared" si="47"/>
        <v>133142.91000000015</v>
      </c>
    </row>
    <row r="265" spans="1:5">
      <c r="B265" s="33" t="str">
        <f>"Total "&amp;YEAR($B$10)+16</f>
        <v>Total 2032</v>
      </c>
      <c r="C265" s="34">
        <f>SUM(C253:C264)</f>
        <v>5506.26</v>
      </c>
      <c r="D265" s="34">
        <f>SUM(D253:D264)</f>
        <v>7652.82</v>
      </c>
      <c r="E265" s="35"/>
    </row>
    <row r="266" spans="1:5">
      <c r="B266" s="18"/>
      <c r="C266" s="36"/>
      <c r="D266" s="36"/>
      <c r="E266" s="32"/>
    </row>
    <row r="267" spans="1:5">
      <c r="B267" s="23"/>
      <c r="C267" s="31" t="s">
        <v>63</v>
      </c>
      <c r="D267" s="31" t="s">
        <v>64</v>
      </c>
      <c r="E267" s="31" t="s">
        <v>65</v>
      </c>
    </row>
    <row r="268" spans="1:5">
      <c r="B268" s="17" t="str">
        <f>IF(E264&gt;0.005,"January","")</f>
        <v>January</v>
      </c>
      <c r="C268" s="32">
        <f>IF(E264&gt;0,ROUND(E264*($E$5/1200),2),0)</f>
        <v>444.92</v>
      </c>
      <c r="D268" s="32">
        <f>IF(E264&lt;$C$7,E264,$C$7-C268)</f>
        <v>651.66999999999985</v>
      </c>
      <c r="E268" s="32">
        <f>IF(E264-D268&gt;0,E264-D268,0)</f>
        <v>132491.24000000014</v>
      </c>
    </row>
    <row r="269" spans="1:5">
      <c r="B269" s="17" t="str">
        <f>IF(E268&gt;0.005,"February","")</f>
        <v>February</v>
      </c>
      <c r="C269" s="32">
        <f t="shared" ref="C269:C279" si="48">IF(E268&gt;0,ROUND(E268*($E$5/1200),2),0)</f>
        <v>442.74</v>
      </c>
      <c r="D269" s="32">
        <f t="shared" ref="D269:D279" si="49">IF(E268&lt;$C$7,E268,$C$7-C269)</f>
        <v>653.84999999999991</v>
      </c>
      <c r="E269" s="32">
        <f t="shared" ref="E269:E279" si="50">IF(E268-D269&gt;0,E268-D269,0)</f>
        <v>131837.39000000013</v>
      </c>
    </row>
    <row r="270" spans="1:5">
      <c r="B270" s="17" t="str">
        <f>IF(E269&gt;0.005,"March","")</f>
        <v>March</v>
      </c>
      <c r="C270" s="32">
        <f t="shared" si="48"/>
        <v>440.56</v>
      </c>
      <c r="D270" s="32">
        <f t="shared" si="49"/>
        <v>656.03</v>
      </c>
      <c r="E270" s="32">
        <f t="shared" si="50"/>
        <v>131181.36000000013</v>
      </c>
    </row>
    <row r="271" spans="1:5">
      <c r="B271" s="17" t="str">
        <f>IF(E270&gt;0.005,"April","")</f>
        <v>April</v>
      </c>
      <c r="C271" s="32">
        <f t="shared" si="48"/>
        <v>438.36</v>
      </c>
      <c r="D271" s="32">
        <f t="shared" si="49"/>
        <v>658.2299999999999</v>
      </c>
      <c r="E271" s="32">
        <f t="shared" si="50"/>
        <v>130523.13000000014</v>
      </c>
    </row>
    <row r="272" spans="1:5">
      <c r="B272" s="17" t="str">
        <f>IF(E271&gt;0.005,"May","")</f>
        <v>May</v>
      </c>
      <c r="C272" s="32">
        <f t="shared" si="48"/>
        <v>436.16</v>
      </c>
      <c r="D272" s="32">
        <f t="shared" si="49"/>
        <v>660.42999999999984</v>
      </c>
      <c r="E272" s="32">
        <f t="shared" si="50"/>
        <v>129862.70000000014</v>
      </c>
    </row>
    <row r="273" spans="1:5">
      <c r="B273" s="17" t="str">
        <f>IF(E272&gt;0.005,"June","")</f>
        <v>June</v>
      </c>
      <c r="C273" s="32">
        <f t="shared" si="48"/>
        <v>433.96</v>
      </c>
      <c r="D273" s="32">
        <f t="shared" si="49"/>
        <v>662.62999999999988</v>
      </c>
      <c r="E273" s="32">
        <f t="shared" si="50"/>
        <v>129200.07000000014</v>
      </c>
    </row>
    <row r="274" spans="1:5">
      <c r="B274" s="17" t="str">
        <f>IF(E273&gt;0.005,"July","")</f>
        <v>July</v>
      </c>
      <c r="C274" s="32">
        <f t="shared" si="48"/>
        <v>431.74</v>
      </c>
      <c r="D274" s="32">
        <f t="shared" si="49"/>
        <v>664.84999999999991</v>
      </c>
      <c r="E274" s="32">
        <f t="shared" si="50"/>
        <v>128535.22000000013</v>
      </c>
    </row>
    <row r="275" spans="1:5">
      <c r="B275" s="17" t="str">
        <f>IF(E274&gt;0.005,"August","")</f>
        <v>August</v>
      </c>
      <c r="C275" s="32">
        <f t="shared" si="48"/>
        <v>429.52</v>
      </c>
      <c r="D275" s="32">
        <f t="shared" si="49"/>
        <v>667.06999999999994</v>
      </c>
      <c r="E275" s="32">
        <f t="shared" si="50"/>
        <v>127868.15000000013</v>
      </c>
    </row>
    <row r="276" spans="1:5">
      <c r="B276" s="17" t="str">
        <f>IF(E275&gt;0.005,"September","")</f>
        <v>September</v>
      </c>
      <c r="C276" s="32">
        <f t="shared" si="48"/>
        <v>427.29</v>
      </c>
      <c r="D276" s="32">
        <f t="shared" si="49"/>
        <v>669.3</v>
      </c>
      <c r="E276" s="32">
        <f t="shared" si="50"/>
        <v>127198.85000000012</v>
      </c>
    </row>
    <row r="277" spans="1:5">
      <c r="B277" s="17" t="str">
        <f>IF(E276&gt;0.005,"October","")</f>
        <v>October</v>
      </c>
      <c r="C277" s="32">
        <f t="shared" si="48"/>
        <v>425.06</v>
      </c>
      <c r="D277" s="32">
        <f t="shared" si="49"/>
        <v>671.53</v>
      </c>
      <c r="E277" s="32">
        <f t="shared" si="50"/>
        <v>126527.32000000012</v>
      </c>
    </row>
    <row r="278" spans="1:5">
      <c r="B278" s="17" t="str">
        <f>IF(E277&gt;0.005,"November","")</f>
        <v>November</v>
      </c>
      <c r="C278" s="32">
        <f t="shared" si="48"/>
        <v>422.81</v>
      </c>
      <c r="D278" s="32">
        <f t="shared" si="49"/>
        <v>673.78</v>
      </c>
      <c r="E278" s="32">
        <f t="shared" si="50"/>
        <v>125853.54000000012</v>
      </c>
    </row>
    <row r="279" spans="1:5">
      <c r="A279">
        <v>18</v>
      </c>
      <c r="B279" s="17" t="str">
        <f>IF(E278&gt;0.005,"December","")</f>
        <v>December</v>
      </c>
      <c r="C279" s="32">
        <f t="shared" si="48"/>
        <v>420.56</v>
      </c>
      <c r="D279" s="32">
        <f t="shared" si="49"/>
        <v>676.03</v>
      </c>
      <c r="E279" s="32">
        <f t="shared" si="50"/>
        <v>125177.51000000013</v>
      </c>
    </row>
    <row r="280" spans="1:5">
      <c r="B280" s="33" t="str">
        <f>"Total "&amp;YEAR($B$10)+17</f>
        <v>Total 2033</v>
      </c>
      <c r="C280" s="34">
        <f>SUM(C268:C279)</f>
        <v>5193.68</v>
      </c>
      <c r="D280" s="34">
        <f>SUM(D268:D279)</f>
        <v>7965.3999999999978</v>
      </c>
      <c r="E280" s="35"/>
    </row>
    <row r="281" spans="1:5">
      <c r="B281" s="23"/>
      <c r="C281" s="32"/>
      <c r="D281" s="32"/>
      <c r="E281" s="32"/>
    </row>
    <row r="282" spans="1:5">
      <c r="B282" s="23"/>
      <c r="C282" s="31" t="s">
        <v>63</v>
      </c>
      <c r="D282" s="31" t="s">
        <v>64</v>
      </c>
      <c r="E282" s="31" t="s">
        <v>65</v>
      </c>
    </row>
    <row r="283" spans="1:5">
      <c r="B283" s="17" t="str">
        <f>IF(E279&gt;0.005,"January","")</f>
        <v>January</v>
      </c>
      <c r="C283" s="32">
        <f>IF(E279&gt;0,ROUND(E279*($E$5/1200),2),0)</f>
        <v>418.3</v>
      </c>
      <c r="D283" s="32">
        <f>IF(E279&lt;$C$7,E279,$C$7-C283)</f>
        <v>678.29</v>
      </c>
      <c r="E283" s="32">
        <f>IF(E279-D283&gt;0,E279-D283,0)</f>
        <v>124499.22000000013</v>
      </c>
    </row>
    <row r="284" spans="1:5">
      <c r="B284" s="17" t="str">
        <f>IF(E283&gt;0.005,"February","")</f>
        <v>February</v>
      </c>
      <c r="C284" s="32">
        <f t="shared" ref="C284:C294" si="51">IF(E283&gt;0,ROUND(E283*($E$5/1200),2),0)</f>
        <v>416.03</v>
      </c>
      <c r="D284" s="32">
        <f t="shared" ref="D284:D294" si="52">IF(E283&lt;$C$7,E283,$C$7-C284)</f>
        <v>680.56</v>
      </c>
      <c r="E284" s="32">
        <f t="shared" ref="E284:E294" si="53">IF(E283-D284&gt;0,E283-D284,0)</f>
        <v>123818.66000000013</v>
      </c>
    </row>
    <row r="285" spans="1:5">
      <c r="B285" s="17" t="str">
        <f>IF(E284&gt;0.005,"March","")</f>
        <v>March</v>
      </c>
      <c r="C285" s="32">
        <f t="shared" si="51"/>
        <v>413.76</v>
      </c>
      <c r="D285" s="32">
        <f t="shared" si="52"/>
        <v>682.82999999999993</v>
      </c>
      <c r="E285" s="32">
        <f t="shared" si="53"/>
        <v>123135.83000000013</v>
      </c>
    </row>
    <row r="286" spans="1:5">
      <c r="B286" s="17" t="str">
        <f>IF(E285&gt;0.005,"April","")</f>
        <v>April</v>
      </c>
      <c r="C286" s="32">
        <f t="shared" si="51"/>
        <v>411.48</v>
      </c>
      <c r="D286" s="32">
        <f t="shared" si="52"/>
        <v>685.1099999999999</v>
      </c>
      <c r="E286" s="32">
        <f t="shared" si="53"/>
        <v>122450.72000000013</v>
      </c>
    </row>
    <row r="287" spans="1:5">
      <c r="B287" s="17" t="str">
        <f>IF(E286&gt;0.005,"May","")</f>
        <v>May</v>
      </c>
      <c r="C287" s="32">
        <f t="shared" si="51"/>
        <v>409.19</v>
      </c>
      <c r="D287" s="32">
        <f t="shared" si="52"/>
        <v>687.39999999999986</v>
      </c>
      <c r="E287" s="32">
        <f t="shared" si="53"/>
        <v>121763.32000000014</v>
      </c>
    </row>
    <row r="288" spans="1:5">
      <c r="B288" s="17" t="str">
        <f>IF(E287&gt;0.005,"June","")</f>
        <v>June</v>
      </c>
      <c r="C288" s="32">
        <f t="shared" si="51"/>
        <v>406.89</v>
      </c>
      <c r="D288" s="32">
        <f t="shared" si="52"/>
        <v>689.69999999999993</v>
      </c>
      <c r="E288" s="32">
        <f t="shared" si="53"/>
        <v>121073.62000000014</v>
      </c>
    </row>
    <row r="289" spans="1:5">
      <c r="B289" s="17" t="str">
        <f>IF(E288&gt;0.005,"July","")</f>
        <v>July</v>
      </c>
      <c r="C289" s="32">
        <f t="shared" si="51"/>
        <v>404.59</v>
      </c>
      <c r="D289" s="32">
        <f t="shared" si="52"/>
        <v>692</v>
      </c>
      <c r="E289" s="32">
        <f t="shared" si="53"/>
        <v>120381.62000000014</v>
      </c>
    </row>
    <row r="290" spans="1:5">
      <c r="B290" s="17" t="str">
        <f>IF(E289&gt;0.005,"August","")</f>
        <v>August</v>
      </c>
      <c r="C290" s="32">
        <f t="shared" si="51"/>
        <v>402.28</v>
      </c>
      <c r="D290" s="32">
        <f t="shared" si="52"/>
        <v>694.31</v>
      </c>
      <c r="E290" s="32">
        <f t="shared" si="53"/>
        <v>119687.31000000014</v>
      </c>
    </row>
    <row r="291" spans="1:5">
      <c r="B291" s="17" t="str">
        <f>IF(E290&gt;0.005,"September","")</f>
        <v>September</v>
      </c>
      <c r="C291" s="32">
        <f t="shared" si="51"/>
        <v>399.96</v>
      </c>
      <c r="D291" s="32">
        <f t="shared" si="52"/>
        <v>696.62999999999988</v>
      </c>
      <c r="E291" s="32">
        <f t="shared" si="53"/>
        <v>118990.68000000014</v>
      </c>
    </row>
    <row r="292" spans="1:5">
      <c r="B292" s="17" t="str">
        <f>IF(E291&gt;0.005,"October","")</f>
        <v>October</v>
      </c>
      <c r="C292" s="32">
        <f t="shared" si="51"/>
        <v>397.63</v>
      </c>
      <c r="D292" s="32">
        <f t="shared" si="52"/>
        <v>698.95999999999992</v>
      </c>
      <c r="E292" s="32">
        <f t="shared" si="53"/>
        <v>118291.72000000013</v>
      </c>
    </row>
    <row r="293" spans="1:5">
      <c r="B293" s="17" t="str">
        <f>IF(E292&gt;0.005,"November","")</f>
        <v>November</v>
      </c>
      <c r="C293" s="32">
        <f t="shared" si="51"/>
        <v>395.29</v>
      </c>
      <c r="D293" s="32">
        <f t="shared" si="52"/>
        <v>701.3</v>
      </c>
      <c r="E293" s="32">
        <f t="shared" si="53"/>
        <v>117590.42000000013</v>
      </c>
    </row>
    <row r="294" spans="1:5">
      <c r="A294">
        <v>19</v>
      </c>
      <c r="B294" s="17" t="str">
        <f>IF(E293&gt;0.005,"December","")</f>
        <v>December</v>
      </c>
      <c r="C294" s="32">
        <f t="shared" si="51"/>
        <v>392.95</v>
      </c>
      <c r="D294" s="32">
        <f t="shared" si="52"/>
        <v>703.63999999999987</v>
      </c>
      <c r="E294" s="32">
        <f t="shared" si="53"/>
        <v>116886.78000000013</v>
      </c>
    </row>
    <row r="295" spans="1:5">
      <c r="B295" s="33" t="str">
        <f>"Total "&amp;YEAR($B$10)+18</f>
        <v>Total 2034</v>
      </c>
      <c r="C295" s="34">
        <f>SUM(C283:C294)</f>
        <v>4868.3499999999995</v>
      </c>
      <c r="D295" s="34">
        <f>SUM(D283:D294)</f>
        <v>8290.73</v>
      </c>
      <c r="E295" s="35"/>
    </row>
    <row r="296" spans="1:5">
      <c r="B296" s="23"/>
      <c r="C296" s="32"/>
      <c r="D296" s="32"/>
      <c r="E296" s="32"/>
    </row>
    <row r="297" spans="1:5">
      <c r="B297" s="23"/>
      <c r="C297" s="31" t="s">
        <v>63</v>
      </c>
      <c r="D297" s="31" t="s">
        <v>64</v>
      </c>
      <c r="E297" s="31" t="s">
        <v>65</v>
      </c>
    </row>
    <row r="298" spans="1:5">
      <c r="B298" s="17" t="str">
        <f>IF(E294&gt;0.005,"January","")</f>
        <v>January</v>
      </c>
      <c r="C298" s="32">
        <f>IF(E294&gt;0,ROUND(E294*($E$5/1200),2),0)</f>
        <v>390.6</v>
      </c>
      <c r="D298" s="32">
        <f>IF(E294&lt;$C$7,E294,$C$7-C298)</f>
        <v>705.9899999999999</v>
      </c>
      <c r="E298" s="32">
        <f>IF(E294-D298&gt;0,E294-D298,0)</f>
        <v>116180.79000000012</v>
      </c>
    </row>
    <row r="299" spans="1:5">
      <c r="B299" s="17" t="str">
        <f>IF(E298&gt;0.005,"February","")</f>
        <v>February</v>
      </c>
      <c r="C299" s="32">
        <f t="shared" ref="C299:C309" si="54">IF(E298&gt;0,ROUND(E298*($E$5/1200),2),0)</f>
        <v>388.24</v>
      </c>
      <c r="D299" s="32">
        <f t="shared" ref="D299:D309" si="55">IF(E298&lt;$C$7,E298,$C$7-C299)</f>
        <v>708.34999999999991</v>
      </c>
      <c r="E299" s="32">
        <f t="shared" ref="E299:E309" si="56">IF(E298-D299&gt;0,E298-D299,0)</f>
        <v>115472.44000000012</v>
      </c>
    </row>
    <row r="300" spans="1:5">
      <c r="B300" s="17" t="str">
        <f>IF(E299&gt;0.005,"March","")</f>
        <v>March</v>
      </c>
      <c r="C300" s="32">
        <f t="shared" si="54"/>
        <v>385.87</v>
      </c>
      <c r="D300" s="32">
        <f t="shared" si="55"/>
        <v>710.71999999999991</v>
      </c>
      <c r="E300" s="32">
        <f t="shared" si="56"/>
        <v>114761.72000000012</v>
      </c>
    </row>
    <row r="301" spans="1:5">
      <c r="B301" s="17" t="str">
        <f>IF(E300&gt;0.005,"April","")</f>
        <v>April</v>
      </c>
      <c r="C301" s="32">
        <f t="shared" si="54"/>
        <v>383.5</v>
      </c>
      <c r="D301" s="32">
        <f t="shared" si="55"/>
        <v>713.08999999999992</v>
      </c>
      <c r="E301" s="32">
        <f t="shared" si="56"/>
        <v>114048.63000000012</v>
      </c>
    </row>
    <row r="302" spans="1:5">
      <c r="B302" s="17" t="str">
        <f>IF(E301&gt;0.005,"May","")</f>
        <v>May</v>
      </c>
      <c r="C302" s="32">
        <f t="shared" si="54"/>
        <v>381.11</v>
      </c>
      <c r="D302" s="32">
        <f t="shared" si="55"/>
        <v>715.4799999999999</v>
      </c>
      <c r="E302" s="32">
        <f t="shared" si="56"/>
        <v>113333.15000000013</v>
      </c>
    </row>
    <row r="303" spans="1:5">
      <c r="B303" s="17" t="str">
        <f>IF(E302&gt;0.005,"June","")</f>
        <v>June</v>
      </c>
      <c r="C303" s="32">
        <f t="shared" si="54"/>
        <v>378.72</v>
      </c>
      <c r="D303" s="32">
        <f t="shared" si="55"/>
        <v>717.86999999999989</v>
      </c>
      <c r="E303" s="32">
        <f t="shared" si="56"/>
        <v>112615.28000000013</v>
      </c>
    </row>
    <row r="304" spans="1:5">
      <c r="B304" s="17" t="str">
        <f>IF(E303&gt;0.005,"July","")</f>
        <v>July</v>
      </c>
      <c r="C304" s="32">
        <f t="shared" si="54"/>
        <v>376.32</v>
      </c>
      <c r="D304" s="32">
        <f t="shared" si="55"/>
        <v>720.27</v>
      </c>
      <c r="E304" s="32">
        <f t="shared" si="56"/>
        <v>111895.01000000013</v>
      </c>
    </row>
    <row r="305" spans="1:5">
      <c r="B305" s="17" t="str">
        <f>IF(E304&gt;0.005,"August","")</f>
        <v>August</v>
      </c>
      <c r="C305" s="32">
        <f t="shared" si="54"/>
        <v>373.92</v>
      </c>
      <c r="D305" s="32">
        <f t="shared" si="55"/>
        <v>722.66999999999985</v>
      </c>
      <c r="E305" s="32">
        <f t="shared" si="56"/>
        <v>111172.34000000013</v>
      </c>
    </row>
    <row r="306" spans="1:5">
      <c r="B306" s="17" t="str">
        <f>IF(E305&gt;0.005,"September","")</f>
        <v>September</v>
      </c>
      <c r="C306" s="32">
        <f t="shared" si="54"/>
        <v>371.5</v>
      </c>
      <c r="D306" s="32">
        <f t="shared" si="55"/>
        <v>725.08999999999992</v>
      </c>
      <c r="E306" s="32">
        <f t="shared" si="56"/>
        <v>110447.25000000013</v>
      </c>
    </row>
    <row r="307" spans="1:5">
      <c r="B307" s="17" t="str">
        <f>IF(E306&gt;0.005,"October","")</f>
        <v>October</v>
      </c>
      <c r="C307" s="32">
        <f t="shared" si="54"/>
        <v>369.08</v>
      </c>
      <c r="D307" s="32">
        <f t="shared" si="55"/>
        <v>727.51</v>
      </c>
      <c r="E307" s="32">
        <f t="shared" si="56"/>
        <v>109719.74000000014</v>
      </c>
    </row>
    <row r="308" spans="1:5">
      <c r="B308" s="17" t="str">
        <f>IF(E307&gt;0.005,"November","")</f>
        <v>November</v>
      </c>
      <c r="C308" s="32">
        <f t="shared" si="54"/>
        <v>366.65</v>
      </c>
      <c r="D308" s="32">
        <f t="shared" si="55"/>
        <v>729.93999999999994</v>
      </c>
      <c r="E308" s="32">
        <f t="shared" si="56"/>
        <v>108989.80000000013</v>
      </c>
    </row>
    <row r="309" spans="1:5">
      <c r="A309">
        <v>20</v>
      </c>
      <c r="B309" s="17" t="str">
        <f>IF(E308&gt;0.005,"December","")</f>
        <v>December</v>
      </c>
      <c r="C309" s="32">
        <f t="shared" si="54"/>
        <v>364.21</v>
      </c>
      <c r="D309" s="32">
        <f t="shared" si="55"/>
        <v>732.37999999999988</v>
      </c>
      <c r="E309" s="32">
        <f t="shared" si="56"/>
        <v>108257.42000000013</v>
      </c>
    </row>
    <row r="310" spans="1:5">
      <c r="B310" s="33" t="str">
        <f>"Total "&amp;YEAR($B$10)+19</f>
        <v>Total 2035</v>
      </c>
      <c r="C310" s="34">
        <f>SUM(C298:C309)</f>
        <v>4529.72</v>
      </c>
      <c r="D310" s="34">
        <f>SUM(D298:D309)</f>
        <v>8629.36</v>
      </c>
      <c r="E310" s="35"/>
    </row>
    <row r="311" spans="1:5">
      <c r="B311" s="18"/>
      <c r="C311" s="36"/>
      <c r="D311" s="36"/>
      <c r="E311" s="32"/>
    </row>
    <row r="312" spans="1:5">
      <c r="B312" s="23"/>
      <c r="C312" s="31" t="s">
        <v>63</v>
      </c>
      <c r="D312" s="31" t="s">
        <v>64</v>
      </c>
      <c r="E312" s="31" t="s">
        <v>65</v>
      </c>
    </row>
    <row r="313" spans="1:5">
      <c r="B313" s="17" t="str">
        <f>IF(E309&gt;0.005,"January","")</f>
        <v>January</v>
      </c>
      <c r="C313" s="32">
        <f>IF(E309&gt;0,ROUND(E309*($E$5/1200),2),0)</f>
        <v>361.76</v>
      </c>
      <c r="D313" s="32">
        <f>IF(E309&lt;$C$7,E309,$C$7-C313)</f>
        <v>734.82999999999993</v>
      </c>
      <c r="E313" s="32">
        <f>IF(E309-D313&gt;0,E309-D313,0)</f>
        <v>107522.59000000013</v>
      </c>
    </row>
    <row r="314" spans="1:5">
      <c r="B314" s="17" t="str">
        <f>IF(E313&gt;0.005,"February","")</f>
        <v>February</v>
      </c>
      <c r="C314" s="32">
        <f t="shared" ref="C314:C324" si="57">IF(E313&gt;0,ROUND(E313*($E$5/1200),2),0)</f>
        <v>359.3</v>
      </c>
      <c r="D314" s="32">
        <f t="shared" ref="D314:D324" si="58">IF(E313&lt;$C$7,E313,$C$7-C314)</f>
        <v>737.29</v>
      </c>
      <c r="E314" s="32">
        <f t="shared" ref="E314:E324" si="59">IF(E313-D314&gt;0,E313-D314,0)</f>
        <v>106785.30000000013</v>
      </c>
    </row>
    <row r="315" spans="1:5">
      <c r="B315" s="17" t="str">
        <f>IF(E314&gt;0.005,"March","")</f>
        <v>March</v>
      </c>
      <c r="C315" s="32">
        <f t="shared" si="57"/>
        <v>356.84</v>
      </c>
      <c r="D315" s="32">
        <f t="shared" si="58"/>
        <v>739.75</v>
      </c>
      <c r="E315" s="32">
        <f t="shared" si="59"/>
        <v>106045.55000000013</v>
      </c>
    </row>
    <row r="316" spans="1:5">
      <c r="B316" s="17" t="str">
        <f>IF(E315&gt;0.005,"April","")</f>
        <v>April</v>
      </c>
      <c r="C316" s="32">
        <f t="shared" si="57"/>
        <v>354.37</v>
      </c>
      <c r="D316" s="32">
        <f t="shared" si="58"/>
        <v>742.21999999999991</v>
      </c>
      <c r="E316" s="32">
        <f t="shared" si="59"/>
        <v>105303.33000000013</v>
      </c>
    </row>
    <row r="317" spans="1:5">
      <c r="B317" s="17" t="str">
        <f>IF(E316&gt;0.005,"May","")</f>
        <v>May</v>
      </c>
      <c r="C317" s="32">
        <f t="shared" si="57"/>
        <v>351.89</v>
      </c>
      <c r="D317" s="32">
        <f t="shared" si="58"/>
        <v>744.69999999999993</v>
      </c>
      <c r="E317" s="32">
        <f t="shared" si="59"/>
        <v>104558.63000000014</v>
      </c>
    </row>
    <row r="318" spans="1:5">
      <c r="B318" s="17" t="str">
        <f>IF(E317&gt;0.005,"June","")</f>
        <v>June</v>
      </c>
      <c r="C318" s="32">
        <f t="shared" si="57"/>
        <v>349.4</v>
      </c>
      <c r="D318" s="32">
        <f t="shared" si="58"/>
        <v>747.18999999999994</v>
      </c>
      <c r="E318" s="32">
        <f t="shared" si="59"/>
        <v>103811.44000000013</v>
      </c>
    </row>
    <row r="319" spans="1:5">
      <c r="B319" s="17" t="str">
        <f>IF(E318&gt;0.005,"July","")</f>
        <v>July</v>
      </c>
      <c r="C319" s="32">
        <f t="shared" si="57"/>
        <v>346.9</v>
      </c>
      <c r="D319" s="32">
        <f t="shared" si="58"/>
        <v>749.68999999999994</v>
      </c>
      <c r="E319" s="32">
        <f t="shared" si="59"/>
        <v>103061.75000000013</v>
      </c>
    </row>
    <row r="320" spans="1:5">
      <c r="B320" s="17" t="str">
        <f>IF(E319&gt;0.005,"August","")</f>
        <v>August</v>
      </c>
      <c r="C320" s="32">
        <f t="shared" si="57"/>
        <v>344.4</v>
      </c>
      <c r="D320" s="32">
        <f t="shared" si="58"/>
        <v>752.18999999999994</v>
      </c>
      <c r="E320" s="32">
        <f t="shared" si="59"/>
        <v>102309.56000000013</v>
      </c>
    </row>
    <row r="321" spans="1:5">
      <c r="B321" s="17" t="str">
        <f>IF(E320&gt;0.005,"September","")</f>
        <v>September</v>
      </c>
      <c r="C321" s="32">
        <f t="shared" si="57"/>
        <v>341.88</v>
      </c>
      <c r="D321" s="32">
        <f t="shared" si="58"/>
        <v>754.70999999999992</v>
      </c>
      <c r="E321" s="32">
        <f t="shared" si="59"/>
        <v>101554.85000000012</v>
      </c>
    </row>
    <row r="322" spans="1:5">
      <c r="B322" s="17" t="str">
        <f>IF(E321&gt;0.005,"October","")</f>
        <v>October</v>
      </c>
      <c r="C322" s="32">
        <f t="shared" si="57"/>
        <v>339.36</v>
      </c>
      <c r="D322" s="32">
        <f t="shared" si="58"/>
        <v>757.2299999999999</v>
      </c>
      <c r="E322" s="32">
        <f t="shared" si="59"/>
        <v>100797.62000000013</v>
      </c>
    </row>
    <row r="323" spans="1:5">
      <c r="B323" s="17" t="str">
        <f>IF(E322&gt;0.005,"November","")</f>
        <v>November</v>
      </c>
      <c r="C323" s="32">
        <f t="shared" si="57"/>
        <v>336.83</v>
      </c>
      <c r="D323" s="32">
        <f t="shared" si="58"/>
        <v>759.76</v>
      </c>
      <c r="E323" s="32">
        <f t="shared" si="59"/>
        <v>100037.86000000013</v>
      </c>
    </row>
    <row r="324" spans="1:5">
      <c r="A324">
        <v>21</v>
      </c>
      <c r="B324" s="17" t="str">
        <f>IF(E323&gt;0.005,"December","")</f>
        <v>December</v>
      </c>
      <c r="C324" s="32">
        <f t="shared" si="57"/>
        <v>334.29</v>
      </c>
      <c r="D324" s="32">
        <f t="shared" si="58"/>
        <v>762.3</v>
      </c>
      <c r="E324" s="32">
        <f t="shared" si="59"/>
        <v>99275.560000000129</v>
      </c>
    </row>
    <row r="325" spans="1:5">
      <c r="B325" s="33" t="str">
        <f>"Total "&amp;YEAR($B$10)+20</f>
        <v>Total 2036</v>
      </c>
      <c r="C325" s="34">
        <f>SUM(C313:C324)</f>
        <v>4177.22</v>
      </c>
      <c r="D325" s="34">
        <f>SUM(D313:D324)</f>
        <v>8981.8599999999969</v>
      </c>
      <c r="E325" s="35"/>
    </row>
    <row r="326" spans="1:5">
      <c r="B326" s="23"/>
      <c r="C326" s="32"/>
      <c r="D326" s="32"/>
      <c r="E326" s="32"/>
    </row>
    <row r="327" spans="1:5">
      <c r="B327" s="23"/>
      <c r="C327" s="31" t="s">
        <v>63</v>
      </c>
      <c r="D327" s="31" t="s">
        <v>64</v>
      </c>
      <c r="E327" s="31" t="s">
        <v>65</v>
      </c>
    </row>
    <row r="328" spans="1:5">
      <c r="B328" s="17" t="str">
        <f>IF(E324&gt;0.005,"January","")</f>
        <v>January</v>
      </c>
      <c r="C328" s="32">
        <f>IF(E324&gt;0,ROUND(E324*($E$5/1200),2),0)</f>
        <v>331.75</v>
      </c>
      <c r="D328" s="32">
        <f>IF(E324&lt;$C$7,E324,$C$7-C328)</f>
        <v>764.83999999999992</v>
      </c>
      <c r="E328" s="32">
        <f>IF(E324-D328&gt;0,E324-D328,0)</f>
        <v>98510.720000000132</v>
      </c>
    </row>
    <row r="329" spans="1:5">
      <c r="B329" s="17" t="str">
        <f>IF(E328&gt;0.005,"February","")</f>
        <v>February</v>
      </c>
      <c r="C329" s="32">
        <f t="shared" ref="C329:C339" si="60">IF(E328&gt;0,ROUND(E328*($E$5/1200),2),0)</f>
        <v>329.19</v>
      </c>
      <c r="D329" s="32">
        <f t="shared" ref="D329:D339" si="61">IF(E328&lt;$C$7,E328,$C$7-C329)</f>
        <v>767.39999999999986</v>
      </c>
      <c r="E329" s="32">
        <f t="shared" ref="E329:E339" si="62">IF(E328-D329&gt;0,E328-D329,0)</f>
        <v>97743.320000000138</v>
      </c>
    </row>
    <row r="330" spans="1:5">
      <c r="B330" s="17" t="str">
        <f>IF(E329&gt;0.005,"March","")</f>
        <v>March</v>
      </c>
      <c r="C330" s="32">
        <f t="shared" si="60"/>
        <v>326.63</v>
      </c>
      <c r="D330" s="32">
        <f t="shared" si="61"/>
        <v>769.95999999999992</v>
      </c>
      <c r="E330" s="32">
        <f t="shared" si="62"/>
        <v>96973.360000000132</v>
      </c>
    </row>
    <row r="331" spans="1:5">
      <c r="B331" s="17" t="str">
        <f>IF(E330&gt;0.005,"April","")</f>
        <v>April</v>
      </c>
      <c r="C331" s="32">
        <f t="shared" si="60"/>
        <v>324.05</v>
      </c>
      <c r="D331" s="32">
        <f t="shared" si="61"/>
        <v>772.54</v>
      </c>
      <c r="E331" s="32">
        <f t="shared" si="62"/>
        <v>96200.820000000138</v>
      </c>
    </row>
    <row r="332" spans="1:5">
      <c r="B332" s="17" t="str">
        <f>IF(E331&gt;0.005,"May","")</f>
        <v>May</v>
      </c>
      <c r="C332" s="32">
        <f t="shared" si="60"/>
        <v>321.47000000000003</v>
      </c>
      <c r="D332" s="32">
        <f t="shared" si="61"/>
        <v>775.11999999999989</v>
      </c>
      <c r="E332" s="32">
        <f t="shared" si="62"/>
        <v>95425.700000000143</v>
      </c>
    </row>
    <row r="333" spans="1:5">
      <c r="B333" s="17" t="str">
        <f>IF(E332&gt;0.005,"June","")</f>
        <v>June</v>
      </c>
      <c r="C333" s="32">
        <f t="shared" si="60"/>
        <v>318.88</v>
      </c>
      <c r="D333" s="32">
        <f t="shared" si="61"/>
        <v>777.70999999999992</v>
      </c>
      <c r="E333" s="32">
        <f t="shared" si="62"/>
        <v>94647.990000000136</v>
      </c>
    </row>
    <row r="334" spans="1:5">
      <c r="B334" s="17" t="str">
        <f>IF(E333&gt;0.005,"July","")</f>
        <v>July</v>
      </c>
      <c r="C334" s="32">
        <f t="shared" si="60"/>
        <v>316.27999999999997</v>
      </c>
      <c r="D334" s="32">
        <f t="shared" si="61"/>
        <v>780.31</v>
      </c>
      <c r="E334" s="32">
        <f t="shared" si="62"/>
        <v>93867.680000000139</v>
      </c>
    </row>
    <row r="335" spans="1:5">
      <c r="B335" s="17" t="str">
        <f>IF(E334&gt;0.005,"August","")</f>
        <v>August</v>
      </c>
      <c r="C335" s="32">
        <f t="shared" si="60"/>
        <v>313.67</v>
      </c>
      <c r="D335" s="32">
        <f t="shared" si="61"/>
        <v>782.91999999999985</v>
      </c>
      <c r="E335" s="32">
        <f t="shared" si="62"/>
        <v>93084.76000000014</v>
      </c>
    </row>
    <row r="336" spans="1:5">
      <c r="B336" s="17" t="str">
        <f>IF(E335&gt;0.005,"September","")</f>
        <v>September</v>
      </c>
      <c r="C336" s="32">
        <f t="shared" si="60"/>
        <v>311.06</v>
      </c>
      <c r="D336" s="32">
        <f t="shared" si="61"/>
        <v>785.53</v>
      </c>
      <c r="E336" s="32">
        <f t="shared" si="62"/>
        <v>92299.230000000141</v>
      </c>
    </row>
    <row r="337" spans="1:5">
      <c r="B337" s="17" t="str">
        <f>IF(E336&gt;0.005,"October","")</f>
        <v>October</v>
      </c>
      <c r="C337" s="32">
        <f t="shared" si="60"/>
        <v>308.43</v>
      </c>
      <c r="D337" s="32">
        <f t="shared" si="61"/>
        <v>788.15999999999985</v>
      </c>
      <c r="E337" s="32">
        <f t="shared" si="62"/>
        <v>91511.070000000138</v>
      </c>
    </row>
    <row r="338" spans="1:5">
      <c r="B338" s="17" t="str">
        <f>IF(E337&gt;0.005,"November","")</f>
        <v>November</v>
      </c>
      <c r="C338" s="32">
        <f t="shared" si="60"/>
        <v>305.8</v>
      </c>
      <c r="D338" s="32">
        <f t="shared" si="61"/>
        <v>790.79</v>
      </c>
      <c r="E338" s="32">
        <f t="shared" si="62"/>
        <v>90720.280000000144</v>
      </c>
    </row>
    <row r="339" spans="1:5">
      <c r="A339">
        <v>22</v>
      </c>
      <c r="B339" s="17" t="str">
        <f>IF(E338&gt;0.005,"December","")</f>
        <v>December</v>
      </c>
      <c r="C339" s="32">
        <f t="shared" si="60"/>
        <v>303.16000000000003</v>
      </c>
      <c r="D339" s="32">
        <f t="shared" si="61"/>
        <v>793.42999999999984</v>
      </c>
      <c r="E339" s="32">
        <f t="shared" si="62"/>
        <v>89926.850000000151</v>
      </c>
    </row>
    <row r="340" spans="1:5">
      <c r="B340" s="33" t="str">
        <f>"Total "&amp;YEAR($B$10)+21</f>
        <v>Total 2037</v>
      </c>
      <c r="C340" s="34">
        <f>SUM(C328:C339)</f>
        <v>3810.37</v>
      </c>
      <c r="D340" s="34">
        <f>SUM(D328:D339)</f>
        <v>9348.7099999999991</v>
      </c>
      <c r="E340" s="35"/>
    </row>
    <row r="341" spans="1:5">
      <c r="B341" s="23"/>
      <c r="C341" s="32"/>
      <c r="D341" s="32"/>
      <c r="E341" s="32"/>
    </row>
    <row r="342" spans="1:5">
      <c r="B342" s="23"/>
      <c r="C342" s="31" t="s">
        <v>63</v>
      </c>
      <c r="D342" s="31" t="s">
        <v>64</v>
      </c>
      <c r="E342" s="31" t="s">
        <v>65</v>
      </c>
    </row>
    <row r="343" spans="1:5">
      <c r="B343" s="17" t="str">
        <f>IF(E339&gt;0.005,"January","")</f>
        <v>January</v>
      </c>
      <c r="C343" s="32">
        <f>IF(E339&gt;0,ROUND(E339*($E$5/1200),2),0)</f>
        <v>300.51</v>
      </c>
      <c r="D343" s="32">
        <f>IF(E339&lt;$C$7,E339,$C$7-C343)</f>
        <v>796.07999999999993</v>
      </c>
      <c r="E343" s="32">
        <f>IF(E339-D343&gt;0,E339-D343,0)</f>
        <v>89130.77000000015</v>
      </c>
    </row>
    <row r="344" spans="1:5">
      <c r="B344" s="17" t="str">
        <f>IF(E343&gt;0.005,"February","")</f>
        <v>February</v>
      </c>
      <c r="C344" s="32">
        <f t="shared" ref="C344:C354" si="63">IF(E343&gt;0,ROUND(E343*($E$5/1200),2),0)</f>
        <v>297.85000000000002</v>
      </c>
      <c r="D344" s="32">
        <f t="shared" ref="D344:D354" si="64">IF(E343&lt;$C$7,E343,$C$7-C344)</f>
        <v>798.7399999999999</v>
      </c>
      <c r="E344" s="32">
        <f t="shared" ref="E344:E354" si="65">IF(E343-D344&gt;0,E343-D344,0)</f>
        <v>88332.030000000144</v>
      </c>
    </row>
    <row r="345" spans="1:5">
      <c r="B345" s="17" t="str">
        <f>IF(E344&gt;0.005,"March","")</f>
        <v>March</v>
      </c>
      <c r="C345" s="32">
        <f t="shared" si="63"/>
        <v>295.18</v>
      </c>
      <c r="D345" s="32">
        <f t="shared" si="64"/>
        <v>801.40999999999985</v>
      </c>
      <c r="E345" s="32">
        <f t="shared" si="65"/>
        <v>87530.620000000141</v>
      </c>
    </row>
    <row r="346" spans="1:5">
      <c r="B346" s="17" t="str">
        <f>IF(E345&gt;0.005,"April","")</f>
        <v>April</v>
      </c>
      <c r="C346" s="32">
        <f t="shared" si="63"/>
        <v>292.5</v>
      </c>
      <c r="D346" s="32">
        <f t="shared" si="64"/>
        <v>804.08999999999992</v>
      </c>
      <c r="E346" s="32">
        <f t="shared" si="65"/>
        <v>86726.530000000144</v>
      </c>
    </row>
    <row r="347" spans="1:5">
      <c r="B347" s="17" t="str">
        <f>IF(E346&gt;0.005,"May","")</f>
        <v>May</v>
      </c>
      <c r="C347" s="32">
        <f t="shared" si="63"/>
        <v>289.81</v>
      </c>
      <c r="D347" s="32">
        <f t="shared" si="64"/>
        <v>806.78</v>
      </c>
      <c r="E347" s="32">
        <f t="shared" si="65"/>
        <v>85919.750000000146</v>
      </c>
    </row>
    <row r="348" spans="1:5">
      <c r="B348" s="17" t="str">
        <f>IF(E347&gt;0.005,"June","")</f>
        <v>June</v>
      </c>
      <c r="C348" s="32">
        <f t="shared" si="63"/>
        <v>287.12</v>
      </c>
      <c r="D348" s="32">
        <f t="shared" si="64"/>
        <v>809.46999999999991</v>
      </c>
      <c r="E348" s="32">
        <f t="shared" si="65"/>
        <v>85110.280000000144</v>
      </c>
    </row>
    <row r="349" spans="1:5">
      <c r="B349" s="17" t="str">
        <f>IF(E348&gt;0.005,"July","")</f>
        <v>July</v>
      </c>
      <c r="C349" s="32">
        <f t="shared" si="63"/>
        <v>284.41000000000003</v>
      </c>
      <c r="D349" s="32">
        <f t="shared" si="64"/>
        <v>812.17999999999984</v>
      </c>
      <c r="E349" s="32">
        <f t="shared" si="65"/>
        <v>84298.100000000151</v>
      </c>
    </row>
    <row r="350" spans="1:5">
      <c r="B350" s="17" t="str">
        <f>IF(E349&gt;0.005,"August","")</f>
        <v>August</v>
      </c>
      <c r="C350" s="32">
        <f t="shared" si="63"/>
        <v>281.7</v>
      </c>
      <c r="D350" s="32">
        <f t="shared" si="64"/>
        <v>814.88999999999987</v>
      </c>
      <c r="E350" s="32">
        <f t="shared" si="65"/>
        <v>83483.210000000152</v>
      </c>
    </row>
    <row r="351" spans="1:5">
      <c r="B351" s="17" t="str">
        <f>IF(E350&gt;0.005,"September","")</f>
        <v>September</v>
      </c>
      <c r="C351" s="32">
        <f t="shared" si="63"/>
        <v>278.97000000000003</v>
      </c>
      <c r="D351" s="32">
        <f t="shared" si="64"/>
        <v>817.61999999999989</v>
      </c>
      <c r="E351" s="32">
        <f t="shared" si="65"/>
        <v>82665.590000000157</v>
      </c>
    </row>
    <row r="352" spans="1:5">
      <c r="B352" s="17" t="str">
        <f>IF(E351&gt;0.005,"October","")</f>
        <v>October</v>
      </c>
      <c r="C352" s="32">
        <f t="shared" si="63"/>
        <v>276.24</v>
      </c>
      <c r="D352" s="32">
        <f t="shared" si="64"/>
        <v>820.34999999999991</v>
      </c>
      <c r="E352" s="32">
        <f t="shared" si="65"/>
        <v>81845.240000000151</v>
      </c>
    </row>
    <row r="353" spans="1:5">
      <c r="B353" s="17" t="str">
        <f>IF(E352&gt;0.005,"November","")</f>
        <v>November</v>
      </c>
      <c r="C353" s="32">
        <f t="shared" si="63"/>
        <v>273.5</v>
      </c>
      <c r="D353" s="32">
        <f t="shared" si="64"/>
        <v>823.08999999999992</v>
      </c>
      <c r="E353" s="32">
        <f t="shared" si="65"/>
        <v>81022.150000000154</v>
      </c>
    </row>
    <row r="354" spans="1:5">
      <c r="A354">
        <v>23</v>
      </c>
      <c r="B354" s="17" t="str">
        <f>IF(E353&gt;0.005,"December","")</f>
        <v>December</v>
      </c>
      <c r="C354" s="32">
        <f t="shared" si="63"/>
        <v>270.75</v>
      </c>
      <c r="D354" s="32">
        <f t="shared" si="64"/>
        <v>825.83999999999992</v>
      </c>
      <c r="E354" s="32">
        <f t="shared" si="65"/>
        <v>80196.310000000158</v>
      </c>
    </row>
    <row r="355" spans="1:5">
      <c r="B355" s="33" t="str">
        <f>"Total "&amp;YEAR($B$10)+22</f>
        <v>Total 2038</v>
      </c>
      <c r="C355" s="34">
        <f>SUM(C343:C354)</f>
        <v>3428.54</v>
      </c>
      <c r="D355" s="34">
        <f>SUM(D343:D354)</f>
        <v>9730.5399999999991</v>
      </c>
      <c r="E355" s="35"/>
    </row>
    <row r="356" spans="1:5">
      <c r="B356" s="18"/>
      <c r="C356" s="36"/>
      <c r="D356" s="36"/>
      <c r="E356" s="32"/>
    </row>
    <row r="357" spans="1:5">
      <c r="B357" s="23"/>
      <c r="C357" s="31" t="s">
        <v>63</v>
      </c>
      <c r="D357" s="31" t="s">
        <v>64</v>
      </c>
      <c r="E357" s="31" t="s">
        <v>65</v>
      </c>
    </row>
    <row r="358" spans="1:5">
      <c r="B358" s="17" t="str">
        <f>IF(E354&gt;0.005,"January","")</f>
        <v>January</v>
      </c>
      <c r="C358" s="32">
        <f>IF(E354&gt;0,ROUND(E354*($E$5/1200),2),0)</f>
        <v>267.99</v>
      </c>
      <c r="D358" s="32">
        <f>IF(E354&lt;$C$7,E354,$C$7-C358)</f>
        <v>828.59999999999991</v>
      </c>
      <c r="E358" s="32">
        <f>IF(E354-D358&gt;0,E354-D358,0)</f>
        <v>79367.710000000152</v>
      </c>
    </row>
    <row r="359" spans="1:5">
      <c r="B359" s="17" t="str">
        <f>IF(E358&gt;0.005,"February","")</f>
        <v>February</v>
      </c>
      <c r="C359" s="32">
        <f t="shared" ref="C359:C369" si="66">IF(E358&gt;0,ROUND(E358*($E$5/1200),2),0)</f>
        <v>265.22000000000003</v>
      </c>
      <c r="D359" s="32">
        <f t="shared" ref="D359:D369" si="67">IF(E358&lt;$C$7,E358,$C$7-C359)</f>
        <v>831.36999999999989</v>
      </c>
      <c r="E359" s="32">
        <f t="shared" ref="E359:E369" si="68">IF(E358-D359&gt;0,E358-D359,0)</f>
        <v>78536.340000000157</v>
      </c>
    </row>
    <row r="360" spans="1:5">
      <c r="B360" s="17" t="str">
        <f>IF(E359&gt;0.005,"March","")</f>
        <v>March</v>
      </c>
      <c r="C360" s="32">
        <f t="shared" si="66"/>
        <v>262.44</v>
      </c>
      <c r="D360" s="32">
        <f t="shared" si="67"/>
        <v>834.14999999999986</v>
      </c>
      <c r="E360" s="32">
        <f t="shared" si="68"/>
        <v>77702.190000000162</v>
      </c>
    </row>
    <row r="361" spans="1:5">
      <c r="B361" s="17" t="str">
        <f>IF(E360&gt;0.005,"April","")</f>
        <v>April</v>
      </c>
      <c r="C361" s="32">
        <f t="shared" si="66"/>
        <v>259.64999999999998</v>
      </c>
      <c r="D361" s="32">
        <f t="shared" si="67"/>
        <v>836.93999999999994</v>
      </c>
      <c r="E361" s="32">
        <f t="shared" si="68"/>
        <v>76865.25000000016</v>
      </c>
    </row>
    <row r="362" spans="1:5">
      <c r="B362" s="17" t="str">
        <f>IF(E361&gt;0.005,"May","")</f>
        <v>May</v>
      </c>
      <c r="C362" s="32">
        <f t="shared" si="66"/>
        <v>256.86</v>
      </c>
      <c r="D362" s="32">
        <f t="shared" si="67"/>
        <v>839.7299999999999</v>
      </c>
      <c r="E362" s="32">
        <f t="shared" si="68"/>
        <v>76025.520000000164</v>
      </c>
    </row>
    <row r="363" spans="1:5">
      <c r="B363" s="17" t="str">
        <f>IF(E362&gt;0.005,"June","")</f>
        <v>June</v>
      </c>
      <c r="C363" s="32">
        <f t="shared" si="66"/>
        <v>254.05</v>
      </c>
      <c r="D363" s="32">
        <f t="shared" si="67"/>
        <v>842.54</v>
      </c>
      <c r="E363" s="32">
        <f t="shared" si="68"/>
        <v>75182.980000000171</v>
      </c>
    </row>
    <row r="364" spans="1:5">
      <c r="B364" s="17" t="str">
        <f>IF(E363&gt;0.005,"July","")</f>
        <v>July</v>
      </c>
      <c r="C364" s="32">
        <f t="shared" si="66"/>
        <v>251.24</v>
      </c>
      <c r="D364" s="32">
        <f t="shared" si="67"/>
        <v>845.34999999999991</v>
      </c>
      <c r="E364" s="32">
        <f t="shared" si="68"/>
        <v>74337.630000000165</v>
      </c>
    </row>
    <row r="365" spans="1:5">
      <c r="B365" s="17" t="str">
        <f>IF(E364&gt;0.005,"August","")</f>
        <v>August</v>
      </c>
      <c r="C365" s="32">
        <f t="shared" si="66"/>
        <v>248.41</v>
      </c>
      <c r="D365" s="32">
        <f t="shared" si="67"/>
        <v>848.18</v>
      </c>
      <c r="E365" s="32">
        <f t="shared" si="68"/>
        <v>73489.450000000172</v>
      </c>
    </row>
    <row r="366" spans="1:5">
      <c r="B366" s="17" t="str">
        <f>IF(E365&gt;0.005,"September","")</f>
        <v>September</v>
      </c>
      <c r="C366" s="32">
        <f t="shared" si="66"/>
        <v>245.58</v>
      </c>
      <c r="D366" s="32">
        <f t="shared" si="67"/>
        <v>851.00999999999988</v>
      </c>
      <c r="E366" s="32">
        <f t="shared" si="68"/>
        <v>72638.440000000177</v>
      </c>
    </row>
    <row r="367" spans="1:5">
      <c r="B367" s="17" t="str">
        <f>IF(E366&gt;0.005,"October","")</f>
        <v>October</v>
      </c>
      <c r="C367" s="32">
        <f t="shared" si="66"/>
        <v>242.73</v>
      </c>
      <c r="D367" s="32">
        <f t="shared" si="67"/>
        <v>853.8599999999999</v>
      </c>
      <c r="E367" s="32">
        <f t="shared" si="68"/>
        <v>71784.580000000176</v>
      </c>
    </row>
    <row r="368" spans="1:5">
      <c r="B368" s="17" t="str">
        <f>IF(E367&gt;0.005,"November","")</f>
        <v>November</v>
      </c>
      <c r="C368" s="32">
        <f t="shared" si="66"/>
        <v>239.88</v>
      </c>
      <c r="D368" s="32">
        <f t="shared" si="67"/>
        <v>856.70999999999992</v>
      </c>
      <c r="E368" s="32">
        <f t="shared" si="68"/>
        <v>70927.87000000017</v>
      </c>
    </row>
    <row r="369" spans="1:5">
      <c r="A369">
        <v>24</v>
      </c>
      <c r="B369" s="17" t="str">
        <f>IF(E368&gt;0.005,"December","")</f>
        <v>December</v>
      </c>
      <c r="C369" s="32">
        <f t="shared" si="66"/>
        <v>237.02</v>
      </c>
      <c r="D369" s="32">
        <f t="shared" si="67"/>
        <v>859.56999999999994</v>
      </c>
      <c r="E369" s="32">
        <f t="shared" si="68"/>
        <v>70068.300000000163</v>
      </c>
    </row>
    <row r="370" spans="1:5">
      <c r="B370" s="33" t="str">
        <f>"Total "&amp;YEAR($B$10)+23</f>
        <v>Total 2039</v>
      </c>
      <c r="C370" s="34">
        <f>SUM(C358:C369)</f>
        <v>3031.07</v>
      </c>
      <c r="D370" s="34">
        <f>SUM(D358:D369)</f>
        <v>10128.01</v>
      </c>
      <c r="E370" s="35"/>
    </row>
    <row r="371" spans="1:5">
      <c r="B371" s="23"/>
      <c r="C371" s="32"/>
      <c r="D371" s="32"/>
      <c r="E371" s="32"/>
    </row>
    <row r="372" spans="1:5">
      <c r="B372" s="23"/>
      <c r="C372" s="31" t="s">
        <v>63</v>
      </c>
      <c r="D372" s="31" t="s">
        <v>64</v>
      </c>
      <c r="E372" s="31" t="s">
        <v>65</v>
      </c>
    </row>
    <row r="373" spans="1:5">
      <c r="B373" s="17" t="str">
        <f>IF(E369&gt;0.005,"January","")</f>
        <v>January</v>
      </c>
      <c r="C373" s="32">
        <f>IF(E369&gt;0,ROUND(E369*($E$5/1200),2),0)</f>
        <v>234.14</v>
      </c>
      <c r="D373" s="32">
        <f>IF(E369&lt;$C$7,E369,$C$7-C373)</f>
        <v>862.44999999999993</v>
      </c>
      <c r="E373" s="32">
        <f>IF(E369-D373&gt;0,E369-D373,0)</f>
        <v>69205.850000000166</v>
      </c>
    </row>
    <row r="374" spans="1:5">
      <c r="B374" s="17" t="str">
        <f>IF(E373&gt;0.005,"February","")</f>
        <v>February</v>
      </c>
      <c r="C374" s="32">
        <f t="shared" ref="C374:C384" si="69">IF(E373&gt;0,ROUND(E373*($E$5/1200),2),0)</f>
        <v>231.26</v>
      </c>
      <c r="D374" s="32">
        <f t="shared" ref="D374:D384" si="70">IF(E373&lt;$C$7,E373,$C$7-C374)</f>
        <v>865.32999999999993</v>
      </c>
      <c r="E374" s="32">
        <f t="shared" ref="E374:E384" si="71">IF(E373-D374&gt;0,E373-D374,0)</f>
        <v>68340.520000000164</v>
      </c>
    </row>
    <row r="375" spans="1:5">
      <c r="B375" s="17" t="str">
        <f>IF(E374&gt;0.005,"March","")</f>
        <v>March</v>
      </c>
      <c r="C375" s="32">
        <f t="shared" si="69"/>
        <v>228.37</v>
      </c>
      <c r="D375" s="32">
        <f t="shared" si="70"/>
        <v>868.21999999999991</v>
      </c>
      <c r="E375" s="32">
        <f t="shared" si="71"/>
        <v>67472.300000000163</v>
      </c>
    </row>
    <row r="376" spans="1:5">
      <c r="B376" s="17" t="str">
        <f>IF(E375&gt;0.005,"April","")</f>
        <v>April</v>
      </c>
      <c r="C376" s="32">
        <f t="shared" si="69"/>
        <v>225.47</v>
      </c>
      <c r="D376" s="32">
        <f t="shared" si="70"/>
        <v>871.11999999999989</v>
      </c>
      <c r="E376" s="32">
        <f t="shared" si="71"/>
        <v>66601.180000000168</v>
      </c>
    </row>
    <row r="377" spans="1:5">
      <c r="B377" s="17" t="str">
        <f>IF(E376&gt;0.005,"May","")</f>
        <v>May</v>
      </c>
      <c r="C377" s="32">
        <f t="shared" si="69"/>
        <v>222.56</v>
      </c>
      <c r="D377" s="32">
        <f t="shared" si="70"/>
        <v>874.03</v>
      </c>
      <c r="E377" s="32">
        <f t="shared" si="71"/>
        <v>65727.150000000169</v>
      </c>
    </row>
    <row r="378" spans="1:5">
      <c r="B378" s="17" t="str">
        <f>IF(E377&gt;0.005,"June","")</f>
        <v>June</v>
      </c>
      <c r="C378" s="32">
        <f t="shared" si="69"/>
        <v>219.64</v>
      </c>
      <c r="D378" s="32">
        <f t="shared" si="70"/>
        <v>876.94999999999993</v>
      </c>
      <c r="E378" s="32">
        <f t="shared" si="71"/>
        <v>64850.200000000172</v>
      </c>
    </row>
    <row r="379" spans="1:5">
      <c r="B379" s="17" t="str">
        <f>IF(E378&gt;0.005,"July","")</f>
        <v>July</v>
      </c>
      <c r="C379" s="32">
        <f t="shared" si="69"/>
        <v>216.71</v>
      </c>
      <c r="D379" s="32">
        <f t="shared" si="70"/>
        <v>879.87999999999988</v>
      </c>
      <c r="E379" s="32">
        <f t="shared" si="71"/>
        <v>63970.320000000174</v>
      </c>
    </row>
    <row r="380" spans="1:5">
      <c r="B380" s="17" t="str">
        <f>IF(E379&gt;0.005,"August","")</f>
        <v>August</v>
      </c>
      <c r="C380" s="32">
        <f t="shared" si="69"/>
        <v>213.77</v>
      </c>
      <c r="D380" s="32">
        <f t="shared" si="70"/>
        <v>882.81999999999994</v>
      </c>
      <c r="E380" s="32">
        <f t="shared" si="71"/>
        <v>63087.500000000175</v>
      </c>
    </row>
    <row r="381" spans="1:5">
      <c r="B381" s="17" t="str">
        <f>IF(E380&gt;0.005,"September","")</f>
        <v>September</v>
      </c>
      <c r="C381" s="32">
        <f t="shared" si="69"/>
        <v>210.82</v>
      </c>
      <c r="D381" s="32">
        <f t="shared" si="70"/>
        <v>885.77</v>
      </c>
      <c r="E381" s="32">
        <f t="shared" si="71"/>
        <v>62201.730000000178</v>
      </c>
    </row>
    <row r="382" spans="1:5">
      <c r="B382" s="17" t="str">
        <f>IF(E381&gt;0.005,"October","")</f>
        <v>October</v>
      </c>
      <c r="C382" s="32">
        <f t="shared" si="69"/>
        <v>207.86</v>
      </c>
      <c r="D382" s="32">
        <f t="shared" si="70"/>
        <v>888.7299999999999</v>
      </c>
      <c r="E382" s="32">
        <f t="shared" si="71"/>
        <v>61313.000000000175</v>
      </c>
    </row>
    <row r="383" spans="1:5">
      <c r="B383" s="17" t="str">
        <f>IF(E382&gt;0.005,"November","")</f>
        <v>November</v>
      </c>
      <c r="C383" s="32">
        <f t="shared" si="69"/>
        <v>204.89</v>
      </c>
      <c r="D383" s="32">
        <f t="shared" si="70"/>
        <v>891.69999999999993</v>
      </c>
      <c r="E383" s="32">
        <f t="shared" si="71"/>
        <v>60421.300000000178</v>
      </c>
    </row>
    <row r="384" spans="1:5">
      <c r="A384">
        <v>25</v>
      </c>
      <c r="B384" s="17" t="str">
        <f>IF(E383&gt;0.005,"December","")</f>
        <v>December</v>
      </c>
      <c r="C384" s="32">
        <f t="shared" si="69"/>
        <v>201.91</v>
      </c>
      <c r="D384" s="32">
        <f t="shared" si="70"/>
        <v>894.68</v>
      </c>
      <c r="E384" s="32">
        <f t="shared" si="71"/>
        <v>59526.620000000177</v>
      </c>
    </row>
    <row r="385" spans="1:5">
      <c r="B385" s="33" t="str">
        <f>"Total "&amp;YEAR($B$10)+24</f>
        <v>Total 2040</v>
      </c>
      <c r="C385" s="34">
        <f>SUM(C373:C384)</f>
        <v>2617.3999999999996</v>
      </c>
      <c r="D385" s="34">
        <f>SUM(D373:D384)</f>
        <v>10541.68</v>
      </c>
      <c r="E385" s="35"/>
    </row>
    <row r="386" spans="1:5">
      <c r="B386" s="23"/>
      <c r="C386" s="32"/>
      <c r="D386" s="32"/>
      <c r="E386" s="32"/>
    </row>
    <row r="387" spans="1:5">
      <c r="B387" s="23"/>
      <c r="C387" s="31" t="s">
        <v>63</v>
      </c>
      <c r="D387" s="31" t="s">
        <v>64</v>
      </c>
      <c r="E387" s="31" t="s">
        <v>65</v>
      </c>
    </row>
    <row r="388" spans="1:5">
      <c r="B388" s="17" t="str">
        <f>IF(E384&gt;0.005,"January","")</f>
        <v>January</v>
      </c>
      <c r="C388" s="32">
        <f>IF(E384&gt;0,ROUND(E384*($E$5/1200),2),0)</f>
        <v>198.92</v>
      </c>
      <c r="D388" s="32">
        <f>IF(E384&lt;$C$7,E384,$C$7-C388)</f>
        <v>897.67</v>
      </c>
      <c r="E388" s="32">
        <f>IF(E384-D388&gt;0,E384-D388,0)</f>
        <v>58628.950000000179</v>
      </c>
    </row>
    <row r="389" spans="1:5">
      <c r="B389" s="17" t="str">
        <f>IF(E388&gt;0.005,"February","")</f>
        <v>February</v>
      </c>
      <c r="C389" s="32">
        <f t="shared" ref="C389:C399" si="72">IF(E388&gt;0,ROUND(E388*($E$5/1200),2),0)</f>
        <v>195.92</v>
      </c>
      <c r="D389" s="32">
        <f t="shared" ref="D389:D399" si="73">IF(E388&lt;$C$7,E388,$C$7-C389)</f>
        <v>900.67</v>
      </c>
      <c r="E389" s="32">
        <f t="shared" ref="E389:E399" si="74">IF(E388-D389&gt;0,E388-D389,0)</f>
        <v>57728.280000000181</v>
      </c>
    </row>
    <row r="390" spans="1:5">
      <c r="B390" s="17" t="str">
        <f>IF(E389&gt;0.005,"March","")</f>
        <v>March</v>
      </c>
      <c r="C390" s="32">
        <f t="shared" si="72"/>
        <v>192.91</v>
      </c>
      <c r="D390" s="32">
        <f t="shared" si="73"/>
        <v>903.68</v>
      </c>
      <c r="E390" s="32">
        <f t="shared" si="74"/>
        <v>56824.60000000018</v>
      </c>
    </row>
    <row r="391" spans="1:5">
      <c r="B391" s="17" t="str">
        <f>IF(E390&gt;0.005,"April","")</f>
        <v>April</v>
      </c>
      <c r="C391" s="32">
        <f t="shared" si="72"/>
        <v>189.89</v>
      </c>
      <c r="D391" s="32">
        <f t="shared" si="73"/>
        <v>906.69999999999993</v>
      </c>
      <c r="E391" s="32">
        <f t="shared" si="74"/>
        <v>55917.900000000183</v>
      </c>
    </row>
    <row r="392" spans="1:5">
      <c r="B392" s="17" t="str">
        <f>IF(E391&gt;0.005,"May","")</f>
        <v>May</v>
      </c>
      <c r="C392" s="32">
        <f t="shared" si="72"/>
        <v>186.86</v>
      </c>
      <c r="D392" s="32">
        <f t="shared" si="73"/>
        <v>909.7299999999999</v>
      </c>
      <c r="E392" s="32">
        <f t="shared" si="74"/>
        <v>55008.17000000018</v>
      </c>
    </row>
    <row r="393" spans="1:5">
      <c r="B393" s="17" t="str">
        <f>IF(E392&gt;0.005,"June","")</f>
        <v>June</v>
      </c>
      <c r="C393" s="32">
        <f t="shared" si="72"/>
        <v>183.82</v>
      </c>
      <c r="D393" s="32">
        <f t="shared" si="73"/>
        <v>912.77</v>
      </c>
      <c r="E393" s="32">
        <f t="shared" si="74"/>
        <v>54095.400000000183</v>
      </c>
    </row>
    <row r="394" spans="1:5">
      <c r="B394" s="17" t="str">
        <f>IF(E393&gt;0.005,"July","")</f>
        <v>July</v>
      </c>
      <c r="C394" s="32">
        <f t="shared" si="72"/>
        <v>180.77</v>
      </c>
      <c r="D394" s="32">
        <f t="shared" si="73"/>
        <v>915.81999999999994</v>
      </c>
      <c r="E394" s="32">
        <f t="shared" si="74"/>
        <v>53179.580000000184</v>
      </c>
    </row>
    <row r="395" spans="1:5">
      <c r="B395" s="17" t="str">
        <f>IF(E394&gt;0.005,"August","")</f>
        <v>August</v>
      </c>
      <c r="C395" s="32">
        <f t="shared" si="72"/>
        <v>177.71</v>
      </c>
      <c r="D395" s="32">
        <f t="shared" si="73"/>
        <v>918.87999999999988</v>
      </c>
      <c r="E395" s="32">
        <f t="shared" si="74"/>
        <v>52260.700000000186</v>
      </c>
    </row>
    <row r="396" spans="1:5">
      <c r="B396" s="17" t="str">
        <f>IF(E395&gt;0.005,"September","")</f>
        <v>September</v>
      </c>
      <c r="C396" s="32">
        <f t="shared" si="72"/>
        <v>174.64</v>
      </c>
      <c r="D396" s="32">
        <f t="shared" si="73"/>
        <v>921.94999999999993</v>
      </c>
      <c r="E396" s="32">
        <f t="shared" si="74"/>
        <v>51338.750000000189</v>
      </c>
    </row>
    <row r="397" spans="1:5">
      <c r="B397" s="17" t="str">
        <f>IF(E396&gt;0.005,"October","")</f>
        <v>October</v>
      </c>
      <c r="C397" s="32">
        <f t="shared" si="72"/>
        <v>171.56</v>
      </c>
      <c r="D397" s="32">
        <f t="shared" si="73"/>
        <v>925.03</v>
      </c>
      <c r="E397" s="32">
        <f t="shared" si="74"/>
        <v>50413.72000000019</v>
      </c>
    </row>
    <row r="398" spans="1:5">
      <c r="B398" s="17" t="str">
        <f>IF(E397&gt;0.005,"November","")</f>
        <v>November</v>
      </c>
      <c r="C398" s="32">
        <f t="shared" si="72"/>
        <v>168.47</v>
      </c>
      <c r="D398" s="32">
        <f t="shared" si="73"/>
        <v>928.11999999999989</v>
      </c>
      <c r="E398" s="32">
        <f t="shared" si="74"/>
        <v>49485.600000000188</v>
      </c>
    </row>
    <row r="399" spans="1:5">
      <c r="A399">
        <v>26</v>
      </c>
      <c r="B399" s="17" t="str">
        <f>IF(E398&gt;0.005,"December","")</f>
        <v>December</v>
      </c>
      <c r="C399" s="32">
        <f t="shared" si="72"/>
        <v>165.36</v>
      </c>
      <c r="D399" s="32">
        <f t="shared" si="73"/>
        <v>931.2299999999999</v>
      </c>
      <c r="E399" s="32">
        <f t="shared" si="74"/>
        <v>48554.370000000185</v>
      </c>
    </row>
    <row r="400" spans="1:5">
      <c r="B400" s="33" t="str">
        <f>"Total "&amp;YEAR($B$10)+25</f>
        <v>Total 2041</v>
      </c>
      <c r="C400" s="34">
        <f>SUM(C388:C399)</f>
        <v>2186.83</v>
      </c>
      <c r="D400" s="34">
        <f>SUM(D388:D399)</f>
        <v>10972.25</v>
      </c>
      <c r="E400" s="35"/>
    </row>
    <row r="401" spans="1:5">
      <c r="B401" s="18"/>
      <c r="C401" s="36"/>
      <c r="D401" s="36"/>
      <c r="E401" s="32"/>
    </row>
    <row r="402" spans="1:5">
      <c r="B402" s="23"/>
      <c r="C402" s="31" t="s">
        <v>63</v>
      </c>
      <c r="D402" s="31" t="s">
        <v>64</v>
      </c>
      <c r="E402" s="31" t="s">
        <v>65</v>
      </c>
    </row>
    <row r="403" spans="1:5">
      <c r="B403" s="17" t="str">
        <f>IF(E399&gt;0.005,"January","")</f>
        <v>January</v>
      </c>
      <c r="C403" s="32">
        <f>IF(E399&gt;0,ROUND(E399*($E$5/1200),2),0)</f>
        <v>162.25</v>
      </c>
      <c r="D403" s="32">
        <f>IF(E399&lt;$C$7,E399,$C$7-C403)</f>
        <v>934.33999999999992</v>
      </c>
      <c r="E403" s="32">
        <f>IF(E399-D403&gt;0,E399-D403,0)</f>
        <v>47620.030000000188</v>
      </c>
    </row>
    <row r="404" spans="1:5">
      <c r="B404" s="17" t="str">
        <f>IF(E403&gt;0.005,"February","")</f>
        <v>February</v>
      </c>
      <c r="C404" s="32">
        <f t="shared" ref="C404:C414" si="75">IF(E403&gt;0,ROUND(E403*($E$5/1200),2),0)</f>
        <v>159.13</v>
      </c>
      <c r="D404" s="32">
        <f t="shared" ref="D404:D414" si="76">IF(E403&lt;$C$7,E403,$C$7-C404)</f>
        <v>937.45999999999992</v>
      </c>
      <c r="E404" s="32">
        <f t="shared" ref="E404:E414" si="77">IF(E403-D404&gt;0,E403-D404,0)</f>
        <v>46682.570000000189</v>
      </c>
    </row>
    <row r="405" spans="1:5">
      <c r="B405" s="17" t="str">
        <f>IF(E404&gt;0.005,"March","")</f>
        <v>March</v>
      </c>
      <c r="C405" s="32">
        <f t="shared" si="75"/>
        <v>156</v>
      </c>
      <c r="D405" s="32">
        <f t="shared" si="76"/>
        <v>940.58999999999992</v>
      </c>
      <c r="E405" s="32">
        <f t="shared" si="77"/>
        <v>45741.980000000192</v>
      </c>
    </row>
    <row r="406" spans="1:5">
      <c r="B406" s="17" t="str">
        <f>IF(E405&gt;0.005,"April","")</f>
        <v>April</v>
      </c>
      <c r="C406" s="32">
        <f t="shared" si="75"/>
        <v>152.85</v>
      </c>
      <c r="D406" s="32">
        <f t="shared" si="76"/>
        <v>943.7399999999999</v>
      </c>
      <c r="E406" s="32">
        <f t="shared" si="77"/>
        <v>44798.240000000194</v>
      </c>
    </row>
    <row r="407" spans="1:5">
      <c r="B407" s="17" t="str">
        <f>IF(E406&gt;0.005,"May","")</f>
        <v>May</v>
      </c>
      <c r="C407" s="32">
        <f t="shared" si="75"/>
        <v>149.69999999999999</v>
      </c>
      <c r="D407" s="32">
        <f t="shared" si="76"/>
        <v>946.88999999999987</v>
      </c>
      <c r="E407" s="32">
        <f t="shared" si="77"/>
        <v>43851.350000000195</v>
      </c>
    </row>
    <row r="408" spans="1:5">
      <c r="B408" s="17" t="str">
        <f>IF(E407&gt;0.005,"June","")</f>
        <v>June</v>
      </c>
      <c r="C408" s="32">
        <f t="shared" si="75"/>
        <v>146.54</v>
      </c>
      <c r="D408" s="32">
        <f t="shared" si="76"/>
        <v>950.05</v>
      </c>
      <c r="E408" s="32">
        <f t="shared" si="77"/>
        <v>42901.300000000192</v>
      </c>
    </row>
    <row r="409" spans="1:5">
      <c r="B409" s="17" t="str">
        <f>IF(E408&gt;0.005,"July","")</f>
        <v>July</v>
      </c>
      <c r="C409" s="32">
        <f t="shared" si="75"/>
        <v>143.36000000000001</v>
      </c>
      <c r="D409" s="32">
        <f t="shared" si="76"/>
        <v>953.2299999999999</v>
      </c>
      <c r="E409" s="32">
        <f t="shared" si="77"/>
        <v>41948.070000000189</v>
      </c>
    </row>
    <row r="410" spans="1:5">
      <c r="B410" s="17" t="str">
        <f>IF(E409&gt;0.005,"August","")</f>
        <v>August</v>
      </c>
      <c r="C410" s="32">
        <f t="shared" si="75"/>
        <v>140.18</v>
      </c>
      <c r="D410" s="32">
        <f t="shared" si="76"/>
        <v>956.40999999999985</v>
      </c>
      <c r="E410" s="32">
        <f t="shared" si="77"/>
        <v>40991.660000000193</v>
      </c>
    </row>
    <row r="411" spans="1:5">
      <c r="B411" s="17" t="str">
        <f>IF(E410&gt;0.005,"September","")</f>
        <v>September</v>
      </c>
      <c r="C411" s="32">
        <f t="shared" si="75"/>
        <v>136.97999999999999</v>
      </c>
      <c r="D411" s="32">
        <f t="shared" si="76"/>
        <v>959.6099999999999</v>
      </c>
      <c r="E411" s="32">
        <f t="shared" si="77"/>
        <v>40032.050000000192</v>
      </c>
    </row>
    <row r="412" spans="1:5">
      <c r="B412" s="17" t="str">
        <f>IF(E411&gt;0.005,"October","")</f>
        <v>October</v>
      </c>
      <c r="C412" s="32">
        <f t="shared" si="75"/>
        <v>133.77000000000001</v>
      </c>
      <c r="D412" s="32">
        <f t="shared" si="76"/>
        <v>962.81999999999994</v>
      </c>
      <c r="E412" s="32">
        <f t="shared" si="77"/>
        <v>39069.230000000192</v>
      </c>
    </row>
    <row r="413" spans="1:5">
      <c r="B413" s="17" t="str">
        <f>IF(E412&gt;0.005,"November","")</f>
        <v>November</v>
      </c>
      <c r="C413" s="32">
        <f t="shared" si="75"/>
        <v>130.56</v>
      </c>
      <c r="D413" s="32">
        <f t="shared" si="76"/>
        <v>966.03</v>
      </c>
      <c r="E413" s="32">
        <f t="shared" si="77"/>
        <v>38103.200000000194</v>
      </c>
    </row>
    <row r="414" spans="1:5">
      <c r="A414">
        <v>27</v>
      </c>
      <c r="B414" s="17" t="str">
        <f>IF(E413&gt;0.005,"December","")</f>
        <v>December</v>
      </c>
      <c r="C414" s="32">
        <f t="shared" si="75"/>
        <v>127.33</v>
      </c>
      <c r="D414" s="32">
        <f t="shared" si="76"/>
        <v>969.25999999999988</v>
      </c>
      <c r="E414" s="32">
        <f t="shared" si="77"/>
        <v>37133.940000000192</v>
      </c>
    </row>
    <row r="415" spans="1:5">
      <c r="B415" s="33" t="str">
        <f>"Total "&amp;YEAR($B$10)+26</f>
        <v>Total 2042</v>
      </c>
      <c r="C415" s="34">
        <f>SUM(C403:C414)</f>
        <v>1738.6499999999999</v>
      </c>
      <c r="D415" s="34">
        <f>SUM(D403:D414)</f>
        <v>11420.429999999998</v>
      </c>
      <c r="E415" s="35"/>
    </row>
    <row r="416" spans="1:5">
      <c r="B416" s="23"/>
      <c r="C416" s="32"/>
      <c r="D416" s="32"/>
      <c r="E416" s="32"/>
    </row>
    <row r="417" spans="1:5">
      <c r="B417" s="23"/>
      <c r="C417" s="31" t="s">
        <v>63</v>
      </c>
      <c r="D417" s="31" t="s">
        <v>64</v>
      </c>
      <c r="E417" s="31" t="s">
        <v>65</v>
      </c>
    </row>
    <row r="418" spans="1:5">
      <c r="B418" s="17" t="str">
        <f>IF(E414&gt;0.005,"January","")</f>
        <v>January</v>
      </c>
      <c r="C418" s="32">
        <f>IF(E414&gt;0,ROUND(E414*($E$5/1200),2),0)</f>
        <v>124.09</v>
      </c>
      <c r="D418" s="32">
        <f>IF(E414&lt;$C$7,E414,$C$7-C418)</f>
        <v>972.49999999999989</v>
      </c>
      <c r="E418" s="32">
        <f>IF(E414-D418&gt;0,E414-D418,0)</f>
        <v>36161.440000000192</v>
      </c>
    </row>
    <row r="419" spans="1:5">
      <c r="B419" s="17" t="str">
        <f>IF(E418&gt;0.005,"February","")</f>
        <v>February</v>
      </c>
      <c r="C419" s="32">
        <f t="shared" ref="C419:C429" si="78">IF(E418&gt;0,ROUND(E418*($E$5/1200),2),0)</f>
        <v>120.84</v>
      </c>
      <c r="D419" s="32">
        <f t="shared" ref="D419:D429" si="79">IF(E418&lt;$C$7,E418,$C$7-C419)</f>
        <v>975.74999999999989</v>
      </c>
      <c r="E419" s="32">
        <f t="shared" ref="E419:E429" si="80">IF(E418-D419&gt;0,E418-D419,0)</f>
        <v>35185.690000000192</v>
      </c>
    </row>
    <row r="420" spans="1:5">
      <c r="B420" s="17" t="str">
        <f>IF(E419&gt;0.005,"March","")</f>
        <v>March</v>
      </c>
      <c r="C420" s="32">
        <f t="shared" si="78"/>
        <v>117.58</v>
      </c>
      <c r="D420" s="32">
        <f t="shared" si="79"/>
        <v>979.00999999999988</v>
      </c>
      <c r="E420" s="32">
        <f t="shared" si="80"/>
        <v>34206.680000000189</v>
      </c>
    </row>
    <row r="421" spans="1:5">
      <c r="B421" s="17" t="str">
        <f>IF(E420&gt;0.005,"April","")</f>
        <v>April</v>
      </c>
      <c r="C421" s="32">
        <f t="shared" si="78"/>
        <v>114.31</v>
      </c>
      <c r="D421" s="32">
        <f t="shared" si="79"/>
        <v>982.28</v>
      </c>
      <c r="E421" s="32">
        <f t="shared" si="80"/>
        <v>33224.400000000191</v>
      </c>
    </row>
    <row r="422" spans="1:5">
      <c r="B422" s="17" t="str">
        <f>IF(E421&gt;0.005,"May","")</f>
        <v>May</v>
      </c>
      <c r="C422" s="32">
        <f t="shared" si="78"/>
        <v>111.02</v>
      </c>
      <c r="D422" s="32">
        <f t="shared" si="79"/>
        <v>985.56999999999994</v>
      </c>
      <c r="E422" s="32">
        <f t="shared" si="80"/>
        <v>32238.830000000191</v>
      </c>
    </row>
    <row r="423" spans="1:5">
      <c r="B423" s="17" t="str">
        <f>IF(E422&gt;0.005,"June","")</f>
        <v>June</v>
      </c>
      <c r="C423" s="32">
        <f t="shared" si="78"/>
        <v>107.73</v>
      </c>
      <c r="D423" s="32">
        <f t="shared" si="79"/>
        <v>988.8599999999999</v>
      </c>
      <c r="E423" s="32">
        <f t="shared" si="80"/>
        <v>31249.97000000019</v>
      </c>
    </row>
    <row r="424" spans="1:5">
      <c r="B424" s="17" t="str">
        <f>IF(E423&gt;0.005,"July","")</f>
        <v>July</v>
      </c>
      <c r="C424" s="32">
        <f t="shared" si="78"/>
        <v>104.43</v>
      </c>
      <c r="D424" s="32">
        <f t="shared" si="79"/>
        <v>992.15999999999985</v>
      </c>
      <c r="E424" s="32">
        <f t="shared" si="80"/>
        <v>30257.81000000019</v>
      </c>
    </row>
    <row r="425" spans="1:5">
      <c r="B425" s="17" t="str">
        <f>IF(E424&gt;0.005,"August","")</f>
        <v>August</v>
      </c>
      <c r="C425" s="32">
        <f t="shared" si="78"/>
        <v>101.11</v>
      </c>
      <c r="D425" s="32">
        <f t="shared" si="79"/>
        <v>995.4799999999999</v>
      </c>
      <c r="E425" s="32">
        <f t="shared" si="80"/>
        <v>29262.330000000191</v>
      </c>
    </row>
    <row r="426" spans="1:5">
      <c r="B426" s="17" t="str">
        <f>IF(E425&gt;0.005,"September","")</f>
        <v>September</v>
      </c>
      <c r="C426" s="32">
        <f t="shared" si="78"/>
        <v>97.78</v>
      </c>
      <c r="D426" s="32">
        <f t="shared" si="79"/>
        <v>998.81</v>
      </c>
      <c r="E426" s="32">
        <f t="shared" si="80"/>
        <v>28263.52000000019</v>
      </c>
    </row>
    <row r="427" spans="1:5">
      <c r="B427" s="17" t="str">
        <f>IF(E426&gt;0.005,"October","")</f>
        <v>October</v>
      </c>
      <c r="C427" s="32">
        <f t="shared" si="78"/>
        <v>94.45</v>
      </c>
      <c r="D427" s="32">
        <f t="shared" si="79"/>
        <v>1002.1399999999999</v>
      </c>
      <c r="E427" s="32">
        <f t="shared" si="80"/>
        <v>27261.38000000019</v>
      </c>
    </row>
    <row r="428" spans="1:5">
      <c r="B428" s="17" t="str">
        <f>IF(E427&gt;0.005,"November","")</f>
        <v>November</v>
      </c>
      <c r="C428" s="32">
        <f t="shared" si="78"/>
        <v>91.1</v>
      </c>
      <c r="D428" s="32">
        <f t="shared" si="79"/>
        <v>1005.4899999999999</v>
      </c>
      <c r="E428" s="32">
        <f t="shared" si="80"/>
        <v>26255.890000000189</v>
      </c>
    </row>
    <row r="429" spans="1:5">
      <c r="A429">
        <v>28</v>
      </c>
      <c r="B429" s="17" t="str">
        <f>IF(E428&gt;0.005,"December","")</f>
        <v>December</v>
      </c>
      <c r="C429" s="32">
        <f t="shared" si="78"/>
        <v>87.74</v>
      </c>
      <c r="D429" s="32">
        <f t="shared" si="79"/>
        <v>1008.8499999999999</v>
      </c>
      <c r="E429" s="32">
        <f t="shared" si="80"/>
        <v>25247.04000000019</v>
      </c>
    </row>
    <row r="430" spans="1:5">
      <c r="B430" s="33" t="str">
        <f>"Total "&amp;YEAR($B$10)+27</f>
        <v>Total 2043</v>
      </c>
      <c r="C430" s="34">
        <f>SUM(C418:C429)</f>
        <v>1272.1799999999998</v>
      </c>
      <c r="D430" s="34">
        <f>SUM(D418:D429)</f>
        <v>11886.899999999998</v>
      </c>
      <c r="E430" s="35"/>
    </row>
    <row r="431" spans="1:5">
      <c r="B431" s="23"/>
      <c r="C431" s="32"/>
      <c r="D431" s="32"/>
      <c r="E431" s="32"/>
    </row>
    <row r="432" spans="1:5">
      <c r="B432" s="23"/>
      <c r="C432" s="31" t="s">
        <v>63</v>
      </c>
      <c r="D432" s="31" t="s">
        <v>64</v>
      </c>
      <c r="E432" s="31" t="s">
        <v>65</v>
      </c>
    </row>
    <row r="433" spans="1:5">
      <c r="B433" s="17" t="str">
        <f>IF(E429&gt;0.005,"January","")</f>
        <v>January</v>
      </c>
      <c r="C433" s="32">
        <f>IF(E429&gt;0,ROUND(E429*($E$5/1200),2),0)</f>
        <v>84.37</v>
      </c>
      <c r="D433" s="32">
        <f>IF(E429&lt;$C$7,E429,$C$7-C433)</f>
        <v>1012.2199999999999</v>
      </c>
      <c r="E433" s="32">
        <f>IF(E429-D433&gt;0,E429-D433,0)</f>
        <v>24234.820000000189</v>
      </c>
    </row>
    <row r="434" spans="1:5">
      <c r="B434" s="17" t="str">
        <f>IF(E433&gt;0.005,"February","")</f>
        <v>February</v>
      </c>
      <c r="C434" s="32">
        <f t="shared" ref="C434:C444" si="81">IF(E433&gt;0,ROUND(E433*($E$5/1200),2),0)</f>
        <v>80.98</v>
      </c>
      <c r="D434" s="32">
        <f t="shared" ref="D434:D444" si="82">IF(E433&lt;$C$7,E433,$C$7-C434)</f>
        <v>1015.6099999999999</v>
      </c>
      <c r="E434" s="32">
        <f t="shared" ref="E434:E444" si="83">IF(E433-D434&gt;0,E433-D434,0)</f>
        <v>23219.210000000188</v>
      </c>
    </row>
    <row r="435" spans="1:5">
      <c r="B435" s="17" t="str">
        <f>IF(E434&gt;0.005,"March","")</f>
        <v>March</v>
      </c>
      <c r="C435" s="32">
        <f t="shared" si="81"/>
        <v>77.59</v>
      </c>
      <c r="D435" s="32">
        <f t="shared" si="82"/>
        <v>1018.9999999999999</v>
      </c>
      <c r="E435" s="32">
        <f t="shared" si="83"/>
        <v>22200.210000000188</v>
      </c>
    </row>
    <row r="436" spans="1:5">
      <c r="B436" s="17" t="str">
        <f>IF(E435&gt;0.005,"April","")</f>
        <v>April</v>
      </c>
      <c r="C436" s="32">
        <f t="shared" si="81"/>
        <v>74.19</v>
      </c>
      <c r="D436" s="32">
        <f t="shared" si="82"/>
        <v>1022.3999999999999</v>
      </c>
      <c r="E436" s="32">
        <f t="shared" si="83"/>
        <v>21177.810000000187</v>
      </c>
    </row>
    <row r="437" spans="1:5">
      <c r="B437" s="17" t="str">
        <f>IF(E436&gt;0.005,"May","")</f>
        <v>May</v>
      </c>
      <c r="C437" s="32">
        <f t="shared" si="81"/>
        <v>70.77</v>
      </c>
      <c r="D437" s="32">
        <f t="shared" si="82"/>
        <v>1025.82</v>
      </c>
      <c r="E437" s="32">
        <f t="shared" si="83"/>
        <v>20151.990000000187</v>
      </c>
    </row>
    <row r="438" spans="1:5">
      <c r="B438" s="17" t="str">
        <f>IF(E437&gt;0.005,"June","")</f>
        <v>June</v>
      </c>
      <c r="C438" s="32">
        <f t="shared" si="81"/>
        <v>67.34</v>
      </c>
      <c r="D438" s="32">
        <f t="shared" si="82"/>
        <v>1029.25</v>
      </c>
      <c r="E438" s="32">
        <f t="shared" si="83"/>
        <v>19122.740000000187</v>
      </c>
    </row>
    <row r="439" spans="1:5">
      <c r="B439" s="17" t="str">
        <f>IF(E438&gt;0.005,"July","")</f>
        <v>July</v>
      </c>
      <c r="C439" s="32">
        <f t="shared" si="81"/>
        <v>63.9</v>
      </c>
      <c r="D439" s="32">
        <f t="shared" si="82"/>
        <v>1032.6899999999998</v>
      </c>
      <c r="E439" s="32">
        <f t="shared" si="83"/>
        <v>18090.050000000188</v>
      </c>
    </row>
    <row r="440" spans="1:5">
      <c r="B440" s="17" t="str">
        <f>IF(E439&gt;0.005,"August","")</f>
        <v>August</v>
      </c>
      <c r="C440" s="32">
        <f t="shared" si="81"/>
        <v>60.45</v>
      </c>
      <c r="D440" s="32">
        <f t="shared" si="82"/>
        <v>1036.1399999999999</v>
      </c>
      <c r="E440" s="32">
        <f t="shared" si="83"/>
        <v>17053.910000000189</v>
      </c>
    </row>
    <row r="441" spans="1:5">
      <c r="B441" s="17" t="str">
        <f>IF(E440&gt;0.005,"September","")</f>
        <v>September</v>
      </c>
      <c r="C441" s="32">
        <f t="shared" si="81"/>
        <v>56.99</v>
      </c>
      <c r="D441" s="32">
        <f t="shared" si="82"/>
        <v>1039.5999999999999</v>
      </c>
      <c r="E441" s="32">
        <f t="shared" si="83"/>
        <v>16014.310000000189</v>
      </c>
    </row>
    <row r="442" spans="1:5">
      <c r="B442" s="17" t="str">
        <f>IF(E441&gt;0.005,"October","")</f>
        <v>October</v>
      </c>
      <c r="C442" s="32">
        <f t="shared" si="81"/>
        <v>53.51</v>
      </c>
      <c r="D442" s="32">
        <f t="shared" si="82"/>
        <v>1043.08</v>
      </c>
      <c r="E442" s="32">
        <f t="shared" si="83"/>
        <v>14971.230000000189</v>
      </c>
    </row>
    <row r="443" spans="1:5">
      <c r="B443" s="17" t="str">
        <f>IF(E442&gt;0.005,"November","")</f>
        <v>November</v>
      </c>
      <c r="C443" s="32">
        <f t="shared" si="81"/>
        <v>50.03</v>
      </c>
      <c r="D443" s="32">
        <f t="shared" si="82"/>
        <v>1046.56</v>
      </c>
      <c r="E443" s="32">
        <f t="shared" si="83"/>
        <v>13924.670000000189</v>
      </c>
    </row>
    <row r="444" spans="1:5">
      <c r="A444">
        <v>29</v>
      </c>
      <c r="B444" s="17" t="str">
        <f>IF(E443&gt;0.005,"December","")</f>
        <v>December</v>
      </c>
      <c r="C444" s="32">
        <f t="shared" si="81"/>
        <v>46.53</v>
      </c>
      <c r="D444" s="32">
        <f t="shared" si="82"/>
        <v>1050.06</v>
      </c>
      <c r="E444" s="32">
        <f t="shared" si="83"/>
        <v>12874.61000000019</v>
      </c>
    </row>
    <row r="445" spans="1:5">
      <c r="B445" s="33" t="str">
        <f>"Total "&amp;YEAR($B$10)+28</f>
        <v>Total 2044</v>
      </c>
      <c r="C445" s="34">
        <f>SUM(C433:C444)</f>
        <v>786.65</v>
      </c>
      <c r="D445" s="34">
        <f>SUM(D433:D444)</f>
        <v>12372.429999999998</v>
      </c>
      <c r="E445" s="35"/>
    </row>
    <row r="446" spans="1:5">
      <c r="B446" s="18"/>
      <c r="C446" s="36"/>
      <c r="D446" s="36"/>
      <c r="E446" s="32"/>
    </row>
    <row r="447" spans="1:5">
      <c r="B447" s="23"/>
      <c r="C447" s="31" t="s">
        <v>63</v>
      </c>
      <c r="D447" s="31" t="s">
        <v>64</v>
      </c>
      <c r="E447" s="31" t="s">
        <v>65</v>
      </c>
    </row>
    <row r="448" spans="1:5">
      <c r="B448" s="17" t="str">
        <f>IF(E444&gt;0.005,"January","")</f>
        <v>January</v>
      </c>
      <c r="C448" s="32">
        <f>IF(E444&gt;0,ROUND(E444*($E$5/1200),2),0)</f>
        <v>43.02</v>
      </c>
      <c r="D448" s="32">
        <f>IF(E444&lt;$C$7,E444,$C$7-C448)</f>
        <v>1053.57</v>
      </c>
      <c r="E448" s="32">
        <f>IF(E444-D448&gt;0,E444-D448,0)</f>
        <v>11821.04000000019</v>
      </c>
    </row>
    <row r="449" spans="1:5">
      <c r="B449" s="17" t="str">
        <f>IF(E448&gt;0.005,"February","")</f>
        <v>February</v>
      </c>
      <c r="C449" s="32">
        <f t="shared" ref="C449:C459" si="84">IF(E448&gt;0,ROUND(E448*($E$5/1200),2),0)</f>
        <v>39.5</v>
      </c>
      <c r="D449" s="32">
        <f t="shared" ref="D449:D459" si="85">IF(E448&lt;$C$7,E448,$C$7-C449)</f>
        <v>1057.0899999999999</v>
      </c>
      <c r="E449" s="32">
        <f t="shared" ref="E449:E459" si="86">IF(E448-D449&gt;0,E448-D449,0)</f>
        <v>10763.95000000019</v>
      </c>
    </row>
    <row r="450" spans="1:5">
      <c r="B450" s="17" t="str">
        <f>IF(E449&gt;0.005,"March","")</f>
        <v>March</v>
      </c>
      <c r="C450" s="32">
        <f t="shared" si="84"/>
        <v>35.97</v>
      </c>
      <c r="D450" s="32">
        <f t="shared" si="85"/>
        <v>1060.6199999999999</v>
      </c>
      <c r="E450" s="32">
        <f t="shared" si="86"/>
        <v>9703.3300000001909</v>
      </c>
    </row>
    <row r="451" spans="1:5">
      <c r="B451" s="17" t="str">
        <f>IF(E450&gt;0.005,"April","")</f>
        <v>April</v>
      </c>
      <c r="C451" s="32">
        <f t="shared" si="84"/>
        <v>32.43</v>
      </c>
      <c r="D451" s="32">
        <f t="shared" si="85"/>
        <v>1064.1599999999999</v>
      </c>
      <c r="E451" s="32">
        <f t="shared" si="86"/>
        <v>8639.1700000001911</v>
      </c>
    </row>
    <row r="452" spans="1:5">
      <c r="B452" s="17" t="str">
        <f>IF(E451&gt;0.005,"May","")</f>
        <v>May</v>
      </c>
      <c r="C452" s="32">
        <f t="shared" si="84"/>
        <v>28.87</v>
      </c>
      <c r="D452" s="32">
        <f t="shared" si="85"/>
        <v>1067.72</v>
      </c>
      <c r="E452" s="32">
        <f t="shared" si="86"/>
        <v>7571.4500000001908</v>
      </c>
    </row>
    <row r="453" spans="1:5">
      <c r="B453" s="17" t="str">
        <f>IF(E452&gt;0.005,"June","")</f>
        <v>June</v>
      </c>
      <c r="C453" s="32">
        <f t="shared" si="84"/>
        <v>25.3</v>
      </c>
      <c r="D453" s="32">
        <f t="shared" si="85"/>
        <v>1071.29</v>
      </c>
      <c r="E453" s="32">
        <f t="shared" si="86"/>
        <v>6500.1600000001908</v>
      </c>
    </row>
    <row r="454" spans="1:5">
      <c r="B454" s="17" t="str">
        <f>IF(E453&gt;0.005,"July","")</f>
        <v>July</v>
      </c>
      <c r="C454" s="32">
        <f t="shared" si="84"/>
        <v>21.72</v>
      </c>
      <c r="D454" s="32">
        <f t="shared" si="85"/>
        <v>1074.8699999999999</v>
      </c>
      <c r="E454" s="32">
        <f t="shared" si="86"/>
        <v>5425.290000000191</v>
      </c>
    </row>
    <row r="455" spans="1:5">
      <c r="B455" s="17" t="str">
        <f>IF(E454&gt;0.005,"August","")</f>
        <v>August</v>
      </c>
      <c r="C455" s="32">
        <f t="shared" si="84"/>
        <v>18.13</v>
      </c>
      <c r="D455" s="32">
        <f t="shared" si="85"/>
        <v>1078.4599999999998</v>
      </c>
      <c r="E455" s="32">
        <f t="shared" si="86"/>
        <v>4346.8300000001909</v>
      </c>
    </row>
    <row r="456" spans="1:5">
      <c r="B456" s="17" t="str">
        <f>IF(E455&gt;0.005,"September","")</f>
        <v>September</v>
      </c>
      <c r="C456" s="32">
        <f t="shared" si="84"/>
        <v>14.53</v>
      </c>
      <c r="D456" s="32">
        <f t="shared" si="85"/>
        <v>1082.06</v>
      </c>
      <c r="E456" s="32">
        <f t="shared" si="86"/>
        <v>3264.770000000191</v>
      </c>
    </row>
    <row r="457" spans="1:5">
      <c r="B457" s="17" t="str">
        <f>IF(E456&gt;0.005,"October","")</f>
        <v>October</v>
      </c>
      <c r="C457" s="32">
        <f t="shared" si="84"/>
        <v>10.91</v>
      </c>
      <c r="D457" s="32">
        <f t="shared" si="85"/>
        <v>1085.6799999999998</v>
      </c>
      <c r="E457" s="32">
        <f t="shared" si="86"/>
        <v>2179.0900000001911</v>
      </c>
    </row>
    <row r="458" spans="1:5">
      <c r="B458" s="17" t="str">
        <f>IF(E457&gt;0.005,"November","")</f>
        <v>November</v>
      </c>
      <c r="C458" s="32">
        <f t="shared" si="84"/>
        <v>7.28</v>
      </c>
      <c r="D458" s="32">
        <f t="shared" si="85"/>
        <v>1089.31</v>
      </c>
      <c r="E458" s="32">
        <f t="shared" si="86"/>
        <v>1089.7800000001912</v>
      </c>
    </row>
    <row r="459" spans="1:5">
      <c r="A459">
        <v>30</v>
      </c>
      <c r="B459" s="17" t="str">
        <f>IF(E458&gt;0.005,"December","")</f>
        <v>December</v>
      </c>
      <c r="C459" s="32">
        <f t="shared" si="84"/>
        <v>3.64</v>
      </c>
      <c r="D459" s="32">
        <f t="shared" si="85"/>
        <v>1089.7800000001912</v>
      </c>
      <c r="E459" s="32">
        <f t="shared" si="86"/>
        <v>0</v>
      </c>
    </row>
    <row r="460" spans="1:5">
      <c r="B460" s="33" t="str">
        <f>"Total "&amp;YEAR($B$10)+29</f>
        <v>Total 2045</v>
      </c>
      <c r="C460" s="34">
        <f>SUM(C448:C459)</f>
        <v>281.3</v>
      </c>
      <c r="D460" s="34">
        <f>SUM(D448:D459)</f>
        <v>12874.61000000019</v>
      </c>
      <c r="E460" s="35"/>
    </row>
    <row r="461" spans="1:5">
      <c r="B461" s="23"/>
      <c r="C461" s="32"/>
      <c r="D461" s="32"/>
      <c r="E461" s="32"/>
    </row>
    <row r="462" spans="1:5">
      <c r="B462" s="23"/>
      <c r="C462" s="31" t="s">
        <v>63</v>
      </c>
      <c r="D462" s="31" t="s">
        <v>64</v>
      </c>
      <c r="E462" s="31" t="s">
        <v>65</v>
      </c>
    </row>
    <row r="463" spans="1:5">
      <c r="B463" s="17"/>
      <c r="C463" s="32">
        <f>IF(E459&gt;0,ROUND(E459*($E$5/1200),2),0)</f>
        <v>0</v>
      </c>
      <c r="D463" s="32">
        <f>IF(E459&lt;$C$7,E459,$C$7-C463)</f>
        <v>0</v>
      </c>
      <c r="E463" s="32">
        <f>IF(E459-D463&gt;0,E459-D463,0)</f>
        <v>0</v>
      </c>
    </row>
    <row r="464" spans="1:5">
      <c r="B464" s="17"/>
      <c r="C464" s="32">
        <f t="shared" ref="C464:C474" si="87">IF(E463&gt;0,ROUND(E463*($E$5/1200),2),0)</f>
        <v>0</v>
      </c>
      <c r="D464" s="32">
        <f t="shared" ref="D464:D474" si="88">IF(E463&lt;$C$7,E463,$C$7-C464)</f>
        <v>0</v>
      </c>
      <c r="E464" s="32">
        <f t="shared" ref="E464:E474" si="89">IF(E463-D464&gt;0,E463-D464,0)</f>
        <v>0</v>
      </c>
    </row>
    <row r="465" spans="1:5">
      <c r="B465" s="17"/>
      <c r="C465" s="32">
        <f t="shared" si="87"/>
        <v>0</v>
      </c>
      <c r="D465" s="32">
        <f t="shared" si="88"/>
        <v>0</v>
      </c>
      <c r="E465" s="32">
        <f t="shared" si="89"/>
        <v>0</v>
      </c>
    </row>
    <row r="466" spans="1:5">
      <c r="B466" s="17"/>
      <c r="C466" s="32">
        <f t="shared" si="87"/>
        <v>0</v>
      </c>
      <c r="D466" s="32">
        <f t="shared" si="88"/>
        <v>0</v>
      </c>
      <c r="E466" s="32">
        <f t="shared" si="89"/>
        <v>0</v>
      </c>
    </row>
    <row r="467" spans="1:5">
      <c r="B467" s="17"/>
      <c r="C467" s="32">
        <f t="shared" si="87"/>
        <v>0</v>
      </c>
      <c r="D467" s="32">
        <f t="shared" si="88"/>
        <v>0</v>
      </c>
      <c r="E467" s="32">
        <f t="shared" si="89"/>
        <v>0</v>
      </c>
    </row>
    <row r="468" spans="1:5">
      <c r="B468" s="17"/>
      <c r="C468" s="32">
        <f t="shared" si="87"/>
        <v>0</v>
      </c>
      <c r="D468" s="32">
        <f t="shared" si="88"/>
        <v>0</v>
      </c>
      <c r="E468" s="32">
        <f t="shared" si="89"/>
        <v>0</v>
      </c>
    </row>
    <row r="469" spans="1:5">
      <c r="B469" s="17"/>
      <c r="C469" s="32">
        <f t="shared" si="87"/>
        <v>0</v>
      </c>
      <c r="D469" s="32">
        <f t="shared" si="88"/>
        <v>0</v>
      </c>
      <c r="E469" s="32">
        <f t="shared" si="89"/>
        <v>0</v>
      </c>
    </row>
    <row r="470" spans="1:5">
      <c r="B470" s="17"/>
      <c r="C470" s="32">
        <f t="shared" si="87"/>
        <v>0</v>
      </c>
      <c r="D470" s="32">
        <f t="shared" si="88"/>
        <v>0</v>
      </c>
      <c r="E470" s="32">
        <f t="shared" si="89"/>
        <v>0</v>
      </c>
    </row>
    <row r="471" spans="1:5">
      <c r="B471" s="17"/>
      <c r="C471" s="32">
        <f t="shared" si="87"/>
        <v>0</v>
      </c>
      <c r="D471" s="32">
        <f t="shared" si="88"/>
        <v>0</v>
      </c>
      <c r="E471" s="32">
        <f t="shared" si="89"/>
        <v>0</v>
      </c>
    </row>
    <row r="472" spans="1:5">
      <c r="B472" s="17"/>
      <c r="C472" s="32">
        <f t="shared" si="87"/>
        <v>0</v>
      </c>
      <c r="D472" s="32">
        <f t="shared" si="88"/>
        <v>0</v>
      </c>
      <c r="E472" s="32">
        <f t="shared" si="89"/>
        <v>0</v>
      </c>
    </row>
    <row r="473" spans="1:5">
      <c r="B473" s="17"/>
      <c r="C473" s="32">
        <f t="shared" si="87"/>
        <v>0</v>
      </c>
      <c r="D473" s="32">
        <f t="shared" si="88"/>
        <v>0</v>
      </c>
      <c r="E473" s="32">
        <f t="shared" si="89"/>
        <v>0</v>
      </c>
    </row>
    <row r="474" spans="1:5">
      <c r="A474">
        <v>31</v>
      </c>
      <c r="B474" s="17"/>
      <c r="C474" s="32">
        <f t="shared" si="87"/>
        <v>0</v>
      </c>
      <c r="D474" s="32">
        <f t="shared" si="88"/>
        <v>0</v>
      </c>
      <c r="E474" s="32">
        <f t="shared" si="89"/>
        <v>0</v>
      </c>
    </row>
    <row r="475" spans="1:5">
      <c r="B475" s="33" t="str">
        <f>"Total "&amp;YEAR($B$10)+30</f>
        <v>Total 2046</v>
      </c>
      <c r="C475" s="34">
        <f>SUM(C463:C474)</f>
        <v>0</v>
      </c>
      <c r="D475" s="34">
        <f>SUM(D463:D474)</f>
        <v>0</v>
      </c>
      <c r="E475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9" sqref="G9"/>
    </sheetView>
  </sheetViews>
  <sheetFormatPr defaultColWidth="9" defaultRowHeight="15"/>
  <cols>
    <col min="1" max="1" width="17.42578125" bestFit="1" customWidth="1"/>
    <col min="7" max="7" width="15.42578125" customWidth="1"/>
  </cols>
  <sheetData>
    <row r="1" spans="1:7">
      <c r="A1" t="s">
        <v>43</v>
      </c>
      <c r="G1" t="s">
        <v>47</v>
      </c>
    </row>
    <row r="2" spans="1:7">
      <c r="A2" t="s">
        <v>48</v>
      </c>
      <c r="B2">
        <v>2800</v>
      </c>
      <c r="C2">
        <v>2950</v>
      </c>
      <c r="D2">
        <v>3198</v>
      </c>
      <c r="E2">
        <v>2825</v>
      </c>
      <c r="G2" s="9">
        <f t="shared" ref="G2:G14" si="0">AVERAGE(B2:F2)</f>
        <v>2943.25</v>
      </c>
    </row>
    <row r="3" spans="1:7">
      <c r="A3" t="s">
        <v>38</v>
      </c>
      <c r="B3">
        <v>3000</v>
      </c>
      <c r="C3">
        <v>2750</v>
      </c>
      <c r="D3">
        <v>2350</v>
      </c>
      <c r="G3" s="9">
        <f t="shared" si="0"/>
        <v>2700</v>
      </c>
    </row>
    <row r="4" spans="1:7">
      <c r="A4" t="s">
        <v>49</v>
      </c>
      <c r="B4">
        <v>2300</v>
      </c>
      <c r="C4">
        <v>2800</v>
      </c>
      <c r="D4">
        <v>3000</v>
      </c>
      <c r="E4">
        <v>2400</v>
      </c>
      <c r="G4" s="9">
        <f t="shared" si="0"/>
        <v>2625</v>
      </c>
    </row>
    <row r="5" spans="1:7">
      <c r="A5" t="s">
        <v>44</v>
      </c>
      <c r="B5">
        <v>3100</v>
      </c>
      <c r="C5">
        <v>1800</v>
      </c>
      <c r="D5">
        <v>2800</v>
      </c>
      <c r="E5">
        <v>3300</v>
      </c>
      <c r="F5">
        <v>3300</v>
      </c>
      <c r="G5" s="9">
        <f t="shared" si="0"/>
        <v>2860</v>
      </c>
    </row>
    <row r="6" spans="1:7">
      <c r="A6" t="s">
        <v>40</v>
      </c>
      <c r="B6">
        <v>2400</v>
      </c>
      <c r="C6">
        <v>2200</v>
      </c>
      <c r="D6">
        <v>2750</v>
      </c>
      <c r="E6">
        <v>2200</v>
      </c>
      <c r="G6" s="9">
        <f t="shared" si="0"/>
        <v>2387.5</v>
      </c>
    </row>
    <row r="7" spans="1:7">
      <c r="A7" t="s">
        <v>41</v>
      </c>
      <c r="B7">
        <v>2200</v>
      </c>
      <c r="C7">
        <v>2200</v>
      </c>
      <c r="D7">
        <v>2500</v>
      </c>
      <c r="G7" s="9">
        <f t="shared" si="0"/>
        <v>2300</v>
      </c>
    </row>
    <row r="8" spans="1:7">
      <c r="A8" t="s">
        <v>36</v>
      </c>
      <c r="B8">
        <v>2000</v>
      </c>
      <c r="C8">
        <v>2350</v>
      </c>
      <c r="G8" s="9">
        <f t="shared" si="0"/>
        <v>2175</v>
      </c>
    </row>
    <row r="9" spans="1:7">
      <c r="A9" t="s">
        <v>46</v>
      </c>
      <c r="B9">
        <v>1700</v>
      </c>
      <c r="C9">
        <v>2400</v>
      </c>
      <c r="D9">
        <v>1850</v>
      </c>
      <c r="E9">
        <v>1900</v>
      </c>
      <c r="G9" s="9">
        <f t="shared" si="0"/>
        <v>1962.5</v>
      </c>
    </row>
    <row r="10" spans="1:7">
      <c r="A10" t="s">
        <v>45</v>
      </c>
      <c r="B10">
        <v>1550</v>
      </c>
      <c r="C10">
        <v>1650</v>
      </c>
      <c r="D10">
        <v>1300</v>
      </c>
      <c r="G10" s="9">
        <f t="shared" si="0"/>
        <v>1500</v>
      </c>
    </row>
    <row r="11" spans="1:7">
      <c r="A11" t="s">
        <v>42</v>
      </c>
      <c r="B11">
        <v>1200</v>
      </c>
      <c r="C11">
        <v>1350</v>
      </c>
      <c r="G11" s="9">
        <f t="shared" si="0"/>
        <v>1275</v>
      </c>
    </row>
    <row r="12" spans="1:7">
      <c r="A12" t="s">
        <v>37</v>
      </c>
      <c r="G12" s="9" t="e">
        <f t="shared" si="0"/>
        <v>#DIV/0!</v>
      </c>
    </row>
    <row r="13" spans="1:7">
      <c r="A13" t="s">
        <v>39</v>
      </c>
      <c r="G13" s="9" t="e">
        <f t="shared" si="0"/>
        <v>#DIV/0!</v>
      </c>
    </row>
    <row r="14" spans="1:7">
      <c r="A14" t="s">
        <v>50</v>
      </c>
      <c r="B14">
        <v>3300</v>
      </c>
      <c r="C14">
        <v>2550</v>
      </c>
      <c r="G14" s="9">
        <f t="shared" si="0"/>
        <v>2925</v>
      </c>
    </row>
    <row r="15" spans="1:7">
      <c r="A15" t="s">
        <v>51</v>
      </c>
      <c r="B15">
        <v>1600</v>
      </c>
    </row>
  </sheetData>
  <sortState ref="A2:G13">
    <sortCondition descending="1" ref="G2:G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sqref="A1:XFD1048576"/>
    </sheetView>
  </sheetViews>
  <sheetFormatPr defaultColWidth="11.42578125" defaultRowHeight="15"/>
  <cols>
    <col min="1" max="1" width="18.85546875" bestFit="1" customWidth="1"/>
  </cols>
  <sheetData>
    <row r="2" spans="1:5">
      <c r="B2" t="s">
        <v>80</v>
      </c>
      <c r="C2" t="s">
        <v>81</v>
      </c>
      <c r="D2" t="s">
        <v>82</v>
      </c>
      <c r="E2" t="s">
        <v>83</v>
      </c>
    </row>
    <row r="3" spans="1:5">
      <c r="A3" t="s">
        <v>84</v>
      </c>
    </row>
    <row r="4" spans="1:5">
      <c r="A4" t="s">
        <v>85</v>
      </c>
    </row>
    <row r="5" spans="1:5">
      <c r="A5" t="s">
        <v>86</v>
      </c>
    </row>
    <row r="6" spans="1:5">
      <c r="A6" t="s">
        <v>87</v>
      </c>
    </row>
    <row r="8" spans="1:5">
      <c r="A8" t="s">
        <v>88</v>
      </c>
    </row>
    <row r="9" spans="1:5">
      <c r="A9" t="s">
        <v>89</v>
      </c>
    </row>
    <row r="10" spans="1:5">
      <c r="A10" t="s">
        <v>90</v>
      </c>
    </row>
    <row r="11" spans="1:5">
      <c r="A11" t="s">
        <v>91</v>
      </c>
    </row>
    <row r="12" spans="1:5">
      <c r="A12" t="s">
        <v>92</v>
      </c>
    </row>
    <row r="13" spans="1:5">
      <c r="A13" t="s">
        <v>93</v>
      </c>
    </row>
    <row r="14" spans="1:5">
      <c r="A14" t="s">
        <v>94</v>
      </c>
    </row>
    <row r="15" spans="1:5">
      <c r="A15" t="s">
        <v>95</v>
      </c>
    </row>
    <row r="17" spans="1:1">
      <c r="A17" t="s">
        <v>96</v>
      </c>
    </row>
    <row r="18" spans="1:1">
      <c r="A18" t="s">
        <v>97</v>
      </c>
    </row>
    <row r="19" spans="1:1">
      <c r="A19" t="s">
        <v>98</v>
      </c>
    </row>
    <row r="22" spans="1:1">
      <c r="A22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Loan Amortization Schedule</vt:lpstr>
      <vt:lpstr>Estimated Rent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Prawl</dc:creator>
  <cp:lastModifiedBy>Andrew Prawl</cp:lastModifiedBy>
  <dcterms:created xsi:type="dcterms:W3CDTF">2016-10-19T17:59:40Z</dcterms:created>
  <dcterms:modified xsi:type="dcterms:W3CDTF">2017-07-12T20:26:20Z</dcterms:modified>
</cp:coreProperties>
</file>