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omments2.xml" ContentType="application/vnd.openxmlformats-officedocument.spreadsheetml.comments+xml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customProperty15.bin" ContentType="application/vnd.openxmlformats-officedocument.spreadsheetml.customProperty"/>
  <Override PartName="/xl/comments3.xml" ContentType="application/vnd.openxmlformats-officedocument.spreadsheetml.comments+xml"/>
  <Override PartName="/xl/customProperty16.bin" ContentType="application/vnd.openxmlformats-officedocument.spreadsheetml.customProperty"/>
  <Override PartName="/xl/customProperty17.bin" ContentType="application/vnd.openxmlformats-officedocument.spreadsheetml.customProperty"/>
  <Override PartName="/xl/customProperty18.bin" ContentType="application/vnd.openxmlformats-officedocument.spreadsheetml.customProperty"/>
  <Override PartName="/xl/comments4.xml" ContentType="application/vnd.openxmlformats-officedocument.spreadsheetml.comments+xml"/>
  <Override PartName="/xl/customProperty19.bin" ContentType="application/vnd.openxmlformats-officedocument.spreadsheetml.customProperty"/>
  <Override PartName="/xl/customProperty20.bin" ContentType="application/vnd.openxmlformats-officedocument.spreadsheetml.customProperty"/>
  <Override PartName="/xl/customProperty21.bin" ContentType="application/vnd.openxmlformats-officedocument.spreadsheetml.customProperty"/>
  <Override PartName="/xl/comments5.xml" ContentType="application/vnd.openxmlformats-officedocument.spreadsheetml.comments+xml"/>
  <Override PartName="/xl/customProperty22.bin" ContentType="application/vnd.openxmlformats-officedocument.spreadsheetml.customProperty"/>
  <Override PartName="/xl/customProperty23.bin" ContentType="application/vnd.openxmlformats-officedocument.spreadsheetml.customProperty"/>
  <Override PartName="/xl/customProperty24.bin" ContentType="application/vnd.openxmlformats-officedocument.spreadsheetml.customProperty"/>
  <Override PartName="/xl/comments6.xml" ContentType="application/vnd.openxmlformats-officedocument.spreadsheetml.comments+xml"/>
  <Override PartName="/xl/customProperty25.bin" ContentType="application/vnd.openxmlformats-officedocument.spreadsheetml.customProperty"/>
  <Override PartName="/xl/customProperty26.bin" ContentType="application/vnd.openxmlformats-officedocument.spreadsheetml.customProperty"/>
  <Override PartName="/xl/customProperty27.bin" ContentType="application/vnd.openxmlformats-officedocument.spreadsheetml.customProperty"/>
  <Override PartName="/xl/comments7.xml" ContentType="application/vnd.openxmlformats-officedocument.spreadsheetml.comments+xml"/>
  <Override PartName="/xl/customProperty28.bin" ContentType="application/vnd.openxmlformats-officedocument.spreadsheetml.customProperty"/>
  <Override PartName="/xl/customProperty29.bin" ContentType="application/vnd.openxmlformats-officedocument.spreadsheetml.customProperty"/>
  <Override PartName="/xl/customProperty30.bin" ContentType="application/vnd.openxmlformats-officedocument.spreadsheetml.customProperty"/>
  <Override PartName="/xl/comments8.xml" ContentType="application/vnd.openxmlformats-officedocument.spreadsheetml.comments+xml"/>
  <Override PartName="/xl/customProperty31.bin" ContentType="application/vnd.openxmlformats-officedocument.spreadsheetml.customProperty"/>
  <Override PartName="/xl/customProperty32.bin" ContentType="application/vnd.openxmlformats-officedocument.spreadsheetml.customProperty"/>
  <Override PartName="/xl/customProperty33.bin" ContentType="application/vnd.openxmlformats-officedocument.spreadsheetml.customProperty"/>
  <Override PartName="/xl/comments9.xml" ContentType="application/vnd.openxmlformats-officedocument.spreadsheetml.comments+xml"/>
  <Override PartName="/xl/customProperty34.bin" ContentType="application/vnd.openxmlformats-officedocument.spreadsheetml.customProperty"/>
  <Override PartName="/xl/customProperty35.bin" ContentType="application/vnd.openxmlformats-officedocument.spreadsheetml.customProperty"/>
  <Override PartName="/xl/customProperty36.bin" ContentType="application/vnd.openxmlformats-officedocument.spreadsheetml.customProperty"/>
  <Override PartName="/xl/comments10.xml" ContentType="application/vnd.openxmlformats-officedocument.spreadsheetml.comments+xml"/>
  <Override PartName="/xl/customProperty37.bin" ContentType="application/vnd.openxmlformats-officedocument.spreadsheetml.customProperty"/>
  <Override PartName="/xl/customProperty38.bin" ContentType="application/vnd.openxmlformats-officedocument.spreadsheetml.customProperty"/>
  <Override PartName="/xl/customProperty39.bin" ContentType="application/vnd.openxmlformats-officedocument.spreadsheetml.customProperty"/>
  <Override PartName="/xl/comments11.xml" ContentType="application/vnd.openxmlformats-officedocument.spreadsheetml.comments+xml"/>
  <Override PartName="/xl/customProperty40.bin" ContentType="application/vnd.openxmlformats-officedocument.spreadsheetml.customProperty"/>
  <Override PartName="/xl/customProperty41.bin" ContentType="application/vnd.openxmlformats-officedocument.spreadsheetml.customProperty"/>
  <Override PartName="/xl/customProperty42.bin" ContentType="application/vnd.openxmlformats-officedocument.spreadsheetml.customProperty"/>
  <Override PartName="/xl/comments12.xml" ContentType="application/vnd.openxmlformats-officedocument.spreadsheetml.comments+xml"/>
  <Override PartName="/xl/customProperty43.bin" ContentType="application/vnd.openxmlformats-officedocument.spreadsheetml.customProperty"/>
  <Override PartName="/xl/customProperty44.bin" ContentType="application/vnd.openxmlformats-officedocument.spreadsheetml.customProperty"/>
  <Override PartName="/xl/customProperty45.bin" ContentType="application/vnd.openxmlformats-officedocument.spreadsheetml.customProperty"/>
  <Override PartName="/xl/comments13.xml" ContentType="application/vnd.openxmlformats-officedocument.spreadsheetml.comments+xml"/>
  <Override PartName="/xl/customProperty46.bin" ContentType="application/vnd.openxmlformats-officedocument.spreadsheetml.customProperty"/>
  <Override PartName="/xl/customProperty47.bin" ContentType="application/vnd.openxmlformats-officedocument.spreadsheetml.customProperty"/>
  <Override PartName="/xl/customProperty48.bin" ContentType="application/vnd.openxmlformats-officedocument.spreadsheetml.customProperty"/>
  <Override PartName="/xl/comments14.xml" ContentType="application/vnd.openxmlformats-officedocument.spreadsheetml.comments+xml"/>
  <Override PartName="/xl/customProperty49.bin" ContentType="application/vnd.openxmlformats-officedocument.spreadsheetml.customProperty"/>
  <Override PartName="/xl/customProperty50.bin" ContentType="application/vnd.openxmlformats-officedocument.spreadsheetml.customProperty"/>
  <Override PartName="/xl/customProperty51.bin" ContentType="application/vnd.openxmlformats-officedocument.spreadsheetml.customProperty"/>
  <Override PartName="/xl/comments15.xml" ContentType="application/vnd.openxmlformats-officedocument.spreadsheetml.comments+xml"/>
  <Override PartName="/xl/customProperty52.bin" ContentType="application/vnd.openxmlformats-officedocument.spreadsheetml.customProperty"/>
  <Override PartName="/xl/customProperty53.bin" ContentType="application/vnd.openxmlformats-officedocument.spreadsheetml.customProperty"/>
  <Override PartName="/xl/customProperty54.bin" ContentType="application/vnd.openxmlformats-officedocument.spreadsheetml.customProperty"/>
  <Override PartName="/xl/comments16.xml" ContentType="application/vnd.openxmlformats-officedocument.spreadsheetml.comments+xml"/>
  <Override PartName="/xl/customProperty55.bin" ContentType="application/vnd.openxmlformats-officedocument.spreadsheetml.customProperty"/>
  <Override PartName="/xl/customProperty56.bin" ContentType="application/vnd.openxmlformats-officedocument.spreadsheetml.customProperty"/>
  <Override PartName="/xl/customProperty57.bin" ContentType="application/vnd.openxmlformats-officedocument.spreadsheetml.customProperty"/>
  <Override PartName="/xl/comments17.xml" ContentType="application/vnd.openxmlformats-officedocument.spreadsheetml.comments+xml"/>
  <Override PartName="/xl/customProperty58.bin" ContentType="application/vnd.openxmlformats-officedocument.spreadsheetml.customProperty"/>
  <Override PartName="/xl/customProperty59.bin" ContentType="application/vnd.openxmlformats-officedocument.spreadsheetml.customProperty"/>
  <Override PartName="/xl/customProperty60.bin" ContentType="application/vnd.openxmlformats-officedocument.spreadsheetml.customProperty"/>
  <Override PartName="/xl/comments18.xml" ContentType="application/vnd.openxmlformats-officedocument.spreadsheetml.comments+xml"/>
  <Override PartName="/xl/customProperty61.bin" ContentType="application/vnd.openxmlformats-officedocument.spreadsheetml.customProperty"/>
  <Override PartName="/xl/customProperty62.bin" ContentType="application/vnd.openxmlformats-officedocument.spreadsheetml.customProperty"/>
  <Override PartName="/xl/customProperty63.bin" ContentType="application/vnd.openxmlformats-officedocument.spreadsheetml.customProperty"/>
  <Override PartName="/xl/comments19.xml" ContentType="application/vnd.openxmlformats-officedocument.spreadsheetml.comments+xml"/>
  <Override PartName="/xl/customProperty64.bin" ContentType="application/vnd.openxmlformats-officedocument.spreadsheetml.customProperty"/>
  <Override PartName="/xl/customProperty65.bin" ContentType="application/vnd.openxmlformats-officedocument.spreadsheetml.customProperty"/>
  <Override PartName="/xl/customProperty66.bin" ContentType="application/vnd.openxmlformats-officedocument.spreadsheetml.customProperty"/>
  <Override PartName="/xl/comments20.xml" ContentType="application/vnd.openxmlformats-officedocument.spreadsheetml.comments+xml"/>
  <Override PartName="/xl/customProperty67.bin" ContentType="application/vnd.openxmlformats-officedocument.spreadsheetml.customProperty"/>
  <Override PartName="/xl/customProperty68.bin" ContentType="application/vnd.openxmlformats-officedocument.spreadsheetml.customProperty"/>
  <Override PartName="/xl/customProperty69.bin" ContentType="application/vnd.openxmlformats-officedocument.spreadsheetml.customProperty"/>
  <Override PartName="/xl/comments21.xml" ContentType="application/vnd.openxmlformats-officedocument.spreadsheetml.comments+xml"/>
  <Override PartName="/xl/customProperty70.bin" ContentType="application/vnd.openxmlformats-officedocument.spreadsheetml.customProperty"/>
  <Override PartName="/xl/customProperty71.bin" ContentType="application/vnd.openxmlformats-officedocument.spreadsheetml.customProperty"/>
  <Override PartName="/xl/customProperty72.bin" ContentType="application/vnd.openxmlformats-officedocument.spreadsheetml.customProperty"/>
  <Override PartName="/xl/comments22.xml" ContentType="application/vnd.openxmlformats-officedocument.spreadsheetml.comments+xml"/>
  <Override PartName="/xl/customProperty73.bin" ContentType="application/vnd.openxmlformats-officedocument.spreadsheetml.customProperty"/>
  <Override PartName="/xl/customProperty74.bin" ContentType="application/vnd.openxmlformats-officedocument.spreadsheetml.customProperty"/>
  <Override PartName="/xl/customProperty75.bin" ContentType="application/vnd.openxmlformats-officedocument.spreadsheetml.customProperty"/>
  <Override PartName="/xl/comments23.xml" ContentType="application/vnd.openxmlformats-officedocument.spreadsheetml.comments+xml"/>
  <Override PartName="/xl/customProperty76.bin" ContentType="application/vnd.openxmlformats-officedocument.spreadsheetml.customProperty"/>
  <Override PartName="/xl/customProperty77.bin" ContentType="application/vnd.openxmlformats-officedocument.spreadsheetml.customProperty"/>
  <Override PartName="/xl/customProperty78.bin" ContentType="application/vnd.openxmlformats-officedocument.spreadsheetml.customProperty"/>
  <Override PartName="/xl/comments24.xml" ContentType="application/vnd.openxmlformats-officedocument.spreadsheetml.comments+xml"/>
  <Override PartName="/xl/customProperty79.bin" ContentType="application/vnd.openxmlformats-officedocument.spreadsheetml.customProperty"/>
  <Override PartName="/xl/customProperty80.bin" ContentType="application/vnd.openxmlformats-officedocument.spreadsheetml.customProperty"/>
  <Override PartName="/xl/customProperty81.bin" ContentType="application/vnd.openxmlformats-officedocument.spreadsheetml.customProperty"/>
  <Override PartName="/xl/comments25.xml" ContentType="application/vnd.openxmlformats-officedocument.spreadsheetml.comments+xml"/>
  <Override PartName="/xl/customProperty82.bin" ContentType="application/vnd.openxmlformats-officedocument.spreadsheetml.customProperty"/>
  <Override PartName="/xl/customProperty83.bin" ContentType="application/vnd.openxmlformats-officedocument.spreadsheetml.customProperty"/>
  <Override PartName="/xl/customProperty84.bin" ContentType="application/vnd.openxmlformats-officedocument.spreadsheetml.customProperty"/>
  <Override PartName="/xl/comments26.xml" ContentType="application/vnd.openxmlformats-officedocument.spreadsheetml.comments+xml"/>
  <Override PartName="/xl/customProperty85.bin" ContentType="application/vnd.openxmlformats-officedocument.spreadsheetml.customProperty"/>
  <Override PartName="/xl/customProperty86.bin" ContentType="application/vnd.openxmlformats-officedocument.spreadsheetml.customProperty"/>
  <Override PartName="/xl/customProperty87.bin" ContentType="application/vnd.openxmlformats-officedocument.spreadsheetml.customProperty"/>
  <Override PartName="/xl/comments27.xml" ContentType="application/vnd.openxmlformats-officedocument.spreadsheetml.comments+xml"/>
  <Override PartName="/xl/customProperty88.bin" ContentType="application/vnd.openxmlformats-officedocument.spreadsheetml.customProperty"/>
  <Override PartName="/xl/customProperty89.bin" ContentType="application/vnd.openxmlformats-officedocument.spreadsheetml.customProperty"/>
  <Override PartName="/xl/customProperty90.bin" ContentType="application/vnd.openxmlformats-officedocument.spreadsheetml.customProperty"/>
  <Override PartName="/xl/comments28.xml" ContentType="application/vnd.openxmlformats-officedocument.spreadsheetml.comments+xml"/>
  <Override PartName="/xl/customProperty91.bin" ContentType="application/vnd.openxmlformats-officedocument.spreadsheetml.customProperty"/>
  <Override PartName="/xl/customProperty92.bin" ContentType="application/vnd.openxmlformats-officedocument.spreadsheetml.customProperty"/>
  <Override PartName="/xl/customProperty93.bin" ContentType="application/vnd.openxmlformats-officedocument.spreadsheetml.customProperty"/>
  <Override PartName="/xl/comments29.xml" ContentType="application/vnd.openxmlformats-officedocument.spreadsheetml.comments+xml"/>
  <Override PartName="/xl/customProperty94.bin" ContentType="application/vnd.openxmlformats-officedocument.spreadsheetml.customProperty"/>
  <Override PartName="/xl/customProperty95.bin" ContentType="application/vnd.openxmlformats-officedocument.spreadsheetml.customProperty"/>
  <Override PartName="/xl/customProperty96.bin" ContentType="application/vnd.openxmlformats-officedocument.spreadsheetml.customProperty"/>
  <Override PartName="/xl/comments30.xml" ContentType="application/vnd.openxmlformats-officedocument.spreadsheetml.comments+xml"/>
  <Override PartName="/xl/customProperty97.bin" ContentType="application/vnd.openxmlformats-officedocument.spreadsheetml.customProperty"/>
  <Override PartName="/xl/customProperty98.bin" ContentType="application/vnd.openxmlformats-officedocument.spreadsheetml.customProperty"/>
  <Override PartName="/xl/customProperty99.bin" ContentType="application/vnd.openxmlformats-officedocument.spreadsheetml.customProperty"/>
  <Override PartName="/xl/comments31.xml" ContentType="application/vnd.openxmlformats-officedocument.spreadsheetml.comments+xml"/>
  <Override PartName="/xl/customProperty100.bin" ContentType="application/vnd.openxmlformats-officedocument.spreadsheetml.customProperty"/>
  <Override PartName="/xl/customProperty101.bin" ContentType="application/vnd.openxmlformats-officedocument.spreadsheetml.customProperty"/>
  <Override PartName="/xl/customProperty102.bin" ContentType="application/vnd.openxmlformats-officedocument.spreadsheetml.customProperty"/>
  <Override PartName="/xl/comments32.xml" ContentType="application/vnd.openxmlformats-officedocument.spreadsheetml.comments+xml"/>
  <Override PartName="/xl/customProperty103.bin" ContentType="application/vnd.openxmlformats-officedocument.spreadsheetml.customProperty"/>
  <Override PartName="/xl/customProperty104.bin" ContentType="application/vnd.openxmlformats-officedocument.spreadsheetml.customProperty"/>
  <Override PartName="/xl/customProperty105.bin" ContentType="application/vnd.openxmlformats-officedocument.spreadsheetml.customProperty"/>
  <Override PartName="/xl/comments33.xml" ContentType="application/vnd.openxmlformats-officedocument.spreadsheetml.comments+xml"/>
  <Override PartName="/xl/customProperty106.bin" ContentType="application/vnd.openxmlformats-officedocument.spreadsheetml.customProperty"/>
  <Override PartName="/xl/customProperty107.bin" ContentType="application/vnd.openxmlformats-officedocument.spreadsheetml.customProperty"/>
  <Override PartName="/xl/customProperty108.bin" ContentType="application/vnd.openxmlformats-officedocument.spreadsheetml.customProperty"/>
  <Override PartName="/xl/comments34.xml" ContentType="application/vnd.openxmlformats-officedocument.spreadsheetml.comments+xml"/>
  <Override PartName="/xl/customProperty109.bin" ContentType="application/vnd.openxmlformats-officedocument.spreadsheetml.customProperty"/>
  <Override PartName="/xl/customProperty110.bin" ContentType="application/vnd.openxmlformats-officedocument.spreadsheetml.customProperty"/>
  <Override PartName="/xl/customProperty111.bin" ContentType="application/vnd.openxmlformats-officedocument.spreadsheetml.customProperty"/>
  <Override PartName="/xl/comments35.xml" ContentType="application/vnd.openxmlformats-officedocument.spreadsheetml.comments+xml"/>
  <Override PartName="/xl/customProperty112.bin" ContentType="application/vnd.openxmlformats-officedocument.spreadsheetml.customProperty"/>
  <Override PartName="/xl/customProperty113.bin" ContentType="application/vnd.openxmlformats-officedocument.spreadsheetml.customProperty"/>
  <Override PartName="/xl/customProperty114.bin" ContentType="application/vnd.openxmlformats-officedocument.spreadsheetml.customProperty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36.xml" ContentType="application/vnd.openxmlformats-officedocument.spreadsheetml.comments+xml"/>
  <Override PartName="/xl/customProperty115.bin" ContentType="application/vnd.openxmlformats-officedocument.spreadsheetml.customProperty"/>
  <Override PartName="/xl/customProperty116.bin" ContentType="application/vnd.openxmlformats-officedocument.spreadsheetml.customProperty"/>
  <Override PartName="/xl/customProperty117.bin" ContentType="application/vnd.openxmlformats-officedocument.spreadsheetml.customProperty"/>
  <Override PartName="/xl/comments37.xml" ContentType="application/vnd.openxmlformats-officedocument.spreadsheetml.comments+xml"/>
  <Override PartName="/xl/customProperty118.bin" ContentType="application/vnd.openxmlformats-officedocument.spreadsheetml.customProperty"/>
  <Override PartName="/xl/customProperty119.bin" ContentType="application/vnd.openxmlformats-officedocument.spreadsheetml.customProperty"/>
  <Override PartName="/xl/customProperty120.bin" ContentType="application/vnd.openxmlformats-officedocument.spreadsheetml.customProperty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8.xml" ContentType="application/vnd.openxmlformats-officedocument.spreadsheetml.comments+xml"/>
  <Override PartName="/xl/customProperty121.bin" ContentType="application/vnd.openxmlformats-officedocument.spreadsheetml.customProperty"/>
  <Override PartName="/xl/customProperty122.bin" ContentType="application/vnd.openxmlformats-officedocument.spreadsheetml.customProperty"/>
  <Override PartName="/xl/customProperty123.bin" ContentType="application/vnd.openxmlformats-officedocument.spreadsheetml.customProperty"/>
  <Override PartName="/xl/comments39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Finance\Property Financials\Actuals\2019\"/>
    </mc:Choice>
  </mc:AlternateContent>
  <xr:revisionPtr revIDLastSave="0" documentId="13_ncr:1_{FD61079C-EE52-47F0-88F9-AABC2E8FE6BB}" xr6:coauthVersionLast="45" xr6:coauthVersionMax="45" xr10:uidLastSave="{00000000-0000-0000-0000-000000000000}"/>
  <bookViews>
    <workbookView xWindow="-28920" yWindow="-15" windowWidth="29040" windowHeight="15840" tabRatio="805" activeTab="1" xr2:uid="{00000000-000D-0000-FFFF-FFFF00000000}"/>
  </bookViews>
  <sheets>
    <sheet name="SetUp" sheetId="5" r:id="rId1"/>
    <sheet name="Summary" sheetId="37" r:id="rId2"/>
    <sheet name="Rooms" sheetId="4" r:id="rId3"/>
    <sheet name="MMA" sheetId="6" r:id="rId4"/>
    <sheet name="Resv" sheetId="7" r:id="rId5"/>
    <sheet name="FB_Cons" sheetId="16" r:id="rId6"/>
    <sheet name="FB_KPI" sheetId="17" r:id="rId7"/>
    <sheet name="Venue1" sheetId="9" r:id="rId8"/>
    <sheet name="Venue1_KPI" sheetId="39" r:id="rId9"/>
    <sheet name="Venue2" sheetId="51" r:id="rId10"/>
    <sheet name="Venue2_KPI" sheetId="55" r:id="rId11"/>
    <sheet name="Venue3" sheetId="52" r:id="rId12"/>
    <sheet name="Venue3_KPI" sheetId="56" r:id="rId13"/>
    <sheet name="Venue4" sheetId="53" r:id="rId14"/>
    <sheet name="Venue4_KPI" sheetId="57" r:id="rId15"/>
    <sheet name="VenueBar" sheetId="54" r:id="rId16"/>
    <sheet name="VenueBar_KPI" sheetId="58" r:id="rId17"/>
    <sheet name="IRD" sheetId="11" r:id="rId18"/>
    <sheet name="IRD_KPI" sheetId="59" r:id="rId19"/>
    <sheet name="BCC" sheetId="13" r:id="rId20"/>
    <sheet name="BCC_KPI" sheetId="60" r:id="rId21"/>
    <sheet name="Mini_Bar" sheetId="15" r:id="rId22"/>
    <sheet name="OTH_OP" sheetId="24" r:id="rId23"/>
    <sheet name="Telcom_Legacy" sheetId="18" r:id="rId24"/>
    <sheet name="HC_SPA" sheetId="19" r:id="rId25"/>
    <sheet name="Parking" sheetId="20" r:id="rId26"/>
    <sheet name="Retail" sheetId="21" r:id="rId27"/>
    <sheet name="FB_Retail" sheetId="22" r:id="rId28"/>
    <sheet name="Minor_Op" sheetId="23" r:id="rId29"/>
    <sheet name="MISC_INC" sheetId="25" r:id="rId30"/>
    <sheet name="AG" sheetId="26" r:id="rId31"/>
    <sheet name="HR_Detail" sheetId="27" r:id="rId32"/>
    <sheet name="IT" sheetId="28" r:id="rId33"/>
    <sheet name="SM" sheetId="29" r:id="rId34"/>
    <sheet name="POM" sheetId="30" r:id="rId35"/>
    <sheet name="EC" sheetId="31" r:id="rId36"/>
    <sheet name="Mgt_Fees" sheetId="32" r:id="rId37"/>
    <sheet name="Non_Op" sheetId="33" r:id="rId38"/>
    <sheet name="Laundry" sheetId="34" r:id="rId39"/>
    <sheet name="Dining" sheetId="35" r:id="rId40"/>
    <sheet name="PR_Related" sheetId="36" r:id="rId41"/>
  </sheets>
  <definedNames>
    <definedName name="_epmOfflineCondition_" localSheetId="30" hidden="1">1</definedName>
    <definedName name="_epmOfflineCondition_" localSheetId="19" hidden="1">1</definedName>
    <definedName name="_epmOfflineCondition_" localSheetId="20" hidden="1">1</definedName>
    <definedName name="_epmOfflineCondition_" localSheetId="39" hidden="1">1</definedName>
    <definedName name="_epmOfflineCondition_" localSheetId="35" hidden="1">1</definedName>
    <definedName name="_epmOfflineCondition_" localSheetId="5" hidden="1">1</definedName>
    <definedName name="_epmOfflineCondition_" localSheetId="6" hidden="1">1</definedName>
    <definedName name="_epmOfflineCondition_" localSheetId="27" hidden="1">1</definedName>
    <definedName name="_epmOfflineCondition_" localSheetId="24" hidden="1">1</definedName>
    <definedName name="_epmOfflineCondition_" localSheetId="31" hidden="1">1</definedName>
    <definedName name="_epmOfflineCondition_" localSheetId="17" hidden="1">1</definedName>
    <definedName name="_epmOfflineCondition_" localSheetId="18" hidden="1">1</definedName>
    <definedName name="_epmOfflineCondition_" localSheetId="32" hidden="1">1</definedName>
    <definedName name="_epmOfflineCondition_" localSheetId="38" hidden="1">1</definedName>
    <definedName name="_epmOfflineCondition_" localSheetId="36" hidden="1">1</definedName>
    <definedName name="_epmOfflineCondition_" localSheetId="21" hidden="1">1</definedName>
    <definedName name="_epmOfflineCondition_" localSheetId="28" hidden="1">1</definedName>
    <definedName name="_epmOfflineCondition_" localSheetId="29" hidden="1">1</definedName>
    <definedName name="_epmOfflineCondition_" localSheetId="3" hidden="1">1</definedName>
    <definedName name="_epmOfflineCondition_" localSheetId="37" hidden="1">1</definedName>
    <definedName name="_epmOfflineCondition_" localSheetId="22" hidden="1">1</definedName>
    <definedName name="_epmOfflineCondition_" localSheetId="25" hidden="1">1</definedName>
    <definedName name="_epmOfflineCondition_" localSheetId="34" hidden="1">1</definedName>
    <definedName name="_epmOfflineCondition_" localSheetId="40" hidden="1">1</definedName>
    <definedName name="_epmOfflineCondition_" localSheetId="4" hidden="1">1</definedName>
    <definedName name="_epmOfflineCondition_" localSheetId="26" hidden="1">1</definedName>
    <definedName name="_epmOfflineCondition_" localSheetId="2" hidden="1">1</definedName>
    <definedName name="_epmOfflineCondition_" localSheetId="0" hidden="1">1</definedName>
    <definedName name="_epmOfflineCondition_" localSheetId="33" hidden="1">1</definedName>
    <definedName name="_epmOfflineCondition_" localSheetId="1" hidden="1">1</definedName>
    <definedName name="_epmOfflineCondition_" localSheetId="23" hidden="1">1</definedName>
    <definedName name="_epmOfflineCondition_" localSheetId="7" hidden="1">1</definedName>
    <definedName name="_epmOfflineCondition_" localSheetId="8" hidden="1">1</definedName>
    <definedName name="_epmOfflineCondition_" localSheetId="9" hidden="1">1</definedName>
    <definedName name="_epmOfflineCondition_" localSheetId="10" hidden="1">1</definedName>
    <definedName name="_epmOfflineCondition_" localSheetId="11" hidden="1">1</definedName>
    <definedName name="_epmOfflineCondition_" localSheetId="12" hidden="1">1</definedName>
    <definedName name="_epmOfflineCondition_" localSheetId="13" hidden="1">1</definedName>
    <definedName name="_epmOfflineCondition_" localSheetId="14" hidden="1">1</definedName>
    <definedName name="_epmOfflineCondition_" localSheetId="15" hidden="1">1</definedName>
    <definedName name="_epmOfflineCondition_" localSheetId="16" hidden="1">1</definedName>
    <definedName name="EPMWorkbookOptions_1" hidden="1">"dDQAAB+LCAAAAAAABADtW21vokoU/r7J/gfjdwUUX7axbijS1b0qBrB3N83GII51Uhy4w1jbf38HBEWlFlq2orHpCz1z5sx5Hs45wxFofH+em7kngB1ooes8V2TzOYAMawLRw3V+QaYFrpr/3vz6pfGvhR/HlvUo24SqOjk6DzlXz87kOj8jxL5imOVyWVyWixZ+YEosyzG/el3VmIG5nl8rw7eVCxA5REcGyNNVc7mGaCEEDHdNzRIXGANE"</definedName>
    <definedName name="EPMWorkbookOptions_2" hidden="1">"7iBYeoNbwy2d6L6Uyvv6HKyWXS9JwNxeYOitOXQAHmAwBdSeAYoURr45uh30RjcDsady7Ojen/RoWLg0tg3dth3G0W2GHjN/Rvf/wLlNLESPbiFy3aVHU910Nn8bjOvDxiPBtk1o6CH2YnsW2Ni2EhL7gJu+LztLr4ja4y7GEB3sgfkY4CGC/y2AZ/VeEEV52Nf+FO/bHP11I3SFviipbUnSKOg9/T2LbQiwjo3ZS0ipzTWYKPne5BacA+QG"</definedName>
    <definedName name="EPMWorkbookOptions_3" hidden="1">"a0hJMAxrgUiDiRrcwcqkx4MoaNIPWfkdECEOFUXqH4kDUSfgwcIvn01CS9AEVREDDjRZo+HQ+nkcEtwSoGLj0zmQBoKi9aRNTrQq7JEYALaOCZV/ejZ0+pooB/iFbndEBZJCRUfhoYOIaH02BVqnJwUMlFjuW/Gn0D8OfI3KPht9TxLUoSKpFDz9HkhKR251xPfizzHxkAarfgztgZHQQBtOJgCt13EOELZWuoMOHEMTkpfU9zKPONejJsEL"</definedName>
    <definedName name="EPMWorkbookOptions_4" hidden="1">"4EaL988BzG97lQqGJHtRZkEk2EuyiyHRbpBZGLGLeWYRxK3HmQWQpMymD2JL+WAVDoPddFF7lVqdWZtFRcu0sO9rxMChqR76iJlRm4+rQLtVAp7Jrf5kYUioX16ruJq8N7Yzvw0fZib9ISowaccLJsGuCTd2DurE8OcWYoeEAEWP7xhao36d8LhaaWyKYRurM1jgqhWWK9e5kIGoc+vNlfEE4CbbYFYHkdYd29RfBtiyAaaRylWqlSkYTwuV"</definedName>
    <definedName name="EPMWorkbookOptions_5" hidden="1">"6oQv8KXpt0K9AkCB1UGJn4xrfG1cdlfenhVhuKs76xO3umiKYuiNKzNfJfW23bcbdan27MArBM3rvBs4+Ygrt9dPbby5hy5TU6SkxnIcG6txyzIZDSZOHIVS4a+l7c3CgQg4DhV9IHdZlq+zbPzU5c4vdW+Gaqcvqeqw39nk73DEc/WTj9aUKVGkHx25r15YWbFS8lip093vwkg4TniOr586I9mp88n6/YgaXy5XKjzPx6/xpfOr8R+4m+Db"</definedName>
    <definedName name="EPMWorkbookOptions_6" hidden="1">"zGSUpkWHIGpiV1alU+cjO1mb6AOuiKSt1ji2Xq/FT9ry+SXtB+5++TYvQXoITuJPMKMbiGq1XE7QQfBnGKjvvUXpW8xkmKZIRqlyIWNNxkjodk+djuyUsAR3L1L56LJyftXrI88W+EYvQXoITlOxycpV4/1dXPJQrZ5fqCoDbdW5ievWpRvrIQjfYibjNEUyhmrr1NnITtbGv62cSrrWzi9d3/vIlm8wk/GZGhdeO3tho3j/i36dBxvZqV3J"</definedName>
    <definedName name="EPMWorkbookOptions_7" hidden="1">"nihJpX7Vz69+vf+hS9/kuUdpDKUtb15V2tKx5jZ1bPMM0hbOBhP1ksaWNLBNl95/fyUs3H/npaGAKQbOTEayDVDw4M+20NMTTaBj16iMVP0JBJq7Yk83eLmHIiMe54H2/oCn33HudAz1sQl6AD9s1PfkX79sbPhvDjX/B+cgYkl0NAAA"</definedName>
    <definedName name="EV__EVCOM_OPTIONS__" hidden="1">8</definedName>
    <definedName name="EV__EXPOPTIONS__" hidden="1">1</definedName>
    <definedName name="EV__LASTREFTIME__" hidden="1">43507.7052199074</definedName>
    <definedName name="Ev__LimitedCV" localSheetId="30" hidden="1">"Application:FINANCE|Application:FINANCE|Account:GOI|Category:ACTUAL_CON|Datasrc:TOTALADJ|Department:D_AG_CON|Intco:All_InterCo|Rptcurrency:LC|Time:2015.TOTAL|Measures:PERIODIC"</definedName>
    <definedName name="Ev__LimitedCV" localSheetId="19" hidden="1">"Application:FINANCE|Application:FINANCE|Account:GOI|Category:ACTUAL_CON|Datasrc:TOTALADJ|Department:D_BCC_CON|Intco:All_InterCo|Rptcurrency:LC|Time:2015.TOTAL|Measures:PERIODIC"</definedName>
    <definedName name="Ev__LimitedCV" localSheetId="20" hidden="1">"Application:FINANCE|Application:FINANCE|Account:GOI|Category:ACTUAL_CON|Datasrc:TOTALADJ|Department:D_REST_OUTLET|Intco:All_InterCo|Rptcurrency:LC|Time:2015.TOTAL|Measures:PERIODIC"</definedName>
    <definedName name="Ev__LimitedCV" localSheetId="39" hidden="1">"Application:FINANCE|Application:FINANCE|Account:GOI|Category:ACTUAL_CON|Datasrc:TOTALADJ|Department:D2259|Intco:All_InterCo|Rptcurrency:LC|Time:2015.TOTAL|Measures:PERIODIC"</definedName>
    <definedName name="Ev__LimitedCV" localSheetId="35" hidden="1">"Application:FINANCE|Application:FINANCE|Account:GOI|Category:ACTUAL_CON|Datasrc:TOTALADJ|Department:D_EC_CON|Intco:All_InterCo|Rptcurrency:LC|Time:2015.TOTAL|Measures:PERIODIC"</definedName>
    <definedName name="Ev__LimitedCV" localSheetId="5" hidden="1">"Application:FINANCE|Application:FINANCE|Account:GOI|Category:ACTUAL_CON|Datasrc:TOTALADJ|Department:D_REST_CON|Intco:All_InterCo|Rptcurrency:LC|Time:2015.TOTAL|Measures:PERIODIC"</definedName>
    <definedName name="Ev__LimitedCV" localSheetId="6" hidden="1">"Application:FINANCE|Application:FINANCE|Account:GOI|Category:ACTUAL_CON|Datasrc:TOTALADJ|Department:D_REST_OUTLET|Intco:All_InterCo|Rptcurrency:LC|Time:2015.TOTAL|Measures:PERIODIC"</definedName>
    <definedName name="Ev__LimitedCV" localSheetId="27" hidden="1">"Application:FINANCE|Application:FINANCE|Account:GOI|Category:ACTUAL_CON|Datasrc:TOTALADJ|Department:D2149|Intco:All_InterCo|Rptcurrency:LC|Time:2015.TOTAL|Measures:PERIODIC"</definedName>
    <definedName name="Ev__LimitedCV" localSheetId="24" hidden="1">"Application:FINANCE|Application:FINANCE|Account:GOI|Category:ACTUAL_CON|Datasrc:TOTALADJ|Department:D1132|Intco:All_InterCo|Rptcurrency:LC|Time:2015.TOTAL|Measures:PERIODIC"</definedName>
    <definedName name="Ev__LimitedCV" localSheetId="31" hidden="1">"Application:FINANCE|Application:FINANCE|Account:GOI|Category:ACTUAL_CON|Datasrc:TOTALADJ|Department:D_AGHR|Intco:All_InterCo|Rptcurrency:LC|Time:2015.TOTAL|Measures:PERIODIC"</definedName>
    <definedName name="Ev__LimitedCV" localSheetId="17" hidden="1">"Application:FINANCE|Application:FINANCE|Account:GOI|Category:ACTUAL_CON|Datasrc:TOTALADJ|Department:D_RS_CON|Intco:All_InterCo|Rptcurrency:LC|Time:2015.TOTAL|Measures:PERIODIC"</definedName>
    <definedName name="Ev__LimitedCV" localSheetId="18" hidden="1">"Application:FINANCE|Application:FINANCE|Account:GOI|Category:ACTUAL_CON|Datasrc:TOTALADJ|Department:D_REST_OUTLET|Intco:All_InterCo|Rptcurrency:LC|Time:2015.TOTAL|Measures:PERIODIC"</definedName>
    <definedName name="Ev__LimitedCV" localSheetId="32" hidden="1">"Application:FINANCE|Application:FINANCE|Account:GOI|Category:ACTUAL_CON|Datasrc:TOTALADJ|Department:D_IT_CON|Intco:All_InterCo|Rptcurrency:LC|Time:2015.TOTAL|Measures:PERIODIC"</definedName>
    <definedName name="Ev__LimitedCV" localSheetId="38" hidden="1">"Application:FINANCE|Application:FINANCE|Account:GOI|Category:ACTUAL_CON|Datasrc:TOTALADJ|Department:D1228|Intco:All_InterCo|Rptcurrency:LC|Time:2015.TOTAL|Measures:PERIODIC"</definedName>
    <definedName name="Ev__LimitedCV" localSheetId="36" hidden="1">"Application:FINANCE|Application:FINANCE|Account:GOI|Category:ACTUAL_CON|Datasrc:TOTALADJ|Department:D_MGMT_CON|Intco:All_InterCo|Rptcurrency:LC|Time:2015.TOTAL|Measures:PERIODIC"</definedName>
    <definedName name="Ev__LimitedCV" localSheetId="21" hidden="1">"Application:FINANCE|Application:FINANCE|Account:GOI|Category:ACTUAL_CON|Datasrc:TOTALADJ|Department:D1149|Intco:All_InterCo|Rptcurrency:LC|Time:2015.TOTAL|Measures:PERIODIC"</definedName>
    <definedName name="Ev__LimitedCV" localSheetId="28" hidden="1">"Application:FINANCE|Application:FINANCE|Account:GOI|Category:ACTUAL_CON|Datasrc:TOTALADJ|Department:D1138|Intco:All_InterCo|Rptcurrency:LC|Time:2015.TOTAL|Measures:PERIODIC"</definedName>
    <definedName name="Ev__LimitedCV" localSheetId="29" hidden="1">"Application:FINANCE|Application:FINANCE|Account:GOI|Category:ACTUAL_CON|Datasrc:TOTALADJ|Department:D_ROI_CON|Intco:All_InterCo|Rptcurrency:LC|Time:2015.TOTAL|Measures:PERIODIC"</definedName>
    <definedName name="Ev__LimitedCV" localSheetId="3" hidden="1">"Application:FINANCE|Application:FINANCE|Account:GOI|Category:ACTUAL_CON|Datasrc:TOTALADJ|Department:D_ROOMS_CON|Intco:All_InterCo|Rptcurrency:LC|Time:2015.TOTAL|Measures:PERIODIC"</definedName>
    <definedName name="Ev__LimitedCV" localSheetId="37" hidden="1">"Application:FINANCE|Application:FINANCE|Account:GOI|Category:ACTUAL_CON|Datasrc:TOTALADJ|Department:D_FIXED|Intco:All_InterCo|Rptcurrency:LC|Time:2015.TOTAL|Measures:PERIODIC"</definedName>
    <definedName name="Ev__LimitedCV" localSheetId="22" hidden="1">"Application:FINANCE|Application:FINANCE|Account:GOI|Category:ACTUAL_CON|Datasrc:TOTALADJ|Department:D_OTHER_CON|Intco:All_InterCo|Rptcurrency:LC|Time:2015.TOTAL|Measures:PERIODIC"</definedName>
    <definedName name="Ev__LimitedCV" localSheetId="25" hidden="1">"Application:FINANCE|Application:FINANCE|Account:GOI|Category:ACTUAL_CON|Datasrc:TOTALADJ|Department:D1133|Intco:All_InterCo|Rptcurrency:LC|Time:2015.TOTAL|Measures:PERIODIC"</definedName>
    <definedName name="Ev__LimitedCV" localSheetId="34" hidden="1">"Application:FINANCE|Application:FINANCE|Account:GOI|Category:ACTUAL_CON|Datasrc:TOTALADJ|Department:D_PM_CON|Intco:All_InterCo|Rptcurrency:LC|Time:2015.TOTAL|Measures:PERIODIC"</definedName>
    <definedName name="Ev__LimitedCV" localSheetId="40" hidden="1">"Application:FINANCE|Application:FINANCE|Account:GOI|Category:ACTUAL_CON|Datasrc:TOTALADJ|Department:D_CON|Intco:All_InterCo|Rptcurrency:LC|Time:2015.TOTAL|Measures:PERIODIC"</definedName>
    <definedName name="Ev__LimitedCV" localSheetId="4" hidden="1">"Application:FINANCE|Application:FINANCE|Account:GOI|Category:ACTUAL_CON|Datasrc:TOTALADJ|Department:D_RESV_CON|Intco:All_InterCo|Rptcurrency:LC|Time:2015.TOTAL|Measures:PERIODIC"</definedName>
    <definedName name="Ev__LimitedCV" localSheetId="26" hidden="1">"Application:FINANCE|Application:FINANCE|Account:GOI|Category:ACTUAL_CON|Datasrc:TOTALADJ|Department:D1136|Intco:All_InterCo|Rptcurrency:LC|Time:2015.TOTAL|Measures:PERIODIC"</definedName>
    <definedName name="Ev__LimitedCV" localSheetId="2" hidden="1">"Application:FINANCE|Application:FINANCE|Account:GOI|Category:ACTUAL_CON|Datasrc:TOTALADJ|Department:D_ROOMS_CON|Intco:All_InterCo|Rptcurrency:LC|Time:2015.TOTAL|Measures:PERIODIC"</definedName>
    <definedName name="Ev__LimitedCV" localSheetId="0" hidden="1">"Application:FINANCE|Application:FINANCE|Account:GOI|Category:CURRENT|Datasrc:TOTALADJ|Department:D_CON|Intco:All_InterCo|Time:2015.TOTAL|Measures:PERIODIC"</definedName>
    <definedName name="Ev__LimitedCV" localSheetId="33" hidden="1">"Application:FINANCE|Application:FINANCE|Account:GOI|Category:ACTUAL_CON|Datasrc:TOTALADJ|Department:D_SM_CON|Intco:All_InterCo|Rptcurrency:LC|Time:2015.TOTAL|Measures:PERIODIC"</definedName>
    <definedName name="Ev__LimitedCV" localSheetId="1" hidden="1">"Application:FINANCE|Application:FINANCE|Account:GOI|Category:ACTUAL_CON|Datasrc:TOTALADJ|Department:D_CON|Intco:All_InterCo|Rptcurrency:LC|Time:2015.TOTAL|Measures:PERIODIC"</definedName>
    <definedName name="Ev__LimitedCV" localSheetId="23" hidden="1">"Application:FINANCE|Application:FINANCE|Account:GOI|Category:ACTUAL_CON|Datasrc:TOTALADJ|Department:D_TELCOM|Intco:All_InterCo|Rptcurrency:LC|Time:2015.TOTAL|Measures:PERIODIC"</definedName>
    <definedName name="Ev__LimitedCV" localSheetId="7" hidden="1">"Application:FINANCE|Application:FINANCE|Account:GOI|Category:ACTUAL_CON|Datasrc:TOTALADJ|Department:D_REST_OUTLET|Intco:All_InterCo|Rptcurrency:LC|Time:2015.TOTAL|Measures:PERIODIC"</definedName>
    <definedName name="Ev__LimitedCV" localSheetId="8" hidden="1">"Application:FINANCE|Application:FINANCE|Account:GOI|Category:ACTUAL_CON|Datasrc:TOTALADJ|Department:D_REST_OUTLET|Intco:All_InterCo|Rptcurrency:LC|Time:2015.TOTAL|Measures:PERIODIC"</definedName>
    <definedName name="Ev__LimitedCV" localSheetId="9" hidden="1">"Application:FINANCE|Application:FINANCE|Account:GOI|Category:ACTUAL_CON|Datasrc:TOTALADJ|Department:D_REST_OUTLET|Intco:All_InterCo|Rptcurrency:LC|Time:2015.TOTAL|Measures:PERIODIC"</definedName>
    <definedName name="Ev__LimitedCV" localSheetId="10" hidden="1">"Application:FINANCE|Application:FINANCE|Account:GOI|Category:ACTUAL_CON|Datasrc:TOTALADJ|Department:D_REST_OUTLET|Intco:All_InterCo|Rptcurrency:LC|Time:2015.TOTAL|Measures:PERIODIC"</definedName>
    <definedName name="Ev__LimitedCV" localSheetId="11" hidden="1">"Application:FINANCE|Application:FINANCE|Account:GOI|Category:ACTUAL_CON|Datasrc:TOTALADJ|Department:D_REST_OUTLET|Intco:All_InterCo|Rptcurrency:LC|Time:2015.TOTAL|Measures:PERIODIC"</definedName>
    <definedName name="Ev__LimitedCV" localSheetId="12" hidden="1">"Application:FINANCE|Application:FINANCE|Account:GOI|Category:ACTUAL_CON|Datasrc:TOTALADJ|Department:D_REST_OUTLET|Intco:All_InterCo|Rptcurrency:LC|Time:2015.TOTAL|Measures:PERIODIC"</definedName>
    <definedName name="Ev__LimitedCV" localSheetId="13" hidden="1">"Application:FINANCE|Application:FINANCE|Account:GOI|Category:ACTUAL_CON|Datasrc:TOTALADJ|Department:D_REST_OUTLET|Intco:All_InterCo|Rptcurrency:LC|Time:2015.TOTAL|Measures:PERIODIC"</definedName>
    <definedName name="Ev__LimitedCV" localSheetId="14" hidden="1">"Application:FINANCE|Application:FINANCE|Account:GOI|Category:ACTUAL_CON|Datasrc:TOTALADJ|Department:D_REST_OUTLET|Intco:All_InterCo|Rptcurrency:LC|Time:2015.TOTAL|Measures:PERIODIC"</definedName>
    <definedName name="Ev__LimitedCV" localSheetId="15" hidden="1">"Application:FINANCE|Application:FINANCE|Account:GOI|Category:ACTUAL_CON|Datasrc:TOTALADJ|Department:D_REST_OUTLET|Intco:All_InterCo|Rptcurrency:LC|Time:2015.TOTAL|Measures:PERIODIC"</definedName>
    <definedName name="Ev__LimitedCV" localSheetId="16" hidden="1">"Application:FINANCE|Application:FINANCE|Account:GOI|Category:ACTUAL_CON|Datasrc:TOTALADJ|Department:D_REST_OUTLET|Intco:All_InterCo|Rptcurrency:LC|Time:2015.TOTAL|Measures:PERIODIC"</definedName>
    <definedName name="EV__LOCKEDCVW__Finance" hidden="1">"BalanceSheet,BU1334,CURRENT,TOTALADJ,D50,All_InterCo,LC,2019.JAN,Periodic"</definedName>
    <definedName name="EV__LOCKSTATUS__" hidden="1">4</definedName>
    <definedName name="EV__MAXEXPCOLS__" hidden="1">100</definedName>
    <definedName name="EV__MAXEXPROWS__" hidden="1">1000</definedName>
    <definedName name="EV__MEMORYCVW__" hidden="1">1</definedName>
    <definedName name="EV__MEMORYCVW__INFO" hidden="1">"FINANCE"</definedName>
    <definedName name="EV__WBEVMODE__" hidden="1">0</definedName>
    <definedName name="EV__WBREFOPTIONS__" hidden="1">134217728</definedName>
    <definedName name="EV__WBVERSION__" hidden="1">0</definedName>
    <definedName name="MEWarning" hidden="1">1</definedName>
    <definedName name="_xlnm.Print_Area" localSheetId="30">AG!$N$25:$AI$77</definedName>
    <definedName name="_xlnm.Print_Area" localSheetId="19">BCC!$N$25:$AI$106</definedName>
    <definedName name="_xlnm.Print_Area" localSheetId="20">BCC_KPI!$N$25:$AI$143</definedName>
    <definedName name="_xlnm.Print_Area" localSheetId="39">Dining!$N$25:$AI$59</definedName>
    <definedName name="_xlnm.Print_Area" localSheetId="35">EC!$N$25:$AI$37</definedName>
    <definedName name="_xlnm.Print_Area" localSheetId="5">FB_Cons!$N$25:$AI$123</definedName>
    <definedName name="_xlnm.Print_Area" localSheetId="6">FB_KPI!$N$25:$AI$152</definedName>
    <definedName name="_xlnm.Print_Area" localSheetId="27">FB_Retail!$N$25:$AI$72</definedName>
    <definedName name="_xlnm.Print_Area" localSheetId="24">HC_SPA!$N$25:$AI$67</definedName>
    <definedName name="_xlnm.Print_Area" localSheetId="31">HR_Detail!$N$25:$AI$46</definedName>
    <definedName name="_xlnm.Print_Area" localSheetId="17">IRD!$N$25:$AI$92</definedName>
    <definedName name="_xlnm.Print_Area" localSheetId="18">IRD_KPI!$N$25:$AI$141</definedName>
    <definedName name="_xlnm.Print_Area" localSheetId="32">IT!$N$25:$AI$65</definedName>
    <definedName name="_xlnm.Print_Area" localSheetId="38">Laundry!$N$25:$AI$60</definedName>
    <definedName name="_xlnm.Print_Area" localSheetId="36">Mgt_Fees!$N$25:$AI$36</definedName>
    <definedName name="_xlnm.Print_Area" localSheetId="21">Mini_Bar!$N$25:$AI$74</definedName>
    <definedName name="_xlnm.Print_Area" localSheetId="28">Minor_Op!$N$25:$AI$98</definedName>
    <definedName name="_xlnm.Print_Area" localSheetId="29">MISC_INC!$N$25:$AI$52</definedName>
    <definedName name="_xlnm.Print_Area" localSheetId="3">MMA!$N$25:$AI$152</definedName>
    <definedName name="_xlnm.Print_Area" localSheetId="37">Non_Op!$N$25:$AI$65</definedName>
    <definedName name="_xlnm.Print_Area" localSheetId="22">OTH_OP!$M$25:$AH$60</definedName>
    <definedName name="_xlnm.Print_Area" localSheetId="25">Parking!$N$25:$AI$69</definedName>
    <definedName name="_xlnm.Print_Area" localSheetId="34">POM!$N$25:$AI$76</definedName>
    <definedName name="_xlnm.Print_Area" localSheetId="40">PR_Related!$N$25:$AI$64</definedName>
    <definedName name="_xlnm.Print_Area" localSheetId="4">Resv!$N$25:$AI$74</definedName>
    <definedName name="_xlnm.Print_Area" localSheetId="26">Retail!$N$25:$AI$74</definedName>
    <definedName name="_xlnm.Print_Area" localSheetId="2">Rooms!$N$25:$AI$101</definedName>
    <definedName name="_xlnm.Print_Area" localSheetId="33">SM!$N$25:$AI$76</definedName>
    <definedName name="_xlnm.Print_Area" localSheetId="1">Summary!$M$25:$AH$88</definedName>
    <definedName name="_xlnm.Print_Area" localSheetId="23">Telcom_Legacy!$N$25:$AI$64</definedName>
    <definedName name="_xlnm.Print_Area" localSheetId="7">Venue1!$N$25:$AI$120</definedName>
    <definedName name="_xlnm.Print_Area" localSheetId="8">Venue1_KPI!$N$25:$AI$141</definedName>
    <definedName name="_xlnm.Print_Area" localSheetId="9">Venue2!$N$25:$AI$106</definedName>
    <definedName name="_xlnm.Print_Area" localSheetId="10">Venue2_KPI!$N$25:$AI$141</definedName>
    <definedName name="_xlnm.Print_Area" localSheetId="11">Venue3!$N$25:$AI$88</definedName>
    <definedName name="_xlnm.Print_Area" localSheetId="12">Venue3_KPI!$N$25:$AI$141</definedName>
    <definedName name="_xlnm.Print_Area" localSheetId="13">Venue4!$N$25:$AI$88</definedName>
    <definedName name="_xlnm.Print_Area" localSheetId="14">Venue4_KPI!$N$25:$AI$141</definedName>
    <definedName name="_xlnm.Print_Area" localSheetId="15">VenueBar!$N$25:$AI$121</definedName>
    <definedName name="_xlnm.Print_Area" localSheetId="16">VenueBar_KPI!$N$25:$AI$141</definedName>
    <definedName name="_xlnm.Print_Titles" localSheetId="30">AG!$25:$32</definedName>
    <definedName name="_xlnm.Print_Titles" localSheetId="19">BCC!$25:$32</definedName>
    <definedName name="_xlnm.Print_Titles" localSheetId="20">BCC_KPI!$25:$32</definedName>
    <definedName name="_xlnm.Print_Titles" localSheetId="39">Dining!$25:$32</definedName>
    <definedName name="_xlnm.Print_Titles" localSheetId="35">EC!$25:$32</definedName>
    <definedName name="_xlnm.Print_Titles" localSheetId="5">FB_Cons!$25:$32</definedName>
    <definedName name="_xlnm.Print_Titles" localSheetId="6">FB_KPI!$25:$32</definedName>
    <definedName name="_xlnm.Print_Titles" localSheetId="27">FB_Retail!$25:$32</definedName>
    <definedName name="_xlnm.Print_Titles" localSheetId="24">HC_SPA!$25:$32</definedName>
    <definedName name="_xlnm.Print_Titles" localSheetId="31">HR_Detail!$25:$32</definedName>
    <definedName name="_xlnm.Print_Titles" localSheetId="17">IRD!$25:$32</definedName>
    <definedName name="_xlnm.Print_Titles" localSheetId="18">IRD_KPI!$25:$32</definedName>
    <definedName name="_xlnm.Print_Titles" localSheetId="32">IT!$25:$32</definedName>
    <definedName name="_xlnm.Print_Titles" localSheetId="38">Laundry!$25:$32</definedName>
    <definedName name="_xlnm.Print_Titles" localSheetId="36">Mgt_Fees!$25:$32</definedName>
    <definedName name="_xlnm.Print_Titles" localSheetId="21">Mini_Bar!$25:$32</definedName>
    <definedName name="_xlnm.Print_Titles" localSheetId="28">Minor_Op!$25:$32</definedName>
    <definedName name="_xlnm.Print_Titles" localSheetId="29">MISC_INC!$25:$32</definedName>
    <definedName name="_xlnm.Print_Titles" localSheetId="3">MMA!$25:$32</definedName>
    <definedName name="_xlnm.Print_Titles" localSheetId="37">Non_Op!$25:$32</definedName>
    <definedName name="_xlnm.Print_Titles" localSheetId="22">OTH_OP!$25:$32</definedName>
    <definedName name="_xlnm.Print_Titles" localSheetId="25">Parking!$25:$32</definedName>
    <definedName name="_xlnm.Print_Titles" localSheetId="34">POM!$25:$32</definedName>
    <definedName name="_xlnm.Print_Titles" localSheetId="40">PR_Related!$25:$32</definedName>
    <definedName name="_xlnm.Print_Titles" localSheetId="4">Resv!$25:$32</definedName>
    <definedName name="_xlnm.Print_Titles" localSheetId="26">Retail!$25:$32</definedName>
    <definedName name="_xlnm.Print_Titles" localSheetId="2">Rooms!$25:$32</definedName>
    <definedName name="_xlnm.Print_Titles" localSheetId="33">SM!$25:$32</definedName>
    <definedName name="_xlnm.Print_Titles" localSheetId="1">Summary!$25:$32</definedName>
    <definedName name="_xlnm.Print_Titles" localSheetId="23">Telcom_Legacy!$25:$32</definedName>
    <definedName name="_xlnm.Print_Titles" localSheetId="7">Venue1!$25:$32</definedName>
    <definedName name="_xlnm.Print_Titles" localSheetId="8">Venue1_KPI!$25:$32</definedName>
    <definedName name="_xlnm.Print_Titles" localSheetId="9">Venue2!$25:$32</definedName>
    <definedName name="_xlnm.Print_Titles" localSheetId="10">Venue2_KPI!$25:$32</definedName>
    <definedName name="_xlnm.Print_Titles" localSheetId="11">Venue3!$25:$32</definedName>
    <definedName name="_xlnm.Print_Titles" localSheetId="12">Venue3_KPI!$25:$32</definedName>
    <definedName name="_xlnm.Print_Titles" localSheetId="13">Venue4!$25:$32</definedName>
    <definedName name="_xlnm.Print_Titles" localSheetId="14">Venue4_KPI!$25:$32</definedName>
    <definedName name="_xlnm.Print_Titles" localSheetId="15">VenueBar!$25:$32</definedName>
    <definedName name="_xlnm.Print_Titles" localSheetId="16">VenueBar_KPI!$25:$32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G67" i="36" l="1"/>
  <c r="AD67" i="36"/>
  <c r="O67" i="36"/>
  <c r="P67" i="36"/>
  <c r="Q67" i="36"/>
  <c r="R67" i="36"/>
  <c r="S67" i="36"/>
  <c r="T67" i="36"/>
  <c r="U67" i="36"/>
  <c r="V67" i="36"/>
  <c r="W67" i="36"/>
  <c r="X67" i="36"/>
  <c r="Y67" i="36"/>
  <c r="Z67" i="36"/>
  <c r="N64" i="36"/>
  <c r="N67" i="36" s="1"/>
  <c r="N65" i="36"/>
  <c r="AH65" i="36"/>
  <c r="AE65" i="36"/>
  <c r="I64" i="36"/>
  <c r="AA64" i="36" s="1"/>
  <c r="J64" i="36"/>
  <c r="I65" i="36"/>
  <c r="AA65" i="36" s="1"/>
  <c r="J65" i="36"/>
  <c r="AK53" i="36"/>
  <c r="AH60" i="36"/>
  <c r="AE52" i="36"/>
  <c r="AF54" i="36"/>
  <c r="AE57" i="36"/>
  <c r="I52" i="36"/>
  <c r="AA52" i="36" s="1"/>
  <c r="J52" i="36"/>
  <c r="L52" i="36"/>
  <c r="M52" i="36"/>
  <c r="N52" i="36"/>
  <c r="I53" i="36"/>
  <c r="AA53" i="36" s="1"/>
  <c r="J53" i="36"/>
  <c r="L53" i="36"/>
  <c r="M53" i="36"/>
  <c r="N53" i="36"/>
  <c r="I54" i="36"/>
  <c r="AA54" i="36" s="1"/>
  <c r="J54" i="36"/>
  <c r="L54" i="36"/>
  <c r="M54" i="36"/>
  <c r="N54" i="36"/>
  <c r="I55" i="36"/>
  <c r="AA55" i="36" s="1"/>
  <c r="AF55" i="36" s="1"/>
  <c r="J55" i="36"/>
  <c r="L55" i="36"/>
  <c r="M55" i="36"/>
  <c r="N55" i="36"/>
  <c r="I56" i="36"/>
  <c r="AA56" i="36" s="1"/>
  <c r="J56" i="36"/>
  <c r="L56" i="36"/>
  <c r="M56" i="36"/>
  <c r="N56" i="36"/>
  <c r="I57" i="36"/>
  <c r="AA57" i="36" s="1"/>
  <c r="J57" i="36"/>
  <c r="K57" i="36"/>
  <c r="L57" i="36"/>
  <c r="M57" i="36"/>
  <c r="N57" i="36"/>
  <c r="I58" i="36"/>
  <c r="AA58" i="36" s="1"/>
  <c r="AF58" i="36" s="1"/>
  <c r="J58" i="36"/>
  <c r="L58" i="36"/>
  <c r="M58" i="36"/>
  <c r="N58" i="36"/>
  <c r="I59" i="36"/>
  <c r="AA59" i="36" s="1"/>
  <c r="J59" i="36"/>
  <c r="K59" i="36"/>
  <c r="L59" i="36"/>
  <c r="M59" i="36"/>
  <c r="N59" i="36"/>
  <c r="I60" i="36"/>
  <c r="AA60" i="36" s="1"/>
  <c r="J60" i="36"/>
  <c r="L60" i="36"/>
  <c r="M60" i="36"/>
  <c r="N60" i="36"/>
  <c r="I61" i="36"/>
  <c r="AA61" i="36" s="1"/>
  <c r="J61" i="36"/>
  <c r="L61" i="36"/>
  <c r="M61" i="36"/>
  <c r="N61" i="36"/>
  <c r="I62" i="36"/>
  <c r="AA62" i="36" s="1"/>
  <c r="J62" i="36"/>
  <c r="L62" i="36"/>
  <c r="M62" i="36"/>
  <c r="N62" i="36"/>
  <c r="AH45" i="36"/>
  <c r="AI46" i="36"/>
  <c r="AE44" i="36"/>
  <c r="AE45" i="36"/>
  <c r="AA48" i="36"/>
  <c r="AF48" i="36" s="1"/>
  <c r="I44" i="36"/>
  <c r="K44" i="36" s="1"/>
  <c r="J44" i="36"/>
  <c r="L44" i="36"/>
  <c r="M44" i="36"/>
  <c r="N44" i="36"/>
  <c r="I45" i="36"/>
  <c r="AA45" i="36" s="1"/>
  <c r="J45" i="36"/>
  <c r="K45" i="36"/>
  <c r="L45" i="36"/>
  <c r="M45" i="36"/>
  <c r="N45" i="36"/>
  <c r="I46" i="36"/>
  <c r="AA46" i="36" s="1"/>
  <c r="J46" i="36"/>
  <c r="L46" i="36"/>
  <c r="M46" i="36"/>
  <c r="N46" i="36"/>
  <c r="I47" i="36"/>
  <c r="AA47" i="36" s="1"/>
  <c r="J47" i="36"/>
  <c r="L47" i="36"/>
  <c r="M47" i="36"/>
  <c r="N47" i="36"/>
  <c r="I48" i="36"/>
  <c r="K48" i="36" s="1"/>
  <c r="J48" i="36"/>
  <c r="L48" i="36"/>
  <c r="M48" i="36"/>
  <c r="N48" i="36"/>
  <c r="I49" i="36"/>
  <c r="AA49" i="36" s="1"/>
  <c r="J49" i="36"/>
  <c r="L49" i="36"/>
  <c r="M49" i="36"/>
  <c r="N49" i="36"/>
  <c r="AE35" i="36"/>
  <c r="I35" i="36"/>
  <c r="K35" i="36" s="1"/>
  <c r="J35" i="36"/>
  <c r="L35" i="36"/>
  <c r="M35" i="36"/>
  <c r="N35" i="36"/>
  <c r="I36" i="36"/>
  <c r="K36" i="36" s="1"/>
  <c r="J36" i="36"/>
  <c r="L36" i="36"/>
  <c r="M36" i="36"/>
  <c r="N36" i="36"/>
  <c r="I37" i="36"/>
  <c r="J37" i="36"/>
  <c r="L37" i="36"/>
  <c r="M37" i="36"/>
  <c r="N37" i="36"/>
  <c r="I38" i="36"/>
  <c r="AA38" i="36" s="1"/>
  <c r="J38" i="36"/>
  <c r="L38" i="36"/>
  <c r="M38" i="36"/>
  <c r="N38" i="36"/>
  <c r="I39" i="36"/>
  <c r="AA39" i="36" s="1"/>
  <c r="AI39" i="36" s="1"/>
  <c r="J39" i="36"/>
  <c r="K39" i="36"/>
  <c r="L39" i="36"/>
  <c r="M39" i="36"/>
  <c r="N39" i="36"/>
  <c r="I40" i="36"/>
  <c r="K40" i="36" s="1"/>
  <c r="J40" i="36"/>
  <c r="L40" i="36"/>
  <c r="M40" i="36"/>
  <c r="N40" i="36"/>
  <c r="I41" i="36"/>
  <c r="J41" i="36"/>
  <c r="L41" i="36"/>
  <c r="M41" i="36"/>
  <c r="N41" i="36"/>
  <c r="N33" i="36"/>
  <c r="I33" i="36"/>
  <c r="J33" i="36"/>
  <c r="AG32" i="36"/>
  <c r="AL32" i="36" s="1"/>
  <c r="AD32" i="36"/>
  <c r="AK32" i="36" s="1"/>
  <c r="O32" i="36"/>
  <c r="P32" i="36"/>
  <c r="Q32" i="36"/>
  <c r="R32" i="36"/>
  <c r="S32" i="36"/>
  <c r="T32" i="36"/>
  <c r="U32" i="36"/>
  <c r="V32" i="36"/>
  <c r="W32" i="36"/>
  <c r="X32" i="36"/>
  <c r="Y32" i="36"/>
  <c r="Z32" i="36"/>
  <c r="AJ32" i="36" s="1"/>
  <c r="AJ31" i="36"/>
  <c r="AK31" i="36"/>
  <c r="AM31" i="36" s="1"/>
  <c r="AL31" i="36"/>
  <c r="AN31" i="36"/>
  <c r="AG31" i="36"/>
  <c r="AD31" i="36"/>
  <c r="O31" i="36"/>
  <c r="P31" i="36"/>
  <c r="Q31" i="36"/>
  <c r="R31" i="36"/>
  <c r="S31" i="36"/>
  <c r="T31" i="36"/>
  <c r="U31" i="36"/>
  <c r="V31" i="36"/>
  <c r="W31" i="36"/>
  <c r="X31" i="36"/>
  <c r="Y31" i="36"/>
  <c r="Z31" i="36"/>
  <c r="AA31" i="36"/>
  <c r="N26" i="36"/>
  <c r="N27" i="36"/>
  <c r="N28" i="36"/>
  <c r="N29" i="36"/>
  <c r="B22" i="36"/>
  <c r="B23" i="36"/>
  <c r="AG16" i="36"/>
  <c r="AG19" i="36"/>
  <c r="AH56" i="36" s="1"/>
  <c r="AG20" i="36"/>
  <c r="AL54" i="36" s="1"/>
  <c r="AD19" i="36"/>
  <c r="AE64" i="36" s="1"/>
  <c r="AD20" i="36"/>
  <c r="AK59" i="36" s="1"/>
  <c r="N19" i="36"/>
  <c r="O19" i="36"/>
  <c r="P19" i="36"/>
  <c r="Q19" i="36"/>
  <c r="R19" i="36"/>
  <c r="S19" i="36"/>
  <c r="T19" i="36"/>
  <c r="U19" i="36"/>
  <c r="V19" i="36"/>
  <c r="W19" i="36"/>
  <c r="X19" i="36"/>
  <c r="Y19" i="36"/>
  <c r="Z19" i="36"/>
  <c r="N20" i="36"/>
  <c r="O20" i="36"/>
  <c r="P20" i="36"/>
  <c r="Q20" i="36"/>
  <c r="R20" i="36"/>
  <c r="S20" i="36"/>
  <c r="T20" i="36"/>
  <c r="U20" i="36"/>
  <c r="V20" i="36"/>
  <c r="W20" i="36"/>
  <c r="X20" i="36"/>
  <c r="Y20" i="36"/>
  <c r="Z20" i="36"/>
  <c r="B17" i="36"/>
  <c r="B18" i="36"/>
  <c r="B19" i="36"/>
  <c r="O17" i="36"/>
  <c r="P17" i="36"/>
  <c r="Q17" i="36"/>
  <c r="R17" i="36"/>
  <c r="S17" i="36"/>
  <c r="T17" i="36"/>
  <c r="U17" i="36"/>
  <c r="V17" i="36"/>
  <c r="W17" i="36"/>
  <c r="X17" i="36"/>
  <c r="Y17" i="36"/>
  <c r="Z17" i="36"/>
  <c r="O16" i="36"/>
  <c r="P16" i="36"/>
  <c r="Q16" i="36"/>
  <c r="R16" i="36"/>
  <c r="S16" i="36"/>
  <c r="T16" i="36"/>
  <c r="U16" i="36"/>
  <c r="V16" i="36"/>
  <c r="W16" i="36"/>
  <c r="X16" i="36"/>
  <c r="Y16" i="36"/>
  <c r="A14" i="36"/>
  <c r="AG12" i="36"/>
  <c r="AG13" i="36"/>
  <c r="AD12" i="36"/>
  <c r="AD13" i="36"/>
  <c r="B12" i="36"/>
  <c r="B13" i="36"/>
  <c r="O12" i="36"/>
  <c r="P12" i="36"/>
  <c r="Q12" i="36"/>
  <c r="R12" i="36"/>
  <c r="S12" i="36"/>
  <c r="T12" i="36"/>
  <c r="U12" i="36"/>
  <c r="V12" i="36"/>
  <c r="W12" i="36"/>
  <c r="X12" i="36"/>
  <c r="Y12" i="36"/>
  <c r="Z12" i="36"/>
  <c r="AA12" i="36"/>
  <c r="O13" i="36"/>
  <c r="P13" i="36"/>
  <c r="Q13" i="36"/>
  <c r="R13" i="36"/>
  <c r="S13" i="36"/>
  <c r="T13" i="36"/>
  <c r="U13" i="36"/>
  <c r="V13" i="36"/>
  <c r="W13" i="36"/>
  <c r="X13" i="36"/>
  <c r="Y13" i="36"/>
  <c r="Z13" i="36"/>
  <c r="AA13" i="36"/>
  <c r="C10" i="36"/>
  <c r="D10" i="36"/>
  <c r="Z16" i="36" s="1"/>
  <c r="C9" i="36"/>
  <c r="C1" i="36"/>
  <c r="C2" i="36"/>
  <c r="C3" i="36"/>
  <c r="C4" i="36"/>
  <c r="C5" i="36"/>
  <c r="C6" i="36"/>
  <c r="C7" i="36"/>
  <c r="C8" i="36"/>
  <c r="E6" i="36"/>
  <c r="E4" i="36"/>
  <c r="B3" i="36"/>
  <c r="AG62" i="35"/>
  <c r="AD62" i="35"/>
  <c r="O62" i="35"/>
  <c r="P62" i="35"/>
  <c r="Q62" i="35"/>
  <c r="R62" i="35"/>
  <c r="S62" i="35"/>
  <c r="T62" i="35"/>
  <c r="U62" i="35"/>
  <c r="V62" i="35"/>
  <c r="W62" i="35"/>
  <c r="X62" i="35"/>
  <c r="Y62" i="35"/>
  <c r="Z62" i="35"/>
  <c r="I62" i="35"/>
  <c r="J62" i="35"/>
  <c r="AD57" i="35"/>
  <c r="AE57" i="35"/>
  <c r="AG57" i="35"/>
  <c r="O57" i="35"/>
  <c r="P57" i="35"/>
  <c r="Q57" i="35"/>
  <c r="R57" i="35"/>
  <c r="S57" i="35"/>
  <c r="T57" i="35"/>
  <c r="U57" i="35"/>
  <c r="V57" i="35"/>
  <c r="W57" i="35"/>
  <c r="X57" i="35"/>
  <c r="Y57" i="35"/>
  <c r="Z57" i="35"/>
  <c r="N55" i="35"/>
  <c r="N56" i="35"/>
  <c r="AH55" i="35"/>
  <c r="AH56" i="35"/>
  <c r="AE55" i="35"/>
  <c r="AE56" i="35"/>
  <c r="I55" i="35"/>
  <c r="AA55" i="35" s="1"/>
  <c r="J55" i="35"/>
  <c r="I56" i="35"/>
  <c r="AA56" i="35" s="1"/>
  <c r="AI56" i="35" s="1"/>
  <c r="J56" i="35"/>
  <c r="B54" i="35"/>
  <c r="AD50" i="35"/>
  <c r="AE50" i="35"/>
  <c r="AG50" i="35"/>
  <c r="AH50" i="35" s="1"/>
  <c r="I50" i="35"/>
  <c r="K50" i="35" s="1"/>
  <c r="J50" i="35"/>
  <c r="L50" i="35"/>
  <c r="M50" i="35"/>
  <c r="N50" i="35"/>
  <c r="O50" i="35"/>
  <c r="P50" i="35"/>
  <c r="Q50" i="35"/>
  <c r="R50" i="35"/>
  <c r="S50" i="35"/>
  <c r="T50" i="35"/>
  <c r="U50" i="35"/>
  <c r="V50" i="35"/>
  <c r="W50" i="35"/>
  <c r="X50" i="35"/>
  <c r="Y50" i="35"/>
  <c r="Z50" i="35"/>
  <c r="B48" i="35"/>
  <c r="B49" i="35"/>
  <c r="B50" i="35"/>
  <c r="AD48" i="35"/>
  <c r="AD52" i="35" s="1"/>
  <c r="N48" i="35"/>
  <c r="U48" i="35"/>
  <c r="U52" i="35" s="1"/>
  <c r="U59" i="35" s="1"/>
  <c r="I48" i="35"/>
  <c r="J48" i="35"/>
  <c r="AD46" i="35"/>
  <c r="AE46" i="35"/>
  <c r="AG46" i="35"/>
  <c r="AH46" i="35"/>
  <c r="N46" i="35"/>
  <c r="O46" i="35"/>
  <c r="O48" i="35" s="1"/>
  <c r="O52" i="35" s="1"/>
  <c r="P46" i="35"/>
  <c r="P48" i="35" s="1"/>
  <c r="P52" i="35" s="1"/>
  <c r="P59" i="35" s="1"/>
  <c r="Q46" i="35"/>
  <c r="Q48" i="35" s="1"/>
  <c r="Q52" i="35" s="1"/>
  <c r="Q59" i="35" s="1"/>
  <c r="R46" i="35"/>
  <c r="R48" i="35" s="1"/>
  <c r="R52" i="35" s="1"/>
  <c r="R59" i="35" s="1"/>
  <c r="S46" i="35"/>
  <c r="S48" i="35" s="1"/>
  <c r="S52" i="35" s="1"/>
  <c r="S59" i="35" s="1"/>
  <c r="T46" i="35"/>
  <c r="T48" i="35" s="1"/>
  <c r="T52" i="35" s="1"/>
  <c r="T59" i="35" s="1"/>
  <c r="U46" i="35"/>
  <c r="V46" i="35"/>
  <c r="V48" i="35" s="1"/>
  <c r="V52" i="35" s="1"/>
  <c r="V59" i="35" s="1"/>
  <c r="W46" i="35"/>
  <c r="W48" i="35" s="1"/>
  <c r="W52" i="35" s="1"/>
  <c r="W59" i="35" s="1"/>
  <c r="X46" i="35"/>
  <c r="X48" i="35" s="1"/>
  <c r="X52" i="35" s="1"/>
  <c r="X59" i="35" s="1"/>
  <c r="Y46" i="35"/>
  <c r="Y48" i="35" s="1"/>
  <c r="Y52" i="35" s="1"/>
  <c r="Y59" i="35" s="1"/>
  <c r="Z46" i="35"/>
  <c r="Z48" i="35" s="1"/>
  <c r="Z52" i="35" s="1"/>
  <c r="Z59" i="35" s="1"/>
  <c r="I46" i="35"/>
  <c r="J46" i="35"/>
  <c r="A45" i="35"/>
  <c r="AH44" i="35"/>
  <c r="AI44" i="35"/>
  <c r="AH45" i="35"/>
  <c r="AE44" i="35"/>
  <c r="AE45" i="35"/>
  <c r="I44" i="35"/>
  <c r="AA44" i="35" s="1"/>
  <c r="J44" i="35"/>
  <c r="K44" i="35"/>
  <c r="L44" i="35"/>
  <c r="M44" i="35"/>
  <c r="N44" i="35"/>
  <c r="I45" i="35"/>
  <c r="AA45" i="35" s="1"/>
  <c r="AF45" i="35" s="1"/>
  <c r="J45" i="35"/>
  <c r="L45" i="35"/>
  <c r="M45" i="35"/>
  <c r="N45" i="35"/>
  <c r="N43" i="35"/>
  <c r="I43" i="35"/>
  <c r="J43" i="35"/>
  <c r="AH38" i="35"/>
  <c r="AH39" i="35"/>
  <c r="AH40" i="35"/>
  <c r="AH41" i="35"/>
  <c r="AE38" i="35"/>
  <c r="AE39" i="35"/>
  <c r="AE40" i="35"/>
  <c r="AE41" i="35"/>
  <c r="AA41" i="35"/>
  <c r="AI41" i="35" s="1"/>
  <c r="I38" i="35"/>
  <c r="K38" i="35" s="1"/>
  <c r="J38" i="35"/>
  <c r="L38" i="35"/>
  <c r="M38" i="35"/>
  <c r="N38" i="35"/>
  <c r="I39" i="35"/>
  <c r="AA39" i="35" s="1"/>
  <c r="J39" i="35"/>
  <c r="K39" i="35"/>
  <c r="L39" i="35"/>
  <c r="M39" i="35"/>
  <c r="N39" i="35"/>
  <c r="I40" i="35"/>
  <c r="AA40" i="35" s="1"/>
  <c r="J40" i="35"/>
  <c r="L40" i="35"/>
  <c r="M40" i="35"/>
  <c r="N40" i="35"/>
  <c r="I41" i="35"/>
  <c r="K41" i="35" s="1"/>
  <c r="J41" i="35"/>
  <c r="L41" i="35"/>
  <c r="M41" i="35"/>
  <c r="N41" i="35"/>
  <c r="N34" i="35"/>
  <c r="N35" i="35"/>
  <c r="N36" i="35"/>
  <c r="N37" i="35"/>
  <c r="I36" i="35"/>
  <c r="J36" i="35"/>
  <c r="I37" i="35"/>
  <c r="J37" i="35"/>
  <c r="AH34" i="35"/>
  <c r="AH35" i="35"/>
  <c r="AE34" i="35"/>
  <c r="AE35" i="35"/>
  <c r="I34" i="35"/>
  <c r="AA34" i="35" s="1"/>
  <c r="J34" i="35"/>
  <c r="L34" i="35"/>
  <c r="M34" i="35"/>
  <c r="I35" i="35"/>
  <c r="AA35" i="35" s="1"/>
  <c r="J35" i="35"/>
  <c r="L35" i="35"/>
  <c r="M35" i="35"/>
  <c r="AG32" i="35"/>
  <c r="AL32" i="35" s="1"/>
  <c r="AD32" i="35"/>
  <c r="AK32" i="35" s="1"/>
  <c r="O32" i="35"/>
  <c r="P32" i="35"/>
  <c r="Q32" i="35"/>
  <c r="R32" i="35"/>
  <c r="S32" i="35"/>
  <c r="T32" i="35"/>
  <c r="U32" i="35"/>
  <c r="V32" i="35"/>
  <c r="W32" i="35"/>
  <c r="X32" i="35"/>
  <c r="Y32" i="35"/>
  <c r="Z32" i="35"/>
  <c r="AJ32" i="35" s="1"/>
  <c r="AJ31" i="35"/>
  <c r="AK31" i="35"/>
  <c r="AM31" i="35" s="1"/>
  <c r="AL31" i="35"/>
  <c r="AN31" i="35" s="1"/>
  <c r="AG31" i="35"/>
  <c r="AD31" i="35"/>
  <c r="O31" i="35"/>
  <c r="P31" i="35"/>
  <c r="Q31" i="35"/>
  <c r="R31" i="35"/>
  <c r="S31" i="35"/>
  <c r="T31" i="35"/>
  <c r="U31" i="35"/>
  <c r="V31" i="35"/>
  <c r="W31" i="35"/>
  <c r="X31" i="35"/>
  <c r="Y31" i="35"/>
  <c r="Z31" i="35"/>
  <c r="AA31" i="35"/>
  <c r="N26" i="35"/>
  <c r="N27" i="35"/>
  <c r="N28" i="35"/>
  <c r="N29" i="35"/>
  <c r="B22" i="35"/>
  <c r="B23" i="35"/>
  <c r="AG16" i="35"/>
  <c r="AG19" i="35"/>
  <c r="AG20" i="35"/>
  <c r="AL45" i="35" s="1"/>
  <c r="AD19" i="35"/>
  <c r="AD20" i="35"/>
  <c r="AK56" i="35" s="1"/>
  <c r="N19" i="35"/>
  <c r="O19" i="35"/>
  <c r="P19" i="35"/>
  <c r="Q19" i="35"/>
  <c r="R19" i="35"/>
  <c r="S19" i="35"/>
  <c r="T19" i="35"/>
  <c r="U19" i="35"/>
  <c r="V19" i="35"/>
  <c r="W19" i="35"/>
  <c r="X19" i="35"/>
  <c r="Y19" i="35"/>
  <c r="Z19" i="35"/>
  <c r="N20" i="35"/>
  <c r="O20" i="35"/>
  <c r="P20" i="35"/>
  <c r="AA20" i="35" s="1"/>
  <c r="AJ45" i="35" s="1"/>
  <c r="Q20" i="35"/>
  <c r="R20" i="35"/>
  <c r="S20" i="35"/>
  <c r="T20" i="35"/>
  <c r="U20" i="35"/>
  <c r="V20" i="35"/>
  <c r="W20" i="35"/>
  <c r="X20" i="35"/>
  <c r="Y20" i="35"/>
  <c r="Z20" i="35"/>
  <c r="B17" i="35"/>
  <c r="B18" i="35"/>
  <c r="B19" i="35"/>
  <c r="O17" i="35"/>
  <c r="P17" i="35"/>
  <c r="Q17" i="35"/>
  <c r="R17" i="35"/>
  <c r="S17" i="35"/>
  <c r="T17" i="35"/>
  <c r="U17" i="35"/>
  <c r="V17" i="35"/>
  <c r="W17" i="35"/>
  <c r="X17" i="35"/>
  <c r="Y17" i="35"/>
  <c r="Z17" i="35"/>
  <c r="O16" i="35"/>
  <c r="P16" i="35"/>
  <c r="Q16" i="35"/>
  <c r="R16" i="35"/>
  <c r="S16" i="35"/>
  <c r="T16" i="35"/>
  <c r="U16" i="35"/>
  <c r="V16" i="35"/>
  <c r="W16" i="35"/>
  <c r="X16" i="35"/>
  <c r="Y16" i="35"/>
  <c r="A14" i="35"/>
  <c r="AG12" i="35"/>
  <c r="AG13" i="35"/>
  <c r="AD12" i="35"/>
  <c r="AD13" i="35"/>
  <c r="B12" i="35"/>
  <c r="B13" i="35"/>
  <c r="O12" i="35"/>
  <c r="P12" i="35"/>
  <c r="Q12" i="35"/>
  <c r="R12" i="35"/>
  <c r="S12" i="35"/>
  <c r="T12" i="35"/>
  <c r="U12" i="35"/>
  <c r="V12" i="35"/>
  <c r="W12" i="35"/>
  <c r="X12" i="35"/>
  <c r="Y12" i="35"/>
  <c r="Z12" i="35"/>
  <c r="AA12" i="35"/>
  <c r="O13" i="35"/>
  <c r="P13" i="35"/>
  <c r="Q13" i="35"/>
  <c r="R13" i="35"/>
  <c r="S13" i="35"/>
  <c r="T13" i="35"/>
  <c r="U13" i="35"/>
  <c r="V13" i="35"/>
  <c r="W13" i="35"/>
  <c r="X13" i="35"/>
  <c r="Y13" i="35"/>
  <c r="Z13" i="35"/>
  <c r="AA13" i="35"/>
  <c r="C10" i="35"/>
  <c r="D10" i="35"/>
  <c r="C9" i="35"/>
  <c r="C1" i="35"/>
  <c r="C2" i="35"/>
  <c r="C3" i="35"/>
  <c r="C4" i="35"/>
  <c r="C5" i="35"/>
  <c r="C6" i="35"/>
  <c r="C7" i="35"/>
  <c r="C8" i="35"/>
  <c r="E6" i="35"/>
  <c r="E4" i="35"/>
  <c r="B3" i="35"/>
  <c r="B67" i="34"/>
  <c r="AG63" i="34"/>
  <c r="AD63" i="34"/>
  <c r="O63" i="34"/>
  <c r="P63" i="34"/>
  <c r="Q63" i="34"/>
  <c r="R63" i="34"/>
  <c r="S63" i="34"/>
  <c r="T63" i="34"/>
  <c r="U63" i="34"/>
  <c r="V63" i="34"/>
  <c r="W63" i="34"/>
  <c r="X63" i="34"/>
  <c r="Y63" i="34"/>
  <c r="Z63" i="34"/>
  <c r="I63" i="34"/>
  <c r="J63" i="34"/>
  <c r="B61" i="34"/>
  <c r="B62" i="34"/>
  <c r="B63" i="34"/>
  <c r="AD58" i="34"/>
  <c r="AG58" i="34"/>
  <c r="AH58" i="34" s="1"/>
  <c r="O58" i="34"/>
  <c r="P58" i="34"/>
  <c r="Q58" i="34"/>
  <c r="R58" i="34"/>
  <c r="S58" i="34"/>
  <c r="T58" i="34"/>
  <c r="U58" i="34"/>
  <c r="V58" i="34"/>
  <c r="W58" i="34"/>
  <c r="X58" i="34"/>
  <c r="Y58" i="34"/>
  <c r="Z58" i="34"/>
  <c r="A58" i="34"/>
  <c r="N56" i="34"/>
  <c r="N57" i="34"/>
  <c r="AH56" i="34"/>
  <c r="AH57" i="34"/>
  <c r="AE56" i="34"/>
  <c r="AE57" i="34"/>
  <c r="AA57" i="34"/>
  <c r="I56" i="34"/>
  <c r="AA56" i="34" s="1"/>
  <c r="J56" i="34"/>
  <c r="I57" i="34"/>
  <c r="J57" i="34"/>
  <c r="B54" i="34"/>
  <c r="AD51" i="34"/>
  <c r="AE51" i="34" s="1"/>
  <c r="AG51" i="34"/>
  <c r="AH51" i="34" s="1"/>
  <c r="O51" i="34"/>
  <c r="P51" i="34"/>
  <c r="Q51" i="34"/>
  <c r="R51" i="34"/>
  <c r="S51" i="34"/>
  <c r="T51" i="34"/>
  <c r="U51" i="34"/>
  <c r="V51" i="34"/>
  <c r="W51" i="34"/>
  <c r="X51" i="34"/>
  <c r="Y51" i="34"/>
  <c r="Z51" i="34"/>
  <c r="I50" i="34"/>
  <c r="J50" i="34"/>
  <c r="B48" i="34"/>
  <c r="B49" i="34"/>
  <c r="B50" i="34"/>
  <c r="AH49" i="34"/>
  <c r="AH50" i="34"/>
  <c r="AE49" i="34"/>
  <c r="AE50" i="34"/>
  <c r="AA50" i="34"/>
  <c r="AB50" i="34" s="1"/>
  <c r="L49" i="34"/>
  <c r="M49" i="34"/>
  <c r="N49" i="34"/>
  <c r="L50" i="34"/>
  <c r="M50" i="34"/>
  <c r="N50" i="34"/>
  <c r="I49" i="34"/>
  <c r="J49" i="34"/>
  <c r="N46" i="34"/>
  <c r="P46" i="34"/>
  <c r="P53" i="34" s="1"/>
  <c r="P60" i="34" s="1"/>
  <c r="X46" i="34"/>
  <c r="X53" i="34" s="1"/>
  <c r="X60" i="34" s="1"/>
  <c r="Y46" i="34"/>
  <c r="Z46" i="34"/>
  <c r="Z53" i="34" s="1"/>
  <c r="Z60" i="34" s="1"/>
  <c r="I46" i="34"/>
  <c r="J46" i="34"/>
  <c r="A45" i="34"/>
  <c r="AD44" i="34"/>
  <c r="AE44" i="34"/>
  <c r="AG44" i="34"/>
  <c r="AH44" i="34" s="1"/>
  <c r="N44" i="34"/>
  <c r="O44" i="34"/>
  <c r="O46" i="34" s="1"/>
  <c r="P44" i="34"/>
  <c r="Q44" i="34"/>
  <c r="Q46" i="34" s="1"/>
  <c r="Q53" i="34" s="1"/>
  <c r="Q60" i="34" s="1"/>
  <c r="R44" i="34"/>
  <c r="R46" i="34" s="1"/>
  <c r="R53" i="34" s="1"/>
  <c r="R60" i="34" s="1"/>
  <c r="S44" i="34"/>
  <c r="S46" i="34" s="1"/>
  <c r="S53" i="34" s="1"/>
  <c r="S60" i="34" s="1"/>
  <c r="T44" i="34"/>
  <c r="T46" i="34" s="1"/>
  <c r="T53" i="34" s="1"/>
  <c r="T60" i="34" s="1"/>
  <c r="U44" i="34"/>
  <c r="U46" i="34" s="1"/>
  <c r="U53" i="34" s="1"/>
  <c r="U60" i="34" s="1"/>
  <c r="V44" i="34"/>
  <c r="V46" i="34" s="1"/>
  <c r="W44" i="34"/>
  <c r="W46" i="34" s="1"/>
  <c r="X44" i="34"/>
  <c r="Y44" i="34"/>
  <c r="Z44" i="34"/>
  <c r="I44" i="34"/>
  <c r="AA44" i="34" s="1"/>
  <c r="AB44" i="34" s="1"/>
  <c r="AN44" i="34" s="1"/>
  <c r="J44" i="34"/>
  <c r="AH42" i="34"/>
  <c r="AH43" i="34"/>
  <c r="AE42" i="34"/>
  <c r="AE43" i="34"/>
  <c r="I42" i="34"/>
  <c r="K42" i="34" s="1"/>
  <c r="J42" i="34"/>
  <c r="L42" i="34"/>
  <c r="M42" i="34"/>
  <c r="N42" i="34"/>
  <c r="I43" i="34"/>
  <c r="K43" i="34" s="1"/>
  <c r="J43" i="34"/>
  <c r="L43" i="34"/>
  <c r="M43" i="34"/>
  <c r="N43" i="34"/>
  <c r="N41" i="34"/>
  <c r="I41" i="34"/>
  <c r="J41" i="34"/>
  <c r="AH35" i="34"/>
  <c r="AH36" i="34"/>
  <c r="AH37" i="34"/>
  <c r="AH38" i="34"/>
  <c r="AK38" i="34"/>
  <c r="AH39" i="34"/>
  <c r="AE35" i="34"/>
  <c r="AE36" i="34"/>
  <c r="AE37" i="34"/>
  <c r="AE38" i="34"/>
  <c r="AE39" i="34"/>
  <c r="I35" i="34"/>
  <c r="J35" i="34"/>
  <c r="L35" i="34"/>
  <c r="M35" i="34"/>
  <c r="N35" i="34"/>
  <c r="I36" i="34"/>
  <c r="AA36" i="34" s="1"/>
  <c r="AB36" i="34" s="1"/>
  <c r="J36" i="34"/>
  <c r="K36" i="34"/>
  <c r="L36" i="34"/>
  <c r="M36" i="34"/>
  <c r="N36" i="34"/>
  <c r="I37" i="34"/>
  <c r="K37" i="34" s="1"/>
  <c r="J37" i="34"/>
  <c r="L37" i="34"/>
  <c r="M37" i="34"/>
  <c r="N37" i="34"/>
  <c r="I38" i="34"/>
  <c r="AA38" i="34" s="1"/>
  <c r="J38" i="34"/>
  <c r="L38" i="34"/>
  <c r="M38" i="34"/>
  <c r="N38" i="34"/>
  <c r="I39" i="34"/>
  <c r="J39" i="34"/>
  <c r="L39" i="34"/>
  <c r="M39" i="34"/>
  <c r="N39" i="34"/>
  <c r="N33" i="34"/>
  <c r="N34" i="34"/>
  <c r="I33" i="34"/>
  <c r="J33" i="34"/>
  <c r="I34" i="34"/>
  <c r="J34" i="34"/>
  <c r="AG32" i="34"/>
  <c r="AL32" i="34" s="1"/>
  <c r="AD32" i="34"/>
  <c r="AK32" i="34" s="1"/>
  <c r="O32" i="34"/>
  <c r="P32" i="34"/>
  <c r="Q32" i="34"/>
  <c r="R32" i="34"/>
  <c r="S32" i="34"/>
  <c r="T32" i="34"/>
  <c r="U32" i="34"/>
  <c r="V32" i="34"/>
  <c r="W32" i="34"/>
  <c r="X32" i="34"/>
  <c r="Y32" i="34"/>
  <c r="Z32" i="34"/>
  <c r="AJ32" i="34" s="1"/>
  <c r="AJ31" i="34"/>
  <c r="AK31" i="34"/>
  <c r="AM31" i="34" s="1"/>
  <c r="AL31" i="34"/>
  <c r="AN31" i="34"/>
  <c r="AG31" i="34"/>
  <c r="AD31" i="34"/>
  <c r="O31" i="34"/>
  <c r="P31" i="34"/>
  <c r="Q31" i="34"/>
  <c r="R31" i="34"/>
  <c r="S31" i="34"/>
  <c r="T31" i="34"/>
  <c r="U31" i="34"/>
  <c r="V31" i="34"/>
  <c r="W31" i="34"/>
  <c r="X31" i="34"/>
  <c r="Y31" i="34"/>
  <c r="Z31" i="34"/>
  <c r="AA31" i="34"/>
  <c r="N26" i="34"/>
  <c r="N27" i="34"/>
  <c r="N28" i="34"/>
  <c r="N29" i="34"/>
  <c r="B22" i="34"/>
  <c r="B23" i="34"/>
  <c r="AG16" i="34"/>
  <c r="AG19" i="34"/>
  <c r="AG20" i="34"/>
  <c r="AL57" i="34" s="1"/>
  <c r="AD19" i="34"/>
  <c r="AD20" i="34"/>
  <c r="N19" i="34"/>
  <c r="O19" i="34"/>
  <c r="P19" i="34"/>
  <c r="Q19" i="34"/>
  <c r="R19" i="34"/>
  <c r="S19" i="34"/>
  <c r="T19" i="34"/>
  <c r="U19" i="34"/>
  <c r="V19" i="34"/>
  <c r="W19" i="34"/>
  <c r="X19" i="34"/>
  <c r="Y19" i="34"/>
  <c r="Z19" i="34"/>
  <c r="N20" i="34"/>
  <c r="O20" i="34"/>
  <c r="P20" i="34"/>
  <c r="Q20" i="34"/>
  <c r="R20" i="34"/>
  <c r="S20" i="34"/>
  <c r="T20" i="34"/>
  <c r="U20" i="34"/>
  <c r="V20" i="34"/>
  <c r="W20" i="34"/>
  <c r="X20" i="34"/>
  <c r="Y20" i="34"/>
  <c r="Z20" i="34"/>
  <c r="B17" i="34"/>
  <c r="B18" i="34"/>
  <c r="B19" i="34"/>
  <c r="O17" i="34"/>
  <c r="P17" i="34"/>
  <c r="Q17" i="34"/>
  <c r="R17" i="34"/>
  <c r="S17" i="34"/>
  <c r="T17" i="34"/>
  <c r="U17" i="34"/>
  <c r="V17" i="34"/>
  <c r="W17" i="34"/>
  <c r="X17" i="34"/>
  <c r="Y17" i="34"/>
  <c r="Z17" i="34"/>
  <c r="O16" i="34"/>
  <c r="P16" i="34"/>
  <c r="Q16" i="34"/>
  <c r="R16" i="34"/>
  <c r="S16" i="34"/>
  <c r="T16" i="34"/>
  <c r="U16" i="34"/>
  <c r="V16" i="34"/>
  <c r="W16" i="34"/>
  <c r="X16" i="34"/>
  <c r="Y16" i="34"/>
  <c r="AA16" i="34"/>
  <c r="A14" i="34"/>
  <c r="AG12" i="34"/>
  <c r="AG13" i="34"/>
  <c r="AD12" i="34"/>
  <c r="AD13" i="34"/>
  <c r="B12" i="34"/>
  <c r="Z16" i="34" s="1"/>
  <c r="B13" i="34"/>
  <c r="O12" i="34"/>
  <c r="P12" i="34"/>
  <c r="Q12" i="34"/>
  <c r="R12" i="34"/>
  <c r="S12" i="34"/>
  <c r="T12" i="34"/>
  <c r="U12" i="34"/>
  <c r="V12" i="34"/>
  <c r="W12" i="34"/>
  <c r="X12" i="34"/>
  <c r="Y12" i="34"/>
  <c r="Z12" i="34"/>
  <c r="AA12" i="34"/>
  <c r="O13" i="34"/>
  <c r="P13" i="34"/>
  <c r="Q13" i="34"/>
  <c r="R13" i="34"/>
  <c r="S13" i="34"/>
  <c r="T13" i="34"/>
  <c r="U13" i="34"/>
  <c r="V13" i="34"/>
  <c r="W13" i="34"/>
  <c r="X13" i="34"/>
  <c r="Y13" i="34"/>
  <c r="Z13" i="34"/>
  <c r="AA13" i="34"/>
  <c r="C10" i="34"/>
  <c r="D10" i="34"/>
  <c r="C9" i="34"/>
  <c r="C1" i="34"/>
  <c r="C2" i="34"/>
  <c r="C3" i="34"/>
  <c r="C4" i="34"/>
  <c r="C5" i="34"/>
  <c r="C6" i="34"/>
  <c r="C7" i="34"/>
  <c r="C8" i="34"/>
  <c r="E6" i="34"/>
  <c r="E4" i="34"/>
  <c r="B3" i="34"/>
  <c r="N65" i="33"/>
  <c r="I65" i="33"/>
  <c r="J65" i="33"/>
  <c r="N33" i="33"/>
  <c r="N34" i="33"/>
  <c r="N35" i="33"/>
  <c r="N36" i="33"/>
  <c r="N37" i="33"/>
  <c r="N38" i="33"/>
  <c r="N39" i="33"/>
  <c r="N40" i="33"/>
  <c r="N41" i="33"/>
  <c r="N42" i="33"/>
  <c r="N43" i="33"/>
  <c r="N44" i="33"/>
  <c r="N45" i="33"/>
  <c r="N46" i="33"/>
  <c r="N47" i="33"/>
  <c r="N48" i="33"/>
  <c r="N49" i="33"/>
  <c r="N50" i="33"/>
  <c r="N51" i="33"/>
  <c r="N52" i="33"/>
  <c r="N53" i="33"/>
  <c r="N54" i="33"/>
  <c r="N55" i="33"/>
  <c r="N56" i="33"/>
  <c r="N57" i="33"/>
  <c r="N58" i="33"/>
  <c r="N59" i="33"/>
  <c r="N60" i="33"/>
  <c r="N61" i="33"/>
  <c r="N62" i="33"/>
  <c r="AH34" i="33"/>
  <c r="AH35" i="33"/>
  <c r="AH36" i="33"/>
  <c r="AH37" i="33"/>
  <c r="AH38" i="33"/>
  <c r="AH39" i="33"/>
  <c r="AH42" i="33"/>
  <c r="AH45" i="33"/>
  <c r="AH46" i="33"/>
  <c r="AH48" i="33"/>
  <c r="AH49" i="33"/>
  <c r="AH55" i="33"/>
  <c r="AH56" i="33"/>
  <c r="AH57" i="33"/>
  <c r="AH58" i="33"/>
  <c r="AH60" i="33"/>
  <c r="AH61" i="33"/>
  <c r="AE35" i="33"/>
  <c r="AE36" i="33"/>
  <c r="AE38" i="33"/>
  <c r="AE39" i="33"/>
  <c r="AE42" i="33"/>
  <c r="AE45" i="33"/>
  <c r="AE46" i="33"/>
  <c r="AE48" i="33"/>
  <c r="AE49" i="33"/>
  <c r="AE55" i="33"/>
  <c r="AE56" i="33"/>
  <c r="AE57" i="33"/>
  <c r="AE58" i="33"/>
  <c r="AE59" i="33"/>
  <c r="AE60" i="33"/>
  <c r="AE61" i="33"/>
  <c r="AE62" i="33"/>
  <c r="AA36" i="33"/>
  <c r="AI36" i="33" s="1"/>
  <c r="AA51" i="33"/>
  <c r="AF51" i="33" s="1"/>
  <c r="AA52" i="33"/>
  <c r="AI52" i="33" s="1"/>
  <c r="I34" i="33"/>
  <c r="AA34" i="33" s="1"/>
  <c r="J34" i="33"/>
  <c r="L34" i="33"/>
  <c r="M34" i="33"/>
  <c r="I35" i="33"/>
  <c r="AA35" i="33" s="1"/>
  <c r="J35" i="33"/>
  <c r="L35" i="33"/>
  <c r="M35" i="33"/>
  <c r="I36" i="33"/>
  <c r="K36" i="33" s="1"/>
  <c r="J36" i="33"/>
  <c r="L36" i="33"/>
  <c r="M36" i="33"/>
  <c r="I37" i="33"/>
  <c r="AA37" i="33" s="1"/>
  <c r="AF37" i="33" s="1"/>
  <c r="J37" i="33"/>
  <c r="K37" i="33"/>
  <c r="L37" i="33"/>
  <c r="M37" i="33"/>
  <c r="I38" i="33"/>
  <c r="AA38" i="33" s="1"/>
  <c r="J38" i="33"/>
  <c r="L38" i="33"/>
  <c r="M38" i="33"/>
  <c r="I39" i="33"/>
  <c r="AA39" i="33" s="1"/>
  <c r="J39" i="33"/>
  <c r="L39" i="33"/>
  <c r="M39" i="33"/>
  <c r="I40" i="33"/>
  <c r="AA40" i="33" s="1"/>
  <c r="J40" i="33"/>
  <c r="L40" i="33"/>
  <c r="M40" i="33"/>
  <c r="I41" i="33"/>
  <c r="J41" i="33"/>
  <c r="L41" i="33"/>
  <c r="M41" i="33"/>
  <c r="I42" i="33"/>
  <c r="AA42" i="33" s="1"/>
  <c r="AI42" i="33" s="1"/>
  <c r="J42" i="33"/>
  <c r="L42" i="33"/>
  <c r="M42" i="33"/>
  <c r="I43" i="33"/>
  <c r="AA43" i="33" s="1"/>
  <c r="J43" i="33"/>
  <c r="K43" i="33"/>
  <c r="L43" i="33"/>
  <c r="M43" i="33"/>
  <c r="I44" i="33"/>
  <c r="K44" i="33" s="1"/>
  <c r="J44" i="33"/>
  <c r="L44" i="33"/>
  <c r="M44" i="33"/>
  <c r="I45" i="33"/>
  <c r="AA45" i="33" s="1"/>
  <c r="AF45" i="33" s="1"/>
  <c r="J45" i="33"/>
  <c r="K45" i="33"/>
  <c r="L45" i="33"/>
  <c r="M45" i="33"/>
  <c r="I46" i="33"/>
  <c r="AA46" i="33" s="1"/>
  <c r="J46" i="33"/>
  <c r="L46" i="33"/>
  <c r="M46" i="33"/>
  <c r="I47" i="33"/>
  <c r="AA47" i="33" s="1"/>
  <c r="J47" i="33"/>
  <c r="L47" i="33"/>
  <c r="M47" i="33"/>
  <c r="I48" i="33"/>
  <c r="AA48" i="33" s="1"/>
  <c r="AF48" i="33" s="1"/>
  <c r="J48" i="33"/>
  <c r="K48" i="33"/>
  <c r="L48" i="33"/>
  <c r="M48" i="33"/>
  <c r="I49" i="33"/>
  <c r="J49" i="33"/>
  <c r="L49" i="33"/>
  <c r="M49" i="33"/>
  <c r="I50" i="33"/>
  <c r="AA50" i="33" s="1"/>
  <c r="J50" i="33"/>
  <c r="K50" i="33"/>
  <c r="L50" i="33"/>
  <c r="M50" i="33"/>
  <c r="I51" i="33"/>
  <c r="K51" i="33" s="1"/>
  <c r="J51" i="33"/>
  <c r="L51" i="33"/>
  <c r="M51" i="33"/>
  <c r="I52" i="33"/>
  <c r="K52" i="33" s="1"/>
  <c r="J52" i="33"/>
  <c r="L52" i="33"/>
  <c r="M52" i="33"/>
  <c r="I53" i="33"/>
  <c r="AA53" i="33" s="1"/>
  <c r="AF53" i="33" s="1"/>
  <c r="J53" i="33"/>
  <c r="L53" i="33"/>
  <c r="M53" i="33"/>
  <c r="I54" i="33"/>
  <c r="AA54" i="33" s="1"/>
  <c r="J54" i="33"/>
  <c r="L54" i="33"/>
  <c r="M54" i="33"/>
  <c r="I55" i="33"/>
  <c r="AA55" i="33" s="1"/>
  <c r="J55" i="33"/>
  <c r="L55" i="33"/>
  <c r="M55" i="33"/>
  <c r="I56" i="33"/>
  <c r="AA56" i="33" s="1"/>
  <c r="J56" i="33"/>
  <c r="L56" i="33"/>
  <c r="M56" i="33"/>
  <c r="I57" i="33"/>
  <c r="J57" i="33"/>
  <c r="L57" i="33"/>
  <c r="M57" i="33"/>
  <c r="I58" i="33"/>
  <c r="AA58" i="33" s="1"/>
  <c r="J58" i="33"/>
  <c r="K58" i="33"/>
  <c r="L58" i="33"/>
  <c r="M58" i="33"/>
  <c r="I59" i="33"/>
  <c r="AA59" i="33" s="1"/>
  <c r="J59" i="33"/>
  <c r="K59" i="33"/>
  <c r="L59" i="33"/>
  <c r="M59" i="33"/>
  <c r="I60" i="33"/>
  <c r="K60" i="33" s="1"/>
  <c r="J60" i="33"/>
  <c r="L60" i="33"/>
  <c r="M60" i="33"/>
  <c r="I61" i="33"/>
  <c r="AA61" i="33" s="1"/>
  <c r="J61" i="33"/>
  <c r="L61" i="33"/>
  <c r="M61" i="33"/>
  <c r="I62" i="33"/>
  <c r="AA62" i="33" s="1"/>
  <c r="J62" i="33"/>
  <c r="L62" i="33"/>
  <c r="M62" i="33"/>
  <c r="I33" i="33"/>
  <c r="J33" i="33"/>
  <c r="AG32" i="33"/>
  <c r="AL32" i="33" s="1"/>
  <c r="AD32" i="33"/>
  <c r="AK32" i="33" s="1"/>
  <c r="O32" i="33"/>
  <c r="P32" i="33"/>
  <c r="Q32" i="33"/>
  <c r="R32" i="33"/>
  <c r="S32" i="33"/>
  <c r="T32" i="33"/>
  <c r="U32" i="33"/>
  <c r="V32" i="33"/>
  <c r="W32" i="33"/>
  <c r="X32" i="33"/>
  <c r="Y32" i="33"/>
  <c r="Z32" i="33"/>
  <c r="AJ32" i="33" s="1"/>
  <c r="AJ31" i="33"/>
  <c r="AK31" i="33"/>
  <c r="AL31" i="33"/>
  <c r="AM31" i="33"/>
  <c r="AN31" i="33"/>
  <c r="AG31" i="33"/>
  <c r="AD31" i="33"/>
  <c r="O31" i="33"/>
  <c r="P31" i="33"/>
  <c r="Q31" i="33"/>
  <c r="R31" i="33"/>
  <c r="S31" i="33"/>
  <c r="T31" i="33"/>
  <c r="U31" i="33"/>
  <c r="V31" i="33"/>
  <c r="W31" i="33"/>
  <c r="X31" i="33"/>
  <c r="Y31" i="33"/>
  <c r="Z31" i="33"/>
  <c r="AA31" i="33"/>
  <c r="N26" i="33"/>
  <c r="N27" i="33"/>
  <c r="N28" i="33"/>
  <c r="N29" i="33"/>
  <c r="B22" i="33"/>
  <c r="B23" i="33"/>
  <c r="AG16" i="33"/>
  <c r="AG19" i="33"/>
  <c r="AH50" i="33" s="1"/>
  <c r="AG20" i="33"/>
  <c r="AG63" i="33" s="1"/>
  <c r="AG21" i="33"/>
  <c r="AL52" i="33" s="1"/>
  <c r="AD19" i="33"/>
  <c r="AE37" i="33" s="1"/>
  <c r="AD20" i="33"/>
  <c r="AD63" i="33" s="1"/>
  <c r="AD65" i="33" s="1"/>
  <c r="AD21" i="33"/>
  <c r="AK37" i="33" s="1"/>
  <c r="I20" i="33"/>
  <c r="J20" i="33"/>
  <c r="N19" i="33"/>
  <c r="O19" i="33"/>
  <c r="P19" i="33"/>
  <c r="Q19" i="33"/>
  <c r="R19" i="33"/>
  <c r="S19" i="33"/>
  <c r="T19" i="33"/>
  <c r="U19" i="33"/>
  <c r="V19" i="33"/>
  <c r="W19" i="33"/>
  <c r="X19" i="33"/>
  <c r="Y19" i="33"/>
  <c r="Z19" i="33"/>
  <c r="N20" i="33"/>
  <c r="N63" i="33" s="1"/>
  <c r="O20" i="33"/>
  <c r="O63" i="33" s="1"/>
  <c r="P20" i="33"/>
  <c r="P63" i="33" s="1"/>
  <c r="Q20" i="33"/>
  <c r="Q63" i="33" s="1"/>
  <c r="R20" i="33"/>
  <c r="R63" i="33" s="1"/>
  <c r="S20" i="33"/>
  <c r="S63" i="33" s="1"/>
  <c r="T20" i="33"/>
  <c r="T63" i="33" s="1"/>
  <c r="U20" i="33"/>
  <c r="U63" i="33" s="1"/>
  <c r="U65" i="33" s="1"/>
  <c r="V20" i="33"/>
  <c r="V63" i="33" s="1"/>
  <c r="V65" i="33" s="1"/>
  <c r="W20" i="33"/>
  <c r="W63" i="33" s="1"/>
  <c r="X20" i="33"/>
  <c r="X63" i="33" s="1"/>
  <c r="Y20" i="33"/>
  <c r="Y63" i="33" s="1"/>
  <c r="Z20" i="33"/>
  <c r="Z63" i="33" s="1"/>
  <c r="N21" i="33"/>
  <c r="O21" i="33"/>
  <c r="P21" i="33"/>
  <c r="Q21" i="33"/>
  <c r="R21" i="33"/>
  <c r="S21" i="33"/>
  <c r="T21" i="33"/>
  <c r="U21" i="33"/>
  <c r="V21" i="33"/>
  <c r="W21" i="33"/>
  <c r="X21" i="33"/>
  <c r="Y21" i="33"/>
  <c r="Z21" i="33"/>
  <c r="B17" i="33"/>
  <c r="B18" i="33"/>
  <c r="B19" i="33"/>
  <c r="O17" i="33"/>
  <c r="P17" i="33"/>
  <c r="Q17" i="33"/>
  <c r="R17" i="33"/>
  <c r="S17" i="33"/>
  <c r="T17" i="33"/>
  <c r="U17" i="33"/>
  <c r="V17" i="33"/>
  <c r="W17" i="33"/>
  <c r="X17" i="33"/>
  <c r="Y17" i="33"/>
  <c r="Z17" i="33"/>
  <c r="O16" i="33"/>
  <c r="P16" i="33"/>
  <c r="Q16" i="33"/>
  <c r="R16" i="33"/>
  <c r="S16" i="33"/>
  <c r="T16" i="33"/>
  <c r="U16" i="33"/>
  <c r="V16" i="33"/>
  <c r="W16" i="33"/>
  <c r="X16" i="33"/>
  <c r="Y16" i="33"/>
  <c r="A14" i="33"/>
  <c r="AG12" i="33"/>
  <c r="AG13" i="33"/>
  <c r="AD12" i="33"/>
  <c r="AD13" i="33"/>
  <c r="B12" i="33"/>
  <c r="B13" i="33"/>
  <c r="O12" i="33"/>
  <c r="P12" i="33"/>
  <c r="Q12" i="33"/>
  <c r="R12" i="33"/>
  <c r="S12" i="33"/>
  <c r="T12" i="33"/>
  <c r="U12" i="33"/>
  <c r="V12" i="33"/>
  <c r="W12" i="33"/>
  <c r="X12" i="33"/>
  <c r="Y12" i="33"/>
  <c r="Z12" i="33"/>
  <c r="AA12" i="33"/>
  <c r="O13" i="33"/>
  <c r="P13" i="33"/>
  <c r="Q13" i="33"/>
  <c r="R13" i="33"/>
  <c r="S13" i="33"/>
  <c r="T13" i="33"/>
  <c r="U13" i="33"/>
  <c r="V13" i="33"/>
  <c r="W13" i="33"/>
  <c r="X13" i="33"/>
  <c r="Y13" i="33"/>
  <c r="Z13" i="33"/>
  <c r="AA13" i="33"/>
  <c r="C10" i="33"/>
  <c r="D10" i="33"/>
  <c r="Z16" i="33" s="1"/>
  <c r="C9" i="33"/>
  <c r="C1" i="33"/>
  <c r="C2" i="33"/>
  <c r="C3" i="33"/>
  <c r="C4" i="33"/>
  <c r="C5" i="33"/>
  <c r="C6" i="33"/>
  <c r="C7" i="33"/>
  <c r="C8" i="33"/>
  <c r="E6" i="33"/>
  <c r="E4" i="33"/>
  <c r="B3" i="33"/>
  <c r="AG38" i="32"/>
  <c r="AD38" i="32"/>
  <c r="O38" i="32"/>
  <c r="P38" i="32"/>
  <c r="Q38" i="32"/>
  <c r="R38" i="32"/>
  <c r="S38" i="32"/>
  <c r="T38" i="32"/>
  <c r="U38" i="32"/>
  <c r="V38" i="32"/>
  <c r="W38" i="32"/>
  <c r="X38" i="32"/>
  <c r="Y38" i="32"/>
  <c r="Z38" i="32"/>
  <c r="AD36" i="32"/>
  <c r="AG36" i="32"/>
  <c r="AL36" i="32" s="1"/>
  <c r="N36" i="32"/>
  <c r="N38" i="32" s="1"/>
  <c r="O36" i="32"/>
  <c r="P36" i="32"/>
  <c r="Q36" i="32"/>
  <c r="R36" i="32"/>
  <c r="S36" i="32"/>
  <c r="T36" i="32"/>
  <c r="U36" i="32"/>
  <c r="V36" i="32"/>
  <c r="W36" i="32"/>
  <c r="X36" i="32"/>
  <c r="Y36" i="32"/>
  <c r="Z36" i="32"/>
  <c r="I36" i="32"/>
  <c r="J36" i="32"/>
  <c r="AH35" i="32"/>
  <c r="AE35" i="32"/>
  <c r="I34" i="32"/>
  <c r="AA34" i="32" s="1"/>
  <c r="AF34" i="32" s="1"/>
  <c r="J34" i="32"/>
  <c r="L34" i="32"/>
  <c r="M34" i="32"/>
  <c r="N34" i="32"/>
  <c r="I35" i="32"/>
  <c r="AA35" i="32" s="1"/>
  <c r="J35" i="32"/>
  <c r="K35" i="32"/>
  <c r="L35" i="32"/>
  <c r="M35" i="32"/>
  <c r="N35" i="32"/>
  <c r="N33" i="32"/>
  <c r="I33" i="32"/>
  <c r="J33" i="32"/>
  <c r="AG32" i="32"/>
  <c r="AL32" i="32" s="1"/>
  <c r="AD32" i="32"/>
  <c r="AK32" i="32" s="1"/>
  <c r="O32" i="32"/>
  <c r="P32" i="32"/>
  <c r="Q32" i="32"/>
  <c r="R32" i="32"/>
  <c r="S32" i="32"/>
  <c r="T32" i="32"/>
  <c r="U32" i="32"/>
  <c r="V32" i="32"/>
  <c r="W32" i="32"/>
  <c r="X32" i="32"/>
  <c r="Y32" i="32"/>
  <c r="Z32" i="32"/>
  <c r="AJ32" i="32" s="1"/>
  <c r="AJ31" i="32"/>
  <c r="AK31" i="32"/>
  <c r="AM31" i="32" s="1"/>
  <c r="AL31" i="32"/>
  <c r="AN31" i="32"/>
  <c r="AG31" i="32"/>
  <c r="AD31" i="32"/>
  <c r="O31" i="32"/>
  <c r="P31" i="32"/>
  <c r="Q31" i="32"/>
  <c r="R31" i="32"/>
  <c r="S31" i="32"/>
  <c r="T31" i="32"/>
  <c r="U31" i="32"/>
  <c r="V31" i="32"/>
  <c r="W31" i="32"/>
  <c r="X31" i="32"/>
  <c r="Y31" i="32"/>
  <c r="Z31" i="32"/>
  <c r="AA31" i="32"/>
  <c r="N26" i="32"/>
  <c r="N27" i="32"/>
  <c r="N28" i="32"/>
  <c r="N29" i="32"/>
  <c r="B23" i="32"/>
  <c r="AG16" i="32"/>
  <c r="AG19" i="32"/>
  <c r="AH34" i="32" s="1"/>
  <c r="AG20" i="32"/>
  <c r="AL34" i="32" s="1"/>
  <c r="AD19" i="32"/>
  <c r="AE34" i="32" s="1"/>
  <c r="AD20" i="32"/>
  <c r="AK35" i="32" s="1"/>
  <c r="N19" i="32"/>
  <c r="O19" i="32"/>
  <c r="P19" i="32"/>
  <c r="Q19" i="32"/>
  <c r="R19" i="32"/>
  <c r="S19" i="32"/>
  <c r="T19" i="32"/>
  <c r="U19" i="32"/>
  <c r="V19" i="32"/>
  <c r="W19" i="32"/>
  <c r="X19" i="32"/>
  <c r="Y19" i="32"/>
  <c r="Z19" i="32"/>
  <c r="N20" i="32"/>
  <c r="O20" i="32"/>
  <c r="P20" i="32"/>
  <c r="Q20" i="32"/>
  <c r="R20" i="32"/>
  <c r="S20" i="32"/>
  <c r="T20" i="32"/>
  <c r="U20" i="32"/>
  <c r="V20" i="32"/>
  <c r="W20" i="32"/>
  <c r="X20" i="32"/>
  <c r="Y20" i="32"/>
  <c r="Z20" i="32"/>
  <c r="B17" i="32"/>
  <c r="B18" i="32"/>
  <c r="B19" i="32"/>
  <c r="O17" i="32"/>
  <c r="P17" i="32"/>
  <c r="Q17" i="32"/>
  <c r="R17" i="32"/>
  <c r="S17" i="32"/>
  <c r="T17" i="32"/>
  <c r="U17" i="32"/>
  <c r="V17" i="32"/>
  <c r="W17" i="32"/>
  <c r="X17" i="32"/>
  <c r="Y17" i="32"/>
  <c r="Z17" i="32"/>
  <c r="O16" i="32"/>
  <c r="P16" i="32"/>
  <c r="Q16" i="32"/>
  <c r="R16" i="32"/>
  <c r="S16" i="32"/>
  <c r="T16" i="32"/>
  <c r="U16" i="32"/>
  <c r="V16" i="32"/>
  <c r="W16" i="32"/>
  <c r="X16" i="32"/>
  <c r="Y16" i="32"/>
  <c r="A14" i="32"/>
  <c r="AG12" i="32"/>
  <c r="AG13" i="32"/>
  <c r="AD12" i="32"/>
  <c r="AD13" i="32"/>
  <c r="B12" i="32"/>
  <c r="B13" i="32"/>
  <c r="O12" i="32"/>
  <c r="P12" i="32"/>
  <c r="Q12" i="32"/>
  <c r="R12" i="32"/>
  <c r="S12" i="32"/>
  <c r="T12" i="32"/>
  <c r="U12" i="32"/>
  <c r="V12" i="32"/>
  <c r="W12" i="32"/>
  <c r="X12" i="32"/>
  <c r="Y12" i="32"/>
  <c r="Z12" i="32"/>
  <c r="AA12" i="32"/>
  <c r="O13" i="32"/>
  <c r="P13" i="32"/>
  <c r="Q13" i="32"/>
  <c r="R13" i="32"/>
  <c r="S13" i="32"/>
  <c r="T13" i="32"/>
  <c r="U13" i="32"/>
  <c r="V13" i="32"/>
  <c r="W13" i="32"/>
  <c r="X13" i="32"/>
  <c r="Y13" i="32"/>
  <c r="Z13" i="32"/>
  <c r="AA13" i="32"/>
  <c r="C10" i="32"/>
  <c r="D10" i="32"/>
  <c r="Z16" i="32" s="1"/>
  <c r="C9" i="32"/>
  <c r="C1" i="32"/>
  <c r="C2" i="32"/>
  <c r="C3" i="32"/>
  <c r="C4" i="32"/>
  <c r="C5" i="32"/>
  <c r="C6" i="32"/>
  <c r="C7" i="32"/>
  <c r="C8" i="32"/>
  <c r="E6" i="32"/>
  <c r="E4" i="32"/>
  <c r="B3" i="32"/>
  <c r="AG39" i="31"/>
  <c r="AD39" i="31"/>
  <c r="O39" i="31"/>
  <c r="AA39" i="31" s="1"/>
  <c r="P39" i="31"/>
  <c r="Q39" i="31"/>
  <c r="R39" i="31"/>
  <c r="S39" i="31"/>
  <c r="T39" i="31"/>
  <c r="U39" i="31"/>
  <c r="V39" i="31"/>
  <c r="W39" i="31"/>
  <c r="X39" i="31"/>
  <c r="Y39" i="31"/>
  <c r="Z39" i="31"/>
  <c r="AD37" i="31"/>
  <c r="AG37" i="31"/>
  <c r="N37" i="31"/>
  <c r="N39" i="31" s="1"/>
  <c r="O37" i="31"/>
  <c r="P37" i="31"/>
  <c r="Q37" i="31"/>
  <c r="R37" i="31"/>
  <c r="S37" i="31"/>
  <c r="T37" i="31"/>
  <c r="U37" i="31"/>
  <c r="V37" i="31"/>
  <c r="W37" i="31"/>
  <c r="X37" i="31"/>
  <c r="Y37" i="31"/>
  <c r="Z37" i="31"/>
  <c r="I37" i="31"/>
  <c r="J37" i="31"/>
  <c r="I34" i="31"/>
  <c r="K34" i="31" s="1"/>
  <c r="J34" i="31"/>
  <c r="L34" i="31"/>
  <c r="M34" i="31"/>
  <c r="N34" i="31"/>
  <c r="I35" i="31"/>
  <c r="AA35" i="31" s="1"/>
  <c r="J35" i="31"/>
  <c r="K35" i="31"/>
  <c r="L35" i="31"/>
  <c r="M35" i="31"/>
  <c r="N35" i="31"/>
  <c r="I36" i="31"/>
  <c r="AA36" i="31" s="1"/>
  <c r="J36" i="31"/>
  <c r="K36" i="31"/>
  <c r="L36" i="31"/>
  <c r="M36" i="31"/>
  <c r="N36" i="31"/>
  <c r="N33" i="31"/>
  <c r="I33" i="31"/>
  <c r="J33" i="31"/>
  <c r="AG32" i="31"/>
  <c r="AL32" i="31" s="1"/>
  <c r="AD32" i="31"/>
  <c r="AK32" i="31" s="1"/>
  <c r="O32" i="31"/>
  <c r="P32" i="31"/>
  <c r="Q32" i="31"/>
  <c r="R32" i="31"/>
  <c r="S32" i="31"/>
  <c r="T32" i="31"/>
  <c r="U32" i="31"/>
  <c r="V32" i="31"/>
  <c r="W32" i="31"/>
  <c r="X32" i="31"/>
  <c r="Y32" i="31"/>
  <c r="Z32" i="31"/>
  <c r="AJ32" i="31" s="1"/>
  <c r="AJ31" i="31"/>
  <c r="AK31" i="31"/>
  <c r="AM31" i="31" s="1"/>
  <c r="AL31" i="31"/>
  <c r="AN31" i="31" s="1"/>
  <c r="AG31" i="31"/>
  <c r="AD31" i="31"/>
  <c r="O31" i="31"/>
  <c r="P31" i="31"/>
  <c r="Q31" i="31"/>
  <c r="R31" i="31"/>
  <c r="S31" i="31"/>
  <c r="T31" i="31"/>
  <c r="U31" i="31"/>
  <c r="V31" i="31"/>
  <c r="W31" i="31"/>
  <c r="X31" i="31"/>
  <c r="Y31" i="31"/>
  <c r="Z31" i="31"/>
  <c r="AA31" i="31"/>
  <c r="N26" i="31"/>
  <c r="N27" i="31"/>
  <c r="N28" i="31"/>
  <c r="N29" i="31"/>
  <c r="B23" i="31"/>
  <c r="AG16" i="31"/>
  <c r="AG19" i="31"/>
  <c r="AH36" i="31" s="1"/>
  <c r="AG20" i="31"/>
  <c r="AL34" i="31" s="1"/>
  <c r="AD19" i="31"/>
  <c r="AE34" i="31" s="1"/>
  <c r="AD20" i="31"/>
  <c r="AK36" i="31" s="1"/>
  <c r="N19" i="31"/>
  <c r="O19" i="31"/>
  <c r="P19" i="31"/>
  <c r="Q19" i="31"/>
  <c r="R19" i="31"/>
  <c r="S19" i="31"/>
  <c r="T19" i="31"/>
  <c r="U19" i="31"/>
  <c r="V19" i="31"/>
  <c r="W19" i="31"/>
  <c r="X19" i="31"/>
  <c r="Y19" i="31"/>
  <c r="Z19" i="31"/>
  <c r="N20" i="31"/>
  <c r="O20" i="31"/>
  <c r="P20" i="31"/>
  <c r="Q20" i="31"/>
  <c r="R20" i="31"/>
  <c r="S20" i="31"/>
  <c r="T20" i="31"/>
  <c r="U20" i="31"/>
  <c r="V20" i="31"/>
  <c r="W20" i="31"/>
  <c r="X20" i="31"/>
  <c r="Y20" i="31"/>
  <c r="Z20" i="31"/>
  <c r="B17" i="31"/>
  <c r="B18" i="31"/>
  <c r="B19" i="31"/>
  <c r="O17" i="31"/>
  <c r="P17" i="31"/>
  <c r="Q17" i="31"/>
  <c r="R17" i="31"/>
  <c r="S17" i="31"/>
  <c r="T17" i="31"/>
  <c r="U17" i="31"/>
  <c r="V17" i="31"/>
  <c r="W17" i="31"/>
  <c r="X17" i="31"/>
  <c r="Y17" i="31"/>
  <c r="Z17" i="31"/>
  <c r="O16" i="31"/>
  <c r="P16" i="31"/>
  <c r="Q16" i="31"/>
  <c r="R16" i="31"/>
  <c r="S16" i="31"/>
  <c r="T16" i="31"/>
  <c r="U16" i="31"/>
  <c r="V16" i="31"/>
  <c r="W16" i="31"/>
  <c r="X16" i="31"/>
  <c r="Y16" i="31"/>
  <c r="AA16" i="31"/>
  <c r="A14" i="31"/>
  <c r="AG12" i="31"/>
  <c r="AG13" i="31"/>
  <c r="AD12" i="31"/>
  <c r="AD13" i="31"/>
  <c r="B12" i="31"/>
  <c r="B13" i="31"/>
  <c r="O12" i="31"/>
  <c r="P12" i="31"/>
  <c r="Q12" i="31"/>
  <c r="R12" i="31"/>
  <c r="S12" i="31"/>
  <c r="T12" i="31"/>
  <c r="U12" i="31"/>
  <c r="V12" i="31"/>
  <c r="W12" i="31"/>
  <c r="X12" i="31"/>
  <c r="Y12" i="31"/>
  <c r="Z12" i="31"/>
  <c r="AA12" i="31"/>
  <c r="O13" i="31"/>
  <c r="P13" i="31"/>
  <c r="Q13" i="31"/>
  <c r="R13" i="31"/>
  <c r="S13" i="31"/>
  <c r="T13" i="31"/>
  <c r="U13" i="31"/>
  <c r="V13" i="31"/>
  <c r="W13" i="31"/>
  <c r="X13" i="31"/>
  <c r="Y13" i="31"/>
  <c r="Z13" i="31"/>
  <c r="AA13" i="31"/>
  <c r="C10" i="31"/>
  <c r="D10" i="31"/>
  <c r="Z16" i="31" s="1"/>
  <c r="C9" i="31"/>
  <c r="C1" i="31"/>
  <c r="C2" i="31"/>
  <c r="C3" i="31"/>
  <c r="C4" i="31"/>
  <c r="C5" i="31"/>
  <c r="C6" i="31"/>
  <c r="C7" i="31"/>
  <c r="C8" i="31"/>
  <c r="E6" i="31"/>
  <c r="E4" i="31"/>
  <c r="B3" i="31"/>
  <c r="AG78" i="30"/>
  <c r="AG79" i="30"/>
  <c r="AD78" i="30"/>
  <c r="AD79" i="30"/>
  <c r="O78" i="30"/>
  <c r="P78" i="30"/>
  <c r="Q78" i="30"/>
  <c r="R78" i="30"/>
  <c r="S78" i="30"/>
  <c r="T78" i="30"/>
  <c r="U78" i="30"/>
  <c r="V78" i="30"/>
  <c r="W78" i="30"/>
  <c r="X78" i="30"/>
  <c r="Y78" i="30"/>
  <c r="Z78" i="30"/>
  <c r="O79" i="30"/>
  <c r="P79" i="30"/>
  <c r="Q79" i="30"/>
  <c r="R79" i="30"/>
  <c r="S79" i="30"/>
  <c r="T79" i="30"/>
  <c r="U79" i="30"/>
  <c r="V79" i="30"/>
  <c r="W79" i="30"/>
  <c r="X79" i="30"/>
  <c r="Y79" i="30"/>
  <c r="Z79" i="30"/>
  <c r="N75" i="30"/>
  <c r="N78" i="30" s="1"/>
  <c r="N76" i="30"/>
  <c r="N79" i="30" s="1"/>
  <c r="AA76" i="30"/>
  <c r="AI76" i="30" s="1"/>
  <c r="I75" i="30"/>
  <c r="AA75" i="30" s="1"/>
  <c r="AI75" i="30" s="1"/>
  <c r="J75" i="30"/>
  <c r="I76" i="30"/>
  <c r="J76" i="30"/>
  <c r="N48" i="30"/>
  <c r="N49" i="30"/>
  <c r="N50" i="30"/>
  <c r="N51" i="30"/>
  <c r="N52" i="30"/>
  <c r="N53" i="30"/>
  <c r="N54" i="30"/>
  <c r="N55" i="30"/>
  <c r="N56" i="30"/>
  <c r="N57" i="30"/>
  <c r="N58" i="30"/>
  <c r="N59" i="30"/>
  <c r="N60" i="30"/>
  <c r="N61" i="30"/>
  <c r="N62" i="30"/>
  <c r="N63" i="30"/>
  <c r="N64" i="30"/>
  <c r="N65" i="30"/>
  <c r="N66" i="30"/>
  <c r="N67" i="30"/>
  <c r="N68" i="30"/>
  <c r="N69" i="30"/>
  <c r="N70" i="30"/>
  <c r="N71" i="30"/>
  <c r="N72" i="30"/>
  <c r="N73" i="30"/>
  <c r="I73" i="30"/>
  <c r="AA73" i="30" s="1"/>
  <c r="J73" i="30"/>
  <c r="B54" i="30"/>
  <c r="B48" i="30"/>
  <c r="B49" i="30"/>
  <c r="B50" i="30"/>
  <c r="AH54" i="30"/>
  <c r="AH55" i="30"/>
  <c r="AH58" i="30"/>
  <c r="AK61" i="30"/>
  <c r="AH65" i="30"/>
  <c r="AK67" i="30"/>
  <c r="AK73" i="30"/>
  <c r="AE49" i="30"/>
  <c r="AE53" i="30"/>
  <c r="AE54" i="30"/>
  <c r="AE58" i="30"/>
  <c r="AA49" i="30"/>
  <c r="AA64" i="30"/>
  <c r="I49" i="30"/>
  <c r="K49" i="30" s="1"/>
  <c r="J49" i="30"/>
  <c r="L49" i="30"/>
  <c r="M49" i="30"/>
  <c r="I50" i="30"/>
  <c r="AA50" i="30" s="1"/>
  <c r="J50" i="30"/>
  <c r="L50" i="30"/>
  <c r="M50" i="30"/>
  <c r="I51" i="30"/>
  <c r="AA51" i="30" s="1"/>
  <c r="J51" i="30"/>
  <c r="L51" i="30"/>
  <c r="M51" i="30"/>
  <c r="I52" i="30"/>
  <c r="J52" i="30"/>
  <c r="L52" i="30"/>
  <c r="M52" i="30"/>
  <c r="I53" i="30"/>
  <c r="AA53" i="30" s="1"/>
  <c r="J53" i="30"/>
  <c r="K53" i="30"/>
  <c r="L53" i="30"/>
  <c r="M53" i="30"/>
  <c r="I54" i="30"/>
  <c r="K54" i="30" s="1"/>
  <c r="J54" i="30"/>
  <c r="L54" i="30"/>
  <c r="M54" i="30"/>
  <c r="I55" i="30"/>
  <c r="AA55" i="30" s="1"/>
  <c r="AF55" i="30" s="1"/>
  <c r="J55" i="30"/>
  <c r="L55" i="30"/>
  <c r="M55" i="30"/>
  <c r="I56" i="30"/>
  <c r="AA56" i="30" s="1"/>
  <c r="AF56" i="30" s="1"/>
  <c r="J56" i="30"/>
  <c r="K56" i="30"/>
  <c r="L56" i="30"/>
  <c r="M56" i="30"/>
  <c r="I57" i="30"/>
  <c r="K57" i="30" s="1"/>
  <c r="J57" i="30"/>
  <c r="L57" i="30"/>
  <c r="M57" i="30"/>
  <c r="I58" i="30"/>
  <c r="K58" i="30" s="1"/>
  <c r="J58" i="30"/>
  <c r="L58" i="30"/>
  <c r="M58" i="30"/>
  <c r="I59" i="30"/>
  <c r="AA59" i="30" s="1"/>
  <c r="AF59" i="30" s="1"/>
  <c r="J59" i="30"/>
  <c r="L59" i="30"/>
  <c r="M59" i="30"/>
  <c r="I60" i="30"/>
  <c r="K60" i="30" s="1"/>
  <c r="J60" i="30"/>
  <c r="L60" i="30"/>
  <c r="M60" i="30"/>
  <c r="I61" i="30"/>
  <c r="K61" i="30" s="1"/>
  <c r="J61" i="30"/>
  <c r="L61" i="30"/>
  <c r="M61" i="30"/>
  <c r="I62" i="30"/>
  <c r="K62" i="30" s="1"/>
  <c r="J62" i="30"/>
  <c r="L62" i="30"/>
  <c r="M62" i="30"/>
  <c r="I63" i="30"/>
  <c r="AA63" i="30" s="1"/>
  <c r="J63" i="30"/>
  <c r="L63" i="30"/>
  <c r="M63" i="30"/>
  <c r="I64" i="30"/>
  <c r="K64" i="30" s="1"/>
  <c r="J64" i="30"/>
  <c r="L64" i="30"/>
  <c r="M64" i="30"/>
  <c r="I65" i="30"/>
  <c r="K65" i="30" s="1"/>
  <c r="J65" i="30"/>
  <c r="L65" i="30"/>
  <c r="M65" i="30"/>
  <c r="I66" i="30"/>
  <c r="AA66" i="30" s="1"/>
  <c r="J66" i="30"/>
  <c r="K66" i="30"/>
  <c r="L66" i="30"/>
  <c r="M66" i="30"/>
  <c r="I67" i="30"/>
  <c r="AA67" i="30" s="1"/>
  <c r="AI67" i="30" s="1"/>
  <c r="J67" i="30"/>
  <c r="K67" i="30"/>
  <c r="L67" i="30"/>
  <c r="M67" i="30"/>
  <c r="I68" i="30"/>
  <c r="K68" i="30" s="1"/>
  <c r="J68" i="30"/>
  <c r="L68" i="30"/>
  <c r="M68" i="30"/>
  <c r="I69" i="30"/>
  <c r="AA69" i="30" s="1"/>
  <c r="J69" i="30"/>
  <c r="L69" i="30"/>
  <c r="M69" i="30"/>
  <c r="I70" i="30"/>
  <c r="J70" i="30"/>
  <c r="L70" i="30"/>
  <c r="M70" i="30"/>
  <c r="I71" i="30"/>
  <c r="AA71" i="30" s="1"/>
  <c r="J71" i="30"/>
  <c r="L71" i="30"/>
  <c r="M71" i="30"/>
  <c r="I72" i="30"/>
  <c r="AA72" i="30" s="1"/>
  <c r="J72" i="30"/>
  <c r="L72" i="30"/>
  <c r="M72" i="30"/>
  <c r="I48" i="30"/>
  <c r="J48" i="30"/>
  <c r="A45" i="30"/>
  <c r="AH36" i="30"/>
  <c r="AH37" i="30"/>
  <c r="AK37" i="30"/>
  <c r="AH42" i="30"/>
  <c r="AE36" i="30"/>
  <c r="AE37" i="30"/>
  <c r="AA46" i="30"/>
  <c r="AF46" i="30" s="1"/>
  <c r="I35" i="30"/>
  <c r="AA35" i="30" s="1"/>
  <c r="J35" i="30"/>
  <c r="L35" i="30"/>
  <c r="M35" i="30"/>
  <c r="N35" i="30"/>
  <c r="I36" i="30"/>
  <c r="K36" i="30" s="1"/>
  <c r="J36" i="30"/>
  <c r="L36" i="30"/>
  <c r="M36" i="30"/>
  <c r="N36" i="30"/>
  <c r="I37" i="30"/>
  <c r="AA37" i="30" s="1"/>
  <c r="J37" i="30"/>
  <c r="L37" i="30"/>
  <c r="M37" i="30"/>
  <c r="N37" i="30"/>
  <c r="I38" i="30"/>
  <c r="AA38" i="30" s="1"/>
  <c r="J38" i="30"/>
  <c r="K38" i="30"/>
  <c r="L38" i="30"/>
  <c r="M38" i="30"/>
  <c r="N38" i="30"/>
  <c r="I39" i="30"/>
  <c r="AA39" i="30" s="1"/>
  <c r="J39" i="30"/>
  <c r="L39" i="30"/>
  <c r="M39" i="30"/>
  <c r="N39" i="30"/>
  <c r="I40" i="30"/>
  <c r="K40" i="30" s="1"/>
  <c r="J40" i="30"/>
  <c r="L40" i="30"/>
  <c r="M40" i="30"/>
  <c r="N40" i="30"/>
  <c r="I41" i="30"/>
  <c r="AA41" i="30" s="1"/>
  <c r="J41" i="30"/>
  <c r="K41" i="30"/>
  <c r="L41" i="30"/>
  <c r="M41" i="30"/>
  <c r="N41" i="30"/>
  <c r="I42" i="30"/>
  <c r="AA42" i="30" s="1"/>
  <c r="AI42" i="30" s="1"/>
  <c r="J42" i="30"/>
  <c r="L42" i="30"/>
  <c r="M42" i="30"/>
  <c r="N42" i="30"/>
  <c r="I43" i="30"/>
  <c r="AA43" i="30" s="1"/>
  <c r="J43" i="30"/>
  <c r="L43" i="30"/>
  <c r="M43" i="30"/>
  <c r="N43" i="30"/>
  <c r="I44" i="30"/>
  <c r="K44" i="30" s="1"/>
  <c r="J44" i="30"/>
  <c r="L44" i="30"/>
  <c r="M44" i="30"/>
  <c r="N44" i="30"/>
  <c r="I45" i="30"/>
  <c r="AA45" i="30" s="1"/>
  <c r="J45" i="30"/>
  <c r="L45" i="30"/>
  <c r="M45" i="30"/>
  <c r="N45" i="30"/>
  <c r="I46" i="30"/>
  <c r="J46" i="30"/>
  <c r="K46" i="30"/>
  <c r="L46" i="30"/>
  <c r="M46" i="30"/>
  <c r="N46" i="30"/>
  <c r="N33" i="30"/>
  <c r="N34" i="30"/>
  <c r="I33" i="30"/>
  <c r="J33" i="30"/>
  <c r="I34" i="30"/>
  <c r="J34" i="30"/>
  <c r="AL32" i="30"/>
  <c r="AG32" i="30"/>
  <c r="AD32" i="30"/>
  <c r="AK32" i="30" s="1"/>
  <c r="O32" i="30"/>
  <c r="P32" i="30"/>
  <c r="Q32" i="30"/>
  <c r="R32" i="30"/>
  <c r="S32" i="30"/>
  <c r="T32" i="30"/>
  <c r="U32" i="30"/>
  <c r="V32" i="30"/>
  <c r="W32" i="30"/>
  <c r="X32" i="30"/>
  <c r="Y32" i="30"/>
  <c r="Z32" i="30"/>
  <c r="AJ32" i="30" s="1"/>
  <c r="AJ31" i="30"/>
  <c r="AK31" i="30"/>
  <c r="AM31" i="30" s="1"/>
  <c r="AL31" i="30"/>
  <c r="AN31" i="30"/>
  <c r="AG31" i="30"/>
  <c r="AD31" i="30"/>
  <c r="O31" i="30"/>
  <c r="P31" i="30"/>
  <c r="Q31" i="30"/>
  <c r="R31" i="30"/>
  <c r="S31" i="30"/>
  <c r="T31" i="30"/>
  <c r="U31" i="30"/>
  <c r="V31" i="30"/>
  <c r="W31" i="30"/>
  <c r="X31" i="30"/>
  <c r="Y31" i="30"/>
  <c r="Z31" i="30"/>
  <c r="AA31" i="30"/>
  <c r="N26" i="30"/>
  <c r="N27" i="30"/>
  <c r="N28" i="30"/>
  <c r="N29" i="30"/>
  <c r="B22" i="30"/>
  <c r="B23" i="30"/>
  <c r="AG16" i="30"/>
  <c r="AG19" i="30"/>
  <c r="AH66" i="30" s="1"/>
  <c r="AG20" i="30"/>
  <c r="AD19" i="30"/>
  <c r="AE40" i="30" s="1"/>
  <c r="AD20" i="30"/>
  <c r="AK75" i="30" s="1"/>
  <c r="N19" i="30"/>
  <c r="O19" i="30"/>
  <c r="P19" i="30"/>
  <c r="Q19" i="30"/>
  <c r="R19" i="30"/>
  <c r="S19" i="30"/>
  <c r="T19" i="30"/>
  <c r="U19" i="30"/>
  <c r="V19" i="30"/>
  <c r="W19" i="30"/>
  <c r="X19" i="30"/>
  <c r="Y19" i="30"/>
  <c r="Z19" i="30"/>
  <c r="N20" i="30"/>
  <c r="O20" i="30"/>
  <c r="P20" i="30"/>
  <c r="Q20" i="30"/>
  <c r="R20" i="30"/>
  <c r="S20" i="30"/>
  <c r="T20" i="30"/>
  <c r="U20" i="30"/>
  <c r="V20" i="30"/>
  <c r="W20" i="30"/>
  <c r="X20" i="30"/>
  <c r="Y20" i="30"/>
  <c r="Z20" i="30"/>
  <c r="AA20" i="30"/>
  <c r="AJ56" i="30" s="1"/>
  <c r="B17" i="30"/>
  <c r="B18" i="30"/>
  <c r="B19" i="30"/>
  <c r="O17" i="30"/>
  <c r="P17" i="30"/>
  <c r="Q17" i="30"/>
  <c r="R17" i="30"/>
  <c r="S17" i="30"/>
  <c r="T17" i="30"/>
  <c r="U17" i="30"/>
  <c r="V17" i="30"/>
  <c r="W17" i="30"/>
  <c r="X17" i="30"/>
  <c r="Y17" i="30"/>
  <c r="Z17" i="30"/>
  <c r="O16" i="30"/>
  <c r="P16" i="30"/>
  <c r="Q16" i="30"/>
  <c r="R16" i="30"/>
  <c r="S16" i="30"/>
  <c r="T16" i="30"/>
  <c r="U16" i="30"/>
  <c r="V16" i="30"/>
  <c r="W16" i="30"/>
  <c r="X16" i="30"/>
  <c r="Y16" i="30"/>
  <c r="A14" i="30"/>
  <c r="AG12" i="30"/>
  <c r="AG13" i="30"/>
  <c r="AD12" i="30"/>
  <c r="AD13" i="30"/>
  <c r="B12" i="30"/>
  <c r="B13" i="30"/>
  <c r="O12" i="30"/>
  <c r="P12" i="30"/>
  <c r="Q12" i="30"/>
  <c r="R12" i="30"/>
  <c r="S12" i="30"/>
  <c r="T12" i="30"/>
  <c r="U12" i="30"/>
  <c r="V12" i="30"/>
  <c r="W12" i="30"/>
  <c r="X12" i="30"/>
  <c r="Y12" i="30"/>
  <c r="Z12" i="30"/>
  <c r="AA12" i="30"/>
  <c r="O13" i="30"/>
  <c r="P13" i="30"/>
  <c r="Q13" i="30"/>
  <c r="R13" i="30"/>
  <c r="S13" i="30"/>
  <c r="T13" i="30"/>
  <c r="U13" i="30"/>
  <c r="V13" i="30"/>
  <c r="W13" i="30"/>
  <c r="X13" i="30"/>
  <c r="Y13" i="30"/>
  <c r="Z13" i="30"/>
  <c r="AA13" i="30"/>
  <c r="C10" i="30"/>
  <c r="D10" i="30"/>
  <c r="C9" i="30"/>
  <c r="C1" i="30"/>
  <c r="C2" i="30"/>
  <c r="C3" i="30"/>
  <c r="C4" i="30"/>
  <c r="C5" i="30"/>
  <c r="C6" i="30"/>
  <c r="C7" i="30"/>
  <c r="C8" i="30"/>
  <c r="E6" i="30"/>
  <c r="E4" i="30"/>
  <c r="B3" i="30"/>
  <c r="AG78" i="29"/>
  <c r="AG79" i="29"/>
  <c r="AD78" i="29"/>
  <c r="AD79" i="29"/>
  <c r="O78" i="29"/>
  <c r="P78" i="29"/>
  <c r="Q78" i="29"/>
  <c r="R78" i="29"/>
  <c r="S78" i="29"/>
  <c r="T78" i="29"/>
  <c r="U78" i="29"/>
  <c r="V78" i="29"/>
  <c r="W78" i="29"/>
  <c r="X78" i="29"/>
  <c r="Y78" i="29"/>
  <c r="Z78" i="29"/>
  <c r="O79" i="29"/>
  <c r="P79" i="29"/>
  <c r="Q79" i="29"/>
  <c r="R79" i="29"/>
  <c r="S79" i="29"/>
  <c r="T79" i="29"/>
  <c r="U79" i="29"/>
  <c r="V79" i="29"/>
  <c r="W79" i="29"/>
  <c r="X79" i="29"/>
  <c r="Y79" i="29"/>
  <c r="Z79" i="29"/>
  <c r="N75" i="29"/>
  <c r="N78" i="29" s="1"/>
  <c r="N76" i="29"/>
  <c r="N79" i="29" s="1"/>
  <c r="AL76" i="29"/>
  <c r="I75" i="29"/>
  <c r="AA75" i="29" s="1"/>
  <c r="J75" i="29"/>
  <c r="I76" i="29"/>
  <c r="AA76" i="29" s="1"/>
  <c r="AI76" i="29" s="1"/>
  <c r="J76" i="29"/>
  <c r="N49" i="29"/>
  <c r="N50" i="29"/>
  <c r="N51" i="29"/>
  <c r="N52" i="29"/>
  <c r="N53" i="29"/>
  <c r="N54" i="29"/>
  <c r="N55" i="29"/>
  <c r="N56" i="29"/>
  <c r="N57" i="29"/>
  <c r="N58" i="29"/>
  <c r="N59" i="29"/>
  <c r="N60" i="29"/>
  <c r="N61" i="29"/>
  <c r="N62" i="29"/>
  <c r="N63" i="29"/>
  <c r="N64" i="29"/>
  <c r="N65" i="29"/>
  <c r="N66" i="29"/>
  <c r="N67" i="29"/>
  <c r="N68" i="29"/>
  <c r="N69" i="29"/>
  <c r="N70" i="29"/>
  <c r="N71" i="29"/>
  <c r="N72" i="29"/>
  <c r="N73" i="29"/>
  <c r="I73" i="29"/>
  <c r="J73" i="29"/>
  <c r="B54" i="29"/>
  <c r="AH64" i="29"/>
  <c r="AH68" i="29"/>
  <c r="AE52" i="29"/>
  <c r="AE59" i="29"/>
  <c r="AE60" i="29"/>
  <c r="AE64" i="29"/>
  <c r="AA63" i="29"/>
  <c r="AI63" i="29" s="1"/>
  <c r="AA73" i="29"/>
  <c r="AI73" i="29" s="1"/>
  <c r="I50" i="29"/>
  <c r="AA50" i="29" s="1"/>
  <c r="J50" i="29"/>
  <c r="L50" i="29"/>
  <c r="M50" i="29"/>
  <c r="I51" i="29"/>
  <c r="K51" i="29" s="1"/>
  <c r="J51" i="29"/>
  <c r="L51" i="29"/>
  <c r="M51" i="29"/>
  <c r="I52" i="29"/>
  <c r="J52" i="29"/>
  <c r="L52" i="29"/>
  <c r="M52" i="29"/>
  <c r="I53" i="29"/>
  <c r="J53" i="29"/>
  <c r="L53" i="29"/>
  <c r="M53" i="29"/>
  <c r="I54" i="29"/>
  <c r="AA54" i="29" s="1"/>
  <c r="J54" i="29"/>
  <c r="L54" i="29"/>
  <c r="M54" i="29"/>
  <c r="I55" i="29"/>
  <c r="AA55" i="29" s="1"/>
  <c r="J55" i="29"/>
  <c r="K55" i="29"/>
  <c r="L55" i="29"/>
  <c r="M55" i="29"/>
  <c r="I56" i="29"/>
  <c r="AA56" i="29" s="1"/>
  <c r="J56" i="29"/>
  <c r="L56" i="29"/>
  <c r="M56" i="29"/>
  <c r="I57" i="29"/>
  <c r="AA57" i="29" s="1"/>
  <c r="J57" i="29"/>
  <c r="K57" i="29"/>
  <c r="L57" i="29"/>
  <c r="M57" i="29"/>
  <c r="I58" i="29"/>
  <c r="AA58" i="29" s="1"/>
  <c r="J58" i="29"/>
  <c r="L58" i="29"/>
  <c r="M58" i="29"/>
  <c r="I59" i="29"/>
  <c r="AA59" i="29" s="1"/>
  <c r="J59" i="29"/>
  <c r="L59" i="29"/>
  <c r="M59" i="29"/>
  <c r="I60" i="29"/>
  <c r="J60" i="29"/>
  <c r="L60" i="29"/>
  <c r="M60" i="29"/>
  <c r="I61" i="29"/>
  <c r="K61" i="29" s="1"/>
  <c r="J61" i="29"/>
  <c r="L61" i="29"/>
  <c r="M61" i="29"/>
  <c r="I62" i="29"/>
  <c r="J62" i="29"/>
  <c r="L62" i="29"/>
  <c r="M62" i="29"/>
  <c r="I63" i="29"/>
  <c r="J63" i="29"/>
  <c r="K63" i="29"/>
  <c r="L63" i="29"/>
  <c r="M63" i="29"/>
  <c r="I64" i="29"/>
  <c r="AA64" i="29" s="1"/>
  <c r="AF64" i="29" s="1"/>
  <c r="J64" i="29"/>
  <c r="L64" i="29"/>
  <c r="M64" i="29"/>
  <c r="I65" i="29"/>
  <c r="AA65" i="29" s="1"/>
  <c r="J65" i="29"/>
  <c r="K65" i="29"/>
  <c r="L65" i="29"/>
  <c r="M65" i="29"/>
  <c r="I66" i="29"/>
  <c r="K66" i="29" s="1"/>
  <c r="J66" i="29"/>
  <c r="L66" i="29"/>
  <c r="M66" i="29"/>
  <c r="I67" i="29"/>
  <c r="AA67" i="29" s="1"/>
  <c r="J67" i="29"/>
  <c r="L67" i="29"/>
  <c r="M67" i="29"/>
  <c r="I68" i="29"/>
  <c r="J68" i="29"/>
  <c r="L68" i="29"/>
  <c r="M68" i="29"/>
  <c r="I69" i="29"/>
  <c r="AA69" i="29" s="1"/>
  <c r="J69" i="29"/>
  <c r="L69" i="29"/>
  <c r="M69" i="29"/>
  <c r="I70" i="29"/>
  <c r="AA70" i="29" s="1"/>
  <c r="J70" i="29"/>
  <c r="L70" i="29"/>
  <c r="M70" i="29"/>
  <c r="I71" i="29"/>
  <c r="J71" i="29"/>
  <c r="L71" i="29"/>
  <c r="M71" i="29"/>
  <c r="I72" i="29"/>
  <c r="AA72" i="29" s="1"/>
  <c r="J72" i="29"/>
  <c r="L72" i="29"/>
  <c r="M72" i="29"/>
  <c r="B48" i="29"/>
  <c r="B49" i="29"/>
  <c r="B50" i="29"/>
  <c r="I49" i="29"/>
  <c r="J49" i="29"/>
  <c r="A45" i="29"/>
  <c r="AH36" i="29"/>
  <c r="AH37" i="29"/>
  <c r="AH39" i="29"/>
  <c r="AH40" i="29"/>
  <c r="AK41" i="29"/>
  <c r="AI46" i="29"/>
  <c r="AE36" i="29"/>
  <c r="AE37" i="29"/>
  <c r="AE40" i="29"/>
  <c r="AA35" i="29"/>
  <c r="AI35" i="29" s="1"/>
  <c r="AA38" i="29"/>
  <c r="AA43" i="29"/>
  <c r="AI43" i="29" s="1"/>
  <c r="AA46" i="29"/>
  <c r="AF46" i="29" s="1"/>
  <c r="I35" i="29"/>
  <c r="K35" i="29" s="1"/>
  <c r="J35" i="29"/>
  <c r="L35" i="29"/>
  <c r="M35" i="29"/>
  <c r="N35" i="29"/>
  <c r="I36" i="29"/>
  <c r="AA36" i="29" s="1"/>
  <c r="J36" i="29"/>
  <c r="L36" i="29"/>
  <c r="M36" i="29"/>
  <c r="N36" i="29"/>
  <c r="I37" i="29"/>
  <c r="J37" i="29"/>
  <c r="L37" i="29"/>
  <c r="M37" i="29"/>
  <c r="N37" i="29"/>
  <c r="I38" i="29"/>
  <c r="J38" i="29"/>
  <c r="K38" i="29"/>
  <c r="L38" i="29"/>
  <c r="M38" i="29"/>
  <c r="N38" i="29"/>
  <c r="I39" i="29"/>
  <c r="K39" i="29" s="1"/>
  <c r="J39" i="29"/>
  <c r="L39" i="29"/>
  <c r="M39" i="29"/>
  <c r="N39" i="29"/>
  <c r="I40" i="29"/>
  <c r="AA40" i="29" s="1"/>
  <c r="J40" i="29"/>
  <c r="L40" i="29"/>
  <c r="M40" i="29"/>
  <c r="N40" i="29"/>
  <c r="I41" i="29"/>
  <c r="AA41" i="29" s="1"/>
  <c r="J41" i="29"/>
  <c r="K41" i="29"/>
  <c r="L41" i="29"/>
  <c r="M41" i="29"/>
  <c r="N41" i="29"/>
  <c r="I42" i="29"/>
  <c r="K42" i="29" s="1"/>
  <c r="J42" i="29"/>
  <c r="L42" i="29"/>
  <c r="M42" i="29"/>
  <c r="N42" i="29"/>
  <c r="I43" i="29"/>
  <c r="K43" i="29" s="1"/>
  <c r="J43" i="29"/>
  <c r="L43" i="29"/>
  <c r="M43" i="29"/>
  <c r="N43" i="29"/>
  <c r="I44" i="29"/>
  <c r="AA44" i="29" s="1"/>
  <c r="J44" i="29"/>
  <c r="L44" i="29"/>
  <c r="M44" i="29"/>
  <c r="N44" i="29"/>
  <c r="I45" i="29"/>
  <c r="AA45" i="29" s="1"/>
  <c r="J45" i="29"/>
  <c r="L45" i="29"/>
  <c r="M45" i="29"/>
  <c r="N45" i="29"/>
  <c r="I46" i="29"/>
  <c r="J46" i="29"/>
  <c r="K46" i="29"/>
  <c r="L46" i="29"/>
  <c r="M46" i="29"/>
  <c r="N46" i="29"/>
  <c r="I47" i="29"/>
  <c r="J47" i="29"/>
  <c r="L47" i="29"/>
  <c r="M47" i="29"/>
  <c r="N47" i="29"/>
  <c r="N33" i="29"/>
  <c r="N34" i="29"/>
  <c r="I33" i="29"/>
  <c r="J33" i="29"/>
  <c r="I34" i="29"/>
  <c r="J34" i="29"/>
  <c r="AG32" i="29"/>
  <c r="AL32" i="29" s="1"/>
  <c r="AD32" i="29"/>
  <c r="AK32" i="29" s="1"/>
  <c r="O32" i="29"/>
  <c r="P32" i="29"/>
  <c r="Q32" i="29"/>
  <c r="R32" i="29"/>
  <c r="S32" i="29"/>
  <c r="T32" i="29"/>
  <c r="U32" i="29"/>
  <c r="V32" i="29"/>
  <c r="W32" i="29"/>
  <c r="X32" i="29"/>
  <c r="Y32" i="29"/>
  <c r="Z32" i="29"/>
  <c r="AJ32" i="29" s="1"/>
  <c r="AJ31" i="29"/>
  <c r="AK31" i="29"/>
  <c r="AM31" i="29" s="1"/>
  <c r="AL31" i="29"/>
  <c r="AN31" i="29" s="1"/>
  <c r="AG31" i="29"/>
  <c r="AD31" i="29"/>
  <c r="O31" i="29"/>
  <c r="P31" i="29"/>
  <c r="Q31" i="29"/>
  <c r="R31" i="29"/>
  <c r="S31" i="29"/>
  <c r="T31" i="29"/>
  <c r="U31" i="29"/>
  <c r="V31" i="29"/>
  <c r="W31" i="29"/>
  <c r="X31" i="29"/>
  <c r="Y31" i="29"/>
  <c r="Z31" i="29"/>
  <c r="AA31" i="29"/>
  <c r="N26" i="29"/>
  <c r="N27" i="29"/>
  <c r="N28" i="29"/>
  <c r="N29" i="29"/>
  <c r="B22" i="29"/>
  <c r="B23" i="29"/>
  <c r="AG16" i="29"/>
  <c r="AG19" i="29"/>
  <c r="AH60" i="29" s="1"/>
  <c r="AG20" i="29"/>
  <c r="AL55" i="29" s="1"/>
  <c r="AD19" i="29"/>
  <c r="AE69" i="29" s="1"/>
  <c r="AD20" i="29"/>
  <c r="AK50" i="29" s="1"/>
  <c r="N19" i="29"/>
  <c r="O19" i="29"/>
  <c r="P19" i="29"/>
  <c r="Q19" i="29"/>
  <c r="R19" i="29"/>
  <c r="S19" i="29"/>
  <c r="T19" i="29"/>
  <c r="U19" i="29"/>
  <c r="V19" i="29"/>
  <c r="W19" i="29"/>
  <c r="X19" i="29"/>
  <c r="Y19" i="29"/>
  <c r="Z19" i="29"/>
  <c r="N20" i="29"/>
  <c r="O20" i="29"/>
  <c r="P20" i="29"/>
  <c r="Q20" i="29"/>
  <c r="R20" i="29"/>
  <c r="S20" i="29"/>
  <c r="T20" i="29"/>
  <c r="U20" i="29"/>
  <c r="V20" i="29"/>
  <c r="W20" i="29"/>
  <c r="X20" i="29"/>
  <c r="Y20" i="29"/>
  <c r="Z20" i="29"/>
  <c r="B17" i="29"/>
  <c r="B18" i="29"/>
  <c r="B19" i="29"/>
  <c r="O17" i="29"/>
  <c r="P17" i="29"/>
  <c r="Q17" i="29"/>
  <c r="R17" i="29"/>
  <c r="S17" i="29"/>
  <c r="T17" i="29"/>
  <c r="U17" i="29"/>
  <c r="V17" i="29"/>
  <c r="W17" i="29"/>
  <c r="X17" i="29"/>
  <c r="Y17" i="29"/>
  <c r="Z17" i="29"/>
  <c r="O16" i="29"/>
  <c r="P16" i="29"/>
  <c r="Q16" i="29"/>
  <c r="R16" i="29"/>
  <c r="S16" i="29"/>
  <c r="T16" i="29"/>
  <c r="U16" i="29"/>
  <c r="V16" i="29"/>
  <c r="W16" i="29"/>
  <c r="X16" i="29"/>
  <c r="Y16" i="29"/>
  <c r="A14" i="29"/>
  <c r="AG12" i="29"/>
  <c r="AG13" i="29"/>
  <c r="AD12" i="29"/>
  <c r="AD13" i="29"/>
  <c r="B12" i="29"/>
  <c r="Z16" i="29" s="1"/>
  <c r="B13" i="29"/>
  <c r="O12" i="29"/>
  <c r="P12" i="29"/>
  <c r="Q12" i="29"/>
  <c r="R12" i="29"/>
  <c r="S12" i="29"/>
  <c r="T12" i="29"/>
  <c r="U12" i="29"/>
  <c r="V12" i="29"/>
  <c r="W12" i="29"/>
  <c r="X12" i="29"/>
  <c r="Y12" i="29"/>
  <c r="Z12" i="29"/>
  <c r="AA12" i="29"/>
  <c r="O13" i="29"/>
  <c r="P13" i="29"/>
  <c r="Q13" i="29"/>
  <c r="R13" i="29"/>
  <c r="S13" i="29"/>
  <c r="T13" i="29"/>
  <c r="U13" i="29"/>
  <c r="V13" i="29"/>
  <c r="W13" i="29"/>
  <c r="X13" i="29"/>
  <c r="Y13" i="29"/>
  <c r="Z13" i="29"/>
  <c r="AA13" i="29"/>
  <c r="C10" i="29"/>
  <c r="D10" i="29"/>
  <c r="C9" i="29"/>
  <c r="C1" i="29"/>
  <c r="C2" i="29"/>
  <c r="C3" i="29"/>
  <c r="C4" i="29"/>
  <c r="C5" i="29"/>
  <c r="C6" i="29"/>
  <c r="C7" i="29"/>
  <c r="C8" i="29"/>
  <c r="E6" i="29"/>
  <c r="E4" i="29"/>
  <c r="B3" i="29"/>
  <c r="B100" i="28"/>
  <c r="B94" i="28"/>
  <c r="B95" i="28"/>
  <c r="B96" i="28"/>
  <c r="A91" i="28"/>
  <c r="B77" i="28"/>
  <c r="B71" i="28"/>
  <c r="B72" i="28"/>
  <c r="B73" i="28"/>
  <c r="AG68" i="28"/>
  <c r="AD68" i="28"/>
  <c r="A68" i="28"/>
  <c r="O68" i="28"/>
  <c r="P68" i="28"/>
  <c r="Q68" i="28"/>
  <c r="R68" i="28"/>
  <c r="S68" i="28"/>
  <c r="T68" i="28"/>
  <c r="U68" i="28"/>
  <c r="V68" i="28"/>
  <c r="W68" i="28"/>
  <c r="X68" i="28"/>
  <c r="Y68" i="28"/>
  <c r="Z68" i="28"/>
  <c r="N64" i="28"/>
  <c r="N67" i="28" s="1"/>
  <c r="N65" i="28"/>
  <c r="N68" i="28" s="1"/>
  <c r="I64" i="28"/>
  <c r="AA64" i="28" s="1"/>
  <c r="AF64" i="28" s="1"/>
  <c r="J64" i="28"/>
  <c r="I65" i="28"/>
  <c r="AA65" i="28" s="1"/>
  <c r="J65" i="28"/>
  <c r="AD62" i="28"/>
  <c r="AE62" i="28" s="1"/>
  <c r="AG62" i="28"/>
  <c r="N62" i="28"/>
  <c r="O62" i="28"/>
  <c r="P62" i="28"/>
  <c r="Q62" i="28"/>
  <c r="R62" i="28"/>
  <c r="S62" i="28"/>
  <c r="T62" i="28"/>
  <c r="U62" i="28"/>
  <c r="V62" i="28"/>
  <c r="W62" i="28"/>
  <c r="X62" i="28"/>
  <c r="Y62" i="28"/>
  <c r="Z62" i="28"/>
  <c r="I62" i="28"/>
  <c r="J62" i="28"/>
  <c r="AK59" i="28"/>
  <c r="AE57" i="28"/>
  <c r="AE59" i="28"/>
  <c r="AE60" i="28"/>
  <c r="I57" i="28"/>
  <c r="AA57" i="28" s="1"/>
  <c r="AI57" i="28" s="1"/>
  <c r="J57" i="28"/>
  <c r="K57" i="28"/>
  <c r="L57" i="28"/>
  <c r="M57" i="28"/>
  <c r="N57" i="28"/>
  <c r="I58" i="28"/>
  <c r="AA58" i="28" s="1"/>
  <c r="J58" i="28"/>
  <c r="K58" i="28"/>
  <c r="L58" i="28"/>
  <c r="M58" i="28"/>
  <c r="N58" i="28"/>
  <c r="I59" i="28"/>
  <c r="K59" i="28" s="1"/>
  <c r="J59" i="28"/>
  <c r="L59" i="28"/>
  <c r="M59" i="28"/>
  <c r="N59" i="28"/>
  <c r="I60" i="28"/>
  <c r="J60" i="28"/>
  <c r="L60" i="28"/>
  <c r="M60" i="28"/>
  <c r="N60" i="28"/>
  <c r="I61" i="28"/>
  <c r="AA61" i="28" s="1"/>
  <c r="J61" i="28"/>
  <c r="K61" i="28"/>
  <c r="L61" i="28"/>
  <c r="M61" i="28"/>
  <c r="N61" i="28"/>
  <c r="N56" i="28"/>
  <c r="I56" i="28"/>
  <c r="J56" i="28"/>
  <c r="AD54" i="28"/>
  <c r="AG54" i="28"/>
  <c r="L54" i="28"/>
  <c r="M54" i="28"/>
  <c r="N54" i="28"/>
  <c r="O54" i="28"/>
  <c r="P54" i="28"/>
  <c r="Q54" i="28"/>
  <c r="R54" i="28"/>
  <c r="S54" i="28"/>
  <c r="S67" i="28" s="1"/>
  <c r="T54" i="28"/>
  <c r="U54" i="28"/>
  <c r="V54" i="28"/>
  <c r="W54" i="28"/>
  <c r="X54" i="28"/>
  <c r="Y54" i="28"/>
  <c r="Z54" i="28"/>
  <c r="I54" i="28"/>
  <c r="J54" i="28"/>
  <c r="B54" i="28"/>
  <c r="B48" i="28"/>
  <c r="B49" i="28"/>
  <c r="B50" i="28"/>
  <c r="AH47" i="28"/>
  <c r="AH49" i="28"/>
  <c r="AI49" i="28"/>
  <c r="AE47" i="28"/>
  <c r="AA52" i="28"/>
  <c r="AI52" i="28" s="1"/>
  <c r="I47" i="28"/>
  <c r="AA47" i="28" s="1"/>
  <c r="J47" i="28"/>
  <c r="K47" i="28"/>
  <c r="L47" i="28"/>
  <c r="M47" i="28"/>
  <c r="N47" i="28"/>
  <c r="I48" i="28"/>
  <c r="J48" i="28"/>
  <c r="L48" i="28"/>
  <c r="M48" i="28"/>
  <c r="N48" i="28"/>
  <c r="I49" i="28"/>
  <c r="AA49" i="28" s="1"/>
  <c r="J49" i="28"/>
  <c r="L49" i="28"/>
  <c r="M49" i="28"/>
  <c r="N49" i="28"/>
  <c r="I50" i="28"/>
  <c r="J50" i="28"/>
  <c r="L50" i="28"/>
  <c r="M50" i="28"/>
  <c r="N50" i="28"/>
  <c r="I51" i="28"/>
  <c r="K51" i="28" s="1"/>
  <c r="J51" i="28"/>
  <c r="L51" i="28"/>
  <c r="M51" i="28"/>
  <c r="N51" i="28"/>
  <c r="I52" i="28"/>
  <c r="J52" i="28"/>
  <c r="K52" i="28"/>
  <c r="L52" i="28"/>
  <c r="M52" i="28"/>
  <c r="N52" i="28"/>
  <c r="I53" i="28"/>
  <c r="AA53" i="28" s="1"/>
  <c r="J53" i="28"/>
  <c r="L53" i="28"/>
  <c r="M53" i="28"/>
  <c r="N53" i="28"/>
  <c r="N46" i="28"/>
  <c r="I46" i="28"/>
  <c r="J46" i="28"/>
  <c r="A45" i="28"/>
  <c r="AD44" i="28"/>
  <c r="AD67" i="28" s="1"/>
  <c r="AG44" i="28"/>
  <c r="L44" i="28"/>
  <c r="M44" i="28"/>
  <c r="N44" i="28"/>
  <c r="O44" i="28"/>
  <c r="P44" i="28"/>
  <c r="P67" i="28" s="1"/>
  <c r="Q44" i="28"/>
  <c r="Q67" i="28" s="1"/>
  <c r="R44" i="28"/>
  <c r="R67" i="28" s="1"/>
  <c r="S44" i="28"/>
  <c r="T44" i="28"/>
  <c r="T67" i="28" s="1"/>
  <c r="U44" i="28"/>
  <c r="U67" i="28" s="1"/>
  <c r="V44" i="28"/>
  <c r="V67" i="28" s="1"/>
  <c r="W44" i="28"/>
  <c r="X44" i="28"/>
  <c r="X67" i="28" s="1"/>
  <c r="Y44" i="28"/>
  <c r="Y67" i="28" s="1"/>
  <c r="Z44" i="28"/>
  <c r="Z67" i="28" s="1"/>
  <c r="I44" i="28"/>
  <c r="J44" i="28"/>
  <c r="AH41" i="28"/>
  <c r="AE40" i="28"/>
  <c r="AE41" i="28"/>
  <c r="AE42" i="28"/>
  <c r="AA43" i="28"/>
  <c r="AF43" i="28" s="1"/>
  <c r="I39" i="28"/>
  <c r="K39" i="28" s="1"/>
  <c r="J39" i="28"/>
  <c r="L39" i="28"/>
  <c r="M39" i="28"/>
  <c r="N39" i="28"/>
  <c r="I40" i="28"/>
  <c r="AA40" i="28" s="1"/>
  <c r="AF40" i="28" s="1"/>
  <c r="J40" i="28"/>
  <c r="L40" i="28"/>
  <c r="M40" i="28"/>
  <c r="N40" i="28"/>
  <c r="I41" i="28"/>
  <c r="K41" i="28" s="1"/>
  <c r="J41" i="28"/>
  <c r="L41" i="28"/>
  <c r="M41" i="28"/>
  <c r="N41" i="28"/>
  <c r="I42" i="28"/>
  <c r="AA42" i="28" s="1"/>
  <c r="J42" i="28"/>
  <c r="L42" i="28"/>
  <c r="M42" i="28"/>
  <c r="N42" i="28"/>
  <c r="I43" i="28"/>
  <c r="K43" i="28" s="1"/>
  <c r="J43" i="28"/>
  <c r="L43" i="28"/>
  <c r="M43" i="28"/>
  <c r="N43" i="28"/>
  <c r="N38" i="28"/>
  <c r="I38" i="28"/>
  <c r="J38" i="28"/>
  <c r="AH35" i="28"/>
  <c r="AH36" i="28"/>
  <c r="AE35" i="28"/>
  <c r="AE36" i="28"/>
  <c r="I35" i="28"/>
  <c r="J35" i="28"/>
  <c r="L35" i="28"/>
  <c r="M35" i="28"/>
  <c r="N35" i="28"/>
  <c r="I36" i="28"/>
  <c r="AA36" i="28" s="1"/>
  <c r="J36" i="28"/>
  <c r="K36" i="28"/>
  <c r="L36" i="28"/>
  <c r="M36" i="28"/>
  <c r="N36" i="28"/>
  <c r="N33" i="28"/>
  <c r="N34" i="28"/>
  <c r="I33" i="28"/>
  <c r="J33" i="28"/>
  <c r="I34" i="28"/>
  <c r="J34" i="28"/>
  <c r="AG32" i="28"/>
  <c r="AL32" i="28" s="1"/>
  <c r="AD32" i="28"/>
  <c r="AK32" i="28" s="1"/>
  <c r="O32" i="28"/>
  <c r="P32" i="28"/>
  <c r="Q32" i="28"/>
  <c r="R32" i="28"/>
  <c r="S32" i="28"/>
  <c r="T32" i="28"/>
  <c r="U32" i="28"/>
  <c r="V32" i="28"/>
  <c r="W32" i="28"/>
  <c r="X32" i="28"/>
  <c r="Y32" i="28"/>
  <c r="Z32" i="28"/>
  <c r="AJ32" i="28" s="1"/>
  <c r="AJ31" i="28"/>
  <c r="AK31" i="28"/>
  <c r="AL31" i="28"/>
  <c r="AN31" i="28" s="1"/>
  <c r="AM31" i="28"/>
  <c r="AG31" i="28"/>
  <c r="AD31" i="28"/>
  <c r="O31" i="28"/>
  <c r="P31" i="28"/>
  <c r="Q31" i="28"/>
  <c r="R31" i="28"/>
  <c r="S31" i="28"/>
  <c r="T31" i="28"/>
  <c r="U31" i="28"/>
  <c r="V31" i="28"/>
  <c r="W31" i="28"/>
  <c r="X31" i="28"/>
  <c r="Y31" i="28"/>
  <c r="Z31" i="28"/>
  <c r="AA31" i="28"/>
  <c r="N26" i="28"/>
  <c r="N27" i="28"/>
  <c r="N28" i="28"/>
  <c r="N29" i="28"/>
  <c r="B22" i="28"/>
  <c r="B23" i="28"/>
  <c r="AG16" i="28"/>
  <c r="AG19" i="28"/>
  <c r="AH44" i="28" s="1"/>
  <c r="AG20" i="28"/>
  <c r="AL65" i="28" s="1"/>
  <c r="AD19" i="28"/>
  <c r="AE58" i="28" s="1"/>
  <c r="AD20" i="28"/>
  <c r="AK64" i="28" s="1"/>
  <c r="N19" i="28"/>
  <c r="O19" i="28"/>
  <c r="P19" i="28"/>
  <c r="Q19" i="28"/>
  <c r="R19" i="28"/>
  <c r="S19" i="28"/>
  <c r="T19" i="28"/>
  <c r="U19" i="28"/>
  <c r="V19" i="28"/>
  <c r="W19" i="28"/>
  <c r="X19" i="28"/>
  <c r="Y19" i="28"/>
  <c r="Z19" i="28"/>
  <c r="N20" i="28"/>
  <c r="O20" i="28"/>
  <c r="P20" i="28"/>
  <c r="Q20" i="28"/>
  <c r="R20" i="28"/>
  <c r="S20" i="28"/>
  <c r="T20" i="28"/>
  <c r="U20" i="28"/>
  <c r="V20" i="28"/>
  <c r="W20" i="28"/>
  <c r="X20" i="28"/>
  <c r="Y20" i="28"/>
  <c r="Z20" i="28"/>
  <c r="B17" i="28"/>
  <c r="B18" i="28"/>
  <c r="B19" i="28"/>
  <c r="O17" i="28"/>
  <c r="P17" i="28"/>
  <c r="Q17" i="28"/>
  <c r="R17" i="28"/>
  <c r="S17" i="28"/>
  <c r="T17" i="28"/>
  <c r="U17" i="28"/>
  <c r="V17" i="28"/>
  <c r="W17" i="28"/>
  <c r="X17" i="28"/>
  <c r="Y17" i="28"/>
  <c r="Z17" i="28"/>
  <c r="O16" i="28"/>
  <c r="P16" i="28"/>
  <c r="Q16" i="28"/>
  <c r="R16" i="28"/>
  <c r="S16" i="28"/>
  <c r="T16" i="28"/>
  <c r="U16" i="28"/>
  <c r="V16" i="28"/>
  <c r="W16" i="28"/>
  <c r="X16" i="28"/>
  <c r="Y16" i="28"/>
  <c r="A14" i="28"/>
  <c r="AG12" i="28"/>
  <c r="AG13" i="28"/>
  <c r="AD12" i="28"/>
  <c r="AD13" i="28"/>
  <c r="B12" i="28"/>
  <c r="B13" i="28"/>
  <c r="O12" i="28"/>
  <c r="P12" i="28"/>
  <c r="Q12" i="28"/>
  <c r="R12" i="28"/>
  <c r="S12" i="28"/>
  <c r="T12" i="28"/>
  <c r="U12" i="28"/>
  <c r="V12" i="28"/>
  <c r="W12" i="28"/>
  <c r="X12" i="28"/>
  <c r="Y12" i="28"/>
  <c r="Z12" i="28"/>
  <c r="AA12" i="28"/>
  <c r="O13" i="28"/>
  <c r="P13" i="28"/>
  <c r="Q13" i="28"/>
  <c r="R13" i="28"/>
  <c r="S13" i="28"/>
  <c r="T13" i="28"/>
  <c r="U13" i="28"/>
  <c r="V13" i="28"/>
  <c r="W13" i="28"/>
  <c r="X13" i="28"/>
  <c r="Y13" i="28"/>
  <c r="Z13" i="28"/>
  <c r="AA13" i="28"/>
  <c r="C10" i="28"/>
  <c r="D10" i="28"/>
  <c r="C9" i="28"/>
  <c r="C1" i="28"/>
  <c r="C2" i="28"/>
  <c r="C3" i="28"/>
  <c r="C4" i="28"/>
  <c r="C5" i="28"/>
  <c r="C6" i="28"/>
  <c r="C7" i="28"/>
  <c r="C8" i="28"/>
  <c r="E6" i="28"/>
  <c r="E4" i="28"/>
  <c r="B3" i="28"/>
  <c r="AG48" i="27"/>
  <c r="R48" i="27"/>
  <c r="Z48" i="27"/>
  <c r="AD46" i="27"/>
  <c r="AD48" i="27" s="1"/>
  <c r="AG46" i="27"/>
  <c r="N46" i="27"/>
  <c r="N48" i="27" s="1"/>
  <c r="O46" i="27"/>
  <c r="O48" i="27" s="1"/>
  <c r="P46" i="27"/>
  <c r="P48" i="27" s="1"/>
  <c r="Q46" i="27"/>
  <c r="Q48" i="27" s="1"/>
  <c r="R46" i="27"/>
  <c r="S46" i="27"/>
  <c r="S48" i="27" s="1"/>
  <c r="T46" i="27"/>
  <c r="T48" i="27" s="1"/>
  <c r="U46" i="27"/>
  <c r="U48" i="27" s="1"/>
  <c r="V46" i="27"/>
  <c r="V48" i="27" s="1"/>
  <c r="W46" i="27"/>
  <c r="W48" i="27" s="1"/>
  <c r="X46" i="27"/>
  <c r="X48" i="27" s="1"/>
  <c r="Y46" i="27"/>
  <c r="Y48" i="27" s="1"/>
  <c r="Z46" i="27"/>
  <c r="I46" i="27"/>
  <c r="J46" i="27"/>
  <c r="AH38" i="27"/>
  <c r="AH41" i="27"/>
  <c r="AH42" i="27"/>
  <c r="AK44" i="27"/>
  <c r="AE35" i="27"/>
  <c r="AE36" i="27"/>
  <c r="AE37" i="27"/>
  <c r="AF39" i="27"/>
  <c r="AE41" i="27"/>
  <c r="AE42" i="27"/>
  <c r="AE45" i="27"/>
  <c r="AA35" i="27"/>
  <c r="AI35" i="27" s="1"/>
  <c r="AA39" i="27"/>
  <c r="AI39" i="27" s="1"/>
  <c r="I34" i="27"/>
  <c r="AA34" i="27" s="1"/>
  <c r="J34" i="27"/>
  <c r="K34" i="27"/>
  <c r="L34" i="27"/>
  <c r="M34" i="27"/>
  <c r="N34" i="27"/>
  <c r="I35" i="27"/>
  <c r="K35" i="27" s="1"/>
  <c r="J35" i="27"/>
  <c r="L35" i="27"/>
  <c r="M35" i="27"/>
  <c r="N35" i="27"/>
  <c r="I36" i="27"/>
  <c r="AA36" i="27" s="1"/>
  <c r="J36" i="27"/>
  <c r="K36" i="27"/>
  <c r="L36" i="27"/>
  <c r="M36" i="27"/>
  <c r="N36" i="27"/>
  <c r="I37" i="27"/>
  <c r="K37" i="27" s="1"/>
  <c r="J37" i="27"/>
  <c r="L37" i="27"/>
  <c r="M37" i="27"/>
  <c r="N37" i="27"/>
  <c r="I38" i="27"/>
  <c r="AA38" i="27" s="1"/>
  <c r="J38" i="27"/>
  <c r="K38" i="27"/>
  <c r="L38" i="27"/>
  <c r="M38" i="27"/>
  <c r="N38" i="27"/>
  <c r="I39" i="27"/>
  <c r="K39" i="27" s="1"/>
  <c r="J39" i="27"/>
  <c r="L39" i="27"/>
  <c r="M39" i="27"/>
  <c r="N39" i="27"/>
  <c r="I40" i="27"/>
  <c r="AA40" i="27" s="1"/>
  <c r="J40" i="27"/>
  <c r="K40" i="27"/>
  <c r="L40" i="27"/>
  <c r="M40" i="27"/>
  <c r="N40" i="27"/>
  <c r="I41" i="27"/>
  <c r="K41" i="27" s="1"/>
  <c r="J41" i="27"/>
  <c r="L41" i="27"/>
  <c r="M41" i="27"/>
  <c r="N41" i="27"/>
  <c r="I42" i="27"/>
  <c r="AA42" i="27" s="1"/>
  <c r="J42" i="27"/>
  <c r="K42" i="27"/>
  <c r="L42" i="27"/>
  <c r="M42" i="27"/>
  <c r="N42" i="27"/>
  <c r="I43" i="27"/>
  <c r="K43" i="27" s="1"/>
  <c r="J43" i="27"/>
  <c r="L43" i="27"/>
  <c r="M43" i="27"/>
  <c r="N43" i="27"/>
  <c r="I44" i="27"/>
  <c r="J44" i="27"/>
  <c r="L44" i="27"/>
  <c r="M44" i="27"/>
  <c r="N44" i="27"/>
  <c r="I45" i="27"/>
  <c r="K45" i="27" s="1"/>
  <c r="J45" i="27"/>
  <c r="L45" i="27"/>
  <c r="M45" i="27"/>
  <c r="N45" i="27"/>
  <c r="N33" i="27"/>
  <c r="I33" i="27"/>
  <c r="J33" i="27"/>
  <c r="AL32" i="27"/>
  <c r="AG32" i="27"/>
  <c r="AD32" i="27"/>
  <c r="AK32" i="27" s="1"/>
  <c r="O32" i="27"/>
  <c r="P32" i="27"/>
  <c r="Q32" i="27"/>
  <c r="R32" i="27"/>
  <c r="S32" i="27"/>
  <c r="T32" i="27"/>
  <c r="U32" i="27"/>
  <c r="V32" i="27"/>
  <c r="W32" i="27"/>
  <c r="X32" i="27"/>
  <c r="Y32" i="27"/>
  <c r="Z32" i="27"/>
  <c r="AJ32" i="27" s="1"/>
  <c r="AJ31" i="27"/>
  <c r="AK31" i="27"/>
  <c r="AM31" i="27" s="1"/>
  <c r="AL31" i="27"/>
  <c r="AN31" i="27" s="1"/>
  <c r="AG31" i="27"/>
  <c r="AD31" i="27"/>
  <c r="O31" i="27"/>
  <c r="P31" i="27"/>
  <c r="Q31" i="27"/>
  <c r="R31" i="27"/>
  <c r="S31" i="27"/>
  <c r="T31" i="27"/>
  <c r="U31" i="27"/>
  <c r="V31" i="27"/>
  <c r="W31" i="27"/>
  <c r="X31" i="27"/>
  <c r="Y31" i="27"/>
  <c r="Z31" i="27"/>
  <c r="AA31" i="27"/>
  <c r="N26" i="27"/>
  <c r="N27" i="27"/>
  <c r="N28" i="27"/>
  <c r="N29" i="27"/>
  <c r="B23" i="27"/>
  <c r="AG16" i="27"/>
  <c r="AG19" i="27"/>
  <c r="AH37" i="27" s="1"/>
  <c r="AG20" i="27"/>
  <c r="AL38" i="27" s="1"/>
  <c r="AD19" i="27"/>
  <c r="AE34" i="27" s="1"/>
  <c r="AD20" i="27"/>
  <c r="N19" i="27"/>
  <c r="O19" i="27"/>
  <c r="P19" i="27"/>
  <c r="Q19" i="27"/>
  <c r="R19" i="27"/>
  <c r="S19" i="27"/>
  <c r="T19" i="27"/>
  <c r="U19" i="27"/>
  <c r="V19" i="27"/>
  <c r="W19" i="27"/>
  <c r="X19" i="27"/>
  <c r="Y19" i="27"/>
  <c r="Z19" i="27"/>
  <c r="N20" i="27"/>
  <c r="O20" i="27"/>
  <c r="P20" i="27"/>
  <c r="Q20" i="27"/>
  <c r="R20" i="27"/>
  <c r="S20" i="27"/>
  <c r="T20" i="27"/>
  <c r="U20" i="27"/>
  <c r="V20" i="27"/>
  <c r="W20" i="27"/>
  <c r="X20" i="27"/>
  <c r="Y20" i="27"/>
  <c r="Z20" i="27"/>
  <c r="B17" i="27"/>
  <c r="B18" i="27"/>
  <c r="B19" i="27"/>
  <c r="O17" i="27"/>
  <c r="P17" i="27"/>
  <c r="Q17" i="27"/>
  <c r="R17" i="27"/>
  <c r="S17" i="27"/>
  <c r="T17" i="27"/>
  <c r="U17" i="27"/>
  <c r="V17" i="27"/>
  <c r="W17" i="27"/>
  <c r="X17" i="27"/>
  <c r="Y17" i="27"/>
  <c r="Z17" i="27"/>
  <c r="O16" i="27"/>
  <c r="P16" i="27"/>
  <c r="Q16" i="27"/>
  <c r="R16" i="27"/>
  <c r="S16" i="27"/>
  <c r="T16" i="27"/>
  <c r="U16" i="27"/>
  <c r="V16" i="27"/>
  <c r="W16" i="27"/>
  <c r="X16" i="27"/>
  <c r="Y16" i="27"/>
  <c r="A14" i="27"/>
  <c r="AG12" i="27"/>
  <c r="AG13" i="27"/>
  <c r="AD12" i="27"/>
  <c r="AD13" i="27"/>
  <c r="B12" i="27"/>
  <c r="B13" i="27"/>
  <c r="O12" i="27"/>
  <c r="P12" i="27"/>
  <c r="Q12" i="27"/>
  <c r="R12" i="27"/>
  <c r="S12" i="27"/>
  <c r="T12" i="27"/>
  <c r="U12" i="27"/>
  <c r="V12" i="27"/>
  <c r="W12" i="27"/>
  <c r="X12" i="27"/>
  <c r="Y12" i="27"/>
  <c r="Z12" i="27"/>
  <c r="AA12" i="27"/>
  <c r="O13" i="27"/>
  <c r="P13" i="27"/>
  <c r="Q13" i="27"/>
  <c r="R13" i="27"/>
  <c r="S13" i="27"/>
  <c r="T13" i="27"/>
  <c r="U13" i="27"/>
  <c r="V13" i="27"/>
  <c r="W13" i="27"/>
  <c r="X13" i="27"/>
  <c r="Y13" i="27"/>
  <c r="Z13" i="27"/>
  <c r="AA13" i="27"/>
  <c r="C10" i="27"/>
  <c r="D10" i="27"/>
  <c r="C9" i="27"/>
  <c r="C1" i="27"/>
  <c r="C2" i="27"/>
  <c r="C3" i="27"/>
  <c r="C4" i="27"/>
  <c r="C5" i="27"/>
  <c r="C6" i="27"/>
  <c r="C7" i="27"/>
  <c r="C8" i="27"/>
  <c r="E6" i="27"/>
  <c r="E4" i="27"/>
  <c r="B3" i="27"/>
  <c r="AG79" i="26"/>
  <c r="AG80" i="26"/>
  <c r="AD79" i="26"/>
  <c r="AD80" i="26"/>
  <c r="O79" i="26"/>
  <c r="P79" i="26"/>
  <c r="Q79" i="26"/>
  <c r="R79" i="26"/>
  <c r="S79" i="26"/>
  <c r="T79" i="26"/>
  <c r="U79" i="26"/>
  <c r="V79" i="26"/>
  <c r="W79" i="26"/>
  <c r="X79" i="26"/>
  <c r="Y79" i="26"/>
  <c r="Z79" i="26"/>
  <c r="O80" i="26"/>
  <c r="P80" i="26"/>
  <c r="Q80" i="26"/>
  <c r="R80" i="26"/>
  <c r="S80" i="26"/>
  <c r="T80" i="26"/>
  <c r="U80" i="26"/>
  <c r="V80" i="26"/>
  <c r="W80" i="26"/>
  <c r="X80" i="26"/>
  <c r="Y80" i="26"/>
  <c r="Z80" i="26"/>
  <c r="N76" i="26"/>
  <c r="N79" i="26" s="1"/>
  <c r="N77" i="26"/>
  <c r="N80" i="26" s="1"/>
  <c r="I76" i="26"/>
  <c r="AA76" i="26" s="1"/>
  <c r="J76" i="26"/>
  <c r="I77" i="26"/>
  <c r="AA77" i="26" s="1"/>
  <c r="J77" i="26"/>
  <c r="N49" i="26"/>
  <c r="N50" i="26"/>
  <c r="N51" i="26"/>
  <c r="N52" i="26"/>
  <c r="N53" i="26"/>
  <c r="N54" i="26"/>
  <c r="N55" i="26"/>
  <c r="N56" i="26"/>
  <c r="N57" i="26"/>
  <c r="N58" i="26"/>
  <c r="N59" i="26"/>
  <c r="N60" i="26"/>
  <c r="N61" i="26"/>
  <c r="N62" i="26"/>
  <c r="N63" i="26"/>
  <c r="N64" i="26"/>
  <c r="N65" i="26"/>
  <c r="N66" i="26"/>
  <c r="N67" i="26"/>
  <c r="N68" i="26"/>
  <c r="N69" i="26"/>
  <c r="N70" i="26"/>
  <c r="N71" i="26"/>
  <c r="N72" i="26"/>
  <c r="N73" i="26"/>
  <c r="N74" i="26"/>
  <c r="I73" i="26"/>
  <c r="AA73" i="26" s="1"/>
  <c r="J73" i="26"/>
  <c r="I74" i="26"/>
  <c r="AA74" i="26" s="1"/>
  <c r="J74" i="26"/>
  <c r="B54" i="26"/>
  <c r="AH52" i="26"/>
  <c r="AH60" i="26"/>
  <c r="AI66" i="26"/>
  <c r="AH67" i="26"/>
  <c r="AF51" i="26"/>
  <c r="AE52" i="26"/>
  <c r="AE54" i="26"/>
  <c r="AE58" i="26"/>
  <c r="AE59" i="26"/>
  <c r="AE60" i="26"/>
  <c r="AE63" i="26"/>
  <c r="AE64" i="26"/>
  <c r="AE68" i="26"/>
  <c r="AA57" i="26"/>
  <c r="AI57" i="26" s="1"/>
  <c r="AA61" i="26"/>
  <c r="AA66" i="26"/>
  <c r="AF66" i="26" s="1"/>
  <c r="I50" i="26"/>
  <c r="J50" i="26"/>
  <c r="L50" i="26"/>
  <c r="M50" i="26"/>
  <c r="I51" i="26"/>
  <c r="AA51" i="26" s="1"/>
  <c r="AI51" i="26" s="1"/>
  <c r="J51" i="26"/>
  <c r="K51" i="26"/>
  <c r="L51" i="26"/>
  <c r="M51" i="26"/>
  <c r="I52" i="26"/>
  <c r="K52" i="26" s="1"/>
  <c r="J52" i="26"/>
  <c r="L52" i="26"/>
  <c r="M52" i="26"/>
  <c r="I53" i="26"/>
  <c r="AA53" i="26" s="1"/>
  <c r="AI53" i="26" s="1"/>
  <c r="J53" i="26"/>
  <c r="L53" i="26"/>
  <c r="M53" i="26"/>
  <c r="I54" i="26"/>
  <c r="K54" i="26" s="1"/>
  <c r="J54" i="26"/>
  <c r="L54" i="26"/>
  <c r="M54" i="26"/>
  <c r="I55" i="26"/>
  <c r="AA55" i="26" s="1"/>
  <c r="J55" i="26"/>
  <c r="L55" i="26"/>
  <c r="M55" i="26"/>
  <c r="I56" i="26"/>
  <c r="K56" i="26" s="1"/>
  <c r="J56" i="26"/>
  <c r="L56" i="26"/>
  <c r="M56" i="26"/>
  <c r="I57" i="26"/>
  <c r="K57" i="26" s="1"/>
  <c r="J57" i="26"/>
  <c r="L57" i="26"/>
  <c r="M57" i="26"/>
  <c r="I58" i="26"/>
  <c r="K58" i="26" s="1"/>
  <c r="J58" i="26"/>
  <c r="L58" i="26"/>
  <c r="M58" i="26"/>
  <c r="I59" i="26"/>
  <c r="AA59" i="26" s="1"/>
  <c r="AI59" i="26" s="1"/>
  <c r="J59" i="26"/>
  <c r="K59" i="26"/>
  <c r="L59" i="26"/>
  <c r="M59" i="26"/>
  <c r="I60" i="26"/>
  <c r="AA60" i="26" s="1"/>
  <c r="J60" i="26"/>
  <c r="L60" i="26"/>
  <c r="M60" i="26"/>
  <c r="I61" i="26"/>
  <c r="J61" i="26"/>
  <c r="K61" i="26"/>
  <c r="L61" i="26"/>
  <c r="M61" i="26"/>
  <c r="I62" i="26"/>
  <c r="AA62" i="26" s="1"/>
  <c r="J62" i="26"/>
  <c r="L62" i="26"/>
  <c r="M62" i="26"/>
  <c r="I63" i="26"/>
  <c r="AA63" i="26" s="1"/>
  <c r="J63" i="26"/>
  <c r="L63" i="26"/>
  <c r="M63" i="26"/>
  <c r="I64" i="26"/>
  <c r="AA64" i="26" s="1"/>
  <c r="J64" i="26"/>
  <c r="K64" i="26"/>
  <c r="L64" i="26"/>
  <c r="M64" i="26"/>
  <c r="I65" i="26"/>
  <c r="K65" i="26" s="1"/>
  <c r="J65" i="26"/>
  <c r="L65" i="26"/>
  <c r="M65" i="26"/>
  <c r="I66" i="26"/>
  <c r="J66" i="26"/>
  <c r="K66" i="26"/>
  <c r="L66" i="26"/>
  <c r="M66" i="26"/>
  <c r="I67" i="26"/>
  <c r="AA67" i="26" s="1"/>
  <c r="AI67" i="26" s="1"/>
  <c r="J67" i="26"/>
  <c r="L67" i="26"/>
  <c r="M67" i="26"/>
  <c r="I68" i="26"/>
  <c r="AA68" i="26" s="1"/>
  <c r="J68" i="26"/>
  <c r="L68" i="26"/>
  <c r="M68" i="26"/>
  <c r="I69" i="26"/>
  <c r="AA69" i="26" s="1"/>
  <c r="J69" i="26"/>
  <c r="K69" i="26"/>
  <c r="L69" i="26"/>
  <c r="M69" i="26"/>
  <c r="I70" i="26"/>
  <c r="K70" i="26" s="1"/>
  <c r="J70" i="26"/>
  <c r="L70" i="26"/>
  <c r="M70" i="26"/>
  <c r="I71" i="26"/>
  <c r="AA71" i="26" s="1"/>
  <c r="J71" i="26"/>
  <c r="L71" i="26"/>
  <c r="M71" i="26"/>
  <c r="I72" i="26"/>
  <c r="K72" i="26" s="1"/>
  <c r="J72" i="26"/>
  <c r="L72" i="26"/>
  <c r="M72" i="26"/>
  <c r="B48" i="26"/>
  <c r="B49" i="26"/>
  <c r="B50" i="26"/>
  <c r="I49" i="26"/>
  <c r="J49" i="26"/>
  <c r="A45" i="26"/>
  <c r="AI38" i="26"/>
  <c r="AL47" i="26"/>
  <c r="AF38" i="26"/>
  <c r="AF47" i="26"/>
  <c r="AA38" i="26"/>
  <c r="AA44" i="26"/>
  <c r="AA37" i="26"/>
  <c r="AL36" i="26"/>
  <c r="AM37" i="26"/>
  <c r="AN37" i="26"/>
  <c r="AH36" i="26"/>
  <c r="AE36" i="26"/>
  <c r="I35" i="26"/>
  <c r="K35" i="26" s="1"/>
  <c r="J35" i="26"/>
  <c r="L35" i="26"/>
  <c r="M35" i="26"/>
  <c r="N35" i="26"/>
  <c r="I36" i="26"/>
  <c r="AA36" i="26" s="1"/>
  <c r="AI36" i="26" s="1"/>
  <c r="J36" i="26"/>
  <c r="L36" i="26"/>
  <c r="M36" i="26"/>
  <c r="N36" i="26"/>
  <c r="I37" i="26"/>
  <c r="K37" i="26" s="1"/>
  <c r="J37" i="26"/>
  <c r="L37" i="26"/>
  <c r="M37" i="26"/>
  <c r="N37" i="26"/>
  <c r="I38" i="26"/>
  <c r="J38" i="26"/>
  <c r="K38" i="26"/>
  <c r="L38" i="26"/>
  <c r="M38" i="26"/>
  <c r="N38" i="26"/>
  <c r="I39" i="26"/>
  <c r="J39" i="26"/>
  <c r="L39" i="26"/>
  <c r="M39" i="26"/>
  <c r="N39" i="26"/>
  <c r="I40" i="26"/>
  <c r="AA40" i="26" s="1"/>
  <c r="J40" i="26"/>
  <c r="K40" i="26"/>
  <c r="L40" i="26"/>
  <c r="M40" i="26"/>
  <c r="N40" i="26"/>
  <c r="I41" i="26"/>
  <c r="J41" i="26"/>
  <c r="L41" i="26"/>
  <c r="M41" i="26"/>
  <c r="N41" i="26"/>
  <c r="I42" i="26"/>
  <c r="AA42" i="26" s="1"/>
  <c r="J42" i="26"/>
  <c r="K42" i="26"/>
  <c r="L42" i="26"/>
  <c r="M42" i="26"/>
  <c r="N42" i="26"/>
  <c r="I43" i="26"/>
  <c r="J43" i="26"/>
  <c r="L43" i="26"/>
  <c r="M43" i="26"/>
  <c r="N43" i="26"/>
  <c r="I44" i="26"/>
  <c r="K44" i="26" s="1"/>
  <c r="J44" i="26"/>
  <c r="L44" i="26"/>
  <c r="M44" i="26"/>
  <c r="N44" i="26"/>
  <c r="I45" i="26"/>
  <c r="K45" i="26" s="1"/>
  <c r="J45" i="26"/>
  <c r="L45" i="26"/>
  <c r="M45" i="26"/>
  <c r="N45" i="26"/>
  <c r="I46" i="26"/>
  <c r="AA46" i="26" s="1"/>
  <c r="J46" i="26"/>
  <c r="K46" i="26"/>
  <c r="L46" i="26"/>
  <c r="M46" i="26"/>
  <c r="N46" i="26"/>
  <c r="I47" i="26"/>
  <c r="AA47" i="26" s="1"/>
  <c r="AI47" i="26" s="1"/>
  <c r="J47" i="26"/>
  <c r="L47" i="26"/>
  <c r="M47" i="26"/>
  <c r="N47" i="26"/>
  <c r="N33" i="26"/>
  <c r="N34" i="26"/>
  <c r="I33" i="26"/>
  <c r="J33" i="26"/>
  <c r="I34" i="26"/>
  <c r="J34" i="26"/>
  <c r="AG32" i="26"/>
  <c r="AL32" i="26" s="1"/>
  <c r="AD32" i="26"/>
  <c r="AK32" i="26" s="1"/>
  <c r="O32" i="26"/>
  <c r="P32" i="26"/>
  <c r="Q32" i="26"/>
  <c r="R32" i="26"/>
  <c r="S32" i="26"/>
  <c r="T32" i="26"/>
  <c r="U32" i="26"/>
  <c r="V32" i="26"/>
  <c r="W32" i="26"/>
  <c r="X32" i="26"/>
  <c r="Y32" i="26"/>
  <c r="Z32" i="26"/>
  <c r="AJ32" i="26" s="1"/>
  <c r="AJ31" i="26"/>
  <c r="AK31" i="26"/>
  <c r="AM31" i="26" s="1"/>
  <c r="AL31" i="26"/>
  <c r="AN31" i="26" s="1"/>
  <c r="AG31" i="26"/>
  <c r="AD31" i="26"/>
  <c r="O31" i="26"/>
  <c r="P31" i="26"/>
  <c r="Q31" i="26"/>
  <c r="R31" i="26"/>
  <c r="S31" i="26"/>
  <c r="T31" i="26"/>
  <c r="U31" i="26"/>
  <c r="V31" i="26"/>
  <c r="W31" i="26"/>
  <c r="X31" i="26"/>
  <c r="Y31" i="26"/>
  <c r="Z31" i="26"/>
  <c r="AA31" i="26"/>
  <c r="N26" i="26"/>
  <c r="N27" i="26"/>
  <c r="N28" i="26"/>
  <c r="N29" i="26"/>
  <c r="B22" i="26"/>
  <c r="B23" i="26"/>
  <c r="AG16" i="26"/>
  <c r="AG19" i="26"/>
  <c r="AH62" i="26" s="1"/>
  <c r="AG20" i="26"/>
  <c r="AL55" i="26" s="1"/>
  <c r="AD19" i="26"/>
  <c r="AD20" i="26"/>
  <c r="AK56" i="26" s="1"/>
  <c r="N19" i="26"/>
  <c r="O19" i="26"/>
  <c r="P19" i="26"/>
  <c r="Q19" i="26"/>
  <c r="R19" i="26"/>
  <c r="S19" i="26"/>
  <c r="T19" i="26"/>
  <c r="U19" i="26"/>
  <c r="V19" i="26"/>
  <c r="W19" i="26"/>
  <c r="X19" i="26"/>
  <c r="Y19" i="26"/>
  <c r="Z19" i="26"/>
  <c r="N20" i="26"/>
  <c r="O20" i="26"/>
  <c r="P20" i="26"/>
  <c r="AA20" i="26" s="1"/>
  <c r="AJ51" i="26" s="1"/>
  <c r="Q20" i="26"/>
  <c r="R20" i="26"/>
  <c r="S20" i="26"/>
  <c r="T20" i="26"/>
  <c r="U20" i="26"/>
  <c r="V20" i="26"/>
  <c r="W20" i="26"/>
  <c r="X20" i="26"/>
  <c r="Y20" i="26"/>
  <c r="Z20" i="26"/>
  <c r="B17" i="26"/>
  <c r="B18" i="26"/>
  <c r="B19" i="26"/>
  <c r="O17" i="26"/>
  <c r="P17" i="26"/>
  <c r="Q17" i="26"/>
  <c r="R17" i="26"/>
  <c r="S17" i="26"/>
  <c r="T17" i="26"/>
  <c r="U17" i="26"/>
  <c r="V17" i="26"/>
  <c r="W17" i="26"/>
  <c r="X17" i="26"/>
  <c r="Y17" i="26"/>
  <c r="Z17" i="26"/>
  <c r="O16" i="26"/>
  <c r="P16" i="26"/>
  <c r="Q16" i="26"/>
  <c r="R16" i="26"/>
  <c r="S16" i="26"/>
  <c r="T16" i="26"/>
  <c r="U16" i="26"/>
  <c r="V16" i="26"/>
  <c r="W16" i="26"/>
  <c r="X16" i="26"/>
  <c r="Y16" i="26"/>
  <c r="A14" i="26"/>
  <c r="AG12" i="26"/>
  <c r="AG13" i="26"/>
  <c r="AD12" i="26"/>
  <c r="AD13" i="26"/>
  <c r="B12" i="26"/>
  <c r="B13" i="26"/>
  <c r="O12" i="26"/>
  <c r="P12" i="26"/>
  <c r="Q12" i="26"/>
  <c r="R12" i="26"/>
  <c r="S12" i="26"/>
  <c r="T12" i="26"/>
  <c r="U12" i="26"/>
  <c r="V12" i="26"/>
  <c r="W12" i="26"/>
  <c r="X12" i="26"/>
  <c r="Y12" i="26"/>
  <c r="Z12" i="26"/>
  <c r="AA12" i="26"/>
  <c r="O13" i="26"/>
  <c r="P13" i="26"/>
  <c r="Q13" i="26"/>
  <c r="R13" i="26"/>
  <c r="S13" i="26"/>
  <c r="T13" i="26"/>
  <c r="U13" i="26"/>
  <c r="V13" i="26"/>
  <c r="W13" i="26"/>
  <c r="X13" i="26"/>
  <c r="Y13" i="26"/>
  <c r="Z13" i="26"/>
  <c r="AA13" i="26"/>
  <c r="C10" i="26"/>
  <c r="D10" i="26"/>
  <c r="Z16" i="26" s="1"/>
  <c r="C9" i="26"/>
  <c r="C1" i="26"/>
  <c r="C2" i="26"/>
  <c r="C3" i="26"/>
  <c r="C4" i="26"/>
  <c r="C5" i="26"/>
  <c r="C6" i="26"/>
  <c r="C7" i="26"/>
  <c r="C8" i="26"/>
  <c r="E6" i="26"/>
  <c r="E4" i="26"/>
  <c r="B3" i="26"/>
  <c r="AG54" i="25"/>
  <c r="Q54" i="25"/>
  <c r="Y54" i="25"/>
  <c r="AD52" i="25"/>
  <c r="AD54" i="25" s="1"/>
  <c r="AG52" i="25"/>
  <c r="N52" i="25"/>
  <c r="N54" i="25" s="1"/>
  <c r="O52" i="25"/>
  <c r="O54" i="25" s="1"/>
  <c r="P52" i="25"/>
  <c r="P54" i="25" s="1"/>
  <c r="Q52" i="25"/>
  <c r="R52" i="25"/>
  <c r="R54" i="25" s="1"/>
  <c r="S52" i="25"/>
  <c r="S54" i="25" s="1"/>
  <c r="T52" i="25"/>
  <c r="T54" i="25" s="1"/>
  <c r="U52" i="25"/>
  <c r="U54" i="25" s="1"/>
  <c r="V52" i="25"/>
  <c r="V54" i="25" s="1"/>
  <c r="W52" i="25"/>
  <c r="W54" i="25" s="1"/>
  <c r="X52" i="25"/>
  <c r="X54" i="25" s="1"/>
  <c r="Y52" i="25"/>
  <c r="Z52" i="25"/>
  <c r="Z54" i="25" s="1"/>
  <c r="I52" i="25"/>
  <c r="J52" i="25"/>
  <c r="AH39" i="25"/>
  <c r="AH40" i="25"/>
  <c r="AH41" i="25"/>
  <c r="AH42" i="25"/>
  <c r="AH43" i="25"/>
  <c r="AH44" i="25"/>
  <c r="AH45" i="25"/>
  <c r="AH47" i="25"/>
  <c r="AH48" i="25"/>
  <c r="AH49" i="25"/>
  <c r="AE35" i="25"/>
  <c r="AE36" i="25"/>
  <c r="AE39" i="25"/>
  <c r="AE40" i="25"/>
  <c r="AE41" i="25"/>
  <c r="AE42" i="25"/>
  <c r="AE43" i="25"/>
  <c r="AE44" i="25"/>
  <c r="AE45" i="25"/>
  <c r="AE47" i="25"/>
  <c r="AE48" i="25"/>
  <c r="AE49" i="25"/>
  <c r="AA40" i="25"/>
  <c r="AA44" i="25"/>
  <c r="I34" i="25"/>
  <c r="J34" i="25"/>
  <c r="L34" i="25"/>
  <c r="M34" i="25"/>
  <c r="N34" i="25"/>
  <c r="I35" i="25"/>
  <c r="AA35" i="25" s="1"/>
  <c r="J35" i="25"/>
  <c r="L35" i="25"/>
  <c r="M35" i="25"/>
  <c r="N35" i="25"/>
  <c r="I36" i="25"/>
  <c r="AA36" i="25" s="1"/>
  <c r="J36" i="25"/>
  <c r="L36" i="25"/>
  <c r="M36" i="25"/>
  <c r="N36" i="25"/>
  <c r="I37" i="25"/>
  <c r="J37" i="25"/>
  <c r="L37" i="25"/>
  <c r="M37" i="25"/>
  <c r="N37" i="25"/>
  <c r="I38" i="25"/>
  <c r="AA38" i="25" s="1"/>
  <c r="J38" i="25"/>
  <c r="L38" i="25"/>
  <c r="M38" i="25"/>
  <c r="N38" i="25"/>
  <c r="I39" i="25"/>
  <c r="AA39" i="25" s="1"/>
  <c r="J39" i="25"/>
  <c r="L39" i="25"/>
  <c r="M39" i="25"/>
  <c r="N39" i="25"/>
  <c r="I40" i="25"/>
  <c r="J40" i="25"/>
  <c r="K40" i="25"/>
  <c r="L40" i="25"/>
  <c r="M40" i="25"/>
  <c r="N40" i="25"/>
  <c r="I41" i="25"/>
  <c r="J41" i="25"/>
  <c r="L41" i="25"/>
  <c r="M41" i="25"/>
  <c r="N41" i="25"/>
  <c r="I42" i="25"/>
  <c r="AA42" i="25" s="1"/>
  <c r="J42" i="25"/>
  <c r="K42" i="25"/>
  <c r="L42" i="25"/>
  <c r="M42" i="25"/>
  <c r="N42" i="25"/>
  <c r="I43" i="25"/>
  <c r="AA43" i="25" s="1"/>
  <c r="J43" i="25"/>
  <c r="L43" i="25"/>
  <c r="M43" i="25"/>
  <c r="N43" i="25"/>
  <c r="I44" i="25"/>
  <c r="J44" i="25"/>
  <c r="K44" i="25"/>
  <c r="L44" i="25"/>
  <c r="M44" i="25"/>
  <c r="N44" i="25"/>
  <c r="I45" i="25"/>
  <c r="J45" i="25"/>
  <c r="L45" i="25"/>
  <c r="M45" i="25"/>
  <c r="N45" i="25"/>
  <c r="I46" i="25"/>
  <c r="AA46" i="25" s="1"/>
  <c r="AI46" i="25" s="1"/>
  <c r="J46" i="25"/>
  <c r="K46" i="25"/>
  <c r="L46" i="25"/>
  <c r="M46" i="25"/>
  <c r="N46" i="25"/>
  <c r="I47" i="25"/>
  <c r="AA47" i="25" s="1"/>
  <c r="J47" i="25"/>
  <c r="L47" i="25"/>
  <c r="M47" i="25"/>
  <c r="N47" i="25"/>
  <c r="I48" i="25"/>
  <c r="J48" i="25"/>
  <c r="L48" i="25"/>
  <c r="M48" i="25"/>
  <c r="N48" i="25"/>
  <c r="I49" i="25"/>
  <c r="J49" i="25"/>
  <c r="L49" i="25"/>
  <c r="M49" i="25"/>
  <c r="N49" i="25"/>
  <c r="I50" i="25"/>
  <c r="J50" i="25"/>
  <c r="L50" i="25"/>
  <c r="M50" i="25"/>
  <c r="N50" i="25"/>
  <c r="N33" i="25"/>
  <c r="I33" i="25"/>
  <c r="J33" i="25"/>
  <c r="AK32" i="25"/>
  <c r="AG32" i="25"/>
  <c r="AL32" i="25" s="1"/>
  <c r="AD32" i="25"/>
  <c r="O32" i="25"/>
  <c r="P32" i="25"/>
  <c r="Q32" i="25"/>
  <c r="R32" i="25"/>
  <c r="S32" i="25"/>
  <c r="T32" i="25"/>
  <c r="U32" i="25"/>
  <c r="V32" i="25"/>
  <c r="W32" i="25"/>
  <c r="X32" i="25"/>
  <c r="Y32" i="25"/>
  <c r="Z32" i="25"/>
  <c r="AJ32" i="25" s="1"/>
  <c r="AJ31" i="25"/>
  <c r="AK31" i="25"/>
  <c r="AL31" i="25"/>
  <c r="AM31" i="25"/>
  <c r="AN31" i="25"/>
  <c r="AG31" i="25"/>
  <c r="AD31" i="25"/>
  <c r="O31" i="25"/>
  <c r="P31" i="25"/>
  <c r="Q31" i="25"/>
  <c r="R31" i="25"/>
  <c r="S31" i="25"/>
  <c r="T31" i="25"/>
  <c r="U31" i="25"/>
  <c r="V31" i="25"/>
  <c r="W31" i="25"/>
  <c r="X31" i="25"/>
  <c r="Y31" i="25"/>
  <c r="Z31" i="25"/>
  <c r="AA31" i="25"/>
  <c r="N26" i="25"/>
  <c r="N27" i="25"/>
  <c r="N28" i="25"/>
  <c r="N29" i="25"/>
  <c r="B29" i="25"/>
  <c r="B22" i="25"/>
  <c r="B23" i="25"/>
  <c r="AG16" i="25"/>
  <c r="AG19" i="25"/>
  <c r="AH35" i="25" s="1"/>
  <c r="AG20" i="25"/>
  <c r="AL49" i="25" s="1"/>
  <c r="AD19" i="25"/>
  <c r="AE34" i="25" s="1"/>
  <c r="AD20" i="25"/>
  <c r="AK48" i="25" s="1"/>
  <c r="N19" i="25"/>
  <c r="O19" i="25"/>
  <c r="P19" i="25"/>
  <c r="Q19" i="25"/>
  <c r="R19" i="25"/>
  <c r="S19" i="25"/>
  <c r="T19" i="25"/>
  <c r="U19" i="25"/>
  <c r="V19" i="25"/>
  <c r="W19" i="25"/>
  <c r="X19" i="25"/>
  <c r="Y19" i="25"/>
  <c r="Z19" i="25"/>
  <c r="N20" i="25"/>
  <c r="O20" i="25"/>
  <c r="P20" i="25"/>
  <c r="Q20" i="25"/>
  <c r="R20" i="25"/>
  <c r="S20" i="25"/>
  <c r="T20" i="25"/>
  <c r="U20" i="25"/>
  <c r="V20" i="25"/>
  <c r="W20" i="25"/>
  <c r="X20" i="25"/>
  <c r="Y20" i="25"/>
  <c r="Z20" i="25"/>
  <c r="G19" i="25"/>
  <c r="B17" i="25"/>
  <c r="B18" i="25"/>
  <c r="B19" i="25"/>
  <c r="O17" i="25"/>
  <c r="P17" i="25"/>
  <c r="Q17" i="25"/>
  <c r="R17" i="25"/>
  <c r="S17" i="25"/>
  <c r="T17" i="25"/>
  <c r="U17" i="25"/>
  <c r="V17" i="25"/>
  <c r="W17" i="25"/>
  <c r="X17" i="25"/>
  <c r="Y17" i="25"/>
  <c r="Z17" i="25"/>
  <c r="O16" i="25"/>
  <c r="P16" i="25"/>
  <c r="Q16" i="25"/>
  <c r="R16" i="25"/>
  <c r="S16" i="25"/>
  <c r="T16" i="25"/>
  <c r="U16" i="25"/>
  <c r="V16" i="25"/>
  <c r="W16" i="25"/>
  <c r="X16" i="25"/>
  <c r="Y16" i="25"/>
  <c r="Z16" i="25"/>
  <c r="A14" i="25"/>
  <c r="AG12" i="25"/>
  <c r="AG13" i="25"/>
  <c r="AD12" i="25"/>
  <c r="AD13" i="25"/>
  <c r="B12" i="25"/>
  <c r="B13" i="25"/>
  <c r="O12" i="25"/>
  <c r="P12" i="25"/>
  <c r="Q12" i="25"/>
  <c r="R12" i="25"/>
  <c r="S12" i="25"/>
  <c r="T12" i="25"/>
  <c r="U12" i="25"/>
  <c r="V12" i="25"/>
  <c r="W12" i="25"/>
  <c r="X12" i="25"/>
  <c r="Y12" i="25"/>
  <c r="Z12" i="25"/>
  <c r="AA12" i="25"/>
  <c r="O13" i="25"/>
  <c r="P13" i="25"/>
  <c r="Q13" i="25"/>
  <c r="R13" i="25"/>
  <c r="S13" i="25"/>
  <c r="T13" i="25"/>
  <c r="U13" i="25"/>
  <c r="V13" i="25"/>
  <c r="W13" i="25"/>
  <c r="X13" i="25"/>
  <c r="Y13" i="25"/>
  <c r="Z13" i="25"/>
  <c r="AA13" i="25"/>
  <c r="C10" i="25"/>
  <c r="D10" i="25"/>
  <c r="AA16" i="25" s="1"/>
  <c r="C9" i="25"/>
  <c r="C1" i="25"/>
  <c r="C2" i="25"/>
  <c r="C3" i="25"/>
  <c r="C4" i="25"/>
  <c r="C5" i="25"/>
  <c r="C6" i="25"/>
  <c r="C7" i="25"/>
  <c r="C8" i="25"/>
  <c r="E6" i="25"/>
  <c r="E4" i="25"/>
  <c r="B3" i="25"/>
  <c r="N98" i="23"/>
  <c r="N100" i="23" s="1"/>
  <c r="I98" i="23"/>
  <c r="AA98" i="23" s="1"/>
  <c r="J98" i="23"/>
  <c r="N76" i="23"/>
  <c r="N77" i="23"/>
  <c r="N78" i="23"/>
  <c r="N79" i="23"/>
  <c r="N80" i="23"/>
  <c r="N81" i="23"/>
  <c r="N82" i="23"/>
  <c r="N83" i="23"/>
  <c r="N84" i="23"/>
  <c r="N85" i="23"/>
  <c r="N86" i="23"/>
  <c r="N87" i="23"/>
  <c r="N88" i="23"/>
  <c r="N89" i="23"/>
  <c r="N90" i="23"/>
  <c r="N91" i="23"/>
  <c r="N92" i="23"/>
  <c r="N93" i="23"/>
  <c r="N94" i="23"/>
  <c r="N95" i="23"/>
  <c r="AM95" i="23"/>
  <c r="AN95" i="23"/>
  <c r="AG77" i="23"/>
  <c r="AH77" i="23"/>
  <c r="AG78" i="23"/>
  <c r="AH78" i="23"/>
  <c r="AG79" i="23"/>
  <c r="AH79" i="23" s="1"/>
  <c r="AG80" i="23"/>
  <c r="AG81" i="23"/>
  <c r="AH81" i="23" s="1"/>
  <c r="AG82" i="23"/>
  <c r="AH82" i="23"/>
  <c r="AG83" i="23"/>
  <c r="AH83" i="23" s="1"/>
  <c r="AG84" i="23"/>
  <c r="AG85" i="23"/>
  <c r="AH85" i="23" s="1"/>
  <c r="AG86" i="23"/>
  <c r="AH86" i="23"/>
  <c r="AG87" i="23"/>
  <c r="AH87" i="23"/>
  <c r="AG88" i="23"/>
  <c r="AG89" i="23"/>
  <c r="AH89" i="23"/>
  <c r="AG90" i="23"/>
  <c r="AH90" i="23"/>
  <c r="AG91" i="23"/>
  <c r="AH91" i="23"/>
  <c r="AG92" i="23"/>
  <c r="AG93" i="23"/>
  <c r="AH93" i="23" s="1"/>
  <c r="AG94" i="23"/>
  <c r="AH94" i="23"/>
  <c r="AD77" i="23"/>
  <c r="AE77" i="23"/>
  <c r="AD78" i="23"/>
  <c r="AD79" i="23"/>
  <c r="AE79" i="23" s="1"/>
  <c r="AD80" i="23"/>
  <c r="AE80" i="23"/>
  <c r="AD81" i="23"/>
  <c r="AE81" i="23" s="1"/>
  <c r="AD82" i="23"/>
  <c r="AD83" i="23"/>
  <c r="AK83" i="23" s="1"/>
  <c r="AE83" i="23"/>
  <c r="AD84" i="23"/>
  <c r="AE84" i="23"/>
  <c r="AD85" i="23"/>
  <c r="AE85" i="23" s="1"/>
  <c r="AD86" i="23"/>
  <c r="AD87" i="23"/>
  <c r="AK87" i="23" s="1"/>
  <c r="AE87" i="23"/>
  <c r="AD88" i="23"/>
  <c r="AE88" i="23"/>
  <c r="AD89" i="23"/>
  <c r="AE89" i="23"/>
  <c r="AD90" i="23"/>
  <c r="AD91" i="23"/>
  <c r="AE91" i="23"/>
  <c r="AD92" i="23"/>
  <c r="AE92" i="23"/>
  <c r="AD93" i="23"/>
  <c r="AE93" i="23" s="1"/>
  <c r="AD94" i="23"/>
  <c r="O77" i="23"/>
  <c r="P77" i="23"/>
  <c r="Q77" i="23"/>
  <c r="R77" i="23"/>
  <c r="S77" i="23"/>
  <c r="T77" i="23"/>
  <c r="U77" i="23"/>
  <c r="V77" i="23"/>
  <c r="W77" i="23"/>
  <c r="X77" i="23"/>
  <c r="Y77" i="23"/>
  <c r="Z77" i="23"/>
  <c r="O78" i="23"/>
  <c r="P78" i="23"/>
  <c r="Q78" i="23"/>
  <c r="R78" i="23"/>
  <c r="S78" i="23"/>
  <c r="T78" i="23"/>
  <c r="U78" i="23"/>
  <c r="V78" i="23"/>
  <c r="W78" i="23"/>
  <c r="X78" i="23"/>
  <c r="Y78" i="23"/>
  <c r="Z78" i="23"/>
  <c r="O79" i="23"/>
  <c r="P79" i="23"/>
  <c r="Q79" i="23"/>
  <c r="R79" i="23"/>
  <c r="S79" i="23"/>
  <c r="T79" i="23"/>
  <c r="U79" i="23"/>
  <c r="V79" i="23"/>
  <c r="W79" i="23"/>
  <c r="X79" i="23"/>
  <c r="Y79" i="23"/>
  <c r="Z79" i="23"/>
  <c r="O80" i="23"/>
  <c r="P80" i="23"/>
  <c r="Q80" i="23"/>
  <c r="R80" i="23"/>
  <c r="S80" i="23"/>
  <c r="T80" i="23"/>
  <c r="U80" i="23"/>
  <c r="V80" i="23"/>
  <c r="W80" i="23"/>
  <c r="X80" i="23"/>
  <c r="Y80" i="23"/>
  <c r="Z80" i="23"/>
  <c r="O81" i="23"/>
  <c r="P81" i="23"/>
  <c r="Q81" i="23"/>
  <c r="R81" i="23"/>
  <c r="S81" i="23"/>
  <c r="T81" i="23"/>
  <c r="U81" i="23"/>
  <c r="V81" i="23"/>
  <c r="W81" i="23"/>
  <c r="X81" i="23"/>
  <c r="Y81" i="23"/>
  <c r="Z81" i="23"/>
  <c r="O82" i="23"/>
  <c r="P82" i="23"/>
  <c r="Q82" i="23"/>
  <c r="R82" i="23"/>
  <c r="S82" i="23"/>
  <c r="T82" i="23"/>
  <c r="U82" i="23"/>
  <c r="V82" i="23"/>
  <c r="W82" i="23"/>
  <c r="X82" i="23"/>
  <c r="Y82" i="23"/>
  <c r="Z82" i="23"/>
  <c r="O83" i="23"/>
  <c r="P83" i="23"/>
  <c r="Q83" i="23"/>
  <c r="R83" i="23"/>
  <c r="S83" i="23"/>
  <c r="T83" i="23"/>
  <c r="U83" i="23"/>
  <c r="V83" i="23"/>
  <c r="W83" i="23"/>
  <c r="X83" i="23"/>
  <c r="Y83" i="23"/>
  <c r="Z83" i="23"/>
  <c r="O84" i="23"/>
  <c r="P84" i="23"/>
  <c r="Q84" i="23"/>
  <c r="R84" i="23"/>
  <c r="S84" i="23"/>
  <c r="T84" i="23"/>
  <c r="U84" i="23"/>
  <c r="V84" i="23"/>
  <c r="W84" i="23"/>
  <c r="X84" i="23"/>
  <c r="Y84" i="23"/>
  <c r="Z84" i="23"/>
  <c r="O85" i="23"/>
  <c r="P85" i="23"/>
  <c r="Q85" i="23"/>
  <c r="R85" i="23"/>
  <c r="S85" i="23"/>
  <c r="T85" i="23"/>
  <c r="U85" i="23"/>
  <c r="V85" i="23"/>
  <c r="W85" i="23"/>
  <c r="X85" i="23"/>
  <c r="Y85" i="23"/>
  <c r="Z85" i="23"/>
  <c r="O86" i="23"/>
  <c r="P86" i="23"/>
  <c r="Q86" i="23"/>
  <c r="R86" i="23"/>
  <c r="S86" i="23"/>
  <c r="T86" i="23"/>
  <c r="U86" i="23"/>
  <c r="V86" i="23"/>
  <c r="W86" i="23"/>
  <c r="X86" i="23"/>
  <c r="Y86" i="23"/>
  <c r="Z86" i="23"/>
  <c r="O87" i="23"/>
  <c r="P87" i="23"/>
  <c r="Q87" i="23"/>
  <c r="R87" i="23"/>
  <c r="S87" i="23"/>
  <c r="T87" i="23"/>
  <c r="U87" i="23"/>
  <c r="V87" i="23"/>
  <c r="W87" i="23"/>
  <c r="X87" i="23"/>
  <c r="Y87" i="23"/>
  <c r="Z87" i="23"/>
  <c r="O88" i="23"/>
  <c r="P88" i="23"/>
  <c r="Q88" i="23"/>
  <c r="R88" i="23"/>
  <c r="S88" i="23"/>
  <c r="T88" i="23"/>
  <c r="U88" i="23"/>
  <c r="V88" i="23"/>
  <c r="W88" i="23"/>
  <c r="X88" i="23"/>
  <c r="Y88" i="23"/>
  <c r="Z88" i="23"/>
  <c r="O89" i="23"/>
  <c r="P89" i="23"/>
  <c r="Q89" i="23"/>
  <c r="R89" i="23"/>
  <c r="S89" i="23"/>
  <c r="T89" i="23"/>
  <c r="U89" i="23"/>
  <c r="V89" i="23"/>
  <c r="W89" i="23"/>
  <c r="X89" i="23"/>
  <c r="Y89" i="23"/>
  <c r="Z89" i="23"/>
  <c r="O90" i="23"/>
  <c r="P90" i="23"/>
  <c r="Q90" i="23"/>
  <c r="R90" i="23"/>
  <c r="S90" i="23"/>
  <c r="T90" i="23"/>
  <c r="U90" i="23"/>
  <c r="V90" i="23"/>
  <c r="W90" i="23"/>
  <c r="X90" i="23"/>
  <c r="Y90" i="23"/>
  <c r="Z90" i="23"/>
  <c r="O91" i="23"/>
  <c r="P91" i="23"/>
  <c r="Q91" i="23"/>
  <c r="R91" i="23"/>
  <c r="S91" i="23"/>
  <c r="T91" i="23"/>
  <c r="U91" i="23"/>
  <c r="V91" i="23"/>
  <c r="W91" i="23"/>
  <c r="X91" i="23"/>
  <c r="Y91" i="23"/>
  <c r="Z91" i="23"/>
  <c r="O92" i="23"/>
  <c r="P92" i="23"/>
  <c r="Q92" i="23"/>
  <c r="R92" i="23"/>
  <c r="S92" i="23"/>
  <c r="T92" i="23"/>
  <c r="U92" i="23"/>
  <c r="V92" i="23"/>
  <c r="W92" i="23"/>
  <c r="X92" i="23"/>
  <c r="Y92" i="23"/>
  <c r="Z92" i="23"/>
  <c r="O93" i="23"/>
  <c r="P93" i="23"/>
  <c r="Q93" i="23"/>
  <c r="R93" i="23"/>
  <c r="S93" i="23"/>
  <c r="T93" i="23"/>
  <c r="U93" i="23"/>
  <c r="V93" i="23"/>
  <c r="W93" i="23"/>
  <c r="X93" i="23"/>
  <c r="Y93" i="23"/>
  <c r="Z93" i="23"/>
  <c r="O94" i="23"/>
  <c r="P94" i="23"/>
  <c r="Q94" i="23"/>
  <c r="R94" i="23"/>
  <c r="S94" i="23"/>
  <c r="T94" i="23"/>
  <c r="U94" i="23"/>
  <c r="V94" i="23"/>
  <c r="W94" i="23"/>
  <c r="X94" i="23"/>
  <c r="Y94" i="23"/>
  <c r="Z94" i="23"/>
  <c r="I76" i="23"/>
  <c r="J76" i="23"/>
  <c r="I77" i="23"/>
  <c r="J77" i="23"/>
  <c r="I78" i="23"/>
  <c r="J78" i="23"/>
  <c r="I79" i="23"/>
  <c r="J79" i="23"/>
  <c r="I80" i="23"/>
  <c r="J80" i="23"/>
  <c r="I81" i="23"/>
  <c r="J81" i="23"/>
  <c r="I82" i="23"/>
  <c r="J82" i="23"/>
  <c r="I83" i="23"/>
  <c r="J83" i="23"/>
  <c r="I84" i="23"/>
  <c r="J84" i="23"/>
  <c r="I85" i="23"/>
  <c r="J85" i="23"/>
  <c r="I86" i="23"/>
  <c r="J86" i="23"/>
  <c r="I87" i="23"/>
  <c r="J87" i="23"/>
  <c r="I88" i="23"/>
  <c r="J88" i="23"/>
  <c r="I89" i="23"/>
  <c r="J89" i="23"/>
  <c r="I90" i="23"/>
  <c r="J90" i="23"/>
  <c r="I91" i="23"/>
  <c r="J91" i="23"/>
  <c r="I92" i="23"/>
  <c r="J92" i="23"/>
  <c r="I93" i="23"/>
  <c r="J93" i="23"/>
  <c r="I94" i="23"/>
  <c r="J94" i="23"/>
  <c r="I95" i="23"/>
  <c r="AA95" i="23" s="1"/>
  <c r="J95" i="23"/>
  <c r="B74" i="23"/>
  <c r="B68" i="23"/>
  <c r="B69" i="23"/>
  <c r="B70" i="23"/>
  <c r="A65" i="23"/>
  <c r="AH56" i="23"/>
  <c r="AH57" i="23"/>
  <c r="AH58" i="23"/>
  <c r="AN58" i="23" s="1"/>
  <c r="AH59" i="23"/>
  <c r="AH60" i="23"/>
  <c r="AH61" i="23"/>
  <c r="AM61" i="23"/>
  <c r="AH62" i="23"/>
  <c r="AH63" i="23"/>
  <c r="AH64" i="23"/>
  <c r="AH65" i="23"/>
  <c r="AH66" i="23"/>
  <c r="AN66" i="23"/>
  <c r="AH67" i="23"/>
  <c r="AH68" i="23"/>
  <c r="AH69" i="23"/>
  <c r="AH70" i="23"/>
  <c r="AH71" i="23"/>
  <c r="AH72" i="23"/>
  <c r="AH73" i="23"/>
  <c r="AH74" i="23"/>
  <c r="AE56" i="23"/>
  <c r="AE57" i="23"/>
  <c r="AE58" i="23"/>
  <c r="AF58" i="23"/>
  <c r="AE59" i="23"/>
  <c r="AE60" i="23"/>
  <c r="AE61" i="23"/>
  <c r="AE62" i="23"/>
  <c r="AE63" i="23"/>
  <c r="AE64" i="23"/>
  <c r="AE65" i="23"/>
  <c r="AE66" i="23"/>
  <c r="AE67" i="23"/>
  <c r="AE68" i="23"/>
  <c r="AE69" i="23"/>
  <c r="AE70" i="23"/>
  <c r="AE71" i="23"/>
  <c r="AE72" i="23"/>
  <c r="AE73" i="23"/>
  <c r="AE74" i="23"/>
  <c r="AB56" i="23"/>
  <c r="AM56" i="23" s="1"/>
  <c r="AB57" i="23"/>
  <c r="AA58" i="23"/>
  <c r="AI58" i="23" s="1"/>
  <c r="AB58" i="23"/>
  <c r="AM58" i="23" s="1"/>
  <c r="AA59" i="23"/>
  <c r="AB59" i="23"/>
  <c r="AB60" i="23"/>
  <c r="AM60" i="23" s="1"/>
  <c r="AB61" i="23"/>
  <c r="AN61" i="23" s="1"/>
  <c r="AB62" i="23"/>
  <c r="AM62" i="23" s="1"/>
  <c r="AB63" i="23"/>
  <c r="AB64" i="23"/>
  <c r="AM64" i="23" s="1"/>
  <c r="AB65" i="23"/>
  <c r="AN65" i="23" s="1"/>
  <c r="AB66" i="23"/>
  <c r="AM66" i="23" s="1"/>
  <c r="AA67" i="23"/>
  <c r="AI67" i="23" s="1"/>
  <c r="AB67" i="23"/>
  <c r="AB68" i="23"/>
  <c r="AM68" i="23" s="1"/>
  <c r="AB69" i="23"/>
  <c r="AN69" i="23" s="1"/>
  <c r="AB70" i="23"/>
  <c r="AM70" i="23" s="1"/>
  <c r="AB71" i="23"/>
  <c r="AM71" i="23" s="1"/>
  <c r="AB72" i="23"/>
  <c r="AM72" i="23" s="1"/>
  <c r="AB73" i="23"/>
  <c r="AB74" i="23"/>
  <c r="AM74" i="23" s="1"/>
  <c r="I56" i="23"/>
  <c r="AA56" i="23" s="1"/>
  <c r="J56" i="23"/>
  <c r="L56" i="23"/>
  <c r="M56" i="23"/>
  <c r="N56" i="23"/>
  <c r="I57" i="23"/>
  <c r="AA57" i="23" s="1"/>
  <c r="J57" i="23"/>
  <c r="K57" i="23"/>
  <c r="L57" i="23"/>
  <c r="M57" i="23"/>
  <c r="N57" i="23"/>
  <c r="I58" i="23"/>
  <c r="K58" i="23" s="1"/>
  <c r="J58" i="23"/>
  <c r="L58" i="23"/>
  <c r="M58" i="23"/>
  <c r="N58" i="23"/>
  <c r="I59" i="23"/>
  <c r="K59" i="23" s="1"/>
  <c r="J59" i="23"/>
  <c r="L59" i="23"/>
  <c r="M59" i="23"/>
  <c r="N59" i="23"/>
  <c r="I60" i="23"/>
  <c r="AA60" i="23" s="1"/>
  <c r="J60" i="23"/>
  <c r="L60" i="23"/>
  <c r="M60" i="23"/>
  <c r="N60" i="23"/>
  <c r="I61" i="23"/>
  <c r="J61" i="23"/>
  <c r="L61" i="23"/>
  <c r="M61" i="23"/>
  <c r="N61" i="23"/>
  <c r="I62" i="23"/>
  <c r="AA62" i="23" s="1"/>
  <c r="J62" i="23"/>
  <c r="K62" i="23"/>
  <c r="L62" i="23"/>
  <c r="M62" i="23"/>
  <c r="N62" i="23"/>
  <c r="I63" i="23"/>
  <c r="K63" i="23" s="1"/>
  <c r="J63" i="23"/>
  <c r="L63" i="23"/>
  <c r="M63" i="23"/>
  <c r="N63" i="23"/>
  <c r="I64" i="23"/>
  <c r="AA64" i="23" s="1"/>
  <c r="J64" i="23"/>
  <c r="L64" i="23"/>
  <c r="M64" i="23"/>
  <c r="N64" i="23"/>
  <c r="I65" i="23"/>
  <c r="AA65" i="23" s="1"/>
  <c r="J65" i="23"/>
  <c r="K65" i="23"/>
  <c r="L65" i="23"/>
  <c r="M65" i="23"/>
  <c r="N65" i="23"/>
  <c r="I66" i="23"/>
  <c r="AA66" i="23" s="1"/>
  <c r="J66" i="23"/>
  <c r="L66" i="23"/>
  <c r="M66" i="23"/>
  <c r="N66" i="23"/>
  <c r="I67" i="23"/>
  <c r="K67" i="23" s="1"/>
  <c r="J67" i="23"/>
  <c r="L67" i="23"/>
  <c r="M67" i="23"/>
  <c r="N67" i="23"/>
  <c r="I68" i="23"/>
  <c r="AA68" i="23" s="1"/>
  <c r="J68" i="23"/>
  <c r="L68" i="23"/>
  <c r="M68" i="23"/>
  <c r="N68" i="23"/>
  <c r="I69" i="23"/>
  <c r="AA69" i="23" s="1"/>
  <c r="J69" i="23"/>
  <c r="L69" i="23"/>
  <c r="M69" i="23"/>
  <c r="N69" i="23"/>
  <c r="I70" i="23"/>
  <c r="AA70" i="23" s="1"/>
  <c r="J70" i="23"/>
  <c r="K70" i="23"/>
  <c r="L70" i="23"/>
  <c r="M70" i="23"/>
  <c r="N70" i="23"/>
  <c r="I71" i="23"/>
  <c r="K71" i="23" s="1"/>
  <c r="J71" i="23"/>
  <c r="L71" i="23"/>
  <c r="M71" i="23"/>
  <c r="N71" i="23"/>
  <c r="I72" i="23"/>
  <c r="AA72" i="23" s="1"/>
  <c r="J72" i="23"/>
  <c r="L72" i="23"/>
  <c r="M72" i="23"/>
  <c r="N72" i="23"/>
  <c r="I73" i="23"/>
  <c r="AA73" i="23" s="1"/>
  <c r="J73" i="23"/>
  <c r="K73" i="23"/>
  <c r="L73" i="23"/>
  <c r="M73" i="23"/>
  <c r="N73" i="23"/>
  <c r="I74" i="23"/>
  <c r="J74" i="23"/>
  <c r="L74" i="23"/>
  <c r="M74" i="23"/>
  <c r="N74" i="23"/>
  <c r="N55" i="23"/>
  <c r="I55" i="23"/>
  <c r="J55" i="23"/>
  <c r="B44" i="23"/>
  <c r="B45" i="23"/>
  <c r="B39" i="23"/>
  <c r="B40" i="23"/>
  <c r="B41" i="23"/>
  <c r="A36" i="23"/>
  <c r="AH35" i="23"/>
  <c r="AH37" i="23"/>
  <c r="AK38" i="23"/>
  <c r="AH39" i="23"/>
  <c r="AH40" i="23"/>
  <c r="AH41" i="23"/>
  <c r="AH42" i="23"/>
  <c r="AH43" i="23"/>
  <c r="AH44" i="23"/>
  <c r="AH45" i="23"/>
  <c r="AH47" i="23"/>
  <c r="AH48" i="23"/>
  <c r="AH49" i="23"/>
  <c r="AH50" i="23"/>
  <c r="AH51" i="23"/>
  <c r="AH52" i="23"/>
  <c r="AE35" i="23"/>
  <c r="AE37" i="23"/>
  <c r="AE39" i="23"/>
  <c r="AF39" i="23"/>
  <c r="AE40" i="23"/>
  <c r="AE41" i="23"/>
  <c r="AE42" i="23"/>
  <c r="AE43" i="23"/>
  <c r="AF43" i="23"/>
  <c r="AE44" i="23"/>
  <c r="AE45" i="23"/>
  <c r="AE46" i="23"/>
  <c r="AE47" i="23"/>
  <c r="AE48" i="23"/>
  <c r="AE49" i="23"/>
  <c r="AE50" i="23"/>
  <c r="AE51" i="23"/>
  <c r="AE52" i="23"/>
  <c r="AA35" i="23"/>
  <c r="AI35" i="23" s="1"/>
  <c r="AB35" i="23"/>
  <c r="AM35" i="23" s="1"/>
  <c r="AA39" i="23"/>
  <c r="AB39" i="23" s="1"/>
  <c r="AM39" i="23" s="1"/>
  <c r="AA43" i="23"/>
  <c r="AI43" i="23" s="1"/>
  <c r="AB43" i="23"/>
  <c r="AM43" i="23" s="1"/>
  <c r="AA51" i="23"/>
  <c r="AB51" i="23"/>
  <c r="AM51" i="23" s="1"/>
  <c r="I34" i="23"/>
  <c r="AA34" i="23" s="1"/>
  <c r="J34" i="23"/>
  <c r="L34" i="23"/>
  <c r="M34" i="23"/>
  <c r="N34" i="23"/>
  <c r="I35" i="23"/>
  <c r="J35" i="23"/>
  <c r="K35" i="23"/>
  <c r="L35" i="23"/>
  <c r="M35" i="23"/>
  <c r="N35" i="23"/>
  <c r="I36" i="23"/>
  <c r="AA36" i="23" s="1"/>
  <c r="J36" i="23"/>
  <c r="K36" i="23"/>
  <c r="L36" i="23"/>
  <c r="M36" i="23"/>
  <c r="N36" i="23"/>
  <c r="I37" i="23"/>
  <c r="K37" i="23" s="1"/>
  <c r="J37" i="23"/>
  <c r="L37" i="23"/>
  <c r="M37" i="23"/>
  <c r="N37" i="23"/>
  <c r="I38" i="23"/>
  <c r="AA38" i="23" s="1"/>
  <c r="J38" i="23"/>
  <c r="L38" i="23"/>
  <c r="M38" i="23"/>
  <c r="N38" i="23"/>
  <c r="I39" i="23"/>
  <c r="J39" i="23"/>
  <c r="K39" i="23"/>
  <c r="L39" i="23"/>
  <c r="M39" i="23"/>
  <c r="N39" i="23"/>
  <c r="I40" i="23"/>
  <c r="AA40" i="23" s="1"/>
  <c r="J40" i="23"/>
  <c r="K40" i="23"/>
  <c r="L40" i="23"/>
  <c r="M40" i="23"/>
  <c r="N40" i="23"/>
  <c r="I41" i="23"/>
  <c r="K41" i="23" s="1"/>
  <c r="J41" i="23"/>
  <c r="L41" i="23"/>
  <c r="M41" i="23"/>
  <c r="N41" i="23"/>
  <c r="I42" i="23"/>
  <c r="AA42" i="23" s="1"/>
  <c r="J42" i="23"/>
  <c r="L42" i="23"/>
  <c r="M42" i="23"/>
  <c r="N42" i="23"/>
  <c r="I43" i="23"/>
  <c r="J43" i="23"/>
  <c r="K43" i="23"/>
  <c r="L43" i="23"/>
  <c r="M43" i="23"/>
  <c r="N43" i="23"/>
  <c r="I44" i="23"/>
  <c r="J44" i="23"/>
  <c r="L44" i="23"/>
  <c r="M44" i="23"/>
  <c r="N44" i="23"/>
  <c r="I45" i="23"/>
  <c r="K45" i="23" s="1"/>
  <c r="J45" i="23"/>
  <c r="L45" i="23"/>
  <c r="M45" i="23"/>
  <c r="N45" i="23"/>
  <c r="I46" i="23"/>
  <c r="AA46" i="23" s="1"/>
  <c r="J46" i="23"/>
  <c r="L46" i="23"/>
  <c r="M46" i="23"/>
  <c r="N46" i="23"/>
  <c r="I47" i="23"/>
  <c r="J47" i="23"/>
  <c r="L47" i="23"/>
  <c r="M47" i="23"/>
  <c r="N47" i="23"/>
  <c r="I48" i="23"/>
  <c r="AA48" i="23" s="1"/>
  <c r="J48" i="23"/>
  <c r="K48" i="23"/>
  <c r="L48" i="23"/>
  <c r="M48" i="23"/>
  <c r="N48" i="23"/>
  <c r="I49" i="23"/>
  <c r="K49" i="23" s="1"/>
  <c r="J49" i="23"/>
  <c r="L49" i="23"/>
  <c r="M49" i="23"/>
  <c r="N49" i="23"/>
  <c r="I50" i="23"/>
  <c r="AA50" i="23" s="1"/>
  <c r="J50" i="23"/>
  <c r="L50" i="23"/>
  <c r="M50" i="23"/>
  <c r="N50" i="23"/>
  <c r="I51" i="23"/>
  <c r="J51" i="23"/>
  <c r="K51" i="23"/>
  <c r="L51" i="23"/>
  <c r="M51" i="23"/>
  <c r="N51" i="23"/>
  <c r="I52" i="23"/>
  <c r="AA52" i="23" s="1"/>
  <c r="J52" i="23"/>
  <c r="L52" i="23"/>
  <c r="M52" i="23"/>
  <c r="N52" i="23"/>
  <c r="I53" i="23"/>
  <c r="K53" i="23" s="1"/>
  <c r="J53" i="23"/>
  <c r="L53" i="23"/>
  <c r="M53" i="23"/>
  <c r="N53" i="23"/>
  <c r="N33" i="23"/>
  <c r="I33" i="23"/>
  <c r="J33" i="23"/>
  <c r="AG32" i="23"/>
  <c r="AL32" i="23" s="1"/>
  <c r="AD32" i="23"/>
  <c r="AK32" i="23" s="1"/>
  <c r="O32" i="23"/>
  <c r="P32" i="23"/>
  <c r="Q32" i="23"/>
  <c r="R32" i="23"/>
  <c r="S32" i="23"/>
  <c r="T32" i="23"/>
  <c r="U32" i="23"/>
  <c r="V32" i="23"/>
  <c r="W32" i="23"/>
  <c r="X32" i="23"/>
  <c r="Y32" i="23"/>
  <c r="Z32" i="23"/>
  <c r="AJ32" i="23" s="1"/>
  <c r="AJ31" i="23"/>
  <c r="AK31" i="23"/>
  <c r="AL31" i="23"/>
  <c r="AM31" i="23"/>
  <c r="AN31" i="23"/>
  <c r="AG31" i="23"/>
  <c r="AD31" i="23"/>
  <c r="O31" i="23"/>
  <c r="P31" i="23"/>
  <c r="Q31" i="23"/>
  <c r="R31" i="23"/>
  <c r="S31" i="23"/>
  <c r="T31" i="23"/>
  <c r="U31" i="23"/>
  <c r="V31" i="23"/>
  <c r="W31" i="23"/>
  <c r="X31" i="23"/>
  <c r="Y31" i="23"/>
  <c r="Z31" i="23"/>
  <c r="AA31" i="23"/>
  <c r="N26" i="23"/>
  <c r="N27" i="23"/>
  <c r="N28" i="23"/>
  <c r="N29" i="23"/>
  <c r="B22" i="23"/>
  <c r="B23" i="23"/>
  <c r="AG16" i="23"/>
  <c r="AG19" i="23"/>
  <c r="AH34" i="23" s="1"/>
  <c r="AG20" i="23"/>
  <c r="AL63" i="23" s="1"/>
  <c r="AD19" i="23"/>
  <c r="AE98" i="23" s="1"/>
  <c r="AD20" i="23"/>
  <c r="N19" i="23"/>
  <c r="O19" i="23"/>
  <c r="P19" i="23"/>
  <c r="Q19" i="23"/>
  <c r="R19" i="23"/>
  <c r="S19" i="23"/>
  <c r="T19" i="23"/>
  <c r="U19" i="23"/>
  <c r="V19" i="23"/>
  <c r="W19" i="23"/>
  <c r="X19" i="23"/>
  <c r="Y19" i="23"/>
  <c r="Z19" i="23"/>
  <c r="N20" i="23"/>
  <c r="O20" i="23"/>
  <c r="P20" i="23"/>
  <c r="Q20" i="23"/>
  <c r="R20" i="23"/>
  <c r="S20" i="23"/>
  <c r="T20" i="23"/>
  <c r="U20" i="23"/>
  <c r="V20" i="23"/>
  <c r="W20" i="23"/>
  <c r="X20" i="23"/>
  <c r="Y20" i="23"/>
  <c r="Z20" i="23"/>
  <c r="G19" i="23"/>
  <c r="B17" i="23"/>
  <c r="B18" i="23"/>
  <c r="B19" i="23"/>
  <c r="O16" i="23"/>
  <c r="P16" i="23"/>
  <c r="Q16" i="23"/>
  <c r="R16" i="23"/>
  <c r="S16" i="23"/>
  <c r="T16" i="23"/>
  <c r="U16" i="23"/>
  <c r="V16" i="23"/>
  <c r="W16" i="23"/>
  <c r="X16" i="23"/>
  <c r="Y16" i="23"/>
  <c r="O17" i="23"/>
  <c r="P17" i="23"/>
  <c r="Q17" i="23"/>
  <c r="R17" i="23"/>
  <c r="S17" i="23"/>
  <c r="T17" i="23"/>
  <c r="U17" i="23"/>
  <c r="V17" i="23"/>
  <c r="W17" i="23"/>
  <c r="X17" i="23"/>
  <c r="Y17" i="23"/>
  <c r="Z17" i="23"/>
  <c r="AA17" i="23" s="1"/>
  <c r="AA18" i="23" s="1"/>
  <c r="A14" i="23"/>
  <c r="AG12" i="23"/>
  <c r="AG13" i="23"/>
  <c r="AD12" i="23"/>
  <c r="AD13" i="23"/>
  <c r="B12" i="23"/>
  <c r="B13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C10" i="23"/>
  <c r="D10" i="23"/>
  <c r="C9" i="23"/>
  <c r="C1" i="23"/>
  <c r="C2" i="23"/>
  <c r="C3" i="23"/>
  <c r="C4" i="23"/>
  <c r="C5" i="23"/>
  <c r="C6" i="23"/>
  <c r="C7" i="23"/>
  <c r="C8" i="23"/>
  <c r="E6" i="23"/>
  <c r="B29" i="23" s="1"/>
  <c r="E4" i="23"/>
  <c r="B3" i="23"/>
  <c r="B111" i="22"/>
  <c r="B105" i="22"/>
  <c r="B106" i="22"/>
  <c r="B107" i="22"/>
  <c r="A102" i="22"/>
  <c r="B79" i="22"/>
  <c r="B80" i="22"/>
  <c r="B74" i="22"/>
  <c r="B75" i="22"/>
  <c r="B76" i="22"/>
  <c r="AG74" i="22"/>
  <c r="AD74" i="22"/>
  <c r="O74" i="22"/>
  <c r="P74" i="22"/>
  <c r="Q74" i="22"/>
  <c r="R74" i="22"/>
  <c r="S74" i="22"/>
  <c r="T74" i="22"/>
  <c r="U74" i="22"/>
  <c r="V74" i="22"/>
  <c r="W74" i="22"/>
  <c r="X74" i="22"/>
  <c r="Y74" i="22"/>
  <c r="Z74" i="22"/>
  <c r="N71" i="22"/>
  <c r="N74" i="22" s="1"/>
  <c r="N72" i="22"/>
  <c r="N75" i="22" s="1"/>
  <c r="AH71" i="22"/>
  <c r="AI71" i="22"/>
  <c r="AH72" i="22"/>
  <c r="AE71" i="22"/>
  <c r="AE72" i="22"/>
  <c r="AA72" i="22"/>
  <c r="AI72" i="22" s="1"/>
  <c r="I71" i="22"/>
  <c r="AA71" i="22" s="1"/>
  <c r="AF71" i="22" s="1"/>
  <c r="J71" i="22"/>
  <c r="I72" i="22"/>
  <c r="J72" i="22"/>
  <c r="A71" i="22"/>
  <c r="N66" i="22"/>
  <c r="N67" i="22"/>
  <c r="N68" i="22"/>
  <c r="N69" i="22"/>
  <c r="I69" i="22"/>
  <c r="AA69" i="22" s="1"/>
  <c r="J69" i="22"/>
  <c r="AH67" i="22"/>
  <c r="AH68" i="22"/>
  <c r="AH69" i="22"/>
  <c r="AE67" i="22"/>
  <c r="AE68" i="22"/>
  <c r="AE69" i="22"/>
  <c r="AB69" i="22"/>
  <c r="AM69" i="22" s="1"/>
  <c r="I67" i="22"/>
  <c r="K67" i="22" s="1"/>
  <c r="J67" i="22"/>
  <c r="L67" i="22"/>
  <c r="M67" i="22"/>
  <c r="I68" i="22"/>
  <c r="AA68" i="22" s="1"/>
  <c r="J68" i="22"/>
  <c r="K68" i="22"/>
  <c r="L68" i="22"/>
  <c r="M68" i="22"/>
  <c r="I66" i="22"/>
  <c r="J66" i="22"/>
  <c r="AH60" i="22"/>
  <c r="AH61" i="22"/>
  <c r="AH62" i="22"/>
  <c r="AH63" i="22"/>
  <c r="AH64" i="22"/>
  <c r="AE60" i="22"/>
  <c r="AE61" i="22"/>
  <c r="AE62" i="22"/>
  <c r="AE63" i="22"/>
  <c r="AE64" i="22"/>
  <c r="I60" i="22"/>
  <c r="AA60" i="22" s="1"/>
  <c r="AI60" i="22" s="1"/>
  <c r="J60" i="22"/>
  <c r="L60" i="22"/>
  <c r="M60" i="22"/>
  <c r="N60" i="22"/>
  <c r="I61" i="22"/>
  <c r="AA61" i="22" s="1"/>
  <c r="J61" i="22"/>
  <c r="L61" i="22"/>
  <c r="M61" i="22"/>
  <c r="N61" i="22"/>
  <c r="I62" i="22"/>
  <c r="K62" i="22" s="1"/>
  <c r="J62" i="22"/>
  <c r="L62" i="22"/>
  <c r="M62" i="22"/>
  <c r="N62" i="22"/>
  <c r="I63" i="22"/>
  <c r="AA63" i="22" s="1"/>
  <c r="J63" i="22"/>
  <c r="K63" i="22"/>
  <c r="L63" i="22"/>
  <c r="M63" i="22"/>
  <c r="N63" i="22"/>
  <c r="I64" i="22"/>
  <c r="AA64" i="22" s="1"/>
  <c r="J64" i="22"/>
  <c r="L64" i="22"/>
  <c r="M64" i="22"/>
  <c r="N64" i="22"/>
  <c r="N58" i="22"/>
  <c r="N59" i="22"/>
  <c r="I58" i="22"/>
  <c r="J58" i="22"/>
  <c r="I59" i="22"/>
  <c r="J59" i="22"/>
  <c r="AD56" i="22"/>
  <c r="AD75" i="22" s="1"/>
  <c r="AE56" i="22"/>
  <c r="AG56" i="22"/>
  <c r="AH56" i="22" s="1"/>
  <c r="N56" i="22"/>
  <c r="O56" i="22"/>
  <c r="O75" i="22" s="1"/>
  <c r="P56" i="22"/>
  <c r="P75" i="22" s="1"/>
  <c r="Q56" i="22"/>
  <c r="Q75" i="22" s="1"/>
  <c r="R56" i="22"/>
  <c r="R75" i="22" s="1"/>
  <c r="S56" i="22"/>
  <c r="S75" i="22" s="1"/>
  <c r="T56" i="22"/>
  <c r="T75" i="22" s="1"/>
  <c r="U56" i="22"/>
  <c r="U75" i="22" s="1"/>
  <c r="V56" i="22"/>
  <c r="V75" i="22" s="1"/>
  <c r="W56" i="22"/>
  <c r="W75" i="22" s="1"/>
  <c r="X56" i="22"/>
  <c r="X75" i="22" s="1"/>
  <c r="Y56" i="22"/>
  <c r="Y75" i="22" s="1"/>
  <c r="Z56" i="22"/>
  <c r="Z75" i="22" s="1"/>
  <c r="AB46" i="22"/>
  <c r="AB47" i="22"/>
  <c r="AM47" i="22" s="1"/>
  <c r="AB48" i="22"/>
  <c r="AB49" i="22"/>
  <c r="AB50" i="22"/>
  <c r="AN50" i="22" s="1"/>
  <c r="AB51" i="22"/>
  <c r="AN51" i="22" s="1"/>
  <c r="AB52" i="22"/>
  <c r="AB53" i="22"/>
  <c r="AB54" i="22"/>
  <c r="AB55" i="22"/>
  <c r="AM55" i="22" s="1"/>
  <c r="N45" i="22"/>
  <c r="N46" i="22"/>
  <c r="N47" i="22"/>
  <c r="N48" i="22"/>
  <c r="N49" i="22"/>
  <c r="N50" i="22"/>
  <c r="N51" i="22"/>
  <c r="N52" i="22"/>
  <c r="N53" i="22"/>
  <c r="N54" i="22"/>
  <c r="N55" i="22"/>
  <c r="I55" i="22"/>
  <c r="K55" i="22" s="1"/>
  <c r="J55" i="22"/>
  <c r="I56" i="22"/>
  <c r="J56" i="22"/>
  <c r="K56" i="22"/>
  <c r="B51" i="22"/>
  <c r="B52" i="22"/>
  <c r="B46" i="22"/>
  <c r="B47" i="22"/>
  <c r="B48" i="22"/>
  <c r="AH46" i="22"/>
  <c r="AH47" i="22"/>
  <c r="AH48" i="22"/>
  <c r="AH49" i="22"/>
  <c r="AN49" i="22" s="1"/>
  <c r="AH50" i="22"/>
  <c r="AH51" i="22"/>
  <c r="AH52" i="22"/>
  <c r="AH53" i="22"/>
  <c r="AN53" i="22" s="1"/>
  <c r="AH54" i="22"/>
  <c r="AH55" i="22"/>
  <c r="AI55" i="22"/>
  <c r="AE46" i="22"/>
  <c r="AE47" i="22"/>
  <c r="AE48" i="22"/>
  <c r="AE49" i="22"/>
  <c r="AM49" i="22" s="1"/>
  <c r="AE50" i="22"/>
  <c r="AM50" i="22" s="1"/>
  <c r="AE51" i="22"/>
  <c r="AE52" i="22"/>
  <c r="AM52" i="22" s="1"/>
  <c r="AE53" i="22"/>
  <c r="AM53" i="22" s="1"/>
  <c r="AE54" i="22"/>
  <c r="AE55" i="22"/>
  <c r="AF55" i="22"/>
  <c r="I46" i="22"/>
  <c r="AA46" i="22" s="1"/>
  <c r="J46" i="22"/>
  <c r="K46" i="22"/>
  <c r="L46" i="22"/>
  <c r="M46" i="22"/>
  <c r="I47" i="22"/>
  <c r="AA47" i="22" s="1"/>
  <c r="J47" i="22"/>
  <c r="L47" i="22"/>
  <c r="M47" i="22"/>
  <c r="I48" i="22"/>
  <c r="K48" i="22" s="1"/>
  <c r="J48" i="22"/>
  <c r="L48" i="22"/>
  <c r="M48" i="22"/>
  <c r="I49" i="22"/>
  <c r="K49" i="22" s="1"/>
  <c r="J49" i="22"/>
  <c r="L49" i="22"/>
  <c r="M49" i="22"/>
  <c r="I50" i="22"/>
  <c r="AA50" i="22" s="1"/>
  <c r="J50" i="22"/>
  <c r="L50" i="22"/>
  <c r="M50" i="22"/>
  <c r="I51" i="22"/>
  <c r="AA51" i="22" s="1"/>
  <c r="J51" i="22"/>
  <c r="L51" i="22"/>
  <c r="M51" i="22"/>
  <c r="I52" i="22"/>
  <c r="AA52" i="22" s="1"/>
  <c r="J52" i="22"/>
  <c r="K52" i="22"/>
  <c r="L52" i="22"/>
  <c r="M52" i="22"/>
  <c r="I53" i="22"/>
  <c r="AA53" i="22" s="1"/>
  <c r="AI53" i="22" s="1"/>
  <c r="J53" i="22"/>
  <c r="K53" i="22"/>
  <c r="L53" i="22"/>
  <c r="M53" i="22"/>
  <c r="I54" i="22"/>
  <c r="AA54" i="22" s="1"/>
  <c r="J54" i="22"/>
  <c r="L54" i="22"/>
  <c r="M54" i="22"/>
  <c r="I45" i="22"/>
  <c r="J45" i="22"/>
  <c r="A43" i="22"/>
  <c r="AH34" i="22"/>
  <c r="AH35" i="22"/>
  <c r="AH36" i="22"/>
  <c r="AH37" i="22"/>
  <c r="AH38" i="22"/>
  <c r="AK38" i="22"/>
  <c r="AL38" i="22"/>
  <c r="AH39" i="22"/>
  <c r="AH40" i="22"/>
  <c r="AH41" i="22"/>
  <c r="AH42" i="22"/>
  <c r="AH43" i="22"/>
  <c r="AE34" i="22"/>
  <c r="AE35" i="22"/>
  <c r="AE36" i="22"/>
  <c r="AE37" i="22"/>
  <c r="AE38" i="22"/>
  <c r="AE39" i="22"/>
  <c r="AE40" i="22"/>
  <c r="AE41" i="22"/>
  <c r="AE42" i="22"/>
  <c r="AE43" i="22"/>
  <c r="AA42" i="22"/>
  <c r="AF42" i="22" s="1"/>
  <c r="I34" i="22"/>
  <c r="K34" i="22" s="1"/>
  <c r="J34" i="22"/>
  <c r="L34" i="22"/>
  <c r="M34" i="22"/>
  <c r="N34" i="22"/>
  <c r="I35" i="22"/>
  <c r="AA35" i="22" s="1"/>
  <c r="J35" i="22"/>
  <c r="K35" i="22"/>
  <c r="L35" i="22"/>
  <c r="M35" i="22"/>
  <c r="N35" i="22"/>
  <c r="I36" i="22"/>
  <c r="K36" i="22" s="1"/>
  <c r="J36" i="22"/>
  <c r="L36" i="22"/>
  <c r="M36" i="22"/>
  <c r="N36" i="22"/>
  <c r="I37" i="22"/>
  <c r="AA37" i="22" s="1"/>
  <c r="J37" i="22"/>
  <c r="K37" i="22"/>
  <c r="L37" i="22"/>
  <c r="M37" i="22"/>
  <c r="N37" i="22"/>
  <c r="I38" i="22"/>
  <c r="AA38" i="22" s="1"/>
  <c r="J38" i="22"/>
  <c r="L38" i="22"/>
  <c r="M38" i="22"/>
  <c r="N38" i="22"/>
  <c r="I39" i="22"/>
  <c r="AA39" i="22" s="1"/>
  <c r="J39" i="22"/>
  <c r="K39" i="22"/>
  <c r="L39" i="22"/>
  <c r="M39" i="22"/>
  <c r="N39" i="22"/>
  <c r="I40" i="22"/>
  <c r="K40" i="22" s="1"/>
  <c r="J40" i="22"/>
  <c r="L40" i="22"/>
  <c r="M40" i="22"/>
  <c r="N40" i="22"/>
  <c r="I41" i="22"/>
  <c r="AA41" i="22" s="1"/>
  <c r="J41" i="22"/>
  <c r="L41" i="22"/>
  <c r="M41" i="22"/>
  <c r="N41" i="22"/>
  <c r="I42" i="22"/>
  <c r="J42" i="22"/>
  <c r="K42" i="22"/>
  <c r="L42" i="22"/>
  <c r="M42" i="22"/>
  <c r="N42" i="22"/>
  <c r="I43" i="22"/>
  <c r="AA43" i="22" s="1"/>
  <c r="J43" i="22"/>
  <c r="L43" i="22"/>
  <c r="M43" i="22"/>
  <c r="N43" i="22"/>
  <c r="N33" i="22"/>
  <c r="I33" i="22"/>
  <c r="J33" i="22"/>
  <c r="AG32" i="22"/>
  <c r="AL32" i="22" s="1"/>
  <c r="AD32" i="22"/>
  <c r="AK32" i="22" s="1"/>
  <c r="O32" i="22"/>
  <c r="P32" i="22"/>
  <c r="Q32" i="22"/>
  <c r="R32" i="22"/>
  <c r="S32" i="22"/>
  <c r="T32" i="22"/>
  <c r="U32" i="22"/>
  <c r="V32" i="22"/>
  <c r="W32" i="22"/>
  <c r="X32" i="22"/>
  <c r="Y32" i="22"/>
  <c r="Z32" i="22"/>
  <c r="AJ32" i="22" s="1"/>
  <c r="AJ31" i="22"/>
  <c r="AK31" i="22"/>
  <c r="AM31" i="22" s="1"/>
  <c r="AL31" i="22"/>
  <c r="AN31" i="22"/>
  <c r="AG31" i="22"/>
  <c r="AD31" i="22"/>
  <c r="O31" i="22"/>
  <c r="P31" i="22"/>
  <c r="Q31" i="22"/>
  <c r="R31" i="22"/>
  <c r="S31" i="22"/>
  <c r="T31" i="22"/>
  <c r="U31" i="22"/>
  <c r="V31" i="22"/>
  <c r="W31" i="22"/>
  <c r="X31" i="22"/>
  <c r="Y31" i="22"/>
  <c r="Z31" i="22"/>
  <c r="AA31" i="22"/>
  <c r="N26" i="22"/>
  <c r="N27" i="22"/>
  <c r="N28" i="22"/>
  <c r="N29" i="22"/>
  <c r="B22" i="22"/>
  <c r="B23" i="22"/>
  <c r="AG16" i="22"/>
  <c r="AG19" i="22"/>
  <c r="AG20" i="22"/>
  <c r="AL64" i="22" s="1"/>
  <c r="AD19" i="22"/>
  <c r="AD20" i="22"/>
  <c r="AK62" i="22" s="1"/>
  <c r="N19" i="22"/>
  <c r="O19" i="22"/>
  <c r="P19" i="22"/>
  <c r="Q19" i="22"/>
  <c r="R19" i="22"/>
  <c r="S19" i="22"/>
  <c r="T19" i="22"/>
  <c r="U19" i="22"/>
  <c r="V19" i="22"/>
  <c r="W19" i="22"/>
  <c r="X19" i="22"/>
  <c r="Y19" i="22"/>
  <c r="Z19" i="22"/>
  <c r="N20" i="22"/>
  <c r="O20" i="22"/>
  <c r="P20" i="22"/>
  <c r="Q20" i="22"/>
  <c r="R20" i="22"/>
  <c r="S20" i="22"/>
  <c r="T20" i="22"/>
  <c r="U20" i="22"/>
  <c r="V20" i="22"/>
  <c r="W20" i="22"/>
  <c r="X20" i="22"/>
  <c r="Y20" i="22"/>
  <c r="Z20" i="22"/>
  <c r="G19" i="22"/>
  <c r="B17" i="22"/>
  <c r="B18" i="22"/>
  <c r="B19" i="22"/>
  <c r="O16" i="22"/>
  <c r="P16" i="22"/>
  <c r="Q16" i="22"/>
  <c r="R16" i="22"/>
  <c r="S16" i="22"/>
  <c r="T16" i="22"/>
  <c r="U16" i="22"/>
  <c r="V16" i="22"/>
  <c r="W16" i="22"/>
  <c r="X16" i="22"/>
  <c r="Y16" i="22"/>
  <c r="AA16" i="22"/>
  <c r="O17" i="22"/>
  <c r="P17" i="22"/>
  <c r="Q17" i="22"/>
  <c r="R17" i="22"/>
  <c r="S17" i="22"/>
  <c r="T17" i="22"/>
  <c r="U17" i="22"/>
  <c r="V17" i="22"/>
  <c r="W17" i="22"/>
  <c r="X17" i="22"/>
  <c r="Y17" i="22"/>
  <c r="Z17" i="22"/>
  <c r="AA17" i="22" s="1"/>
  <c r="AA11" i="22" s="1"/>
  <c r="A14" i="22"/>
  <c r="AG12" i="22"/>
  <c r="AG13" i="22"/>
  <c r="AD12" i="22"/>
  <c r="AD13" i="22"/>
  <c r="B12" i="22"/>
  <c r="B13" i="22"/>
  <c r="O12" i="22"/>
  <c r="P12" i="22"/>
  <c r="Q12" i="22"/>
  <c r="R12" i="22"/>
  <c r="S12" i="22"/>
  <c r="T12" i="22"/>
  <c r="U12" i="22"/>
  <c r="V12" i="22"/>
  <c r="W12" i="22"/>
  <c r="X12" i="22"/>
  <c r="Y12" i="22"/>
  <c r="Z12" i="22"/>
  <c r="AA12" i="22"/>
  <c r="O13" i="22"/>
  <c r="P13" i="22"/>
  <c r="Q13" i="22"/>
  <c r="R13" i="22"/>
  <c r="S13" i="22"/>
  <c r="T13" i="22"/>
  <c r="U13" i="22"/>
  <c r="V13" i="22"/>
  <c r="W13" i="22"/>
  <c r="X13" i="22"/>
  <c r="Y13" i="22"/>
  <c r="Z13" i="22"/>
  <c r="AA13" i="22"/>
  <c r="C10" i="22"/>
  <c r="D10" i="22"/>
  <c r="C9" i="22"/>
  <c r="C1" i="22"/>
  <c r="C2" i="22"/>
  <c r="C3" i="22"/>
  <c r="C4" i="22"/>
  <c r="C5" i="22"/>
  <c r="C6" i="22"/>
  <c r="C7" i="22"/>
  <c r="C8" i="22"/>
  <c r="E6" i="22"/>
  <c r="B29" i="22" s="1"/>
  <c r="E4" i="22"/>
  <c r="B3" i="22"/>
  <c r="B110" i="21"/>
  <c r="B104" i="21"/>
  <c r="B105" i="21"/>
  <c r="B106" i="21"/>
  <c r="A101" i="21"/>
  <c r="B78" i="21"/>
  <c r="B79" i="21"/>
  <c r="AG76" i="21"/>
  <c r="AD76" i="21"/>
  <c r="O76" i="21"/>
  <c r="P76" i="21"/>
  <c r="Q76" i="21"/>
  <c r="R76" i="21"/>
  <c r="S76" i="21"/>
  <c r="T76" i="21"/>
  <c r="U76" i="21"/>
  <c r="V76" i="21"/>
  <c r="W76" i="21"/>
  <c r="X76" i="21"/>
  <c r="Y76" i="21"/>
  <c r="Z76" i="21"/>
  <c r="N77" i="21"/>
  <c r="B73" i="21"/>
  <c r="B74" i="21"/>
  <c r="B75" i="21"/>
  <c r="N73" i="21"/>
  <c r="N76" i="21" s="1"/>
  <c r="N74" i="21"/>
  <c r="AH73" i="21"/>
  <c r="AH74" i="21"/>
  <c r="AE73" i="21"/>
  <c r="AE74" i="21"/>
  <c r="I73" i="21"/>
  <c r="AA73" i="21" s="1"/>
  <c r="J73" i="21"/>
  <c r="I74" i="21"/>
  <c r="AA74" i="21" s="1"/>
  <c r="J74" i="21"/>
  <c r="N68" i="21"/>
  <c r="N69" i="21"/>
  <c r="N70" i="21"/>
  <c r="N71" i="21"/>
  <c r="I71" i="21"/>
  <c r="AA71" i="21" s="1"/>
  <c r="J71" i="21"/>
  <c r="A70" i="21"/>
  <c r="AH69" i="21"/>
  <c r="AH70" i="21"/>
  <c r="AH71" i="21"/>
  <c r="AE69" i="21"/>
  <c r="AE70" i="21"/>
  <c r="AE71" i="21"/>
  <c r="AA69" i="21"/>
  <c r="AI69" i="21" s="1"/>
  <c r="AB69" i="21"/>
  <c r="AM69" i="21" s="1"/>
  <c r="AA70" i="21"/>
  <c r="AI70" i="21" s="1"/>
  <c r="I69" i="21"/>
  <c r="J69" i="21"/>
  <c r="L69" i="21"/>
  <c r="M69" i="21"/>
  <c r="I70" i="21"/>
  <c r="J70" i="21"/>
  <c r="K70" i="21"/>
  <c r="L70" i="21"/>
  <c r="M70" i="21"/>
  <c r="I68" i="21"/>
  <c r="J68" i="21"/>
  <c r="AH62" i="21"/>
  <c r="AH63" i="21"/>
  <c r="AH64" i="21"/>
  <c r="AH65" i="21"/>
  <c r="AH66" i="21"/>
  <c r="AE62" i="21"/>
  <c r="AE63" i="21"/>
  <c r="AE64" i="21"/>
  <c r="AE65" i="21"/>
  <c r="AE66" i="21"/>
  <c r="AA62" i="21"/>
  <c r="AA65" i="21"/>
  <c r="AF65" i="21" s="1"/>
  <c r="I62" i="21"/>
  <c r="K62" i="21" s="1"/>
  <c r="J62" i="21"/>
  <c r="L62" i="21"/>
  <c r="M62" i="21"/>
  <c r="N62" i="21"/>
  <c r="I63" i="21"/>
  <c r="AA63" i="21" s="1"/>
  <c r="J63" i="21"/>
  <c r="L63" i="21"/>
  <c r="M63" i="21"/>
  <c r="N63" i="21"/>
  <c r="I64" i="21"/>
  <c r="AA64" i="21" s="1"/>
  <c r="J64" i="21"/>
  <c r="K64" i="21"/>
  <c r="L64" i="21"/>
  <c r="M64" i="21"/>
  <c r="N64" i="21"/>
  <c r="I65" i="21"/>
  <c r="J65" i="21"/>
  <c r="K65" i="21"/>
  <c r="L65" i="21"/>
  <c r="M65" i="21"/>
  <c r="N65" i="21"/>
  <c r="I66" i="21"/>
  <c r="K66" i="21" s="1"/>
  <c r="J66" i="21"/>
  <c r="L66" i="21"/>
  <c r="M66" i="21"/>
  <c r="N66" i="21"/>
  <c r="N60" i="21"/>
  <c r="N61" i="21"/>
  <c r="I60" i="21"/>
  <c r="J60" i="21"/>
  <c r="I61" i="21"/>
  <c r="J61" i="21"/>
  <c r="AD58" i="21"/>
  <c r="AG58" i="21"/>
  <c r="AH58" i="21" s="1"/>
  <c r="N58" i="21"/>
  <c r="O58" i="21"/>
  <c r="P58" i="21"/>
  <c r="P77" i="21" s="1"/>
  <c r="Q58" i="21"/>
  <c r="Q77" i="21" s="1"/>
  <c r="R58" i="21"/>
  <c r="R77" i="21" s="1"/>
  <c r="S58" i="21"/>
  <c r="S77" i="21" s="1"/>
  <c r="T58" i="21"/>
  <c r="T77" i="21" s="1"/>
  <c r="U58" i="21"/>
  <c r="U77" i="21" s="1"/>
  <c r="V58" i="21"/>
  <c r="V77" i="21" s="1"/>
  <c r="W58" i="21"/>
  <c r="W77" i="21" s="1"/>
  <c r="X58" i="21"/>
  <c r="X77" i="21" s="1"/>
  <c r="Y58" i="21"/>
  <c r="Y77" i="21" s="1"/>
  <c r="Z58" i="21"/>
  <c r="Z77" i="21" s="1"/>
  <c r="AH57" i="21"/>
  <c r="AI57" i="21"/>
  <c r="AB47" i="21"/>
  <c r="AB48" i="21"/>
  <c r="AN48" i="21" s="1"/>
  <c r="AB49" i="21"/>
  <c r="AN49" i="21" s="1"/>
  <c r="AB50" i="21"/>
  <c r="AN50" i="21" s="1"/>
  <c r="AB51" i="21"/>
  <c r="AB52" i="21"/>
  <c r="AB53" i="21"/>
  <c r="AM53" i="21" s="1"/>
  <c r="AB54" i="21"/>
  <c r="AB55" i="21"/>
  <c r="AB56" i="21"/>
  <c r="AB57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I57" i="21"/>
  <c r="J57" i="21"/>
  <c r="K57" i="21"/>
  <c r="I58" i="21"/>
  <c r="K58" i="21" s="1"/>
  <c r="J58" i="21"/>
  <c r="B50" i="21"/>
  <c r="B51" i="21"/>
  <c r="AH47" i="21"/>
  <c r="AN47" i="21" s="1"/>
  <c r="AL47" i="21"/>
  <c r="AH48" i="21"/>
  <c r="AH49" i="21"/>
  <c r="AH50" i="21"/>
  <c r="AH51" i="21"/>
  <c r="AN51" i="21" s="1"/>
  <c r="AH52" i="21"/>
  <c r="AN52" i="21"/>
  <c r="AH53" i="21"/>
  <c r="AH54" i="21"/>
  <c r="AN54" i="21" s="1"/>
  <c r="AL54" i="21"/>
  <c r="AH55" i="21"/>
  <c r="AN55" i="21" s="1"/>
  <c r="AL55" i="21"/>
  <c r="AH56" i="21"/>
  <c r="AE47" i="21"/>
  <c r="AE48" i="21"/>
  <c r="AE49" i="21"/>
  <c r="AE50" i="21"/>
  <c r="AE51" i="21"/>
  <c r="AE52" i="21"/>
  <c r="AM52" i="21" s="1"/>
  <c r="AE53" i="21"/>
  <c r="AE54" i="21"/>
  <c r="AM54" i="21" s="1"/>
  <c r="AE55" i="21"/>
  <c r="AE56" i="21"/>
  <c r="AM56" i="21" s="1"/>
  <c r="AE57" i="21"/>
  <c r="AF57" i="21"/>
  <c r="I47" i="21"/>
  <c r="AA47" i="21" s="1"/>
  <c r="J47" i="21"/>
  <c r="L47" i="21"/>
  <c r="M47" i="21"/>
  <c r="I48" i="21"/>
  <c r="K48" i="21" s="1"/>
  <c r="J48" i="21"/>
  <c r="L48" i="21"/>
  <c r="M48" i="21"/>
  <c r="I49" i="21"/>
  <c r="AA49" i="21" s="1"/>
  <c r="J49" i="21"/>
  <c r="L49" i="21"/>
  <c r="M49" i="21"/>
  <c r="I50" i="21"/>
  <c r="AA50" i="21" s="1"/>
  <c r="J50" i="21"/>
  <c r="L50" i="21"/>
  <c r="M50" i="21"/>
  <c r="I51" i="21"/>
  <c r="AA51" i="21" s="1"/>
  <c r="J51" i="21"/>
  <c r="K51" i="21"/>
  <c r="L51" i="21"/>
  <c r="M51" i="21"/>
  <c r="I52" i="21"/>
  <c r="AA52" i="21" s="1"/>
  <c r="J52" i="21"/>
  <c r="K52" i="21"/>
  <c r="L52" i="21"/>
  <c r="M52" i="21"/>
  <c r="I53" i="21"/>
  <c r="AA53" i="21" s="1"/>
  <c r="J53" i="21"/>
  <c r="K53" i="21"/>
  <c r="L53" i="21"/>
  <c r="M53" i="21"/>
  <c r="I54" i="21"/>
  <c r="K54" i="21" s="1"/>
  <c r="J54" i="21"/>
  <c r="L54" i="21"/>
  <c r="M54" i="21"/>
  <c r="I55" i="21"/>
  <c r="AA55" i="21" s="1"/>
  <c r="J55" i="21"/>
  <c r="L55" i="21"/>
  <c r="M55" i="21"/>
  <c r="I56" i="21"/>
  <c r="K56" i="21" s="1"/>
  <c r="J56" i="21"/>
  <c r="L56" i="21"/>
  <c r="M56" i="21"/>
  <c r="B45" i="21"/>
  <c r="B46" i="21"/>
  <c r="B47" i="21"/>
  <c r="I46" i="21"/>
  <c r="J46" i="21"/>
  <c r="A42" i="21"/>
  <c r="AH34" i="21"/>
  <c r="AH35" i="21"/>
  <c r="AI35" i="21"/>
  <c r="AK35" i="21"/>
  <c r="AL35" i="21"/>
  <c r="AH36" i="21"/>
  <c r="AL36" i="21"/>
  <c r="AH37" i="21"/>
  <c r="AL37" i="21"/>
  <c r="AH38" i="21"/>
  <c r="AL38" i="21"/>
  <c r="AH39" i="21"/>
  <c r="AH40" i="21"/>
  <c r="AH41" i="21"/>
  <c r="AH42" i="21"/>
  <c r="AH43" i="21"/>
  <c r="AI43" i="21"/>
  <c r="AK43" i="21"/>
  <c r="AL43" i="21"/>
  <c r="AH44" i="21"/>
  <c r="AL44" i="21"/>
  <c r="AE34" i="21"/>
  <c r="AE35" i="21"/>
  <c r="AF35" i="21"/>
  <c r="AE36" i="21"/>
  <c r="AE37" i="21"/>
  <c r="AE38" i="21"/>
  <c r="AE39" i="21"/>
  <c r="AE40" i="21"/>
  <c r="AE41" i="21"/>
  <c r="AE42" i="21"/>
  <c r="AE43" i="21"/>
  <c r="AF43" i="21"/>
  <c r="AE44" i="21"/>
  <c r="AA35" i="21"/>
  <c r="AB35" i="21" s="1"/>
  <c r="AN35" i="21" s="1"/>
  <c r="AA42" i="21"/>
  <c r="AF42" i="21" s="1"/>
  <c r="AA43" i="21"/>
  <c r="AB43" i="21" s="1"/>
  <c r="AN43" i="21" s="1"/>
  <c r="I34" i="21"/>
  <c r="AA34" i="21" s="1"/>
  <c r="AF34" i="21" s="1"/>
  <c r="J34" i="21"/>
  <c r="L34" i="21"/>
  <c r="M34" i="21"/>
  <c r="N34" i="21"/>
  <c r="I35" i="21"/>
  <c r="J35" i="21"/>
  <c r="K35" i="21"/>
  <c r="L35" i="21"/>
  <c r="M35" i="21"/>
  <c r="N35" i="21"/>
  <c r="I36" i="21"/>
  <c r="AA36" i="21" s="1"/>
  <c r="J36" i="21"/>
  <c r="L36" i="21"/>
  <c r="M36" i="21"/>
  <c r="N36" i="21"/>
  <c r="I37" i="21"/>
  <c r="K37" i="21" s="1"/>
  <c r="J37" i="21"/>
  <c r="L37" i="21"/>
  <c r="M37" i="21"/>
  <c r="N37" i="21"/>
  <c r="I38" i="21"/>
  <c r="AA38" i="21" s="1"/>
  <c r="AI38" i="21" s="1"/>
  <c r="J38" i="21"/>
  <c r="K38" i="21"/>
  <c r="L38" i="21"/>
  <c r="M38" i="21"/>
  <c r="N38" i="21"/>
  <c r="I39" i="21"/>
  <c r="AA39" i="21" s="1"/>
  <c r="J39" i="21"/>
  <c r="L39" i="21"/>
  <c r="M39" i="21"/>
  <c r="N39" i="21"/>
  <c r="I40" i="21"/>
  <c r="AA40" i="21" s="1"/>
  <c r="J40" i="21"/>
  <c r="L40" i="21"/>
  <c r="M40" i="21"/>
  <c r="N40" i="21"/>
  <c r="I41" i="21"/>
  <c r="K41" i="21" s="1"/>
  <c r="J41" i="21"/>
  <c r="L41" i="21"/>
  <c r="M41" i="21"/>
  <c r="N41" i="21"/>
  <c r="I42" i="21"/>
  <c r="K42" i="21" s="1"/>
  <c r="J42" i="21"/>
  <c r="L42" i="21"/>
  <c r="M42" i="21"/>
  <c r="N42" i="21"/>
  <c r="I43" i="21"/>
  <c r="J43" i="21"/>
  <c r="K43" i="21"/>
  <c r="L43" i="21"/>
  <c r="M43" i="21"/>
  <c r="N43" i="21"/>
  <c r="I44" i="21"/>
  <c r="AA44" i="21" s="1"/>
  <c r="J44" i="21"/>
  <c r="L44" i="21"/>
  <c r="M44" i="21"/>
  <c r="N44" i="21"/>
  <c r="N33" i="21"/>
  <c r="I33" i="21"/>
  <c r="J33" i="21"/>
  <c r="AL32" i="21"/>
  <c r="AG32" i="21"/>
  <c r="AD32" i="21"/>
  <c r="AK32" i="21" s="1"/>
  <c r="O32" i="21"/>
  <c r="P32" i="21"/>
  <c r="Q32" i="21"/>
  <c r="R32" i="21"/>
  <c r="S32" i="21"/>
  <c r="T32" i="21"/>
  <c r="U32" i="21"/>
  <c r="V32" i="21"/>
  <c r="W32" i="21"/>
  <c r="X32" i="21"/>
  <c r="Y32" i="21"/>
  <c r="Z32" i="21"/>
  <c r="AJ32" i="21" s="1"/>
  <c r="AJ31" i="21"/>
  <c r="AK31" i="21"/>
  <c r="AM31" i="21" s="1"/>
  <c r="AL31" i="21"/>
  <c r="AN31" i="21" s="1"/>
  <c r="AG31" i="21"/>
  <c r="AD31" i="21"/>
  <c r="O31" i="21"/>
  <c r="P31" i="21"/>
  <c r="Q31" i="21"/>
  <c r="R31" i="21"/>
  <c r="S31" i="21"/>
  <c r="T31" i="21"/>
  <c r="U31" i="21"/>
  <c r="V31" i="21"/>
  <c r="W31" i="21"/>
  <c r="X31" i="21"/>
  <c r="Y31" i="21"/>
  <c r="Z31" i="21"/>
  <c r="AA31" i="21"/>
  <c r="N26" i="21"/>
  <c r="N27" i="21"/>
  <c r="N28" i="21"/>
  <c r="N29" i="21"/>
  <c r="B22" i="21"/>
  <c r="B23" i="21"/>
  <c r="AG16" i="21"/>
  <c r="AG19" i="21"/>
  <c r="AG20" i="21"/>
  <c r="AL64" i="21" s="1"/>
  <c r="AD19" i="21"/>
  <c r="AD20" i="21"/>
  <c r="AK63" i="21" s="1"/>
  <c r="N19" i="21"/>
  <c r="O19" i="21"/>
  <c r="P19" i="21"/>
  <c r="Q19" i="21"/>
  <c r="R19" i="21"/>
  <c r="S19" i="21"/>
  <c r="T19" i="21"/>
  <c r="U19" i="21"/>
  <c r="V19" i="21"/>
  <c r="W19" i="21"/>
  <c r="X19" i="21"/>
  <c r="Y19" i="21"/>
  <c r="Z19" i="21"/>
  <c r="N20" i="21"/>
  <c r="O20" i="21"/>
  <c r="P20" i="21"/>
  <c r="Q20" i="21"/>
  <c r="R20" i="21"/>
  <c r="S20" i="21"/>
  <c r="T20" i="21"/>
  <c r="U20" i="21"/>
  <c r="V20" i="21"/>
  <c r="W20" i="21"/>
  <c r="X20" i="21"/>
  <c r="Y20" i="21"/>
  <c r="Z20" i="21"/>
  <c r="G19" i="21"/>
  <c r="B17" i="21"/>
  <c r="B18" i="21"/>
  <c r="B19" i="21"/>
  <c r="O16" i="21"/>
  <c r="P16" i="21"/>
  <c r="Q16" i="21"/>
  <c r="R16" i="21"/>
  <c r="S16" i="21"/>
  <c r="T16" i="21"/>
  <c r="U16" i="21"/>
  <c r="V16" i="21"/>
  <c r="W16" i="21"/>
  <c r="X16" i="21"/>
  <c r="Y16" i="21"/>
  <c r="O17" i="21"/>
  <c r="P17" i="21"/>
  <c r="Q17" i="21"/>
  <c r="R17" i="21"/>
  <c r="S17" i="21"/>
  <c r="T17" i="21"/>
  <c r="U17" i="21"/>
  <c r="V17" i="21"/>
  <c r="W17" i="21"/>
  <c r="X17" i="21"/>
  <c r="Y17" i="21"/>
  <c r="Z17" i="21"/>
  <c r="AA17" i="21"/>
  <c r="AA11" i="21" s="1"/>
  <c r="A14" i="21"/>
  <c r="AG12" i="21"/>
  <c r="AG13" i="21"/>
  <c r="AD12" i="21"/>
  <c r="AD13" i="21"/>
  <c r="B12" i="21"/>
  <c r="B13" i="21"/>
  <c r="O12" i="21"/>
  <c r="P12" i="21"/>
  <c r="Q12" i="21"/>
  <c r="R12" i="21"/>
  <c r="S12" i="21"/>
  <c r="T12" i="21"/>
  <c r="U12" i="21"/>
  <c r="V12" i="21"/>
  <c r="W12" i="21"/>
  <c r="X12" i="21"/>
  <c r="Y12" i="21"/>
  <c r="Z12" i="21"/>
  <c r="AA12" i="21"/>
  <c r="O13" i="21"/>
  <c r="P13" i="21"/>
  <c r="Q13" i="21"/>
  <c r="R13" i="21"/>
  <c r="S13" i="21"/>
  <c r="T13" i="21"/>
  <c r="U13" i="21"/>
  <c r="V13" i="21"/>
  <c r="W13" i="21"/>
  <c r="X13" i="21"/>
  <c r="Y13" i="21"/>
  <c r="Z13" i="21"/>
  <c r="AA13" i="21"/>
  <c r="C10" i="21"/>
  <c r="D10" i="21"/>
  <c r="Z16" i="21" s="1"/>
  <c r="C9" i="21"/>
  <c r="C1" i="21"/>
  <c r="C2" i="21"/>
  <c r="C3" i="21"/>
  <c r="C4" i="21"/>
  <c r="C5" i="21"/>
  <c r="C6" i="21"/>
  <c r="C7" i="21"/>
  <c r="C8" i="21"/>
  <c r="E6" i="21"/>
  <c r="B57" i="21" s="1"/>
  <c r="E4" i="21"/>
  <c r="B3" i="21"/>
  <c r="B111" i="20"/>
  <c r="B105" i="20"/>
  <c r="B106" i="20"/>
  <c r="B107" i="20"/>
  <c r="A102" i="20"/>
  <c r="B79" i="20"/>
  <c r="B80" i="20"/>
  <c r="B74" i="20"/>
  <c r="B75" i="20"/>
  <c r="B76" i="20"/>
  <c r="AG71" i="20"/>
  <c r="AD71" i="20"/>
  <c r="O71" i="20"/>
  <c r="P71" i="20"/>
  <c r="Q71" i="20"/>
  <c r="R71" i="20"/>
  <c r="S71" i="20"/>
  <c r="T71" i="20"/>
  <c r="U71" i="20"/>
  <c r="V71" i="20"/>
  <c r="W71" i="20"/>
  <c r="X71" i="20"/>
  <c r="Y71" i="20"/>
  <c r="Z71" i="20"/>
  <c r="R72" i="20"/>
  <c r="T72" i="20"/>
  <c r="A71" i="20"/>
  <c r="N68" i="20"/>
  <c r="N71" i="20" s="1"/>
  <c r="N69" i="20"/>
  <c r="N72" i="20" s="1"/>
  <c r="AK69" i="20"/>
  <c r="AA68" i="20"/>
  <c r="AA69" i="20"/>
  <c r="AI69" i="20" s="1"/>
  <c r="I68" i="20"/>
  <c r="J68" i="20"/>
  <c r="I69" i="20"/>
  <c r="J69" i="20"/>
  <c r="N59" i="20"/>
  <c r="N60" i="20"/>
  <c r="N61" i="20"/>
  <c r="N62" i="20"/>
  <c r="N63" i="20"/>
  <c r="N64" i="20"/>
  <c r="N65" i="20"/>
  <c r="N66" i="20"/>
  <c r="I66" i="20"/>
  <c r="AA66" i="20" s="1"/>
  <c r="J66" i="20"/>
  <c r="AH60" i="20"/>
  <c r="AH61" i="20"/>
  <c r="AH64" i="20"/>
  <c r="AH65" i="20"/>
  <c r="AF66" i="20"/>
  <c r="AA60" i="20"/>
  <c r="AI60" i="20" s="1"/>
  <c r="AA61" i="20"/>
  <c r="AF61" i="20" s="1"/>
  <c r="I60" i="20"/>
  <c r="J60" i="20"/>
  <c r="K60" i="20" s="1"/>
  <c r="L60" i="20"/>
  <c r="M60" i="20"/>
  <c r="I61" i="20"/>
  <c r="J61" i="20"/>
  <c r="L61" i="20"/>
  <c r="M61" i="20"/>
  <c r="I62" i="20"/>
  <c r="K62" i="20" s="1"/>
  <c r="J62" i="20"/>
  <c r="L62" i="20"/>
  <c r="M62" i="20"/>
  <c r="I63" i="20"/>
  <c r="AA63" i="20" s="1"/>
  <c r="J63" i="20"/>
  <c r="L63" i="20"/>
  <c r="M63" i="20"/>
  <c r="I64" i="20"/>
  <c r="AA64" i="20" s="1"/>
  <c r="J64" i="20"/>
  <c r="K64" i="20"/>
  <c r="L64" i="20"/>
  <c r="M64" i="20"/>
  <c r="I65" i="20"/>
  <c r="J65" i="20"/>
  <c r="L65" i="20"/>
  <c r="M65" i="20"/>
  <c r="I59" i="20"/>
  <c r="J59" i="20"/>
  <c r="B51" i="20"/>
  <c r="B52" i="20"/>
  <c r="AH48" i="20"/>
  <c r="AH49" i="20"/>
  <c r="AH50" i="20"/>
  <c r="AI51" i="20"/>
  <c r="AK53" i="20"/>
  <c r="AE48" i="20"/>
  <c r="AE49" i="20"/>
  <c r="AE50" i="20"/>
  <c r="I48" i="20"/>
  <c r="J48" i="20"/>
  <c r="L48" i="20"/>
  <c r="M48" i="20"/>
  <c r="N48" i="20"/>
  <c r="I49" i="20"/>
  <c r="AA49" i="20" s="1"/>
  <c r="J49" i="20"/>
  <c r="L49" i="20"/>
  <c r="M49" i="20"/>
  <c r="N49" i="20"/>
  <c r="I50" i="20"/>
  <c r="K50" i="20" s="1"/>
  <c r="J50" i="20"/>
  <c r="L50" i="20"/>
  <c r="M50" i="20"/>
  <c r="N50" i="20"/>
  <c r="I51" i="20"/>
  <c r="AA51" i="20" s="1"/>
  <c r="J51" i="20"/>
  <c r="L51" i="20"/>
  <c r="M51" i="20"/>
  <c r="N51" i="20"/>
  <c r="I52" i="20"/>
  <c r="J52" i="20"/>
  <c r="L52" i="20"/>
  <c r="M52" i="20"/>
  <c r="N52" i="20"/>
  <c r="I53" i="20"/>
  <c r="AA53" i="20" s="1"/>
  <c r="J53" i="20"/>
  <c r="L53" i="20"/>
  <c r="M53" i="20"/>
  <c r="N53" i="20"/>
  <c r="I54" i="20"/>
  <c r="K54" i="20" s="1"/>
  <c r="J54" i="20"/>
  <c r="L54" i="20"/>
  <c r="M54" i="20"/>
  <c r="N54" i="20"/>
  <c r="I55" i="20"/>
  <c r="AA55" i="20" s="1"/>
  <c r="J55" i="20"/>
  <c r="L55" i="20"/>
  <c r="M55" i="20"/>
  <c r="N55" i="20"/>
  <c r="I56" i="20"/>
  <c r="J56" i="20"/>
  <c r="L56" i="20"/>
  <c r="M56" i="20"/>
  <c r="N56" i="20"/>
  <c r="I57" i="20"/>
  <c r="AA57" i="20" s="1"/>
  <c r="J57" i="20"/>
  <c r="K57" i="20"/>
  <c r="L57" i="20"/>
  <c r="M57" i="20"/>
  <c r="N57" i="20"/>
  <c r="B46" i="20"/>
  <c r="B47" i="20"/>
  <c r="B48" i="20"/>
  <c r="N46" i="20"/>
  <c r="N47" i="20"/>
  <c r="I46" i="20"/>
  <c r="J46" i="20"/>
  <c r="I47" i="20"/>
  <c r="J47" i="20"/>
  <c r="AD44" i="20"/>
  <c r="AD72" i="20" s="1"/>
  <c r="AG44" i="20"/>
  <c r="N44" i="20"/>
  <c r="O44" i="20"/>
  <c r="O72" i="20" s="1"/>
  <c r="P44" i="20"/>
  <c r="P72" i="20" s="1"/>
  <c r="Q44" i="20"/>
  <c r="Q72" i="20" s="1"/>
  <c r="R44" i="20"/>
  <c r="S44" i="20"/>
  <c r="S72" i="20" s="1"/>
  <c r="T44" i="20"/>
  <c r="U44" i="20"/>
  <c r="U72" i="20" s="1"/>
  <c r="V44" i="20"/>
  <c r="W44" i="20"/>
  <c r="W72" i="20" s="1"/>
  <c r="X44" i="20"/>
  <c r="X72" i="20" s="1"/>
  <c r="Y44" i="20"/>
  <c r="Y72" i="20" s="1"/>
  <c r="Z44" i="20"/>
  <c r="Z72" i="20" s="1"/>
  <c r="N40" i="20"/>
  <c r="N41" i="20"/>
  <c r="N42" i="20"/>
  <c r="N43" i="20"/>
  <c r="I43" i="20"/>
  <c r="J43" i="20"/>
  <c r="K43" i="20"/>
  <c r="I44" i="20"/>
  <c r="J44" i="20"/>
  <c r="K44" i="20"/>
  <c r="A43" i="20"/>
  <c r="AH41" i="20"/>
  <c r="AK41" i="20"/>
  <c r="AN41" i="20"/>
  <c r="AH42" i="20"/>
  <c r="AH43" i="20"/>
  <c r="AN43" i="20" s="1"/>
  <c r="AI43" i="20"/>
  <c r="AK43" i="20"/>
  <c r="AE41" i="20"/>
  <c r="AF41" i="20"/>
  <c r="AE42" i="20"/>
  <c r="AE43" i="20"/>
  <c r="AM43" i="20" s="1"/>
  <c r="AF43" i="20"/>
  <c r="AA41" i="20"/>
  <c r="AI41" i="20" s="1"/>
  <c r="AB41" i="20"/>
  <c r="AM41" i="20" s="1"/>
  <c r="AB42" i="20"/>
  <c r="I41" i="20"/>
  <c r="J41" i="20"/>
  <c r="K41" i="20"/>
  <c r="L41" i="20"/>
  <c r="M41" i="20"/>
  <c r="I42" i="20"/>
  <c r="AA42" i="20" s="1"/>
  <c r="J42" i="20"/>
  <c r="L42" i="20"/>
  <c r="M42" i="20"/>
  <c r="I40" i="20"/>
  <c r="J40" i="20"/>
  <c r="AH34" i="20"/>
  <c r="AH36" i="20"/>
  <c r="AH37" i="20"/>
  <c r="AK37" i="20"/>
  <c r="AH38" i="20"/>
  <c r="AE36" i="20"/>
  <c r="AE37" i="20"/>
  <c r="AA34" i="20"/>
  <c r="AI34" i="20" s="1"/>
  <c r="AA38" i="20"/>
  <c r="AI38" i="20" s="1"/>
  <c r="I34" i="20"/>
  <c r="K34" i="20" s="1"/>
  <c r="J34" i="20"/>
  <c r="L34" i="20"/>
  <c r="M34" i="20"/>
  <c r="N34" i="20"/>
  <c r="I35" i="20"/>
  <c r="AA35" i="20" s="1"/>
  <c r="J35" i="20"/>
  <c r="L35" i="20"/>
  <c r="M35" i="20"/>
  <c r="N35" i="20"/>
  <c r="I36" i="20"/>
  <c r="J36" i="20"/>
  <c r="L36" i="20"/>
  <c r="M36" i="20"/>
  <c r="N36" i="20"/>
  <c r="I37" i="20"/>
  <c r="K37" i="20" s="1"/>
  <c r="J37" i="20"/>
  <c r="L37" i="20"/>
  <c r="M37" i="20"/>
  <c r="N37" i="20"/>
  <c r="I38" i="20"/>
  <c r="K38" i="20" s="1"/>
  <c r="J38" i="20"/>
  <c r="L38" i="20"/>
  <c r="M38" i="20"/>
  <c r="N38" i="20"/>
  <c r="N33" i="20"/>
  <c r="I33" i="20"/>
  <c r="J33" i="20"/>
  <c r="AG32" i="20"/>
  <c r="AL32" i="20" s="1"/>
  <c r="AD32" i="20"/>
  <c r="AK32" i="20" s="1"/>
  <c r="O32" i="20"/>
  <c r="P32" i="20"/>
  <c r="Q32" i="20"/>
  <c r="R32" i="20"/>
  <c r="S32" i="20"/>
  <c r="T32" i="20"/>
  <c r="U32" i="20"/>
  <c r="V32" i="20"/>
  <c r="W32" i="20"/>
  <c r="X32" i="20"/>
  <c r="Y32" i="20"/>
  <c r="Z32" i="20"/>
  <c r="AJ32" i="20" s="1"/>
  <c r="AJ31" i="20"/>
  <c r="AK31" i="20"/>
  <c r="AL31" i="20"/>
  <c r="AN31" i="20" s="1"/>
  <c r="AM31" i="20"/>
  <c r="AG31" i="20"/>
  <c r="AD31" i="20"/>
  <c r="O31" i="20"/>
  <c r="P31" i="20"/>
  <c r="Q31" i="20"/>
  <c r="R31" i="20"/>
  <c r="S31" i="20"/>
  <c r="T31" i="20"/>
  <c r="U31" i="20"/>
  <c r="V31" i="20"/>
  <c r="W31" i="20"/>
  <c r="X31" i="20"/>
  <c r="Y31" i="20"/>
  <c r="Z31" i="20"/>
  <c r="AA31" i="20"/>
  <c r="N26" i="20"/>
  <c r="N27" i="20"/>
  <c r="N28" i="20"/>
  <c r="N29" i="20"/>
  <c r="B22" i="20"/>
  <c r="B23" i="20"/>
  <c r="AG16" i="20"/>
  <c r="AG19" i="20"/>
  <c r="AH68" i="20" s="1"/>
  <c r="AG20" i="20"/>
  <c r="AL61" i="20" s="1"/>
  <c r="AD19" i="20"/>
  <c r="AE69" i="20" s="1"/>
  <c r="AD20" i="20"/>
  <c r="AK55" i="20" s="1"/>
  <c r="N19" i="20"/>
  <c r="O19" i="20"/>
  <c r="P19" i="20"/>
  <c r="Q19" i="20"/>
  <c r="R19" i="20"/>
  <c r="S19" i="20"/>
  <c r="T19" i="20"/>
  <c r="AA19" i="20" s="1"/>
  <c r="U19" i="20"/>
  <c r="V19" i="20"/>
  <c r="W19" i="20"/>
  <c r="X19" i="20"/>
  <c r="Y19" i="20"/>
  <c r="Z19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G19" i="20"/>
  <c r="B17" i="20"/>
  <c r="B18" i="20"/>
  <c r="B19" i="20"/>
  <c r="O16" i="20"/>
  <c r="P16" i="20"/>
  <c r="Q16" i="20"/>
  <c r="R16" i="20"/>
  <c r="S16" i="20"/>
  <c r="T16" i="20"/>
  <c r="U16" i="20"/>
  <c r="V16" i="20"/>
  <c r="W16" i="20"/>
  <c r="X16" i="20"/>
  <c r="Y16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AA17" i="20" s="1"/>
  <c r="AA11" i="20" s="1"/>
  <c r="A14" i="20"/>
  <c r="AG12" i="20"/>
  <c r="AG13" i="20"/>
  <c r="AD12" i="20"/>
  <c r="AD13" i="20"/>
  <c r="B12" i="20"/>
  <c r="B13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C10" i="20"/>
  <c r="D10" i="20"/>
  <c r="Z16" i="20" s="1"/>
  <c r="C9" i="20"/>
  <c r="C1" i="20"/>
  <c r="C2" i="20"/>
  <c r="C3" i="20"/>
  <c r="C4" i="20"/>
  <c r="C5" i="20"/>
  <c r="C6" i="20"/>
  <c r="C7" i="20"/>
  <c r="C8" i="20"/>
  <c r="E6" i="20"/>
  <c r="B29" i="20" s="1"/>
  <c r="E4" i="20"/>
  <c r="B3" i="20"/>
  <c r="B111" i="19"/>
  <c r="B105" i="19"/>
  <c r="B106" i="19"/>
  <c r="B107" i="19"/>
  <c r="A102" i="19"/>
  <c r="B79" i="19"/>
  <c r="B80" i="19"/>
  <c r="B74" i="19"/>
  <c r="B75" i="19"/>
  <c r="B76" i="19"/>
  <c r="A71" i="19"/>
  <c r="AG69" i="19"/>
  <c r="AD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T70" i="19"/>
  <c r="N66" i="19"/>
  <c r="N69" i="19" s="1"/>
  <c r="N67" i="19"/>
  <c r="N70" i="19" s="1"/>
  <c r="AH66" i="19"/>
  <c r="AH67" i="19"/>
  <c r="AE66" i="19"/>
  <c r="AE67" i="19"/>
  <c r="I66" i="19"/>
  <c r="AA66" i="19" s="1"/>
  <c r="J66" i="19"/>
  <c r="I67" i="19"/>
  <c r="AA67" i="19" s="1"/>
  <c r="AI67" i="19" s="1"/>
  <c r="J67" i="19"/>
  <c r="N61" i="19"/>
  <c r="N62" i="19"/>
  <c r="N63" i="19"/>
  <c r="N64" i="19"/>
  <c r="I64" i="19"/>
  <c r="AA64" i="19" s="1"/>
  <c r="AB64" i="19" s="1"/>
  <c r="J64" i="19"/>
  <c r="AH62" i="19"/>
  <c r="AH63" i="19"/>
  <c r="AH64" i="19"/>
  <c r="AE62" i="19"/>
  <c r="AE63" i="19"/>
  <c r="AE64" i="19"/>
  <c r="I62" i="19"/>
  <c r="K62" i="19" s="1"/>
  <c r="J62" i="19"/>
  <c r="L62" i="19"/>
  <c r="M62" i="19"/>
  <c r="I63" i="19"/>
  <c r="AA63" i="19" s="1"/>
  <c r="AB63" i="19" s="1"/>
  <c r="J63" i="19"/>
  <c r="L63" i="19"/>
  <c r="M63" i="19"/>
  <c r="I61" i="19"/>
  <c r="J61" i="19"/>
  <c r="AH55" i="19"/>
  <c r="AH56" i="19"/>
  <c r="AH57" i="19"/>
  <c r="AH58" i="19"/>
  <c r="AH59" i="19"/>
  <c r="AE55" i="19"/>
  <c r="AE56" i="19"/>
  <c r="AE57" i="19"/>
  <c r="AE58" i="19"/>
  <c r="AE59" i="19"/>
  <c r="AA57" i="19"/>
  <c r="AI57" i="19" s="1"/>
  <c r="AA59" i="19"/>
  <c r="AI59" i="19" s="1"/>
  <c r="I55" i="19"/>
  <c r="K55" i="19" s="1"/>
  <c r="J55" i="19"/>
  <c r="L55" i="19"/>
  <c r="M55" i="19"/>
  <c r="N55" i="19"/>
  <c r="I56" i="19"/>
  <c r="J56" i="19"/>
  <c r="L56" i="19"/>
  <c r="M56" i="19"/>
  <c r="N56" i="19"/>
  <c r="I57" i="19"/>
  <c r="J57" i="19"/>
  <c r="K57" i="19"/>
  <c r="L57" i="19"/>
  <c r="M57" i="19"/>
  <c r="N57" i="19"/>
  <c r="I58" i="19"/>
  <c r="AA58" i="19" s="1"/>
  <c r="AF58" i="19" s="1"/>
  <c r="J58" i="19"/>
  <c r="L58" i="19"/>
  <c r="M58" i="19"/>
  <c r="N58" i="19"/>
  <c r="I59" i="19"/>
  <c r="K59" i="19" s="1"/>
  <c r="J59" i="19"/>
  <c r="L59" i="19"/>
  <c r="M59" i="19"/>
  <c r="N59" i="19"/>
  <c r="N53" i="19"/>
  <c r="N54" i="19"/>
  <c r="I53" i="19"/>
  <c r="J53" i="19"/>
  <c r="I54" i="19"/>
  <c r="J54" i="19"/>
  <c r="B51" i="19"/>
  <c r="B52" i="19"/>
  <c r="AD51" i="19"/>
  <c r="AG51" i="19"/>
  <c r="N51" i="19"/>
  <c r="O51" i="19"/>
  <c r="O70" i="19" s="1"/>
  <c r="P51" i="19"/>
  <c r="P70" i="19" s="1"/>
  <c r="Q51" i="19"/>
  <c r="Q70" i="19" s="1"/>
  <c r="R51" i="19"/>
  <c r="R70" i="19" s="1"/>
  <c r="S51" i="19"/>
  <c r="S70" i="19" s="1"/>
  <c r="T51" i="19"/>
  <c r="U51" i="19"/>
  <c r="U70" i="19" s="1"/>
  <c r="V51" i="19"/>
  <c r="V70" i="19" s="1"/>
  <c r="W51" i="19"/>
  <c r="W70" i="19" s="1"/>
  <c r="X51" i="19"/>
  <c r="X70" i="19" s="1"/>
  <c r="Y51" i="19"/>
  <c r="Y70" i="19" s="1"/>
  <c r="Z51" i="19"/>
  <c r="Z70" i="19" s="1"/>
  <c r="N46" i="19"/>
  <c r="N47" i="19"/>
  <c r="N48" i="19"/>
  <c r="N49" i="19"/>
  <c r="N50" i="19"/>
  <c r="I50" i="19"/>
  <c r="AA50" i="19" s="1"/>
  <c r="J50" i="19"/>
  <c r="I51" i="19"/>
  <c r="K51" i="19" s="1"/>
  <c r="J51" i="19"/>
  <c r="B46" i="19"/>
  <c r="B47" i="19"/>
  <c r="B48" i="19"/>
  <c r="AH47" i="19"/>
  <c r="AH48" i="19"/>
  <c r="AH49" i="19"/>
  <c r="AH50" i="19"/>
  <c r="AN50" i="19" s="1"/>
  <c r="AL50" i="19"/>
  <c r="AE47" i="19"/>
  <c r="AE48" i="19"/>
  <c r="AE49" i="19"/>
  <c r="AE50" i="19"/>
  <c r="AB47" i="19"/>
  <c r="AN47" i="19" s="1"/>
  <c r="AB48" i="19"/>
  <c r="AM48" i="19" s="1"/>
  <c r="AA49" i="19"/>
  <c r="AI49" i="19" s="1"/>
  <c r="AB49" i="19"/>
  <c r="AB50" i="19"/>
  <c r="AM50" i="19" s="1"/>
  <c r="I47" i="19"/>
  <c r="K47" i="19" s="1"/>
  <c r="J47" i="19"/>
  <c r="L47" i="19"/>
  <c r="M47" i="19"/>
  <c r="I48" i="19"/>
  <c r="AA48" i="19" s="1"/>
  <c r="AF48" i="19" s="1"/>
  <c r="J48" i="19"/>
  <c r="L48" i="19"/>
  <c r="M48" i="19"/>
  <c r="I49" i="19"/>
  <c r="J49" i="19"/>
  <c r="K49" i="19"/>
  <c r="L49" i="19"/>
  <c r="M49" i="19"/>
  <c r="I46" i="19"/>
  <c r="J46" i="19"/>
  <c r="A43" i="19"/>
  <c r="AH34" i="19"/>
  <c r="AL34" i="19"/>
  <c r="AH35" i="19"/>
  <c r="AL35" i="19"/>
  <c r="AH36" i="19"/>
  <c r="AH37" i="19"/>
  <c r="AH38" i="19"/>
  <c r="AH39" i="19"/>
  <c r="AL39" i="19"/>
  <c r="AH40" i="19"/>
  <c r="AH41" i="19"/>
  <c r="AH42" i="19"/>
  <c r="AL42" i="19"/>
  <c r="AH43" i="19"/>
  <c r="AH44" i="19"/>
  <c r="AL44" i="19"/>
  <c r="AE34" i="19"/>
  <c r="AE35" i="19"/>
  <c r="AE36" i="19"/>
  <c r="AE37" i="19"/>
  <c r="AE38" i="19"/>
  <c r="AE39" i="19"/>
  <c r="AE40" i="19"/>
  <c r="AE41" i="19"/>
  <c r="AE42" i="19"/>
  <c r="AE43" i="19"/>
  <c r="AE44" i="19"/>
  <c r="AA42" i="19"/>
  <c r="AA43" i="19"/>
  <c r="I34" i="19"/>
  <c r="K34" i="19" s="1"/>
  <c r="J34" i="19"/>
  <c r="L34" i="19"/>
  <c r="M34" i="19"/>
  <c r="N34" i="19"/>
  <c r="I35" i="19"/>
  <c r="K35" i="19" s="1"/>
  <c r="J35" i="19"/>
  <c r="L35" i="19"/>
  <c r="M35" i="19"/>
  <c r="N35" i="19"/>
  <c r="I36" i="19"/>
  <c r="AA36" i="19" s="1"/>
  <c r="J36" i="19"/>
  <c r="L36" i="19"/>
  <c r="M36" i="19"/>
  <c r="N36" i="19"/>
  <c r="I37" i="19"/>
  <c r="AA37" i="19" s="1"/>
  <c r="J37" i="19"/>
  <c r="L37" i="19"/>
  <c r="M37" i="19"/>
  <c r="N37" i="19"/>
  <c r="I38" i="19"/>
  <c r="AA38" i="19" s="1"/>
  <c r="AI38" i="19" s="1"/>
  <c r="J38" i="19"/>
  <c r="L38" i="19"/>
  <c r="M38" i="19"/>
  <c r="N38" i="19"/>
  <c r="I39" i="19"/>
  <c r="K39" i="19" s="1"/>
  <c r="J39" i="19"/>
  <c r="L39" i="19"/>
  <c r="M39" i="19"/>
  <c r="N39" i="19"/>
  <c r="I40" i="19"/>
  <c r="K40" i="19" s="1"/>
  <c r="J40" i="19"/>
  <c r="L40" i="19"/>
  <c r="M40" i="19"/>
  <c r="N40" i="19"/>
  <c r="I41" i="19"/>
  <c r="AA41" i="19" s="1"/>
  <c r="AF41" i="19" s="1"/>
  <c r="J41" i="19"/>
  <c r="L41" i="19"/>
  <c r="M41" i="19"/>
  <c r="N41" i="19"/>
  <c r="I42" i="19"/>
  <c r="J42" i="19"/>
  <c r="K42" i="19"/>
  <c r="L42" i="19"/>
  <c r="M42" i="19"/>
  <c r="N42" i="19"/>
  <c r="I43" i="19"/>
  <c r="K43" i="19" s="1"/>
  <c r="J43" i="19"/>
  <c r="L43" i="19"/>
  <c r="M43" i="19"/>
  <c r="N43" i="19"/>
  <c r="I44" i="19"/>
  <c r="AA44" i="19" s="1"/>
  <c r="J44" i="19"/>
  <c r="L44" i="19"/>
  <c r="M44" i="19"/>
  <c r="N44" i="19"/>
  <c r="N33" i="19"/>
  <c r="I33" i="19"/>
  <c r="J33" i="19"/>
  <c r="AK32" i="19"/>
  <c r="AG32" i="19"/>
  <c r="AL32" i="19" s="1"/>
  <c r="AD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J32" i="19" s="1"/>
  <c r="AJ31" i="19"/>
  <c r="AK31" i="19"/>
  <c r="AM31" i="19" s="1"/>
  <c r="AL31" i="19"/>
  <c r="AN31" i="19" s="1"/>
  <c r="AG31" i="19"/>
  <c r="AD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N26" i="19"/>
  <c r="N27" i="19"/>
  <c r="N28" i="19"/>
  <c r="N29" i="19"/>
  <c r="B22" i="19"/>
  <c r="B23" i="19"/>
  <c r="AG16" i="19"/>
  <c r="AG19" i="19"/>
  <c r="AG20" i="19"/>
  <c r="AL56" i="19" s="1"/>
  <c r="AD19" i="19"/>
  <c r="AD20" i="19"/>
  <c r="AK62" i="19" s="1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G19" i="19"/>
  <c r="B17" i="19"/>
  <c r="B18" i="19"/>
  <c r="B19" i="19"/>
  <c r="O16" i="19"/>
  <c r="P16" i="19"/>
  <c r="Q16" i="19"/>
  <c r="R16" i="19"/>
  <c r="S16" i="19"/>
  <c r="T16" i="19"/>
  <c r="U16" i="19"/>
  <c r="V16" i="19"/>
  <c r="W16" i="19"/>
  <c r="X16" i="19"/>
  <c r="Y16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A11" i="19" s="1"/>
  <c r="A14" i="19"/>
  <c r="AG12" i="19"/>
  <c r="AG13" i="19"/>
  <c r="AD12" i="19"/>
  <c r="AD13" i="19"/>
  <c r="B12" i="19"/>
  <c r="B13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C10" i="19"/>
  <c r="D10" i="19"/>
  <c r="Z16" i="19" s="1"/>
  <c r="C9" i="19"/>
  <c r="C1" i="19"/>
  <c r="C2" i="19"/>
  <c r="C3" i="19"/>
  <c r="C4" i="19"/>
  <c r="C5" i="19"/>
  <c r="C6" i="19"/>
  <c r="C7" i="19"/>
  <c r="C8" i="19"/>
  <c r="E6" i="19"/>
  <c r="B58" i="19" s="1"/>
  <c r="E4" i="19"/>
  <c r="B3" i="19"/>
  <c r="B112" i="18"/>
  <c r="B106" i="18"/>
  <c r="B107" i="18"/>
  <c r="B108" i="18"/>
  <c r="A103" i="18"/>
  <c r="B80" i="18"/>
  <c r="B81" i="18"/>
  <c r="B75" i="18"/>
  <c r="B76" i="18"/>
  <c r="B77" i="18"/>
  <c r="A72" i="18"/>
  <c r="AG66" i="18"/>
  <c r="AD66" i="18"/>
  <c r="O66" i="18"/>
  <c r="P66" i="18"/>
  <c r="Q66" i="18"/>
  <c r="R66" i="18"/>
  <c r="S66" i="18"/>
  <c r="T66" i="18"/>
  <c r="U66" i="18"/>
  <c r="V66" i="18"/>
  <c r="W66" i="18"/>
  <c r="X66" i="18"/>
  <c r="Y66" i="18"/>
  <c r="Z66" i="18"/>
  <c r="Z67" i="18"/>
  <c r="N63" i="18"/>
  <c r="N66" i="18" s="1"/>
  <c r="N64" i="18"/>
  <c r="N67" i="18" s="1"/>
  <c r="AH63" i="18"/>
  <c r="AH64" i="18"/>
  <c r="AE63" i="18"/>
  <c r="AE64" i="18"/>
  <c r="AB63" i="18"/>
  <c r="I63" i="18"/>
  <c r="AA63" i="18" s="1"/>
  <c r="AI63" i="18" s="1"/>
  <c r="J63" i="18"/>
  <c r="I64" i="18"/>
  <c r="AA64" i="18" s="1"/>
  <c r="AF64" i="18" s="1"/>
  <c r="J64" i="18"/>
  <c r="N58" i="18"/>
  <c r="N59" i="18"/>
  <c r="N60" i="18"/>
  <c r="N61" i="18"/>
  <c r="I61" i="18"/>
  <c r="AA61" i="18" s="1"/>
  <c r="AI61" i="18" s="1"/>
  <c r="J61" i="18"/>
  <c r="AH59" i="18"/>
  <c r="AH60" i="18"/>
  <c r="AH61" i="18"/>
  <c r="AE59" i="18"/>
  <c r="AF59" i="18"/>
  <c r="AE60" i="18"/>
  <c r="AE61" i="18"/>
  <c r="I59" i="18"/>
  <c r="AA59" i="18" s="1"/>
  <c r="AB59" i="18" s="1"/>
  <c r="J59" i="18"/>
  <c r="L59" i="18"/>
  <c r="M59" i="18"/>
  <c r="I60" i="18"/>
  <c r="AA60" i="18" s="1"/>
  <c r="J60" i="18"/>
  <c r="L60" i="18"/>
  <c r="M60" i="18"/>
  <c r="I58" i="18"/>
  <c r="J58" i="18"/>
  <c r="AH52" i="18"/>
  <c r="AH53" i="18"/>
  <c r="AH54" i="18"/>
  <c r="AH55" i="18"/>
  <c r="AH56" i="18"/>
  <c r="AE52" i="18"/>
  <c r="AE53" i="18"/>
  <c r="AE54" i="18"/>
  <c r="AE55" i="18"/>
  <c r="AE56" i="18"/>
  <c r="AB52" i="18"/>
  <c r="AB53" i="18"/>
  <c r="AB54" i="18"/>
  <c r="AB55" i="18"/>
  <c r="AB56" i="18"/>
  <c r="I52" i="18"/>
  <c r="K52" i="18" s="1"/>
  <c r="J52" i="18"/>
  <c r="L52" i="18"/>
  <c r="M52" i="18"/>
  <c r="N52" i="18"/>
  <c r="I53" i="18"/>
  <c r="AA53" i="18" s="1"/>
  <c r="J53" i="18"/>
  <c r="L53" i="18"/>
  <c r="M53" i="18"/>
  <c r="N53" i="18"/>
  <c r="I54" i="18"/>
  <c r="AA54" i="18" s="1"/>
  <c r="AI54" i="18" s="1"/>
  <c r="J54" i="18"/>
  <c r="L54" i="18"/>
  <c r="M54" i="18"/>
  <c r="N54" i="18"/>
  <c r="I55" i="18"/>
  <c r="AA55" i="18" s="1"/>
  <c r="J55" i="18"/>
  <c r="L55" i="18"/>
  <c r="M55" i="18"/>
  <c r="N55" i="18"/>
  <c r="I56" i="18"/>
  <c r="AA56" i="18" s="1"/>
  <c r="AF56" i="18" s="1"/>
  <c r="J56" i="18"/>
  <c r="L56" i="18"/>
  <c r="M56" i="18"/>
  <c r="N56" i="18"/>
  <c r="B51" i="18"/>
  <c r="B52" i="18"/>
  <c r="N50" i="18"/>
  <c r="N51" i="18"/>
  <c r="I50" i="18"/>
  <c r="J50" i="18"/>
  <c r="I51" i="18"/>
  <c r="J51" i="18"/>
  <c r="AD48" i="18"/>
  <c r="AE48" i="18" s="1"/>
  <c r="AG48" i="18"/>
  <c r="AG67" i="18" s="1"/>
  <c r="AH48" i="18"/>
  <c r="N48" i="18"/>
  <c r="O48" i="18"/>
  <c r="O67" i="18" s="1"/>
  <c r="P48" i="18"/>
  <c r="P67" i="18" s="1"/>
  <c r="Q48" i="18"/>
  <c r="Q67" i="18" s="1"/>
  <c r="R48" i="18"/>
  <c r="R67" i="18" s="1"/>
  <c r="S48" i="18"/>
  <c r="S67" i="18" s="1"/>
  <c r="T48" i="18"/>
  <c r="T67" i="18" s="1"/>
  <c r="U48" i="18"/>
  <c r="U67" i="18" s="1"/>
  <c r="V48" i="18"/>
  <c r="V67" i="18" s="1"/>
  <c r="W48" i="18"/>
  <c r="W67" i="18" s="1"/>
  <c r="X48" i="18"/>
  <c r="X67" i="18" s="1"/>
  <c r="Y48" i="18"/>
  <c r="Y67" i="18" s="1"/>
  <c r="Z48" i="18"/>
  <c r="B46" i="18"/>
  <c r="B47" i="18"/>
  <c r="B48" i="18"/>
  <c r="AB42" i="18"/>
  <c r="AB43" i="18"/>
  <c r="AB44" i="18"/>
  <c r="AB45" i="18"/>
  <c r="AB46" i="18"/>
  <c r="AB47" i="18"/>
  <c r="N41" i="18"/>
  <c r="N42" i="18"/>
  <c r="N43" i="18"/>
  <c r="N44" i="18"/>
  <c r="N45" i="18"/>
  <c r="N46" i="18"/>
  <c r="N47" i="18"/>
  <c r="I47" i="18"/>
  <c r="K47" i="18" s="1"/>
  <c r="J47" i="18"/>
  <c r="I48" i="18"/>
  <c r="K48" i="18" s="1"/>
  <c r="J48" i="18"/>
  <c r="A43" i="18"/>
  <c r="AH42" i="18"/>
  <c r="AH43" i="18"/>
  <c r="AH44" i="18"/>
  <c r="AH45" i="18"/>
  <c r="AH46" i="18"/>
  <c r="AH47" i="18"/>
  <c r="AI47" i="18"/>
  <c r="AE42" i="18"/>
  <c r="AE43" i="18"/>
  <c r="AE44" i="18"/>
  <c r="AE45" i="18"/>
  <c r="AE46" i="18"/>
  <c r="AE47" i="18"/>
  <c r="AF47" i="18"/>
  <c r="I42" i="18"/>
  <c r="AA42" i="18" s="1"/>
  <c r="J42" i="18"/>
  <c r="L42" i="18"/>
  <c r="M42" i="18"/>
  <c r="I43" i="18"/>
  <c r="AA43" i="18" s="1"/>
  <c r="J43" i="18"/>
  <c r="L43" i="18"/>
  <c r="M43" i="18"/>
  <c r="I44" i="18"/>
  <c r="K44" i="18" s="1"/>
  <c r="J44" i="18"/>
  <c r="L44" i="18"/>
  <c r="M44" i="18"/>
  <c r="I45" i="18"/>
  <c r="K45" i="18" s="1"/>
  <c r="J45" i="18"/>
  <c r="L45" i="18"/>
  <c r="M45" i="18"/>
  <c r="I46" i="18"/>
  <c r="AA46" i="18" s="1"/>
  <c r="J46" i="18"/>
  <c r="L46" i="18"/>
  <c r="M46" i="18"/>
  <c r="I41" i="18"/>
  <c r="J41" i="18"/>
  <c r="AH34" i="18"/>
  <c r="AH35" i="18"/>
  <c r="AH36" i="18"/>
  <c r="AH37" i="18"/>
  <c r="AH38" i="18"/>
  <c r="AH39" i="18"/>
  <c r="AE34" i="18"/>
  <c r="AE35" i="18"/>
  <c r="AE36" i="18"/>
  <c r="AE37" i="18"/>
  <c r="AE38" i="18"/>
  <c r="AE39" i="18"/>
  <c r="AA34" i="18"/>
  <c r="AF34" i="18" s="1"/>
  <c r="I34" i="18"/>
  <c r="K34" i="18" s="1"/>
  <c r="J34" i="18"/>
  <c r="L34" i="18"/>
  <c r="M34" i="18"/>
  <c r="N34" i="18"/>
  <c r="I35" i="18"/>
  <c r="AA35" i="18" s="1"/>
  <c r="J35" i="18"/>
  <c r="K35" i="18"/>
  <c r="L35" i="18"/>
  <c r="M35" i="18"/>
  <c r="N35" i="18"/>
  <c r="I36" i="18"/>
  <c r="AA36" i="18" s="1"/>
  <c r="J36" i="18"/>
  <c r="L36" i="18"/>
  <c r="M36" i="18"/>
  <c r="N36" i="18"/>
  <c r="I37" i="18"/>
  <c r="AA37" i="18" s="1"/>
  <c r="J37" i="18"/>
  <c r="L37" i="18"/>
  <c r="M37" i="18"/>
  <c r="N37" i="18"/>
  <c r="I38" i="18"/>
  <c r="K38" i="18" s="1"/>
  <c r="J38" i="18"/>
  <c r="L38" i="18"/>
  <c r="M38" i="18"/>
  <c r="N38" i="18"/>
  <c r="I39" i="18"/>
  <c r="AA39" i="18" s="1"/>
  <c r="J39" i="18"/>
  <c r="L39" i="18"/>
  <c r="M39" i="18"/>
  <c r="N39" i="18"/>
  <c r="N33" i="18"/>
  <c r="I33" i="18"/>
  <c r="J33" i="18"/>
  <c r="AG32" i="18"/>
  <c r="AD32" i="18"/>
  <c r="O32" i="18"/>
  <c r="P32" i="18"/>
  <c r="Q32" i="18"/>
  <c r="R32" i="18"/>
  <c r="S32" i="18"/>
  <c r="T32" i="18"/>
  <c r="U32" i="18"/>
  <c r="V32" i="18"/>
  <c r="W32" i="18"/>
  <c r="X32" i="18"/>
  <c r="Y32" i="18"/>
  <c r="Z32" i="18"/>
  <c r="AG31" i="18"/>
  <c r="AD31" i="18"/>
  <c r="O31" i="18"/>
  <c r="P31" i="18"/>
  <c r="Q31" i="18"/>
  <c r="R31" i="18"/>
  <c r="S31" i="18"/>
  <c r="T31" i="18"/>
  <c r="U31" i="18"/>
  <c r="V31" i="18"/>
  <c r="W31" i="18"/>
  <c r="X31" i="18"/>
  <c r="Y31" i="18"/>
  <c r="Z31" i="18"/>
  <c r="AA31" i="18"/>
  <c r="N26" i="18"/>
  <c r="N27" i="18"/>
  <c r="N28" i="18"/>
  <c r="N29" i="18"/>
  <c r="B22" i="18"/>
  <c r="B23" i="18"/>
  <c r="AG16" i="18"/>
  <c r="AG19" i="18"/>
  <c r="AD19" i="18"/>
  <c r="N19" i="18"/>
  <c r="O19" i="18"/>
  <c r="P19" i="18"/>
  <c r="Q19" i="18"/>
  <c r="R19" i="18"/>
  <c r="S19" i="18"/>
  <c r="T19" i="18"/>
  <c r="U19" i="18"/>
  <c r="V19" i="18"/>
  <c r="W19" i="18"/>
  <c r="X19" i="18"/>
  <c r="Y19" i="18"/>
  <c r="Z19" i="18"/>
  <c r="G19" i="18"/>
  <c r="B17" i="18"/>
  <c r="B18" i="18"/>
  <c r="B19" i="18"/>
  <c r="O16" i="18"/>
  <c r="P16" i="18"/>
  <c r="Q16" i="18"/>
  <c r="R16" i="18"/>
  <c r="S16" i="18"/>
  <c r="T16" i="18"/>
  <c r="U16" i="18"/>
  <c r="V16" i="18"/>
  <c r="W16" i="18"/>
  <c r="X16" i="18"/>
  <c r="Y16" i="18"/>
  <c r="O17" i="18"/>
  <c r="P17" i="18"/>
  <c r="Q17" i="18"/>
  <c r="R17" i="18"/>
  <c r="S17" i="18"/>
  <c r="T17" i="18"/>
  <c r="U17" i="18"/>
  <c r="V17" i="18"/>
  <c r="W17" i="18"/>
  <c r="X17" i="18"/>
  <c r="Y17" i="18"/>
  <c r="Z17" i="18"/>
  <c r="AA17" i="18" s="1"/>
  <c r="AA11" i="18" s="1"/>
  <c r="A14" i="18"/>
  <c r="AG12" i="18"/>
  <c r="AG13" i="18"/>
  <c r="AD12" i="18"/>
  <c r="AD13" i="18"/>
  <c r="B12" i="18"/>
  <c r="Z16" i="18" s="1"/>
  <c r="B13" i="18"/>
  <c r="O12" i="18"/>
  <c r="P12" i="18"/>
  <c r="Q12" i="18"/>
  <c r="R12" i="18"/>
  <c r="S12" i="18"/>
  <c r="T12" i="18"/>
  <c r="U12" i="18"/>
  <c r="V12" i="18"/>
  <c r="W12" i="18"/>
  <c r="X12" i="18"/>
  <c r="Y12" i="18"/>
  <c r="Z12" i="18"/>
  <c r="AA12" i="18"/>
  <c r="O13" i="18"/>
  <c r="P13" i="18"/>
  <c r="Q13" i="18"/>
  <c r="R13" i="18"/>
  <c r="S13" i="18"/>
  <c r="T13" i="18"/>
  <c r="U13" i="18"/>
  <c r="V13" i="18"/>
  <c r="W13" i="18"/>
  <c r="X13" i="18"/>
  <c r="Y13" i="18"/>
  <c r="Z13" i="18"/>
  <c r="AA13" i="18"/>
  <c r="C10" i="18"/>
  <c r="D10" i="18"/>
  <c r="C9" i="18"/>
  <c r="C1" i="18"/>
  <c r="C2" i="18"/>
  <c r="C3" i="18"/>
  <c r="C4" i="18"/>
  <c r="C5" i="18"/>
  <c r="C6" i="18"/>
  <c r="C7" i="18"/>
  <c r="C8" i="18"/>
  <c r="E6" i="18"/>
  <c r="B58" i="18" s="1"/>
  <c r="E4" i="18"/>
  <c r="B3" i="18"/>
  <c r="M62" i="24"/>
  <c r="AC60" i="24"/>
  <c r="AF60" i="24"/>
  <c r="M60" i="24"/>
  <c r="N60" i="24"/>
  <c r="O60" i="24"/>
  <c r="O62" i="24" s="1"/>
  <c r="P60" i="24"/>
  <c r="Q60" i="24"/>
  <c r="R60" i="24"/>
  <c r="S60" i="24"/>
  <c r="T60" i="24"/>
  <c r="U60" i="24"/>
  <c r="V60" i="24"/>
  <c r="W60" i="24"/>
  <c r="W62" i="24" s="1"/>
  <c r="X60" i="24"/>
  <c r="Y60" i="24"/>
  <c r="I60" i="24"/>
  <c r="J60" i="24"/>
  <c r="M51" i="24"/>
  <c r="M52" i="24"/>
  <c r="M53" i="24"/>
  <c r="M54" i="24"/>
  <c r="M55" i="24"/>
  <c r="M56" i="24"/>
  <c r="M57" i="24"/>
  <c r="AC52" i="24"/>
  <c r="AF52" i="24"/>
  <c r="AG52" i="24"/>
  <c r="AC53" i="24"/>
  <c r="AJ53" i="24" s="1"/>
  <c r="AD53" i="24"/>
  <c r="AF53" i="24"/>
  <c r="AG53" i="24"/>
  <c r="AC54" i="24"/>
  <c r="AD54" i="24"/>
  <c r="AF54" i="24"/>
  <c r="AG54" i="24" s="1"/>
  <c r="AC55" i="24"/>
  <c r="AD55" i="24"/>
  <c r="AF55" i="24"/>
  <c r="AG55" i="24" s="1"/>
  <c r="AC56" i="24"/>
  <c r="AF56" i="24"/>
  <c r="AC57" i="24"/>
  <c r="AJ57" i="24" s="1"/>
  <c r="AF57" i="24"/>
  <c r="AK57" i="24" s="1"/>
  <c r="AG57" i="24"/>
  <c r="N52" i="24"/>
  <c r="O52" i="24"/>
  <c r="P52" i="24"/>
  <c r="Q52" i="24"/>
  <c r="R52" i="24"/>
  <c r="R58" i="24" s="1"/>
  <c r="S52" i="24"/>
  <c r="T52" i="24"/>
  <c r="T58" i="24" s="1"/>
  <c r="U52" i="24"/>
  <c r="V52" i="24"/>
  <c r="W52" i="24"/>
  <c r="X52" i="24"/>
  <c r="Y52" i="24"/>
  <c r="N53" i="24"/>
  <c r="N58" i="24" s="1"/>
  <c r="O53" i="24"/>
  <c r="P53" i="24"/>
  <c r="Q53" i="24"/>
  <c r="R53" i="24"/>
  <c r="S53" i="24"/>
  <c r="T53" i="24"/>
  <c r="U53" i="24"/>
  <c r="V53" i="24"/>
  <c r="V58" i="24" s="1"/>
  <c r="W53" i="24"/>
  <c r="X53" i="24"/>
  <c r="Y53" i="24"/>
  <c r="N54" i="24"/>
  <c r="O54" i="24"/>
  <c r="P54" i="24"/>
  <c r="Q54" i="24"/>
  <c r="R54" i="24"/>
  <c r="S54" i="24"/>
  <c r="T54" i="24"/>
  <c r="U54" i="24"/>
  <c r="V54" i="24"/>
  <c r="W54" i="24"/>
  <c r="X54" i="24"/>
  <c r="Y54" i="24"/>
  <c r="Y58" i="24" s="1"/>
  <c r="N55" i="24"/>
  <c r="O55" i="24"/>
  <c r="P55" i="24"/>
  <c r="Q55" i="24"/>
  <c r="R55" i="24"/>
  <c r="S55" i="24"/>
  <c r="T55" i="24"/>
  <c r="U55" i="24"/>
  <c r="V55" i="24"/>
  <c r="W55" i="24"/>
  <c r="X55" i="24"/>
  <c r="Y55" i="24"/>
  <c r="N56" i="24"/>
  <c r="O56" i="24"/>
  <c r="P56" i="24"/>
  <c r="Q56" i="24"/>
  <c r="R56" i="24"/>
  <c r="S56" i="24"/>
  <c r="T56" i="24"/>
  <c r="U56" i="24"/>
  <c r="V56" i="24"/>
  <c r="W56" i="24"/>
  <c r="X56" i="24"/>
  <c r="Y56" i="24"/>
  <c r="N57" i="24"/>
  <c r="O57" i="24"/>
  <c r="P57" i="24"/>
  <c r="Q57" i="24"/>
  <c r="R57" i="24"/>
  <c r="S57" i="24"/>
  <c r="T57" i="24"/>
  <c r="U57" i="24"/>
  <c r="V57" i="24"/>
  <c r="W57" i="24"/>
  <c r="X57" i="24"/>
  <c r="Y57" i="24"/>
  <c r="I51" i="24"/>
  <c r="J51" i="24"/>
  <c r="I52" i="24"/>
  <c r="J52" i="24"/>
  <c r="I53" i="24"/>
  <c r="J53" i="24"/>
  <c r="I54" i="24"/>
  <c r="J54" i="24"/>
  <c r="I55" i="24"/>
  <c r="J55" i="24"/>
  <c r="I56" i="24"/>
  <c r="J56" i="24"/>
  <c r="I57" i="24"/>
  <c r="Z57" i="24" s="1"/>
  <c r="AH57" i="24" s="1"/>
  <c r="J57" i="24"/>
  <c r="AC49" i="24"/>
  <c r="AD49" i="24"/>
  <c r="AF49" i="24"/>
  <c r="N49" i="24"/>
  <c r="O49" i="24"/>
  <c r="P49" i="24"/>
  <c r="Q49" i="24"/>
  <c r="R49" i="24"/>
  <c r="S49" i="24"/>
  <c r="T49" i="24"/>
  <c r="U49" i="24"/>
  <c r="V49" i="24"/>
  <c r="W49" i="24"/>
  <c r="X49" i="24"/>
  <c r="Y49" i="24"/>
  <c r="M42" i="24"/>
  <c r="M43" i="24"/>
  <c r="M44" i="24"/>
  <c r="M45" i="24"/>
  <c r="M46" i="24"/>
  <c r="M47" i="24"/>
  <c r="M48" i="24"/>
  <c r="AG43" i="24"/>
  <c r="AG44" i="24"/>
  <c r="AG45" i="24"/>
  <c r="AG46" i="24"/>
  <c r="AG47" i="24"/>
  <c r="AG48" i="24"/>
  <c r="AD43" i="24"/>
  <c r="AD44" i="24"/>
  <c r="AD45" i="24"/>
  <c r="AD46" i="24"/>
  <c r="AD47" i="24"/>
  <c r="AD48" i="24"/>
  <c r="Z45" i="24"/>
  <c r="AH45" i="24" s="1"/>
  <c r="Z47" i="24"/>
  <c r="AH47" i="24" s="1"/>
  <c r="AA47" i="24"/>
  <c r="I42" i="24"/>
  <c r="J42" i="24"/>
  <c r="I43" i="24"/>
  <c r="Z43" i="24" s="1"/>
  <c r="J43" i="24"/>
  <c r="I44" i="24"/>
  <c r="Z44" i="24" s="1"/>
  <c r="J44" i="24"/>
  <c r="I45" i="24"/>
  <c r="J45" i="24"/>
  <c r="I46" i="24"/>
  <c r="Z46" i="24" s="1"/>
  <c r="J46" i="24"/>
  <c r="I47" i="24"/>
  <c r="J47" i="24"/>
  <c r="I48" i="24"/>
  <c r="Z48" i="24" s="1"/>
  <c r="J48" i="24"/>
  <c r="AC40" i="24"/>
  <c r="AC62" i="24" s="1"/>
  <c r="AF40" i="24"/>
  <c r="AK40" i="24" s="1"/>
  <c r="N40" i="24"/>
  <c r="O40" i="24"/>
  <c r="P40" i="24"/>
  <c r="Q40" i="24"/>
  <c r="R40" i="24"/>
  <c r="S40" i="24"/>
  <c r="T40" i="24"/>
  <c r="U40" i="24"/>
  <c r="Z40" i="24" s="1"/>
  <c r="V40" i="24"/>
  <c r="W40" i="24"/>
  <c r="X40" i="24"/>
  <c r="Y40" i="24"/>
  <c r="M33" i="24"/>
  <c r="M34" i="24"/>
  <c r="M35" i="24"/>
  <c r="M36" i="24"/>
  <c r="M37" i="24"/>
  <c r="M38" i="24"/>
  <c r="M39" i="24"/>
  <c r="AG34" i="24"/>
  <c r="AG35" i="24"/>
  <c r="AK35" i="24"/>
  <c r="AK36" i="24"/>
  <c r="AG37" i="24"/>
  <c r="AG38" i="24"/>
  <c r="AD34" i="24"/>
  <c r="AD35" i="24"/>
  <c r="AD37" i="24"/>
  <c r="AD38" i="24"/>
  <c r="Z36" i="24"/>
  <c r="AH36" i="24" s="1"/>
  <c r="I34" i="24"/>
  <c r="Z34" i="24" s="1"/>
  <c r="J34" i="24"/>
  <c r="I35" i="24"/>
  <c r="Z35" i="24" s="1"/>
  <c r="J35" i="24"/>
  <c r="I36" i="24"/>
  <c r="J36" i="24"/>
  <c r="K36" i="24"/>
  <c r="I37" i="24"/>
  <c r="K37" i="24" s="1"/>
  <c r="J37" i="24"/>
  <c r="I38" i="24"/>
  <c r="Z38" i="24" s="1"/>
  <c r="J38" i="24"/>
  <c r="I39" i="24"/>
  <c r="J39" i="24"/>
  <c r="I33" i="24"/>
  <c r="J33" i="24"/>
  <c r="AF32" i="24"/>
  <c r="AK32" i="24" s="1"/>
  <c r="AC32" i="24"/>
  <c r="AJ32" i="24" s="1"/>
  <c r="N32" i="24"/>
  <c r="O32" i="24"/>
  <c r="P32" i="24"/>
  <c r="Q32" i="24"/>
  <c r="R32" i="24"/>
  <c r="S32" i="24"/>
  <c r="T32" i="24"/>
  <c r="U32" i="24"/>
  <c r="V32" i="24"/>
  <c r="W32" i="24"/>
  <c r="X32" i="24"/>
  <c r="Y32" i="24"/>
  <c r="AI32" i="24" s="1"/>
  <c r="AI31" i="24"/>
  <c r="AJ31" i="24"/>
  <c r="AK31" i="24"/>
  <c r="AL31" i="24"/>
  <c r="AM31" i="24"/>
  <c r="AF31" i="24"/>
  <c r="AC31" i="24"/>
  <c r="N31" i="24"/>
  <c r="O31" i="24"/>
  <c r="P31" i="24"/>
  <c r="Q31" i="24"/>
  <c r="R31" i="24"/>
  <c r="S31" i="24"/>
  <c r="T31" i="24"/>
  <c r="U31" i="24"/>
  <c r="V31" i="24"/>
  <c r="W31" i="24"/>
  <c r="X31" i="24"/>
  <c r="Y31" i="24"/>
  <c r="Z31" i="24"/>
  <c r="M26" i="24"/>
  <c r="M27" i="24"/>
  <c r="M28" i="24"/>
  <c r="M29" i="24"/>
  <c r="B22" i="24"/>
  <c r="B23" i="24"/>
  <c r="AF16" i="24"/>
  <c r="AF19" i="24"/>
  <c r="AF20" i="24"/>
  <c r="AK47" i="24" s="1"/>
  <c r="AC19" i="24"/>
  <c r="AD60" i="24" s="1"/>
  <c r="AC20" i="24"/>
  <c r="AJ48" i="24" s="1"/>
  <c r="M19" i="24"/>
  <c r="N19" i="24"/>
  <c r="O19" i="24"/>
  <c r="P19" i="24"/>
  <c r="Q19" i="24"/>
  <c r="R19" i="24"/>
  <c r="S19" i="24"/>
  <c r="T19" i="24"/>
  <c r="U19" i="24"/>
  <c r="V19" i="24"/>
  <c r="W19" i="24"/>
  <c r="X19" i="24"/>
  <c r="Y19" i="24"/>
  <c r="M20" i="24"/>
  <c r="N20" i="24"/>
  <c r="O20" i="24"/>
  <c r="P20" i="24"/>
  <c r="Q20" i="24"/>
  <c r="R20" i="24"/>
  <c r="S20" i="24"/>
  <c r="T20" i="24"/>
  <c r="U20" i="24"/>
  <c r="V20" i="24"/>
  <c r="W20" i="24"/>
  <c r="X20" i="24"/>
  <c r="Y20" i="24"/>
  <c r="G19" i="24"/>
  <c r="B17" i="24"/>
  <c r="B18" i="24"/>
  <c r="B19" i="24"/>
  <c r="N17" i="24"/>
  <c r="O17" i="24"/>
  <c r="P17" i="24"/>
  <c r="Q17" i="24"/>
  <c r="R17" i="24"/>
  <c r="S17" i="24"/>
  <c r="T17" i="24"/>
  <c r="U17" i="24"/>
  <c r="V17" i="24"/>
  <c r="W17" i="24"/>
  <c r="X17" i="24"/>
  <c r="Y17" i="24"/>
  <c r="N16" i="24"/>
  <c r="O16" i="24"/>
  <c r="P16" i="24"/>
  <c r="Q16" i="24"/>
  <c r="R16" i="24"/>
  <c r="S16" i="24"/>
  <c r="T16" i="24"/>
  <c r="U16" i="24"/>
  <c r="V16" i="24"/>
  <c r="W16" i="24"/>
  <c r="X16" i="24"/>
  <c r="Y16" i="24"/>
  <c r="A14" i="24"/>
  <c r="AF12" i="24"/>
  <c r="AF13" i="24"/>
  <c r="AC12" i="24"/>
  <c r="AC13" i="24"/>
  <c r="B12" i="24"/>
  <c r="B13" i="24"/>
  <c r="N12" i="24"/>
  <c r="O12" i="24"/>
  <c r="P12" i="24"/>
  <c r="Q12" i="24"/>
  <c r="R12" i="24"/>
  <c r="S12" i="24"/>
  <c r="T12" i="24"/>
  <c r="U12" i="24"/>
  <c r="V12" i="24"/>
  <c r="W12" i="24"/>
  <c r="X12" i="24"/>
  <c r="Y12" i="24"/>
  <c r="Z12" i="24"/>
  <c r="N13" i="24"/>
  <c r="O13" i="24"/>
  <c r="P13" i="24"/>
  <c r="Q13" i="24"/>
  <c r="R13" i="24"/>
  <c r="S13" i="24"/>
  <c r="T13" i="24"/>
  <c r="U13" i="24"/>
  <c r="V13" i="24"/>
  <c r="W13" i="24"/>
  <c r="X13" i="24"/>
  <c r="Y13" i="24"/>
  <c r="Z13" i="24"/>
  <c r="C10" i="24"/>
  <c r="D10" i="24"/>
  <c r="C9" i="24"/>
  <c r="C1" i="24"/>
  <c r="C2" i="24"/>
  <c r="C3" i="24"/>
  <c r="C4" i="24"/>
  <c r="C5" i="24"/>
  <c r="C6" i="24"/>
  <c r="C7" i="24"/>
  <c r="C8" i="24"/>
  <c r="E6" i="24"/>
  <c r="E4" i="24"/>
  <c r="B3" i="24"/>
  <c r="B118" i="15"/>
  <c r="B112" i="15"/>
  <c r="B113" i="15"/>
  <c r="B114" i="15"/>
  <c r="A109" i="15"/>
  <c r="B86" i="15"/>
  <c r="B87" i="15"/>
  <c r="B81" i="15"/>
  <c r="B82" i="15"/>
  <c r="B83" i="15"/>
  <c r="A78" i="15"/>
  <c r="AG76" i="15"/>
  <c r="AD76" i="15"/>
  <c r="O76" i="15"/>
  <c r="P76" i="15"/>
  <c r="Q76" i="15"/>
  <c r="R76" i="15"/>
  <c r="S76" i="15"/>
  <c r="T76" i="15"/>
  <c r="U76" i="15"/>
  <c r="V76" i="15"/>
  <c r="W76" i="15"/>
  <c r="X76" i="15"/>
  <c r="Y76" i="15"/>
  <c r="Z76" i="15"/>
  <c r="N73" i="15"/>
  <c r="N76" i="15" s="1"/>
  <c r="N74" i="15"/>
  <c r="N77" i="15" s="1"/>
  <c r="I73" i="15"/>
  <c r="AA73" i="15" s="1"/>
  <c r="J73" i="15"/>
  <c r="I74" i="15"/>
  <c r="AA74" i="15" s="1"/>
  <c r="J74" i="15"/>
  <c r="N68" i="15"/>
  <c r="N69" i="15"/>
  <c r="N70" i="15"/>
  <c r="N71" i="15"/>
  <c r="I71" i="15"/>
  <c r="J71" i="15"/>
  <c r="AH69" i="15"/>
  <c r="AL69" i="15"/>
  <c r="AH70" i="15"/>
  <c r="AH71" i="15"/>
  <c r="AE69" i="15"/>
  <c r="AE70" i="15"/>
  <c r="AE71" i="15"/>
  <c r="AA71" i="15"/>
  <c r="AF71" i="15" s="1"/>
  <c r="I69" i="15"/>
  <c r="AA69" i="15" s="1"/>
  <c r="AB69" i="15" s="1"/>
  <c r="AM69" i="15" s="1"/>
  <c r="J69" i="15"/>
  <c r="L69" i="15"/>
  <c r="M69" i="15"/>
  <c r="I70" i="15"/>
  <c r="AA70" i="15" s="1"/>
  <c r="J70" i="15"/>
  <c r="L70" i="15"/>
  <c r="M70" i="15"/>
  <c r="I68" i="15"/>
  <c r="J68" i="15"/>
  <c r="AH55" i="15"/>
  <c r="AH56" i="15"/>
  <c r="AH57" i="15"/>
  <c r="AE55" i="15"/>
  <c r="AE56" i="15"/>
  <c r="AE57" i="15"/>
  <c r="AE60" i="15"/>
  <c r="AE61" i="15"/>
  <c r="AE64" i="15"/>
  <c r="I55" i="15"/>
  <c r="AA55" i="15" s="1"/>
  <c r="J55" i="15"/>
  <c r="K55" i="15" s="1"/>
  <c r="L55" i="15"/>
  <c r="M55" i="15"/>
  <c r="N55" i="15"/>
  <c r="I56" i="15"/>
  <c r="K56" i="15" s="1"/>
  <c r="J56" i="15"/>
  <c r="L56" i="15"/>
  <c r="M56" i="15"/>
  <c r="N56" i="15"/>
  <c r="I57" i="15"/>
  <c r="AA57" i="15" s="1"/>
  <c r="J57" i="15"/>
  <c r="L57" i="15"/>
  <c r="M57" i="15"/>
  <c r="N57" i="15"/>
  <c r="I58" i="15"/>
  <c r="J58" i="15"/>
  <c r="L58" i="15"/>
  <c r="M58" i="15"/>
  <c r="N58" i="15"/>
  <c r="I59" i="15"/>
  <c r="AA59" i="15" s="1"/>
  <c r="J59" i="15"/>
  <c r="L59" i="15"/>
  <c r="M59" i="15"/>
  <c r="N59" i="15"/>
  <c r="I60" i="15"/>
  <c r="J60" i="15"/>
  <c r="L60" i="15"/>
  <c r="M60" i="15"/>
  <c r="N60" i="15"/>
  <c r="I61" i="15"/>
  <c r="AA61" i="15" s="1"/>
  <c r="J61" i="15"/>
  <c r="L61" i="15"/>
  <c r="M61" i="15"/>
  <c r="N61" i="15"/>
  <c r="I62" i="15"/>
  <c r="J62" i="15"/>
  <c r="L62" i="15"/>
  <c r="M62" i="15"/>
  <c r="N62" i="15"/>
  <c r="I63" i="15"/>
  <c r="AA63" i="15" s="1"/>
  <c r="J63" i="15"/>
  <c r="L63" i="15"/>
  <c r="M63" i="15"/>
  <c r="N63" i="15"/>
  <c r="I64" i="15"/>
  <c r="J64" i="15"/>
  <c r="L64" i="15"/>
  <c r="M64" i="15"/>
  <c r="N64" i="15"/>
  <c r="I65" i="15"/>
  <c r="AA65" i="15" s="1"/>
  <c r="J65" i="15"/>
  <c r="L65" i="15"/>
  <c r="M65" i="15"/>
  <c r="N65" i="15"/>
  <c r="I66" i="15"/>
  <c r="J66" i="15"/>
  <c r="L66" i="15"/>
  <c r="M66" i="15"/>
  <c r="N66" i="15"/>
  <c r="B54" i="15"/>
  <c r="B55" i="15"/>
  <c r="N53" i="15"/>
  <c r="N54" i="15"/>
  <c r="I53" i="15"/>
  <c r="J53" i="15"/>
  <c r="I54" i="15"/>
  <c r="J54" i="15"/>
  <c r="AD51" i="15"/>
  <c r="AD77" i="15" s="1"/>
  <c r="AG51" i="15"/>
  <c r="N51" i="15"/>
  <c r="O51" i="15"/>
  <c r="O77" i="15" s="1"/>
  <c r="P51" i="15"/>
  <c r="P77" i="15" s="1"/>
  <c r="Q51" i="15"/>
  <c r="Q77" i="15" s="1"/>
  <c r="R51" i="15"/>
  <c r="R77" i="15" s="1"/>
  <c r="S51" i="15"/>
  <c r="S77" i="15" s="1"/>
  <c r="T51" i="15"/>
  <c r="T77" i="15" s="1"/>
  <c r="U51" i="15"/>
  <c r="U77" i="15" s="1"/>
  <c r="V51" i="15"/>
  <c r="V77" i="15" s="1"/>
  <c r="W51" i="15"/>
  <c r="W77" i="15" s="1"/>
  <c r="X51" i="15"/>
  <c r="X77" i="15" s="1"/>
  <c r="Y51" i="15"/>
  <c r="Y77" i="15" s="1"/>
  <c r="Z51" i="15"/>
  <c r="Z77" i="15" s="1"/>
  <c r="B49" i="15"/>
  <c r="B50" i="15"/>
  <c r="B51" i="15"/>
  <c r="AB45" i="15"/>
  <c r="AM45" i="15" s="1"/>
  <c r="AB46" i="15"/>
  <c r="AB47" i="15"/>
  <c r="AB48" i="15"/>
  <c r="AB49" i="15"/>
  <c r="AB50" i="15"/>
  <c r="N43" i="15"/>
  <c r="N44" i="15"/>
  <c r="N45" i="15"/>
  <c r="N46" i="15"/>
  <c r="N47" i="15"/>
  <c r="N48" i="15"/>
  <c r="N49" i="15"/>
  <c r="N50" i="15"/>
  <c r="I50" i="15"/>
  <c r="K50" i="15" s="1"/>
  <c r="J50" i="15"/>
  <c r="I51" i="15"/>
  <c r="J51" i="15"/>
  <c r="AA47" i="15"/>
  <c r="A46" i="15"/>
  <c r="AH45" i="15"/>
  <c r="AN45" i="15"/>
  <c r="AH46" i="15"/>
  <c r="AN46" i="15" s="1"/>
  <c r="AL46" i="15"/>
  <c r="AH47" i="15"/>
  <c r="AN47" i="15" s="1"/>
  <c r="AI47" i="15"/>
  <c r="AH48" i="15"/>
  <c r="AM48" i="15"/>
  <c r="AN48" i="15"/>
  <c r="AH49" i="15"/>
  <c r="AN49" i="15"/>
  <c r="AH50" i="15"/>
  <c r="AI50" i="15"/>
  <c r="AE45" i="15"/>
  <c r="AE46" i="15"/>
  <c r="AE47" i="15"/>
  <c r="AM47" i="15" s="1"/>
  <c r="AF47" i="15"/>
  <c r="AE48" i="15"/>
  <c r="AE49" i="15"/>
  <c r="AE50" i="15"/>
  <c r="AF50" i="15"/>
  <c r="I45" i="15"/>
  <c r="AA45" i="15" s="1"/>
  <c r="J45" i="15"/>
  <c r="L45" i="15"/>
  <c r="M45" i="15"/>
  <c r="I46" i="15"/>
  <c r="AA46" i="15" s="1"/>
  <c r="J46" i="15"/>
  <c r="L46" i="15"/>
  <c r="M46" i="15"/>
  <c r="I47" i="15"/>
  <c r="J47" i="15"/>
  <c r="K47" i="15"/>
  <c r="L47" i="15"/>
  <c r="M47" i="15"/>
  <c r="I48" i="15"/>
  <c r="AA48" i="15" s="1"/>
  <c r="J48" i="15"/>
  <c r="L48" i="15"/>
  <c r="M48" i="15"/>
  <c r="I49" i="15"/>
  <c r="K49" i="15" s="1"/>
  <c r="J49" i="15"/>
  <c r="L49" i="15"/>
  <c r="M49" i="15"/>
  <c r="I43" i="15"/>
  <c r="J43" i="15"/>
  <c r="I44" i="15"/>
  <c r="J44" i="15"/>
  <c r="AH35" i="15"/>
  <c r="AH36" i="15"/>
  <c r="AL36" i="15"/>
  <c r="AH40" i="15"/>
  <c r="AL40" i="15"/>
  <c r="AH41" i="15"/>
  <c r="AE35" i="15"/>
  <c r="AE37" i="15"/>
  <c r="AE38" i="15"/>
  <c r="AE39" i="15"/>
  <c r="AE40" i="15"/>
  <c r="AA35" i="15"/>
  <c r="AI35" i="15" s="1"/>
  <c r="AA37" i="15"/>
  <c r="I35" i="15"/>
  <c r="K35" i="15" s="1"/>
  <c r="J35" i="15"/>
  <c r="L35" i="15"/>
  <c r="M35" i="15"/>
  <c r="N35" i="15"/>
  <c r="I36" i="15"/>
  <c r="AA36" i="15" s="1"/>
  <c r="J36" i="15"/>
  <c r="L36" i="15"/>
  <c r="M36" i="15"/>
  <c r="N36" i="15"/>
  <c r="I37" i="15"/>
  <c r="J37" i="15"/>
  <c r="K37" i="15"/>
  <c r="L37" i="15"/>
  <c r="M37" i="15"/>
  <c r="N37" i="15"/>
  <c r="I38" i="15"/>
  <c r="K38" i="15" s="1"/>
  <c r="J38" i="15"/>
  <c r="L38" i="15"/>
  <c r="M38" i="15"/>
  <c r="N38" i="15"/>
  <c r="I39" i="15"/>
  <c r="J39" i="15"/>
  <c r="L39" i="15"/>
  <c r="M39" i="15"/>
  <c r="N39" i="15"/>
  <c r="I40" i="15"/>
  <c r="AA40" i="15" s="1"/>
  <c r="J40" i="15"/>
  <c r="L40" i="15"/>
  <c r="M40" i="15"/>
  <c r="N40" i="15"/>
  <c r="I41" i="15"/>
  <c r="K41" i="15" s="1"/>
  <c r="J41" i="15"/>
  <c r="L41" i="15"/>
  <c r="M41" i="15"/>
  <c r="N41" i="15"/>
  <c r="N33" i="15"/>
  <c r="I33" i="15"/>
  <c r="J33" i="15"/>
  <c r="AG32" i="15"/>
  <c r="AL32" i="15" s="1"/>
  <c r="AD32" i="15"/>
  <c r="AK32" i="15" s="1"/>
  <c r="O32" i="15"/>
  <c r="P32" i="15"/>
  <c r="Q32" i="15"/>
  <c r="R32" i="15"/>
  <c r="S32" i="15"/>
  <c r="T32" i="15"/>
  <c r="U32" i="15"/>
  <c r="V32" i="15"/>
  <c r="W32" i="15"/>
  <c r="X32" i="15"/>
  <c r="Y32" i="15"/>
  <c r="Z32" i="15"/>
  <c r="AJ32" i="15" s="1"/>
  <c r="AJ31" i="15"/>
  <c r="AK31" i="15"/>
  <c r="AM31" i="15" s="1"/>
  <c r="AL31" i="15"/>
  <c r="AN31" i="15" s="1"/>
  <c r="AG31" i="15"/>
  <c r="AD31" i="15"/>
  <c r="O31" i="15"/>
  <c r="P31" i="15"/>
  <c r="Q31" i="15"/>
  <c r="R31" i="15"/>
  <c r="S31" i="15"/>
  <c r="T31" i="15"/>
  <c r="U31" i="15"/>
  <c r="V31" i="15"/>
  <c r="W31" i="15"/>
  <c r="X31" i="15"/>
  <c r="Y31" i="15"/>
  <c r="Z31" i="15"/>
  <c r="AA31" i="15"/>
  <c r="N26" i="15"/>
  <c r="N27" i="15"/>
  <c r="N28" i="15"/>
  <c r="N29" i="15"/>
  <c r="B29" i="15"/>
  <c r="B22" i="15"/>
  <c r="B23" i="15"/>
  <c r="AG16" i="15"/>
  <c r="AG19" i="15"/>
  <c r="AH74" i="15" s="1"/>
  <c r="AG20" i="15"/>
  <c r="AD19" i="15"/>
  <c r="AE59" i="15" s="1"/>
  <c r="AD20" i="15"/>
  <c r="AK74" i="15" s="1"/>
  <c r="N19" i="15"/>
  <c r="O19" i="15"/>
  <c r="P19" i="15"/>
  <c r="Q19" i="15"/>
  <c r="R19" i="15"/>
  <c r="S19" i="15"/>
  <c r="T19" i="15"/>
  <c r="U19" i="15"/>
  <c r="V19" i="15"/>
  <c r="W19" i="15"/>
  <c r="X19" i="15"/>
  <c r="Y19" i="15"/>
  <c r="Z19" i="15"/>
  <c r="N20" i="15"/>
  <c r="O20" i="15"/>
  <c r="P20" i="15"/>
  <c r="Q20" i="15"/>
  <c r="R20" i="15"/>
  <c r="S20" i="15"/>
  <c r="T20" i="15"/>
  <c r="U20" i="15"/>
  <c r="V20" i="15"/>
  <c r="W20" i="15"/>
  <c r="X20" i="15"/>
  <c r="Y20" i="15"/>
  <c r="Z20" i="15"/>
  <c r="G19" i="15"/>
  <c r="B17" i="15"/>
  <c r="B18" i="15"/>
  <c r="B19" i="15"/>
  <c r="O16" i="15"/>
  <c r="P16" i="15"/>
  <c r="Q16" i="15"/>
  <c r="R16" i="15"/>
  <c r="S16" i="15"/>
  <c r="T16" i="15"/>
  <c r="U16" i="15"/>
  <c r="V16" i="15"/>
  <c r="W16" i="15"/>
  <c r="X16" i="15"/>
  <c r="Y16" i="15"/>
  <c r="O17" i="15"/>
  <c r="P17" i="15"/>
  <c r="Q17" i="15"/>
  <c r="R17" i="15"/>
  <c r="S17" i="15"/>
  <c r="T17" i="15"/>
  <c r="U17" i="15"/>
  <c r="V17" i="15"/>
  <c r="W17" i="15"/>
  <c r="X17" i="15"/>
  <c r="Y17" i="15"/>
  <c r="Z17" i="15"/>
  <c r="AA17" i="15" s="1"/>
  <c r="AA11" i="15" s="1"/>
  <c r="A14" i="15"/>
  <c r="AG12" i="15"/>
  <c r="AG13" i="15"/>
  <c r="AD12" i="15"/>
  <c r="AD13" i="15"/>
  <c r="B12" i="15"/>
  <c r="B13" i="15"/>
  <c r="O12" i="15"/>
  <c r="P12" i="15"/>
  <c r="Q12" i="15"/>
  <c r="R12" i="15"/>
  <c r="S12" i="15"/>
  <c r="T12" i="15"/>
  <c r="U12" i="15"/>
  <c r="V12" i="15"/>
  <c r="W12" i="15"/>
  <c r="X12" i="15"/>
  <c r="Y12" i="15"/>
  <c r="Z12" i="15"/>
  <c r="AA12" i="15"/>
  <c r="O13" i="15"/>
  <c r="P13" i="15"/>
  <c r="Q13" i="15"/>
  <c r="R13" i="15"/>
  <c r="S13" i="15"/>
  <c r="T13" i="15"/>
  <c r="U13" i="15"/>
  <c r="V13" i="15"/>
  <c r="W13" i="15"/>
  <c r="X13" i="15"/>
  <c r="Y13" i="15"/>
  <c r="Z13" i="15"/>
  <c r="AA13" i="15"/>
  <c r="C10" i="15"/>
  <c r="D10" i="15"/>
  <c r="C9" i="15"/>
  <c r="C1" i="15"/>
  <c r="C2" i="15"/>
  <c r="C3" i="15"/>
  <c r="C4" i="15"/>
  <c r="C5" i="15"/>
  <c r="C6" i="15"/>
  <c r="C7" i="15"/>
  <c r="C8" i="15"/>
  <c r="E6" i="15"/>
  <c r="B61" i="15" s="1"/>
  <c r="E4" i="15"/>
  <c r="B3" i="15"/>
  <c r="AG145" i="60"/>
  <c r="AG146" i="60"/>
  <c r="AG147" i="60"/>
  <c r="AG148" i="60"/>
  <c r="AD145" i="60"/>
  <c r="AD146" i="60"/>
  <c r="AD147" i="60"/>
  <c r="AD148" i="60"/>
  <c r="O145" i="60"/>
  <c r="P145" i="60"/>
  <c r="Q145" i="60"/>
  <c r="R145" i="60"/>
  <c r="S145" i="60"/>
  <c r="T145" i="60"/>
  <c r="U145" i="60"/>
  <c r="V145" i="60"/>
  <c r="W145" i="60"/>
  <c r="X145" i="60"/>
  <c r="Y145" i="60"/>
  <c r="Z145" i="60"/>
  <c r="O146" i="60"/>
  <c r="P146" i="60"/>
  <c r="Q146" i="60"/>
  <c r="R146" i="60"/>
  <c r="S146" i="60"/>
  <c r="T146" i="60"/>
  <c r="U146" i="60"/>
  <c r="V146" i="60"/>
  <c r="W146" i="60"/>
  <c r="X146" i="60"/>
  <c r="Y146" i="60"/>
  <c r="Z146" i="60"/>
  <c r="O147" i="60"/>
  <c r="P147" i="60"/>
  <c r="Q147" i="60"/>
  <c r="R147" i="60"/>
  <c r="S147" i="60"/>
  <c r="T147" i="60"/>
  <c r="U147" i="60"/>
  <c r="V147" i="60"/>
  <c r="W147" i="60"/>
  <c r="X147" i="60"/>
  <c r="Y147" i="60"/>
  <c r="Z147" i="60"/>
  <c r="O148" i="60"/>
  <c r="P148" i="60"/>
  <c r="Q148" i="60"/>
  <c r="R148" i="60"/>
  <c r="S148" i="60"/>
  <c r="T148" i="60"/>
  <c r="U148" i="60"/>
  <c r="V148" i="60"/>
  <c r="W148" i="60"/>
  <c r="X148" i="60"/>
  <c r="Y148" i="60"/>
  <c r="Z148" i="60"/>
  <c r="AI133" i="60"/>
  <c r="AI135" i="60"/>
  <c r="AI136" i="60"/>
  <c r="AI137" i="60"/>
  <c r="AI139" i="60"/>
  <c r="AI140" i="60"/>
  <c r="AI141" i="60"/>
  <c r="AG143" i="60"/>
  <c r="AD143" i="60"/>
  <c r="O143" i="60"/>
  <c r="P143" i="60"/>
  <c r="Q143" i="60"/>
  <c r="R143" i="60"/>
  <c r="S143" i="60"/>
  <c r="T143" i="60"/>
  <c r="U143" i="60"/>
  <c r="V143" i="60"/>
  <c r="W143" i="60"/>
  <c r="X143" i="60"/>
  <c r="Y143" i="60"/>
  <c r="Z143" i="60"/>
  <c r="AH142" i="60"/>
  <c r="AE142" i="60"/>
  <c r="AA142" i="60"/>
  <c r="AI142" i="60" s="1"/>
  <c r="AB142" i="60"/>
  <c r="AF133" i="60"/>
  <c r="AF135" i="60"/>
  <c r="AF137" i="60"/>
  <c r="AF138" i="60"/>
  <c r="AF139" i="60"/>
  <c r="AF141" i="60"/>
  <c r="AH140" i="60"/>
  <c r="AE140" i="60"/>
  <c r="AA140" i="60"/>
  <c r="AF140" i="60" s="1"/>
  <c r="AB140" i="60"/>
  <c r="AH138" i="60"/>
  <c r="AE138" i="60"/>
  <c r="AA138" i="60"/>
  <c r="AI138" i="60" s="1"/>
  <c r="AB138" i="60"/>
  <c r="AH136" i="60"/>
  <c r="AE136" i="60"/>
  <c r="AA136" i="60"/>
  <c r="AF136" i="60" s="1"/>
  <c r="AB136" i="60"/>
  <c r="AH134" i="60"/>
  <c r="AE134" i="60"/>
  <c r="AA134" i="60"/>
  <c r="AB134" i="60"/>
  <c r="AH132" i="60"/>
  <c r="AE132" i="60"/>
  <c r="AA132" i="60"/>
  <c r="AF132" i="60" s="1"/>
  <c r="AB132" i="60"/>
  <c r="L132" i="60"/>
  <c r="M132" i="60"/>
  <c r="N132" i="60"/>
  <c r="L133" i="60"/>
  <c r="M133" i="60"/>
  <c r="N133" i="60"/>
  <c r="L134" i="60"/>
  <c r="M134" i="60"/>
  <c r="N134" i="60"/>
  <c r="L135" i="60"/>
  <c r="M135" i="60"/>
  <c r="N135" i="60"/>
  <c r="L136" i="60"/>
  <c r="M136" i="60"/>
  <c r="N136" i="60"/>
  <c r="L137" i="60"/>
  <c r="M137" i="60"/>
  <c r="N137" i="60"/>
  <c r="L138" i="60"/>
  <c r="M138" i="60"/>
  <c r="N138" i="60"/>
  <c r="L139" i="60"/>
  <c r="M139" i="60"/>
  <c r="N139" i="60"/>
  <c r="L140" i="60"/>
  <c r="M140" i="60"/>
  <c r="N140" i="60"/>
  <c r="L141" i="60"/>
  <c r="M141" i="60"/>
  <c r="N141" i="60"/>
  <c r="L142" i="60"/>
  <c r="M142" i="60"/>
  <c r="N142" i="60"/>
  <c r="N131" i="60"/>
  <c r="AG123" i="60"/>
  <c r="AH123" i="60" s="1"/>
  <c r="AG124" i="60"/>
  <c r="AG125" i="60"/>
  <c r="AG126" i="60"/>
  <c r="AH126" i="60" s="1"/>
  <c r="AG127" i="60"/>
  <c r="AH127" i="60" s="1"/>
  <c r="AD123" i="60"/>
  <c r="AD124" i="60"/>
  <c r="AD125" i="60"/>
  <c r="AD126" i="60"/>
  <c r="AE126" i="60" s="1"/>
  <c r="AD127" i="60"/>
  <c r="AE127" i="60" s="1"/>
  <c r="L123" i="60"/>
  <c r="M123" i="60"/>
  <c r="N123" i="60"/>
  <c r="O123" i="60"/>
  <c r="P123" i="60"/>
  <c r="Q123" i="60"/>
  <c r="R123" i="60"/>
  <c r="S123" i="60"/>
  <c r="T123" i="60"/>
  <c r="U123" i="60"/>
  <c r="V123" i="60"/>
  <c r="V128" i="60" s="1"/>
  <c r="V129" i="60" s="1"/>
  <c r="W123" i="60"/>
  <c r="X123" i="60"/>
  <c r="Y123" i="60"/>
  <c r="Z123" i="60"/>
  <c r="L124" i="60"/>
  <c r="M124" i="60"/>
  <c r="N124" i="60"/>
  <c r="O124" i="60"/>
  <c r="P124" i="60"/>
  <c r="Q124" i="60"/>
  <c r="R124" i="60"/>
  <c r="S124" i="60"/>
  <c r="T124" i="60"/>
  <c r="U124" i="60"/>
  <c r="V124" i="60"/>
  <c r="W124" i="60"/>
  <c r="X124" i="60"/>
  <c r="Y124" i="60"/>
  <c r="Z124" i="60"/>
  <c r="L125" i="60"/>
  <c r="M125" i="60"/>
  <c r="N125" i="60"/>
  <c r="O125" i="60"/>
  <c r="P125" i="60"/>
  <c r="Q125" i="60"/>
  <c r="R125" i="60"/>
  <c r="S125" i="60"/>
  <c r="T125" i="60"/>
  <c r="U125" i="60"/>
  <c r="V125" i="60"/>
  <c r="W125" i="60"/>
  <c r="X125" i="60"/>
  <c r="Y125" i="60"/>
  <c r="Z125" i="60"/>
  <c r="L126" i="60"/>
  <c r="M126" i="60"/>
  <c r="N126" i="60"/>
  <c r="O126" i="60"/>
  <c r="P126" i="60"/>
  <c r="Q126" i="60"/>
  <c r="R126" i="60"/>
  <c r="S126" i="60"/>
  <c r="T126" i="60"/>
  <c r="U126" i="60"/>
  <c r="V126" i="60"/>
  <c r="W126" i="60"/>
  <c r="X126" i="60"/>
  <c r="Y126" i="60"/>
  <c r="Z126" i="60"/>
  <c r="L127" i="60"/>
  <c r="M127" i="60"/>
  <c r="N127" i="60"/>
  <c r="O127" i="60"/>
  <c r="P127" i="60"/>
  <c r="Q127" i="60"/>
  <c r="R127" i="60"/>
  <c r="S127" i="60"/>
  <c r="T127" i="60"/>
  <c r="U127" i="60"/>
  <c r="V127" i="60"/>
  <c r="W127" i="60"/>
  <c r="X127" i="60"/>
  <c r="Y127" i="60"/>
  <c r="Z127" i="60"/>
  <c r="L128" i="60"/>
  <c r="M128" i="60"/>
  <c r="N128" i="60"/>
  <c r="AH116" i="60"/>
  <c r="AH118" i="60"/>
  <c r="AH119" i="60"/>
  <c r="AH120" i="60"/>
  <c r="AI120" i="60"/>
  <c r="AE119" i="60"/>
  <c r="AE120" i="60"/>
  <c r="AA116" i="60"/>
  <c r="AI116" i="60" s="1"/>
  <c r="AA117" i="60"/>
  <c r="AI117" i="60" s="1"/>
  <c r="AA118" i="60"/>
  <c r="AA119" i="60"/>
  <c r="AF119" i="60" s="1"/>
  <c r="AA120" i="60"/>
  <c r="AB120" i="60" s="1"/>
  <c r="AA121" i="60"/>
  <c r="L116" i="60"/>
  <c r="M116" i="60"/>
  <c r="N116" i="60"/>
  <c r="L117" i="60"/>
  <c r="M117" i="60"/>
  <c r="N117" i="60"/>
  <c r="L118" i="60"/>
  <c r="M118" i="60"/>
  <c r="N118" i="60"/>
  <c r="L119" i="60"/>
  <c r="M119" i="60"/>
  <c r="N119" i="60"/>
  <c r="L120" i="60"/>
  <c r="M120" i="60"/>
  <c r="N120" i="60"/>
  <c r="L121" i="60"/>
  <c r="M121" i="60"/>
  <c r="N121" i="60"/>
  <c r="AH108" i="60"/>
  <c r="AI109" i="60"/>
  <c r="AH110" i="60"/>
  <c r="AH111" i="60"/>
  <c r="AH112" i="60"/>
  <c r="AE111" i="60"/>
  <c r="AF111" i="60"/>
  <c r="AE112" i="60"/>
  <c r="AF113" i="60"/>
  <c r="AA108" i="60"/>
  <c r="AF108" i="60" s="1"/>
  <c r="AA109" i="60"/>
  <c r="AF109" i="60" s="1"/>
  <c r="AA110" i="60"/>
  <c r="AI110" i="60" s="1"/>
  <c r="AA111" i="60"/>
  <c r="AI111" i="60" s="1"/>
  <c r="AB111" i="60"/>
  <c r="AA112" i="60"/>
  <c r="AF112" i="60" s="1"/>
  <c r="AA113" i="60"/>
  <c r="AI113" i="60" s="1"/>
  <c r="L108" i="60"/>
  <c r="M108" i="60"/>
  <c r="N108" i="60"/>
  <c r="L109" i="60"/>
  <c r="M109" i="60"/>
  <c r="N109" i="60"/>
  <c r="L110" i="60"/>
  <c r="M110" i="60"/>
  <c r="N110" i="60"/>
  <c r="L111" i="60"/>
  <c r="M111" i="60"/>
  <c r="N111" i="60"/>
  <c r="L112" i="60"/>
  <c r="M112" i="60"/>
  <c r="N112" i="60"/>
  <c r="L113" i="60"/>
  <c r="M113" i="60"/>
  <c r="N113" i="60"/>
  <c r="AH100" i="60"/>
  <c r="AH102" i="60"/>
  <c r="AH103" i="60"/>
  <c r="AH104" i="60"/>
  <c r="AI104" i="60"/>
  <c r="AE103" i="60"/>
  <c r="AE104" i="60"/>
  <c r="AA100" i="60"/>
  <c r="AF100" i="60" s="1"/>
  <c r="AB100" i="60"/>
  <c r="AA101" i="60"/>
  <c r="AF101" i="60" s="1"/>
  <c r="AA102" i="60"/>
  <c r="AA103" i="60"/>
  <c r="AI103" i="60" s="1"/>
  <c r="AA104" i="60"/>
  <c r="AB104" i="60" s="1"/>
  <c r="AA105" i="60"/>
  <c r="AF105" i="60" s="1"/>
  <c r="L100" i="60"/>
  <c r="M100" i="60"/>
  <c r="N100" i="60"/>
  <c r="L101" i="60"/>
  <c r="M101" i="60"/>
  <c r="N101" i="60"/>
  <c r="L102" i="60"/>
  <c r="M102" i="60"/>
  <c r="N102" i="60"/>
  <c r="L103" i="60"/>
  <c r="M103" i="60"/>
  <c r="N103" i="60"/>
  <c r="L104" i="60"/>
  <c r="M104" i="60"/>
  <c r="N104" i="60"/>
  <c r="L105" i="60"/>
  <c r="M105" i="60"/>
  <c r="N105" i="60"/>
  <c r="AD94" i="60"/>
  <c r="AD95" i="60"/>
  <c r="AD96" i="60"/>
  <c r="AG94" i="60"/>
  <c r="AG95" i="60"/>
  <c r="AG96" i="60"/>
  <c r="O94" i="60"/>
  <c r="P94" i="60"/>
  <c r="Q94" i="60"/>
  <c r="R94" i="60"/>
  <c r="S94" i="60"/>
  <c r="T94" i="60"/>
  <c r="U94" i="60"/>
  <c r="V94" i="60"/>
  <c r="W94" i="60"/>
  <c r="X94" i="60"/>
  <c r="Y94" i="60"/>
  <c r="Z94" i="60"/>
  <c r="O95" i="60"/>
  <c r="P95" i="60"/>
  <c r="Q95" i="60"/>
  <c r="R95" i="60"/>
  <c r="S95" i="60"/>
  <c r="T95" i="60"/>
  <c r="U95" i="60"/>
  <c r="V95" i="60"/>
  <c r="W95" i="60"/>
  <c r="X95" i="60"/>
  <c r="Y95" i="60"/>
  <c r="Z95" i="60"/>
  <c r="O96" i="60"/>
  <c r="P96" i="60"/>
  <c r="Q96" i="60"/>
  <c r="R96" i="60"/>
  <c r="S96" i="60"/>
  <c r="T96" i="60"/>
  <c r="U96" i="60"/>
  <c r="V96" i="60"/>
  <c r="W96" i="60"/>
  <c r="X96" i="60"/>
  <c r="Y96" i="60"/>
  <c r="Z96" i="60"/>
  <c r="AA91" i="60"/>
  <c r="AF91" i="60" s="1"/>
  <c r="AA92" i="60"/>
  <c r="AI92" i="60" s="1"/>
  <c r="AA93" i="60"/>
  <c r="N91" i="60"/>
  <c r="N92" i="60"/>
  <c r="N93" i="60"/>
  <c r="I91" i="60"/>
  <c r="J91" i="60"/>
  <c r="I92" i="60"/>
  <c r="J92" i="60"/>
  <c r="I93" i="60"/>
  <c r="J93" i="60"/>
  <c r="AI87" i="60"/>
  <c r="AA35" i="60"/>
  <c r="AA36" i="60"/>
  <c r="AA37" i="60"/>
  <c r="AA38" i="60"/>
  <c r="AI38" i="60" s="1"/>
  <c r="AA39" i="60"/>
  <c r="AA40" i="60"/>
  <c r="AF40" i="60" s="1"/>
  <c r="AA41" i="60"/>
  <c r="AA45" i="60"/>
  <c r="AA46" i="60"/>
  <c r="AI46" i="60" s="1"/>
  <c r="AA47" i="60"/>
  <c r="AA48" i="60"/>
  <c r="AF48" i="60" s="1"/>
  <c r="AA49" i="60"/>
  <c r="AA50" i="60"/>
  <c r="AA51" i="60"/>
  <c r="AI51" i="60" s="1"/>
  <c r="AA55" i="60"/>
  <c r="AI55" i="60" s="1"/>
  <c r="AA56" i="60"/>
  <c r="AA57" i="60"/>
  <c r="AA58" i="60"/>
  <c r="AA59" i="60"/>
  <c r="AI59" i="60" s="1"/>
  <c r="AA60" i="60"/>
  <c r="AA61" i="60"/>
  <c r="AA65" i="60"/>
  <c r="AB65" i="60" s="1"/>
  <c r="AA66" i="60"/>
  <c r="AA67" i="60"/>
  <c r="AA68" i="60"/>
  <c r="AA69" i="60"/>
  <c r="AI69" i="60" s="1"/>
  <c r="AA70" i="60"/>
  <c r="AA71" i="60"/>
  <c r="AA75" i="60"/>
  <c r="AB75" i="60" s="1"/>
  <c r="AA76" i="60"/>
  <c r="AA77" i="60"/>
  <c r="AI77" i="60" s="1"/>
  <c r="AA78" i="60"/>
  <c r="AB78" i="60" s="1"/>
  <c r="AA79" i="60"/>
  <c r="AF79" i="60" s="1"/>
  <c r="AA80" i="60"/>
  <c r="AF80" i="60" s="1"/>
  <c r="AA81" i="60"/>
  <c r="AA83" i="60"/>
  <c r="AI83" i="60" s="1"/>
  <c r="AA85" i="60"/>
  <c r="AA86" i="60"/>
  <c r="AI86" i="60" s="1"/>
  <c r="AA87" i="60"/>
  <c r="N85" i="60"/>
  <c r="N145" i="60" s="1"/>
  <c r="N86" i="60"/>
  <c r="N87" i="60"/>
  <c r="N146" i="60" s="1"/>
  <c r="N88" i="60"/>
  <c r="N147" i="60" s="1"/>
  <c r="AE87" i="60"/>
  <c r="AH83" i="60"/>
  <c r="AE83" i="60"/>
  <c r="L85" i="60"/>
  <c r="M85" i="60"/>
  <c r="L86" i="60"/>
  <c r="M86" i="60"/>
  <c r="L87" i="60"/>
  <c r="M87" i="60"/>
  <c r="I85" i="60"/>
  <c r="J85" i="60"/>
  <c r="I86" i="60"/>
  <c r="J86" i="60"/>
  <c r="I87" i="60"/>
  <c r="J87" i="60"/>
  <c r="I88" i="60"/>
  <c r="J88" i="60"/>
  <c r="X84" i="60"/>
  <c r="AF83" i="60"/>
  <c r="AB83" i="60"/>
  <c r="L83" i="60"/>
  <c r="M83" i="60"/>
  <c r="N83" i="60"/>
  <c r="I83" i="60"/>
  <c r="J83" i="60"/>
  <c r="AG82" i="60"/>
  <c r="AH84" i="60" s="1"/>
  <c r="AD82" i="60"/>
  <c r="AE84" i="60" s="1"/>
  <c r="O82" i="60"/>
  <c r="O84" i="60" s="1"/>
  <c r="P82" i="60"/>
  <c r="P84" i="60" s="1"/>
  <c r="Q82" i="60"/>
  <c r="Q84" i="60" s="1"/>
  <c r="R82" i="60"/>
  <c r="R84" i="60" s="1"/>
  <c r="S82" i="60"/>
  <c r="S84" i="60" s="1"/>
  <c r="T82" i="60"/>
  <c r="T84" i="60" s="1"/>
  <c r="U82" i="60"/>
  <c r="U84" i="60" s="1"/>
  <c r="V82" i="60"/>
  <c r="V84" i="60" s="1"/>
  <c r="W82" i="60"/>
  <c r="W84" i="60" s="1"/>
  <c r="X82" i="60"/>
  <c r="Y82" i="60"/>
  <c r="Y84" i="60" s="1"/>
  <c r="Z82" i="60"/>
  <c r="Z84" i="60" s="1"/>
  <c r="AI76" i="60"/>
  <c r="AI80" i="60"/>
  <c r="AF75" i="60"/>
  <c r="AF76" i="60"/>
  <c r="AF77" i="60"/>
  <c r="AH74" i="60"/>
  <c r="AH75" i="60"/>
  <c r="AH76" i="60"/>
  <c r="AH77" i="60"/>
  <c r="AH78" i="60"/>
  <c r="AH79" i="60"/>
  <c r="AH80" i="60"/>
  <c r="AE75" i="60"/>
  <c r="AE76" i="60"/>
  <c r="AE77" i="60"/>
  <c r="AE78" i="60"/>
  <c r="AE79" i="60"/>
  <c r="AE80" i="60"/>
  <c r="AB76" i="60"/>
  <c r="AB77" i="60"/>
  <c r="AB80" i="60"/>
  <c r="L75" i="60"/>
  <c r="M75" i="60"/>
  <c r="N75" i="60"/>
  <c r="L76" i="60"/>
  <c r="M76" i="60"/>
  <c r="N76" i="60"/>
  <c r="L77" i="60"/>
  <c r="M77" i="60"/>
  <c r="N77" i="60"/>
  <c r="L78" i="60"/>
  <c r="M78" i="60"/>
  <c r="N78" i="60"/>
  <c r="L79" i="60"/>
  <c r="M79" i="60"/>
  <c r="N79" i="60"/>
  <c r="L80" i="60"/>
  <c r="M80" i="60"/>
  <c r="N80" i="60"/>
  <c r="L81" i="60"/>
  <c r="M81" i="60"/>
  <c r="N81" i="60"/>
  <c r="I75" i="60"/>
  <c r="J75" i="60"/>
  <c r="I76" i="60"/>
  <c r="J76" i="60"/>
  <c r="I77" i="60"/>
  <c r="J77" i="60"/>
  <c r="I78" i="60"/>
  <c r="J78" i="60"/>
  <c r="I79" i="60"/>
  <c r="J79" i="60"/>
  <c r="I80" i="60"/>
  <c r="J80" i="60"/>
  <c r="I81" i="60"/>
  <c r="J81" i="60"/>
  <c r="AG73" i="60"/>
  <c r="AD73" i="60"/>
  <c r="AE74" i="60" s="1"/>
  <c r="O73" i="60"/>
  <c r="O74" i="60" s="1"/>
  <c r="P73" i="60"/>
  <c r="P74" i="60" s="1"/>
  <c r="Q73" i="60"/>
  <c r="Q74" i="60" s="1"/>
  <c r="R73" i="60"/>
  <c r="R74" i="60" s="1"/>
  <c r="S73" i="60"/>
  <c r="S74" i="60" s="1"/>
  <c r="T73" i="60"/>
  <c r="U73" i="60"/>
  <c r="V73" i="60"/>
  <c r="V74" i="60" s="1"/>
  <c r="W73" i="60"/>
  <c r="W74" i="60" s="1"/>
  <c r="X73" i="60"/>
  <c r="X74" i="60" s="1"/>
  <c r="Y73" i="60"/>
  <c r="Y74" i="60" s="1"/>
  <c r="Z73" i="60"/>
  <c r="T74" i="60"/>
  <c r="U74" i="60"/>
  <c r="Z74" i="60"/>
  <c r="AI66" i="60"/>
  <c r="AI67" i="60"/>
  <c r="AI68" i="60"/>
  <c r="AI70" i="60"/>
  <c r="AF66" i="60"/>
  <c r="AF67" i="60"/>
  <c r="AF68" i="60"/>
  <c r="AF70" i="60"/>
  <c r="AF71" i="60"/>
  <c r="AH71" i="60"/>
  <c r="AE71" i="60"/>
  <c r="AH65" i="60"/>
  <c r="AH66" i="60"/>
  <c r="AH67" i="60"/>
  <c r="AH68" i="60"/>
  <c r="AH69" i="60"/>
  <c r="AE65" i="60"/>
  <c r="AE66" i="60"/>
  <c r="AE67" i="60"/>
  <c r="AE68" i="60"/>
  <c r="AE69" i="60"/>
  <c r="AB66" i="60"/>
  <c r="AB67" i="60"/>
  <c r="AB68" i="60"/>
  <c r="L65" i="60"/>
  <c r="M65" i="60"/>
  <c r="N65" i="60"/>
  <c r="L66" i="60"/>
  <c r="M66" i="60"/>
  <c r="N66" i="60"/>
  <c r="L67" i="60"/>
  <c r="M67" i="60"/>
  <c r="N67" i="60"/>
  <c r="L68" i="60"/>
  <c r="M68" i="60"/>
  <c r="N68" i="60"/>
  <c r="L69" i="60"/>
  <c r="M69" i="60"/>
  <c r="N69" i="60"/>
  <c r="L70" i="60"/>
  <c r="M70" i="60"/>
  <c r="N70" i="60"/>
  <c r="L71" i="60"/>
  <c r="M71" i="60"/>
  <c r="N71" i="60"/>
  <c r="L72" i="60"/>
  <c r="M72" i="60"/>
  <c r="N72" i="60"/>
  <c r="I65" i="60"/>
  <c r="J65" i="60"/>
  <c r="I66" i="60"/>
  <c r="J66" i="60"/>
  <c r="I67" i="60"/>
  <c r="J67" i="60"/>
  <c r="I68" i="60"/>
  <c r="J68" i="60"/>
  <c r="I69" i="60"/>
  <c r="J69" i="60"/>
  <c r="I70" i="60"/>
  <c r="J70" i="60"/>
  <c r="I71" i="60"/>
  <c r="J71" i="60"/>
  <c r="I72" i="60"/>
  <c r="J72" i="60"/>
  <c r="AG63" i="60"/>
  <c r="AH64" i="60" s="1"/>
  <c r="AD63" i="60"/>
  <c r="AE64" i="60" s="1"/>
  <c r="O63" i="60"/>
  <c r="O64" i="60" s="1"/>
  <c r="P63" i="60"/>
  <c r="P64" i="60" s="1"/>
  <c r="Q63" i="60"/>
  <c r="Q64" i="60" s="1"/>
  <c r="R63" i="60"/>
  <c r="R64" i="60" s="1"/>
  <c r="S63" i="60"/>
  <c r="T63" i="60"/>
  <c r="U63" i="60"/>
  <c r="V63" i="60"/>
  <c r="W63" i="60"/>
  <c r="W64" i="60" s="1"/>
  <c r="X63" i="60"/>
  <c r="X64" i="60" s="1"/>
  <c r="Y63" i="60"/>
  <c r="Y64" i="60" s="1"/>
  <c r="Z63" i="60"/>
  <c r="Z64" i="60" s="1"/>
  <c r="S64" i="60"/>
  <c r="T64" i="60"/>
  <c r="U64" i="60"/>
  <c r="V64" i="60"/>
  <c r="AI56" i="60"/>
  <c r="AI57" i="60"/>
  <c r="AI58" i="60"/>
  <c r="AI60" i="60"/>
  <c r="AF56" i="60"/>
  <c r="AF57" i="60"/>
  <c r="AF58" i="60"/>
  <c r="AF60" i="60"/>
  <c r="AH61" i="60"/>
  <c r="AE61" i="60"/>
  <c r="AH54" i="60"/>
  <c r="AH56" i="60"/>
  <c r="AH57" i="60"/>
  <c r="AH58" i="60"/>
  <c r="AE54" i="60"/>
  <c r="L55" i="60"/>
  <c r="M55" i="60"/>
  <c r="N55" i="60"/>
  <c r="L56" i="60"/>
  <c r="M56" i="60"/>
  <c r="N56" i="60"/>
  <c r="L57" i="60"/>
  <c r="M57" i="60"/>
  <c r="N57" i="60"/>
  <c r="L58" i="60"/>
  <c r="M58" i="60"/>
  <c r="N58" i="60"/>
  <c r="L59" i="60"/>
  <c r="M59" i="60"/>
  <c r="N59" i="60"/>
  <c r="L60" i="60"/>
  <c r="M60" i="60"/>
  <c r="N60" i="60"/>
  <c r="L61" i="60"/>
  <c r="M61" i="60"/>
  <c r="N61" i="60"/>
  <c r="L62" i="60"/>
  <c r="M62" i="60"/>
  <c r="N62" i="60"/>
  <c r="I55" i="60"/>
  <c r="J55" i="60"/>
  <c r="I56" i="60"/>
  <c r="J56" i="60"/>
  <c r="I57" i="60"/>
  <c r="J57" i="60"/>
  <c r="I58" i="60"/>
  <c r="J58" i="60"/>
  <c r="I59" i="60"/>
  <c r="J59" i="60"/>
  <c r="I60" i="60"/>
  <c r="J60" i="60"/>
  <c r="I61" i="60"/>
  <c r="J61" i="60"/>
  <c r="I62" i="60"/>
  <c r="J62" i="60"/>
  <c r="AG53" i="60"/>
  <c r="AD53" i="60"/>
  <c r="O53" i="60"/>
  <c r="P53" i="60"/>
  <c r="P54" i="60" s="1"/>
  <c r="Q53" i="60"/>
  <c r="Q54" i="60" s="1"/>
  <c r="R53" i="60"/>
  <c r="R54" i="60" s="1"/>
  <c r="S53" i="60"/>
  <c r="S54" i="60" s="1"/>
  <c r="T53" i="60"/>
  <c r="U53" i="60"/>
  <c r="V53" i="60"/>
  <c r="W53" i="60"/>
  <c r="X53" i="60"/>
  <c r="X54" i="60" s="1"/>
  <c r="Y53" i="60"/>
  <c r="Y54" i="60" s="1"/>
  <c r="Z53" i="60"/>
  <c r="Z54" i="60" s="1"/>
  <c r="O54" i="60"/>
  <c r="T54" i="60"/>
  <c r="U54" i="60"/>
  <c r="V54" i="60"/>
  <c r="W54" i="60"/>
  <c r="AI45" i="60"/>
  <c r="AI47" i="60"/>
  <c r="AI48" i="60"/>
  <c r="AF45" i="60"/>
  <c r="AF47" i="60"/>
  <c r="AF51" i="60"/>
  <c r="AH51" i="60"/>
  <c r="AE51" i="60"/>
  <c r="AB48" i="60"/>
  <c r="L45" i="60"/>
  <c r="M45" i="60"/>
  <c r="N45" i="60"/>
  <c r="L46" i="60"/>
  <c r="M46" i="60"/>
  <c r="N46" i="60"/>
  <c r="L47" i="60"/>
  <c r="M47" i="60"/>
  <c r="N47" i="60"/>
  <c r="L48" i="60"/>
  <c r="M48" i="60"/>
  <c r="N48" i="60"/>
  <c r="L49" i="60"/>
  <c r="M49" i="60"/>
  <c r="N49" i="60"/>
  <c r="L50" i="60"/>
  <c r="M50" i="60"/>
  <c r="N50" i="60"/>
  <c r="L51" i="60"/>
  <c r="M51" i="60"/>
  <c r="N51" i="60"/>
  <c r="L52" i="60"/>
  <c r="M52" i="60"/>
  <c r="N52" i="60"/>
  <c r="I45" i="60"/>
  <c r="J45" i="60"/>
  <c r="I46" i="60"/>
  <c r="J46" i="60"/>
  <c r="I47" i="60"/>
  <c r="J47" i="60"/>
  <c r="I48" i="60"/>
  <c r="J48" i="60"/>
  <c r="I49" i="60"/>
  <c r="J49" i="60"/>
  <c r="I50" i="60"/>
  <c r="J50" i="60"/>
  <c r="I51" i="60"/>
  <c r="J51" i="60"/>
  <c r="I52" i="60"/>
  <c r="J52" i="60"/>
  <c r="AG43" i="60"/>
  <c r="AH44" i="60" s="1"/>
  <c r="AD43" i="60"/>
  <c r="AE44" i="60" s="1"/>
  <c r="O43" i="60"/>
  <c r="O44" i="60" s="1"/>
  <c r="P43" i="60"/>
  <c r="Q43" i="60"/>
  <c r="Q44" i="60" s="1"/>
  <c r="R43" i="60"/>
  <c r="S43" i="60"/>
  <c r="S44" i="60" s="1"/>
  <c r="T43" i="60"/>
  <c r="T44" i="60" s="1"/>
  <c r="U43" i="60"/>
  <c r="V43" i="60"/>
  <c r="V44" i="60" s="1"/>
  <c r="W43" i="60"/>
  <c r="W44" i="60" s="1"/>
  <c r="X43" i="60"/>
  <c r="X44" i="60" s="1"/>
  <c r="Y43" i="60"/>
  <c r="Y44" i="60" s="1"/>
  <c r="Z43" i="60"/>
  <c r="P44" i="60"/>
  <c r="R44" i="60"/>
  <c r="U44" i="60"/>
  <c r="Z44" i="60"/>
  <c r="AI35" i="60"/>
  <c r="AI36" i="60"/>
  <c r="AI40" i="60"/>
  <c r="AF35" i="60"/>
  <c r="AF36" i="60"/>
  <c r="AH41" i="60"/>
  <c r="AE41" i="60"/>
  <c r="AH36" i="60"/>
  <c r="AH37" i="60"/>
  <c r="AH38" i="60"/>
  <c r="AB36" i="60"/>
  <c r="L35" i="60"/>
  <c r="M35" i="60"/>
  <c r="N35" i="60"/>
  <c r="L36" i="60"/>
  <c r="M36" i="60"/>
  <c r="N36" i="60"/>
  <c r="L37" i="60"/>
  <c r="M37" i="60"/>
  <c r="N37" i="60"/>
  <c r="L38" i="60"/>
  <c r="M38" i="60"/>
  <c r="N38" i="60"/>
  <c r="L39" i="60"/>
  <c r="M39" i="60"/>
  <c r="N39" i="60"/>
  <c r="L40" i="60"/>
  <c r="M40" i="60"/>
  <c r="N40" i="60"/>
  <c r="L41" i="60"/>
  <c r="M41" i="60"/>
  <c r="N41" i="60"/>
  <c r="L42" i="60"/>
  <c r="M42" i="60"/>
  <c r="N42" i="60"/>
  <c r="I35" i="60"/>
  <c r="J35" i="60"/>
  <c r="I36" i="60"/>
  <c r="J36" i="60"/>
  <c r="I37" i="60"/>
  <c r="J37" i="60"/>
  <c r="I38" i="60"/>
  <c r="J38" i="60"/>
  <c r="I39" i="60"/>
  <c r="J39" i="60"/>
  <c r="I40" i="60"/>
  <c r="J40" i="60"/>
  <c r="I41" i="60"/>
  <c r="J41" i="60"/>
  <c r="I42" i="60"/>
  <c r="J42" i="60"/>
  <c r="AG32" i="60"/>
  <c r="AD32" i="60"/>
  <c r="O32" i="60"/>
  <c r="P32" i="60"/>
  <c r="Q32" i="60"/>
  <c r="R32" i="60"/>
  <c r="S32" i="60"/>
  <c r="T32" i="60"/>
  <c r="U32" i="60"/>
  <c r="V32" i="60"/>
  <c r="W32" i="60"/>
  <c r="X32" i="60"/>
  <c r="Y32" i="60"/>
  <c r="Z32" i="60"/>
  <c r="AG31" i="60"/>
  <c r="AD31" i="60"/>
  <c r="O31" i="60"/>
  <c r="P31" i="60"/>
  <c r="Q31" i="60"/>
  <c r="R31" i="60"/>
  <c r="S31" i="60"/>
  <c r="T31" i="60"/>
  <c r="U31" i="60"/>
  <c r="V31" i="60"/>
  <c r="W31" i="60"/>
  <c r="X31" i="60"/>
  <c r="Y31" i="60"/>
  <c r="Z31" i="60"/>
  <c r="AA31" i="60"/>
  <c r="N26" i="60"/>
  <c r="N27" i="60"/>
  <c r="N28" i="60"/>
  <c r="N29" i="60"/>
  <c r="B23" i="60"/>
  <c r="AG16" i="60"/>
  <c r="AG19" i="60"/>
  <c r="AG20" i="60"/>
  <c r="AH87" i="60" s="1"/>
  <c r="AD19" i="60"/>
  <c r="AE36" i="60" s="1"/>
  <c r="AD20" i="60"/>
  <c r="G19" i="60"/>
  <c r="G20" i="60"/>
  <c r="N19" i="60"/>
  <c r="O19" i="60"/>
  <c r="P19" i="60"/>
  <c r="Q19" i="60"/>
  <c r="R19" i="60"/>
  <c r="S19" i="60"/>
  <c r="T19" i="60"/>
  <c r="U19" i="60"/>
  <c r="V19" i="60"/>
  <c r="W19" i="60"/>
  <c r="X19" i="60"/>
  <c r="Y19" i="60"/>
  <c r="Z19" i="60"/>
  <c r="N20" i="60"/>
  <c r="O20" i="60"/>
  <c r="P20" i="60"/>
  <c r="Q20" i="60"/>
  <c r="R20" i="60"/>
  <c r="S20" i="60"/>
  <c r="T20" i="60"/>
  <c r="U20" i="60"/>
  <c r="V20" i="60"/>
  <c r="W20" i="60"/>
  <c r="X20" i="60"/>
  <c r="Y20" i="60"/>
  <c r="Z20" i="60"/>
  <c r="B17" i="60"/>
  <c r="B18" i="60"/>
  <c r="B19" i="60"/>
  <c r="O16" i="60"/>
  <c r="P16" i="60"/>
  <c r="Q16" i="60"/>
  <c r="R16" i="60"/>
  <c r="S16" i="60"/>
  <c r="T16" i="60"/>
  <c r="U16" i="60"/>
  <c r="V16" i="60"/>
  <c r="W16" i="60"/>
  <c r="X16" i="60"/>
  <c r="Y16" i="60"/>
  <c r="O17" i="60"/>
  <c r="P17" i="60"/>
  <c r="Q17" i="60"/>
  <c r="R17" i="60"/>
  <c r="S17" i="60"/>
  <c r="T17" i="60"/>
  <c r="U17" i="60"/>
  <c r="V17" i="60"/>
  <c r="W17" i="60"/>
  <c r="X17" i="60"/>
  <c r="Y17" i="60"/>
  <c r="Z17" i="60"/>
  <c r="AA17" i="60" s="1"/>
  <c r="AA11" i="60" s="1"/>
  <c r="AA18" i="60" s="1"/>
  <c r="A14" i="60"/>
  <c r="AG12" i="60"/>
  <c r="AG13" i="60"/>
  <c r="AD12" i="60"/>
  <c r="AD13" i="60"/>
  <c r="B12" i="60"/>
  <c r="Z16" i="60" s="1"/>
  <c r="B13" i="60"/>
  <c r="O12" i="60"/>
  <c r="P12" i="60"/>
  <c r="Q12" i="60"/>
  <c r="R12" i="60"/>
  <c r="S12" i="60"/>
  <c r="T12" i="60"/>
  <c r="U12" i="60"/>
  <c r="V12" i="60"/>
  <c r="W12" i="60"/>
  <c r="X12" i="60"/>
  <c r="Y12" i="60"/>
  <c r="Z12" i="60"/>
  <c r="AA12" i="60"/>
  <c r="O13" i="60"/>
  <c r="P13" i="60"/>
  <c r="Q13" i="60"/>
  <c r="R13" i="60"/>
  <c r="S13" i="60"/>
  <c r="T13" i="60"/>
  <c r="U13" i="60"/>
  <c r="V13" i="60"/>
  <c r="W13" i="60"/>
  <c r="X13" i="60"/>
  <c r="Y13" i="60"/>
  <c r="Z13" i="60"/>
  <c r="AA13" i="60"/>
  <c r="C10" i="60"/>
  <c r="D10" i="60"/>
  <c r="C9" i="60"/>
  <c r="C1" i="60"/>
  <c r="C2" i="60"/>
  <c r="C3" i="60"/>
  <c r="C4" i="60"/>
  <c r="C5" i="60"/>
  <c r="C6" i="60"/>
  <c r="C7" i="60"/>
  <c r="C8" i="60"/>
  <c r="E6" i="60"/>
  <c r="E4" i="60"/>
  <c r="B3" i="60"/>
  <c r="B120" i="13"/>
  <c r="B114" i="13"/>
  <c r="B115" i="13"/>
  <c r="B116" i="13"/>
  <c r="A111" i="13"/>
  <c r="AG108" i="13"/>
  <c r="AD108" i="13"/>
  <c r="O108" i="13"/>
  <c r="P108" i="13"/>
  <c r="Q108" i="13"/>
  <c r="R108" i="13"/>
  <c r="S108" i="13"/>
  <c r="T108" i="13"/>
  <c r="U108" i="13"/>
  <c r="V108" i="13"/>
  <c r="W108" i="13"/>
  <c r="X108" i="13"/>
  <c r="Y108" i="13"/>
  <c r="Z108" i="13"/>
  <c r="N105" i="13"/>
  <c r="N108" i="13" s="1"/>
  <c r="N106" i="13"/>
  <c r="N109" i="13" s="1"/>
  <c r="AI105" i="13"/>
  <c r="AF105" i="13"/>
  <c r="AA106" i="13"/>
  <c r="AI106" i="13" s="1"/>
  <c r="I105" i="13"/>
  <c r="AA105" i="13" s="1"/>
  <c r="J105" i="13"/>
  <c r="I106" i="13"/>
  <c r="J106" i="13"/>
  <c r="N89" i="13"/>
  <c r="N90" i="13"/>
  <c r="N91" i="13"/>
  <c r="N92" i="13"/>
  <c r="N93" i="13"/>
  <c r="N94" i="13"/>
  <c r="N95" i="13"/>
  <c r="N96" i="13"/>
  <c r="N97" i="13"/>
  <c r="N98" i="13"/>
  <c r="N99" i="13"/>
  <c r="N100" i="13"/>
  <c r="N101" i="13"/>
  <c r="N102" i="13"/>
  <c r="N103" i="13"/>
  <c r="I103" i="13"/>
  <c r="AA103" i="13" s="1"/>
  <c r="AI103" i="13" s="1"/>
  <c r="J103" i="13"/>
  <c r="AH90" i="13"/>
  <c r="AH91" i="13"/>
  <c r="AH93" i="13"/>
  <c r="AH94" i="13"/>
  <c r="AH95" i="13"/>
  <c r="AH96" i="13"/>
  <c r="AH97" i="13"/>
  <c r="AH98" i="13"/>
  <c r="AH99" i="13"/>
  <c r="AH100" i="13"/>
  <c r="AH102" i="13"/>
  <c r="AE96" i="13"/>
  <c r="AE101" i="13"/>
  <c r="AE102" i="13"/>
  <c r="AA90" i="13"/>
  <c r="AA91" i="13"/>
  <c r="AF91" i="13" s="1"/>
  <c r="AA93" i="13"/>
  <c r="AA94" i="13"/>
  <c r="AB94" i="13" s="1"/>
  <c r="AN94" i="13" s="1"/>
  <c r="AA95" i="13"/>
  <c r="AI95" i="13" s="1"/>
  <c r="AA99" i="13"/>
  <c r="I90" i="13"/>
  <c r="J90" i="13"/>
  <c r="K90" i="13"/>
  <c r="L90" i="13"/>
  <c r="M90" i="13"/>
  <c r="I91" i="13"/>
  <c r="J91" i="13"/>
  <c r="L91" i="13"/>
  <c r="M91" i="13"/>
  <c r="I92" i="13"/>
  <c r="AA92" i="13" s="1"/>
  <c r="J92" i="13"/>
  <c r="L92" i="13"/>
  <c r="M92" i="13"/>
  <c r="I93" i="13"/>
  <c r="K93" i="13" s="1"/>
  <c r="J93" i="13"/>
  <c r="L93" i="13"/>
  <c r="M93" i="13"/>
  <c r="I94" i="13"/>
  <c r="J94" i="13"/>
  <c r="K94" i="13"/>
  <c r="L94" i="13"/>
  <c r="M94" i="13"/>
  <c r="I95" i="13"/>
  <c r="K95" i="13" s="1"/>
  <c r="J95" i="13"/>
  <c r="L95" i="13"/>
  <c r="M95" i="13"/>
  <c r="I96" i="13"/>
  <c r="AA96" i="13" s="1"/>
  <c r="J96" i="13"/>
  <c r="L96" i="13"/>
  <c r="M96" i="13"/>
  <c r="I97" i="13"/>
  <c r="AA97" i="13" s="1"/>
  <c r="J97" i="13"/>
  <c r="L97" i="13"/>
  <c r="M97" i="13"/>
  <c r="I98" i="13"/>
  <c r="J98" i="13"/>
  <c r="L98" i="13"/>
  <c r="M98" i="13"/>
  <c r="I99" i="13"/>
  <c r="J99" i="13"/>
  <c r="K99" i="13" s="1"/>
  <c r="L99" i="13"/>
  <c r="M99" i="13"/>
  <c r="I100" i="13"/>
  <c r="AA100" i="13" s="1"/>
  <c r="J100" i="13"/>
  <c r="L100" i="13"/>
  <c r="M100" i="13"/>
  <c r="I101" i="13"/>
  <c r="J101" i="13"/>
  <c r="L101" i="13"/>
  <c r="M101" i="13"/>
  <c r="I102" i="13"/>
  <c r="AA102" i="13" s="1"/>
  <c r="J102" i="13"/>
  <c r="L102" i="13"/>
  <c r="M102" i="13"/>
  <c r="I89" i="13"/>
  <c r="J89" i="13"/>
  <c r="B88" i="13"/>
  <c r="B89" i="13"/>
  <c r="B83" i="13"/>
  <c r="B84" i="13"/>
  <c r="B85" i="13"/>
  <c r="A80" i="13"/>
  <c r="AH74" i="13"/>
  <c r="AH75" i="13"/>
  <c r="AH76" i="13"/>
  <c r="AH78" i="13"/>
  <c r="AH84" i="13"/>
  <c r="AE74" i="13"/>
  <c r="AE75" i="13"/>
  <c r="AE76" i="13"/>
  <c r="AE78" i="13"/>
  <c r="AE79" i="13"/>
  <c r="AA76" i="13"/>
  <c r="AI76" i="13" s="1"/>
  <c r="AA80" i="13"/>
  <c r="AF80" i="13" s="1"/>
  <c r="I74" i="13"/>
  <c r="K74" i="13" s="1"/>
  <c r="J74" i="13"/>
  <c r="L74" i="13"/>
  <c r="M74" i="13"/>
  <c r="N74" i="13"/>
  <c r="I75" i="13"/>
  <c r="J75" i="13"/>
  <c r="L75" i="13"/>
  <c r="M75" i="13"/>
  <c r="N75" i="13"/>
  <c r="I76" i="13"/>
  <c r="K76" i="13" s="1"/>
  <c r="J76" i="13"/>
  <c r="L76" i="13"/>
  <c r="M76" i="13"/>
  <c r="N76" i="13"/>
  <c r="I77" i="13"/>
  <c r="AA77" i="13" s="1"/>
  <c r="J77" i="13"/>
  <c r="L77" i="13"/>
  <c r="M77" i="13"/>
  <c r="N77" i="13"/>
  <c r="I78" i="13"/>
  <c r="K78" i="13" s="1"/>
  <c r="J78" i="13"/>
  <c r="L78" i="13"/>
  <c r="M78" i="13"/>
  <c r="N78" i="13"/>
  <c r="I79" i="13"/>
  <c r="AA79" i="13" s="1"/>
  <c r="J79" i="13"/>
  <c r="K79" i="13"/>
  <c r="L79" i="13"/>
  <c r="M79" i="13"/>
  <c r="N79" i="13"/>
  <c r="I80" i="13"/>
  <c r="K80" i="13" s="1"/>
  <c r="J80" i="13"/>
  <c r="L80" i="13"/>
  <c r="M80" i="13"/>
  <c r="N80" i="13"/>
  <c r="I81" i="13"/>
  <c r="AA81" i="13" s="1"/>
  <c r="J81" i="13"/>
  <c r="L81" i="13"/>
  <c r="M81" i="13"/>
  <c r="N81" i="13"/>
  <c r="I82" i="13"/>
  <c r="K82" i="13" s="1"/>
  <c r="J82" i="13"/>
  <c r="L82" i="13"/>
  <c r="M82" i="13"/>
  <c r="N82" i="13"/>
  <c r="I83" i="13"/>
  <c r="AA83" i="13" s="1"/>
  <c r="J83" i="13"/>
  <c r="K83" i="13"/>
  <c r="L83" i="13"/>
  <c r="M83" i="13"/>
  <c r="N83" i="13"/>
  <c r="I84" i="13"/>
  <c r="K84" i="13" s="1"/>
  <c r="J84" i="13"/>
  <c r="L84" i="13"/>
  <c r="M84" i="13"/>
  <c r="N84" i="13"/>
  <c r="I85" i="13"/>
  <c r="AA85" i="13" s="1"/>
  <c r="J85" i="13"/>
  <c r="K85" i="13"/>
  <c r="L85" i="13"/>
  <c r="M85" i="13"/>
  <c r="N85" i="13"/>
  <c r="I86" i="13"/>
  <c r="K86" i="13" s="1"/>
  <c r="J86" i="13"/>
  <c r="L86" i="13"/>
  <c r="M86" i="13"/>
  <c r="N86" i="13"/>
  <c r="I87" i="13"/>
  <c r="AA87" i="13" s="1"/>
  <c r="J87" i="13"/>
  <c r="L87" i="13"/>
  <c r="M87" i="13"/>
  <c r="N87" i="13"/>
  <c r="N72" i="13"/>
  <c r="N73" i="13"/>
  <c r="I72" i="13"/>
  <c r="J72" i="13"/>
  <c r="I73" i="13"/>
  <c r="J73" i="13"/>
  <c r="AD70" i="13"/>
  <c r="AD109" i="13" s="1"/>
  <c r="AG70" i="13"/>
  <c r="AG109" i="13" s="1"/>
  <c r="N70" i="13"/>
  <c r="O70" i="13"/>
  <c r="O109" i="13" s="1"/>
  <c r="P70" i="13"/>
  <c r="P109" i="13" s="1"/>
  <c r="Q70" i="13"/>
  <c r="Q109" i="13" s="1"/>
  <c r="R70" i="13"/>
  <c r="R109" i="13" s="1"/>
  <c r="S70" i="13"/>
  <c r="S109" i="13" s="1"/>
  <c r="T70" i="13"/>
  <c r="T109" i="13" s="1"/>
  <c r="U70" i="13"/>
  <c r="U109" i="13" s="1"/>
  <c r="V70" i="13"/>
  <c r="V109" i="13" s="1"/>
  <c r="W70" i="13"/>
  <c r="W109" i="13" s="1"/>
  <c r="X70" i="13"/>
  <c r="X109" i="13" s="1"/>
  <c r="Y70" i="13"/>
  <c r="Y109" i="13" s="1"/>
  <c r="Z70" i="13"/>
  <c r="Z109" i="13" s="1"/>
  <c r="AB60" i="13"/>
  <c r="AB61" i="13"/>
  <c r="AN61" i="13" s="1"/>
  <c r="AB62" i="13"/>
  <c r="AM62" i="13" s="1"/>
  <c r="AB63" i="13"/>
  <c r="AN63" i="13" s="1"/>
  <c r="AB64" i="13"/>
  <c r="AM64" i="13" s="1"/>
  <c r="AB65" i="13"/>
  <c r="AN65" i="13" s="1"/>
  <c r="AB66" i="13"/>
  <c r="AB67" i="13"/>
  <c r="AB68" i="13"/>
  <c r="AB69" i="13"/>
  <c r="AN69" i="13" s="1"/>
  <c r="N58" i="13"/>
  <c r="N59" i="13"/>
  <c r="N60" i="13"/>
  <c r="N61" i="13"/>
  <c r="N62" i="13"/>
  <c r="N63" i="13"/>
  <c r="N64" i="13"/>
  <c r="N65" i="13"/>
  <c r="N66" i="13"/>
  <c r="N67" i="13"/>
  <c r="N68" i="13"/>
  <c r="N69" i="13"/>
  <c r="I69" i="13"/>
  <c r="K69" i="13" s="1"/>
  <c r="J69" i="13"/>
  <c r="I70" i="13"/>
  <c r="J70" i="13"/>
  <c r="K70" i="13"/>
  <c r="AA60" i="13"/>
  <c r="AF60" i="13" s="1"/>
  <c r="AA68" i="13"/>
  <c r="AF68" i="13" s="1"/>
  <c r="AH60" i="13"/>
  <c r="AN60" i="13" s="1"/>
  <c r="AH61" i="13"/>
  <c r="AH62" i="13"/>
  <c r="AN62" i="13" s="1"/>
  <c r="AH63" i="13"/>
  <c r="AH64" i="13"/>
  <c r="AH65" i="13"/>
  <c r="AH66" i="13"/>
  <c r="AN66" i="13"/>
  <c r="AH67" i="13"/>
  <c r="AH68" i="13"/>
  <c r="AN68" i="13"/>
  <c r="AH69" i="13"/>
  <c r="AI69" i="13"/>
  <c r="AE60" i="13"/>
  <c r="AM60" i="13" s="1"/>
  <c r="AE61" i="13"/>
  <c r="AM61" i="13" s="1"/>
  <c r="AE62" i="13"/>
  <c r="AE63" i="13"/>
  <c r="AE64" i="13"/>
  <c r="AE65" i="13"/>
  <c r="AE66" i="13"/>
  <c r="AE67" i="13"/>
  <c r="AM67" i="13" s="1"/>
  <c r="AE68" i="13"/>
  <c r="AM68" i="13" s="1"/>
  <c r="AE69" i="13"/>
  <c r="AM69" i="13" s="1"/>
  <c r="AF69" i="13"/>
  <c r="I60" i="13"/>
  <c r="K60" i="13" s="1"/>
  <c r="J60" i="13"/>
  <c r="L60" i="13"/>
  <c r="M60" i="13"/>
  <c r="I61" i="13"/>
  <c r="J61" i="13"/>
  <c r="L61" i="13"/>
  <c r="M61" i="13"/>
  <c r="I62" i="13"/>
  <c r="AA62" i="13" s="1"/>
  <c r="J62" i="13"/>
  <c r="K62" i="13"/>
  <c r="L62" i="13"/>
  <c r="M62" i="13"/>
  <c r="I63" i="13"/>
  <c r="K63" i="13" s="1"/>
  <c r="J63" i="13"/>
  <c r="L63" i="13"/>
  <c r="M63" i="13"/>
  <c r="I64" i="13"/>
  <c r="K64" i="13" s="1"/>
  <c r="J64" i="13"/>
  <c r="L64" i="13"/>
  <c r="M64" i="13"/>
  <c r="I65" i="13"/>
  <c r="AA65" i="13" s="1"/>
  <c r="J65" i="13"/>
  <c r="L65" i="13"/>
  <c r="M65" i="13"/>
  <c r="I66" i="13"/>
  <c r="AA66" i="13" s="1"/>
  <c r="J66" i="13"/>
  <c r="L66" i="13"/>
  <c r="M66" i="13"/>
  <c r="I67" i="13"/>
  <c r="AA67" i="13" s="1"/>
  <c r="J67" i="13"/>
  <c r="L67" i="13"/>
  <c r="M67" i="13"/>
  <c r="I68" i="13"/>
  <c r="J68" i="13"/>
  <c r="K68" i="13"/>
  <c r="L68" i="13"/>
  <c r="M68" i="13"/>
  <c r="I58" i="13"/>
  <c r="J58" i="13"/>
  <c r="I59" i="13"/>
  <c r="J59" i="13"/>
  <c r="B55" i="13"/>
  <c r="B56" i="13"/>
  <c r="B50" i="13"/>
  <c r="B51" i="13"/>
  <c r="B52" i="13"/>
  <c r="A47" i="13"/>
  <c r="AH38" i="13"/>
  <c r="AH39" i="13"/>
  <c r="AH41" i="13"/>
  <c r="AH42" i="13"/>
  <c r="AH43" i="13"/>
  <c r="AH44" i="13"/>
  <c r="AH45" i="13"/>
  <c r="AH47" i="13"/>
  <c r="AH49" i="13"/>
  <c r="AH54" i="13"/>
  <c r="AE38" i="13"/>
  <c r="AE39" i="13"/>
  <c r="AE41" i="13"/>
  <c r="AE45" i="13"/>
  <c r="AE47" i="13"/>
  <c r="AE49" i="13"/>
  <c r="AE53" i="13"/>
  <c r="AE54" i="13"/>
  <c r="AA37" i="13"/>
  <c r="AA41" i="13"/>
  <c r="AI41" i="13" s="1"/>
  <c r="AA45" i="13"/>
  <c r="I35" i="13"/>
  <c r="AA35" i="13" s="1"/>
  <c r="J35" i="13"/>
  <c r="K35" i="13"/>
  <c r="L35" i="13"/>
  <c r="M35" i="13"/>
  <c r="N35" i="13"/>
  <c r="I36" i="13"/>
  <c r="K36" i="13" s="1"/>
  <c r="J36" i="13"/>
  <c r="L36" i="13"/>
  <c r="M36" i="13"/>
  <c r="N36" i="13"/>
  <c r="I37" i="13"/>
  <c r="K37" i="13" s="1"/>
  <c r="J37" i="13"/>
  <c r="L37" i="13"/>
  <c r="M37" i="13"/>
  <c r="N37" i="13"/>
  <c r="I38" i="13"/>
  <c r="AA38" i="13" s="1"/>
  <c r="J38" i="13"/>
  <c r="L38" i="13"/>
  <c r="M38" i="13"/>
  <c r="N38" i="13"/>
  <c r="I39" i="13"/>
  <c r="AA39" i="13" s="1"/>
  <c r="J39" i="13"/>
  <c r="K39" i="13"/>
  <c r="L39" i="13"/>
  <c r="M39" i="13"/>
  <c r="N39" i="13"/>
  <c r="I40" i="13"/>
  <c r="K40" i="13" s="1"/>
  <c r="J40" i="13"/>
  <c r="L40" i="13"/>
  <c r="M40" i="13"/>
  <c r="N40" i="13"/>
  <c r="I41" i="13"/>
  <c r="J41" i="13"/>
  <c r="K41" i="13"/>
  <c r="L41" i="13"/>
  <c r="M41" i="13"/>
  <c r="N41" i="13"/>
  <c r="I42" i="13"/>
  <c r="AA42" i="13" s="1"/>
  <c r="J42" i="13"/>
  <c r="L42" i="13"/>
  <c r="M42" i="13"/>
  <c r="N42" i="13"/>
  <c r="I43" i="13"/>
  <c r="J43" i="13"/>
  <c r="L43" i="13"/>
  <c r="M43" i="13"/>
  <c r="N43" i="13"/>
  <c r="I44" i="13"/>
  <c r="K44" i="13" s="1"/>
  <c r="J44" i="13"/>
  <c r="L44" i="13"/>
  <c r="M44" i="13"/>
  <c r="N44" i="13"/>
  <c r="I45" i="13"/>
  <c r="J45" i="13"/>
  <c r="K45" i="13"/>
  <c r="L45" i="13"/>
  <c r="M45" i="13"/>
  <c r="N45" i="13"/>
  <c r="I46" i="13"/>
  <c r="AA46" i="13" s="1"/>
  <c r="J46" i="13"/>
  <c r="L46" i="13"/>
  <c r="M46" i="13"/>
  <c r="N46" i="13"/>
  <c r="I47" i="13"/>
  <c r="AA47" i="13" s="1"/>
  <c r="J47" i="13"/>
  <c r="K47" i="13"/>
  <c r="L47" i="13"/>
  <c r="M47" i="13"/>
  <c r="N47" i="13"/>
  <c r="I48" i="13"/>
  <c r="K48" i="13" s="1"/>
  <c r="J48" i="13"/>
  <c r="L48" i="13"/>
  <c r="M48" i="13"/>
  <c r="N48" i="13"/>
  <c r="I49" i="13"/>
  <c r="AA49" i="13" s="1"/>
  <c r="J49" i="13"/>
  <c r="L49" i="13"/>
  <c r="M49" i="13"/>
  <c r="N49" i="13"/>
  <c r="I50" i="13"/>
  <c r="AA50" i="13" s="1"/>
  <c r="J50" i="13"/>
  <c r="L50" i="13"/>
  <c r="M50" i="13"/>
  <c r="N50" i="13"/>
  <c r="I51" i="13"/>
  <c r="AA51" i="13" s="1"/>
  <c r="J51" i="13"/>
  <c r="K51" i="13"/>
  <c r="L51" i="13"/>
  <c r="M51" i="13"/>
  <c r="N51" i="13"/>
  <c r="I52" i="13"/>
  <c r="K52" i="13" s="1"/>
  <c r="J52" i="13"/>
  <c r="L52" i="13"/>
  <c r="M52" i="13"/>
  <c r="N52" i="13"/>
  <c r="I53" i="13"/>
  <c r="K53" i="13" s="1"/>
  <c r="J53" i="13"/>
  <c r="L53" i="13"/>
  <c r="M53" i="13"/>
  <c r="N53" i="13"/>
  <c r="I54" i="13"/>
  <c r="AA54" i="13" s="1"/>
  <c r="J54" i="13"/>
  <c r="L54" i="13"/>
  <c r="M54" i="13"/>
  <c r="N54" i="13"/>
  <c r="I55" i="13"/>
  <c r="AA55" i="13" s="1"/>
  <c r="J55" i="13"/>
  <c r="K55" i="13"/>
  <c r="L55" i="13"/>
  <c r="M55" i="13"/>
  <c r="N55" i="13"/>
  <c r="I56" i="13"/>
  <c r="K56" i="13" s="1"/>
  <c r="J56" i="13"/>
  <c r="L56" i="13"/>
  <c r="M56" i="13"/>
  <c r="N56" i="13"/>
  <c r="N33" i="13"/>
  <c r="N34" i="13"/>
  <c r="I33" i="13"/>
  <c r="J33" i="13"/>
  <c r="I34" i="13"/>
  <c r="J34" i="13"/>
  <c r="AG32" i="13"/>
  <c r="AL32" i="13" s="1"/>
  <c r="AD32" i="13"/>
  <c r="AK32" i="13" s="1"/>
  <c r="O32" i="13"/>
  <c r="P32" i="13"/>
  <c r="Q32" i="13"/>
  <c r="R32" i="13"/>
  <c r="S32" i="13"/>
  <c r="T32" i="13"/>
  <c r="U32" i="13"/>
  <c r="V32" i="13"/>
  <c r="W32" i="13"/>
  <c r="X32" i="13"/>
  <c r="Y32" i="13"/>
  <c r="Z32" i="13"/>
  <c r="AJ32" i="13" s="1"/>
  <c r="AJ31" i="13"/>
  <c r="AK31" i="13"/>
  <c r="AL31" i="13"/>
  <c r="AN31" i="13" s="1"/>
  <c r="AM31" i="13"/>
  <c r="AG31" i="13"/>
  <c r="AD31" i="13"/>
  <c r="O31" i="13"/>
  <c r="P31" i="13"/>
  <c r="Q31" i="13"/>
  <c r="R31" i="13"/>
  <c r="S31" i="13"/>
  <c r="T31" i="13"/>
  <c r="U31" i="13"/>
  <c r="V31" i="13"/>
  <c r="W31" i="13"/>
  <c r="X31" i="13"/>
  <c r="Y31" i="13"/>
  <c r="Z31" i="13"/>
  <c r="AA31" i="13"/>
  <c r="N26" i="13"/>
  <c r="N27" i="13"/>
  <c r="N28" i="13"/>
  <c r="N29" i="13"/>
  <c r="B22" i="13"/>
  <c r="B23" i="13"/>
  <c r="AG16" i="13"/>
  <c r="AG19" i="13"/>
  <c r="AH83" i="13" s="1"/>
  <c r="AG20" i="13"/>
  <c r="AD19" i="13"/>
  <c r="AE35" i="13" s="1"/>
  <c r="AD20" i="13"/>
  <c r="G19" i="13"/>
  <c r="G20" i="13"/>
  <c r="N19" i="13"/>
  <c r="O19" i="13"/>
  <c r="AB70" i="13" s="1"/>
  <c r="P19" i="13"/>
  <c r="Q19" i="13"/>
  <c r="R19" i="13"/>
  <c r="S19" i="13"/>
  <c r="T19" i="13"/>
  <c r="U19" i="13"/>
  <c r="V19" i="13"/>
  <c r="W19" i="13"/>
  <c r="X19" i="13"/>
  <c r="Y19" i="13"/>
  <c r="Z19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B17" i="13"/>
  <c r="B18" i="13"/>
  <c r="B19" i="13"/>
  <c r="O16" i="13"/>
  <c r="P16" i="13"/>
  <c r="Q16" i="13"/>
  <c r="R16" i="13"/>
  <c r="S16" i="13"/>
  <c r="T16" i="13"/>
  <c r="U16" i="13"/>
  <c r="V16" i="13"/>
  <c r="W16" i="13"/>
  <c r="X16" i="13"/>
  <c r="Y16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A11" i="13" s="1"/>
  <c r="A14" i="13"/>
  <c r="AG12" i="13"/>
  <c r="AG13" i="13"/>
  <c r="AD12" i="13"/>
  <c r="AD13" i="13"/>
  <c r="B12" i="13"/>
  <c r="B13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O13" i="13"/>
  <c r="P13" i="13"/>
  <c r="Q13" i="13"/>
  <c r="R13" i="13"/>
  <c r="S13" i="13"/>
  <c r="T13" i="13"/>
  <c r="U13" i="13"/>
  <c r="V13" i="13"/>
  <c r="W13" i="13"/>
  <c r="X13" i="13"/>
  <c r="Y13" i="13"/>
  <c r="Z13" i="13"/>
  <c r="AA13" i="13"/>
  <c r="C10" i="13"/>
  <c r="D10" i="13"/>
  <c r="C9" i="13"/>
  <c r="C1" i="13"/>
  <c r="C2" i="13"/>
  <c r="C3" i="13"/>
  <c r="C4" i="13"/>
  <c r="C5" i="13"/>
  <c r="C6" i="13"/>
  <c r="C7" i="13"/>
  <c r="C8" i="13"/>
  <c r="E6" i="13"/>
  <c r="B62" i="13" s="1"/>
  <c r="E4" i="13"/>
  <c r="B3" i="13"/>
  <c r="AG143" i="59"/>
  <c r="AG144" i="59"/>
  <c r="AG145" i="59"/>
  <c r="AG146" i="59"/>
  <c r="AD143" i="59"/>
  <c r="AD144" i="59"/>
  <c r="AD145" i="59"/>
  <c r="AD146" i="59"/>
  <c r="O143" i="59"/>
  <c r="P143" i="59"/>
  <c r="Q143" i="59"/>
  <c r="R143" i="59"/>
  <c r="S143" i="59"/>
  <c r="T143" i="59"/>
  <c r="U143" i="59"/>
  <c r="V143" i="59"/>
  <c r="W143" i="59"/>
  <c r="X143" i="59"/>
  <c r="Y143" i="59"/>
  <c r="Z143" i="59"/>
  <c r="O144" i="59"/>
  <c r="P144" i="59"/>
  <c r="Q144" i="59"/>
  <c r="R144" i="59"/>
  <c r="S144" i="59"/>
  <c r="T144" i="59"/>
  <c r="U144" i="59"/>
  <c r="V144" i="59"/>
  <c r="W144" i="59"/>
  <c r="X144" i="59"/>
  <c r="Y144" i="59"/>
  <c r="Z144" i="59"/>
  <c r="O145" i="59"/>
  <c r="P145" i="59"/>
  <c r="Q145" i="59"/>
  <c r="R145" i="59"/>
  <c r="S145" i="59"/>
  <c r="T145" i="59"/>
  <c r="U145" i="59"/>
  <c r="V145" i="59"/>
  <c r="W145" i="59"/>
  <c r="X145" i="59"/>
  <c r="Y145" i="59"/>
  <c r="Z145" i="59"/>
  <c r="O146" i="59"/>
  <c r="P146" i="59"/>
  <c r="Q146" i="59"/>
  <c r="R146" i="59"/>
  <c r="S146" i="59"/>
  <c r="T146" i="59"/>
  <c r="U146" i="59"/>
  <c r="V146" i="59"/>
  <c r="W146" i="59"/>
  <c r="X146" i="59"/>
  <c r="Y146" i="59"/>
  <c r="Z146" i="59"/>
  <c r="AI131" i="59"/>
  <c r="AI133" i="59"/>
  <c r="AI135" i="59"/>
  <c r="AI137" i="59"/>
  <c r="AI139" i="59"/>
  <c r="AI140" i="59"/>
  <c r="AG141" i="59"/>
  <c r="AD141" i="59"/>
  <c r="O141" i="59"/>
  <c r="P141" i="59"/>
  <c r="Q141" i="59"/>
  <c r="R141" i="59"/>
  <c r="S141" i="59"/>
  <c r="T141" i="59"/>
  <c r="U141" i="59"/>
  <c r="V141" i="59"/>
  <c r="W141" i="59"/>
  <c r="X141" i="59"/>
  <c r="Y141" i="59"/>
  <c r="Z141" i="59"/>
  <c r="AH140" i="59"/>
  <c r="AE140" i="59"/>
  <c r="AF140" i="59"/>
  <c r="AA140" i="59"/>
  <c r="AB140" i="59"/>
  <c r="AF131" i="59"/>
  <c r="AF133" i="59"/>
  <c r="AF135" i="59"/>
  <c r="AF137" i="59"/>
  <c r="AF138" i="59"/>
  <c r="AF139" i="59"/>
  <c r="AH138" i="59"/>
  <c r="AE138" i="59"/>
  <c r="AA138" i="59"/>
  <c r="AI138" i="59" s="1"/>
  <c r="AB138" i="59"/>
  <c r="AH136" i="59"/>
  <c r="AE136" i="59"/>
  <c r="AA136" i="59"/>
  <c r="AB136" i="59"/>
  <c r="AH134" i="59"/>
  <c r="AE134" i="59"/>
  <c r="AA134" i="59"/>
  <c r="AF134" i="59" s="1"/>
  <c r="AB134" i="59"/>
  <c r="AH132" i="59"/>
  <c r="AE132" i="59"/>
  <c r="AA132" i="59"/>
  <c r="AF132" i="59" s="1"/>
  <c r="AB132" i="59"/>
  <c r="AH130" i="59"/>
  <c r="AE130" i="59"/>
  <c r="AA130" i="59"/>
  <c r="AB130" i="59"/>
  <c r="L130" i="59"/>
  <c r="M130" i="59"/>
  <c r="N130" i="59"/>
  <c r="L131" i="59"/>
  <c r="M131" i="59"/>
  <c r="N131" i="59"/>
  <c r="L132" i="59"/>
  <c r="M132" i="59"/>
  <c r="N132" i="59"/>
  <c r="L133" i="59"/>
  <c r="M133" i="59"/>
  <c r="N133" i="59"/>
  <c r="L134" i="59"/>
  <c r="M134" i="59"/>
  <c r="N134" i="59"/>
  <c r="L135" i="59"/>
  <c r="M135" i="59"/>
  <c r="N135" i="59"/>
  <c r="L136" i="59"/>
  <c r="M136" i="59"/>
  <c r="N136" i="59"/>
  <c r="L137" i="59"/>
  <c r="M137" i="59"/>
  <c r="N137" i="59"/>
  <c r="L138" i="59"/>
  <c r="M138" i="59"/>
  <c r="N138" i="59"/>
  <c r="L139" i="59"/>
  <c r="M139" i="59"/>
  <c r="N139" i="59"/>
  <c r="L140" i="59"/>
  <c r="M140" i="59"/>
  <c r="N140" i="59"/>
  <c r="N129" i="59"/>
  <c r="AG121" i="59"/>
  <c r="AG122" i="59"/>
  <c r="AH122" i="59" s="1"/>
  <c r="AG123" i="59"/>
  <c r="AG124" i="59"/>
  <c r="AH124" i="59" s="1"/>
  <c r="AG125" i="59"/>
  <c r="AH125" i="59" s="1"/>
  <c r="AD121" i="59"/>
  <c r="AD122" i="59"/>
  <c r="AD123" i="59"/>
  <c r="AD124" i="59"/>
  <c r="AD125" i="59"/>
  <c r="AE125" i="59" s="1"/>
  <c r="AH123" i="59"/>
  <c r="AE124" i="59"/>
  <c r="L121" i="59"/>
  <c r="M121" i="59"/>
  <c r="N121" i="59"/>
  <c r="O121" i="59"/>
  <c r="P121" i="59"/>
  <c r="Q121" i="59"/>
  <c r="R121" i="59"/>
  <c r="R126" i="59" s="1"/>
  <c r="R127" i="59" s="1"/>
  <c r="S121" i="59"/>
  <c r="T121" i="59"/>
  <c r="U121" i="59"/>
  <c r="V121" i="59"/>
  <c r="W121" i="59"/>
  <c r="X121" i="59"/>
  <c r="Y121" i="59"/>
  <c r="Z121" i="59"/>
  <c r="Z126" i="59" s="1"/>
  <c r="Z127" i="59" s="1"/>
  <c r="L122" i="59"/>
  <c r="M122" i="59"/>
  <c r="N122" i="59"/>
  <c r="O122" i="59"/>
  <c r="P122" i="59"/>
  <c r="Q122" i="59"/>
  <c r="R122" i="59"/>
  <c r="S122" i="59"/>
  <c r="S126" i="59" s="1"/>
  <c r="S127" i="59" s="1"/>
  <c r="T122" i="59"/>
  <c r="U122" i="59"/>
  <c r="V122" i="59"/>
  <c r="W122" i="59"/>
  <c r="X122" i="59"/>
  <c r="Y122" i="59"/>
  <c r="Z122" i="59"/>
  <c r="L123" i="59"/>
  <c r="M123" i="59"/>
  <c r="N123" i="59"/>
  <c r="O123" i="59"/>
  <c r="P123" i="59"/>
  <c r="Q123" i="59"/>
  <c r="R123" i="59"/>
  <c r="S123" i="59"/>
  <c r="T123" i="59"/>
  <c r="U123" i="59"/>
  <c r="V123" i="59"/>
  <c r="W123" i="59"/>
  <c r="X123" i="59"/>
  <c r="Y123" i="59"/>
  <c r="Z123" i="59"/>
  <c r="L124" i="59"/>
  <c r="M124" i="59"/>
  <c r="N124" i="59"/>
  <c r="O124" i="59"/>
  <c r="P124" i="59"/>
  <c r="Q124" i="59"/>
  <c r="R124" i="59"/>
  <c r="S124" i="59"/>
  <c r="T124" i="59"/>
  <c r="U124" i="59"/>
  <c r="V124" i="59"/>
  <c r="W124" i="59"/>
  <c r="X124" i="59"/>
  <c r="Y124" i="59"/>
  <c r="Z124" i="59"/>
  <c r="L125" i="59"/>
  <c r="M125" i="59"/>
  <c r="N125" i="59"/>
  <c r="O125" i="59"/>
  <c r="P125" i="59"/>
  <c r="Q125" i="59"/>
  <c r="R125" i="59"/>
  <c r="S125" i="59"/>
  <c r="T125" i="59"/>
  <c r="U125" i="59"/>
  <c r="V125" i="59"/>
  <c r="W125" i="59"/>
  <c r="X125" i="59"/>
  <c r="Y125" i="59"/>
  <c r="Z125" i="59"/>
  <c r="L126" i="59"/>
  <c r="M126" i="59"/>
  <c r="N126" i="59"/>
  <c r="Q126" i="59"/>
  <c r="Q127" i="59" s="1"/>
  <c r="Y126" i="59"/>
  <c r="Y127" i="59" s="1"/>
  <c r="AH114" i="59"/>
  <c r="AH115" i="59"/>
  <c r="AH116" i="59"/>
  <c r="AH117" i="59"/>
  <c r="AH118" i="59"/>
  <c r="AH119" i="59"/>
  <c r="AE114" i="59"/>
  <c r="AE117" i="59"/>
  <c r="AE118" i="59"/>
  <c r="AA114" i="59"/>
  <c r="AI114" i="59" s="1"/>
  <c r="AA115" i="59"/>
  <c r="AI115" i="59" s="1"/>
  <c r="AA116" i="59"/>
  <c r="AF116" i="59" s="1"/>
  <c r="AA117" i="59"/>
  <c r="AB117" i="59" s="1"/>
  <c r="AA118" i="59"/>
  <c r="AI118" i="59" s="1"/>
  <c r="AA119" i="59"/>
  <c r="AI119" i="59" s="1"/>
  <c r="L114" i="59"/>
  <c r="M114" i="59"/>
  <c r="N114" i="59"/>
  <c r="L115" i="59"/>
  <c r="M115" i="59"/>
  <c r="N115" i="59"/>
  <c r="L116" i="59"/>
  <c r="M116" i="59"/>
  <c r="N116" i="59"/>
  <c r="L117" i="59"/>
  <c r="M117" i="59"/>
  <c r="N117" i="59"/>
  <c r="L118" i="59"/>
  <c r="M118" i="59"/>
  <c r="N118" i="59"/>
  <c r="L119" i="59"/>
  <c r="M119" i="59"/>
  <c r="N119" i="59"/>
  <c r="AH106" i="59"/>
  <c r="AI106" i="59"/>
  <c r="AH107" i="59"/>
  <c r="AH108" i="59"/>
  <c r="AH109" i="59"/>
  <c r="AH110" i="59"/>
  <c r="AH111" i="59"/>
  <c r="AE107" i="59"/>
  <c r="AF108" i="59"/>
  <c r="AE109" i="59"/>
  <c r="AE110" i="59"/>
  <c r="AA106" i="59"/>
  <c r="AF106" i="59" s="1"/>
  <c r="AA107" i="59"/>
  <c r="AI107" i="59" s="1"/>
  <c r="AA108" i="59"/>
  <c r="AI108" i="59" s="1"/>
  <c r="AA109" i="59"/>
  <c r="AF109" i="59" s="1"/>
  <c r="AA110" i="59"/>
  <c r="AF110" i="59" s="1"/>
  <c r="AA111" i="59"/>
  <c r="AI111" i="59" s="1"/>
  <c r="L106" i="59"/>
  <c r="M106" i="59"/>
  <c r="N106" i="59"/>
  <c r="L107" i="59"/>
  <c r="M107" i="59"/>
  <c r="N107" i="59"/>
  <c r="L108" i="59"/>
  <c r="M108" i="59"/>
  <c r="N108" i="59"/>
  <c r="L109" i="59"/>
  <c r="M109" i="59"/>
  <c r="N109" i="59"/>
  <c r="L110" i="59"/>
  <c r="M110" i="59"/>
  <c r="N110" i="59"/>
  <c r="L111" i="59"/>
  <c r="M111" i="59"/>
  <c r="N111" i="59"/>
  <c r="AH98" i="59"/>
  <c r="AH99" i="59"/>
  <c r="AI99" i="59"/>
  <c r="AH100" i="59"/>
  <c r="AH101" i="59"/>
  <c r="AH102" i="59"/>
  <c r="AH103" i="59"/>
  <c r="AE100" i="59"/>
  <c r="AE101" i="59"/>
  <c r="AF101" i="59"/>
  <c r="AE102" i="59"/>
  <c r="AA98" i="59"/>
  <c r="AF98" i="59" s="1"/>
  <c r="AA99" i="59"/>
  <c r="AF99" i="59" s="1"/>
  <c r="AA100" i="59"/>
  <c r="AI100" i="59" s="1"/>
  <c r="AA101" i="59"/>
  <c r="AI101" i="59" s="1"/>
  <c r="AA102" i="59"/>
  <c r="AF102" i="59" s="1"/>
  <c r="AA103" i="59"/>
  <c r="AI103" i="59" s="1"/>
  <c r="L98" i="59"/>
  <c r="M98" i="59"/>
  <c r="N98" i="59"/>
  <c r="L99" i="59"/>
  <c r="M99" i="59"/>
  <c r="N99" i="59"/>
  <c r="L100" i="59"/>
  <c r="M100" i="59"/>
  <c r="N100" i="59"/>
  <c r="L101" i="59"/>
  <c r="M101" i="59"/>
  <c r="N101" i="59"/>
  <c r="L102" i="59"/>
  <c r="M102" i="59"/>
  <c r="N102" i="59"/>
  <c r="L103" i="59"/>
  <c r="M103" i="59"/>
  <c r="N103" i="59"/>
  <c r="AD93" i="59"/>
  <c r="AD94" i="59"/>
  <c r="AG93" i="59"/>
  <c r="AG94" i="59"/>
  <c r="O93" i="59"/>
  <c r="P93" i="59"/>
  <c r="Q93" i="59"/>
  <c r="R93" i="59"/>
  <c r="S93" i="59"/>
  <c r="T93" i="59"/>
  <c r="U93" i="59"/>
  <c r="V93" i="59"/>
  <c r="W93" i="59"/>
  <c r="X93" i="59"/>
  <c r="Y93" i="59"/>
  <c r="Z93" i="59"/>
  <c r="O94" i="59"/>
  <c r="P94" i="59"/>
  <c r="Q94" i="59"/>
  <c r="R94" i="59"/>
  <c r="S94" i="59"/>
  <c r="T94" i="59"/>
  <c r="U94" i="59"/>
  <c r="V94" i="59"/>
  <c r="W94" i="59"/>
  <c r="X94" i="59"/>
  <c r="Y94" i="59"/>
  <c r="Z94" i="59"/>
  <c r="AF91" i="59"/>
  <c r="AF92" i="59"/>
  <c r="AA91" i="59"/>
  <c r="AI91" i="59" s="1"/>
  <c r="AA92" i="59"/>
  <c r="AI92" i="59" s="1"/>
  <c r="N91" i="59"/>
  <c r="N92" i="59"/>
  <c r="I91" i="59"/>
  <c r="J91" i="59"/>
  <c r="I92" i="59"/>
  <c r="J92" i="59"/>
  <c r="AA35" i="59"/>
  <c r="AA36" i="59"/>
  <c r="AA37" i="59"/>
  <c r="AI37" i="59" s="1"/>
  <c r="AA38" i="59"/>
  <c r="AA39" i="59"/>
  <c r="AA40" i="59"/>
  <c r="AF40" i="59" s="1"/>
  <c r="AA41" i="59"/>
  <c r="AI41" i="59" s="1"/>
  <c r="AA45" i="59"/>
  <c r="AA46" i="59"/>
  <c r="AI46" i="59" s="1"/>
  <c r="AA47" i="59"/>
  <c r="AA48" i="59"/>
  <c r="AA49" i="59"/>
  <c r="AA50" i="59"/>
  <c r="AI50" i="59" s="1"/>
  <c r="AA51" i="59"/>
  <c r="AI51" i="59" s="1"/>
  <c r="AA55" i="59"/>
  <c r="AI55" i="59" s="1"/>
  <c r="AA56" i="59"/>
  <c r="AA57" i="59"/>
  <c r="AF57" i="59" s="1"/>
  <c r="AA58" i="59"/>
  <c r="AI58" i="59" s="1"/>
  <c r="AA59" i="59"/>
  <c r="AA60" i="59"/>
  <c r="AF60" i="59" s="1"/>
  <c r="AA61" i="59"/>
  <c r="AA62" i="59" s="1"/>
  <c r="AA65" i="59"/>
  <c r="AB65" i="59" s="1"/>
  <c r="AA66" i="59"/>
  <c r="AB66" i="59" s="1"/>
  <c r="AA67" i="59"/>
  <c r="AA68" i="59"/>
  <c r="AA69" i="59"/>
  <c r="AA70" i="59"/>
  <c r="AF70" i="59" s="1"/>
  <c r="AA71" i="59"/>
  <c r="AA75" i="59"/>
  <c r="AF75" i="59" s="1"/>
  <c r="AA76" i="59"/>
  <c r="AA77" i="59"/>
  <c r="AI77" i="59" s="1"/>
  <c r="AA78" i="59"/>
  <c r="AI78" i="59" s="1"/>
  <c r="AA79" i="59"/>
  <c r="AF79" i="59" s="1"/>
  <c r="AA80" i="59"/>
  <c r="AI80" i="59" s="1"/>
  <c r="AA83" i="59"/>
  <c r="AB83" i="59" s="1"/>
  <c r="AA85" i="59"/>
  <c r="AA86" i="59"/>
  <c r="AI86" i="59" s="1"/>
  <c r="AA87" i="59"/>
  <c r="AI87" i="59" s="1"/>
  <c r="AH87" i="59"/>
  <c r="L85" i="59"/>
  <c r="L86" i="59"/>
  <c r="L87" i="59"/>
  <c r="AH83" i="59"/>
  <c r="AH85" i="59"/>
  <c r="AE83" i="59"/>
  <c r="M85" i="59"/>
  <c r="N85" i="59"/>
  <c r="N143" i="59" s="1"/>
  <c r="M86" i="59"/>
  <c r="N86" i="59"/>
  <c r="M87" i="59"/>
  <c r="N87" i="59"/>
  <c r="N144" i="59" s="1"/>
  <c r="M88" i="59"/>
  <c r="N88" i="59"/>
  <c r="N145" i="59" s="1"/>
  <c r="I85" i="59"/>
  <c r="J85" i="59"/>
  <c r="I86" i="59"/>
  <c r="J86" i="59"/>
  <c r="I87" i="59"/>
  <c r="J87" i="59"/>
  <c r="I88" i="59"/>
  <c r="J88" i="59"/>
  <c r="P84" i="59"/>
  <c r="V84" i="59"/>
  <c r="W84" i="59"/>
  <c r="X84" i="59"/>
  <c r="L83" i="59"/>
  <c r="M83" i="59"/>
  <c r="N83" i="59"/>
  <c r="I83" i="59"/>
  <c r="J83" i="59"/>
  <c r="AG82" i="59"/>
  <c r="AH84" i="59" s="1"/>
  <c r="AD82" i="59"/>
  <c r="AE84" i="59" s="1"/>
  <c r="O82" i="59"/>
  <c r="O84" i="59" s="1"/>
  <c r="P82" i="59"/>
  <c r="Q82" i="59"/>
  <c r="Q84" i="59" s="1"/>
  <c r="R82" i="59"/>
  <c r="R84" i="59" s="1"/>
  <c r="S82" i="59"/>
  <c r="S84" i="59" s="1"/>
  <c r="T82" i="59"/>
  <c r="T84" i="59" s="1"/>
  <c r="U82" i="59"/>
  <c r="U84" i="59" s="1"/>
  <c r="V82" i="59"/>
  <c r="W82" i="59"/>
  <c r="X82" i="59"/>
  <c r="Y82" i="59"/>
  <c r="Y84" i="59" s="1"/>
  <c r="Z82" i="59"/>
  <c r="Z84" i="59" s="1"/>
  <c r="AI75" i="59"/>
  <c r="AI76" i="59"/>
  <c r="AF76" i="59"/>
  <c r="AF77" i="59"/>
  <c r="AH75" i="59"/>
  <c r="AH76" i="59"/>
  <c r="AH77" i="59"/>
  <c r="AH78" i="59"/>
  <c r="AH79" i="59"/>
  <c r="AH80" i="59"/>
  <c r="AE75" i="59"/>
  <c r="AE76" i="59"/>
  <c r="AE77" i="59"/>
  <c r="AE78" i="59"/>
  <c r="AE79" i="59"/>
  <c r="AE80" i="59"/>
  <c r="AB75" i="59"/>
  <c r="AB76" i="59"/>
  <c r="AB77" i="59"/>
  <c r="L75" i="59"/>
  <c r="M75" i="59"/>
  <c r="N75" i="59"/>
  <c r="L76" i="59"/>
  <c r="M76" i="59"/>
  <c r="N76" i="59"/>
  <c r="L77" i="59"/>
  <c r="M77" i="59"/>
  <c r="N77" i="59"/>
  <c r="L78" i="59"/>
  <c r="M78" i="59"/>
  <c r="N78" i="59"/>
  <c r="L79" i="59"/>
  <c r="M79" i="59"/>
  <c r="N79" i="59"/>
  <c r="L80" i="59"/>
  <c r="M80" i="59"/>
  <c r="N80" i="59"/>
  <c r="L81" i="59"/>
  <c r="M81" i="59"/>
  <c r="N81" i="59"/>
  <c r="I75" i="59"/>
  <c r="J75" i="59"/>
  <c r="I76" i="59"/>
  <c r="J76" i="59"/>
  <c r="I77" i="59"/>
  <c r="J77" i="59"/>
  <c r="I78" i="59"/>
  <c r="J78" i="59"/>
  <c r="I79" i="59"/>
  <c r="J79" i="59"/>
  <c r="I80" i="59"/>
  <c r="J80" i="59"/>
  <c r="I81" i="59"/>
  <c r="J81" i="59"/>
  <c r="AG73" i="59"/>
  <c r="AH74" i="59" s="1"/>
  <c r="AD73" i="59"/>
  <c r="AE74" i="59" s="1"/>
  <c r="O73" i="59"/>
  <c r="P73" i="59"/>
  <c r="Q73" i="59"/>
  <c r="Q74" i="59" s="1"/>
  <c r="R73" i="59"/>
  <c r="S73" i="59"/>
  <c r="S74" i="59" s="1"/>
  <c r="T73" i="59"/>
  <c r="T74" i="59" s="1"/>
  <c r="U73" i="59"/>
  <c r="U74" i="59" s="1"/>
  <c r="V73" i="59"/>
  <c r="V74" i="59" s="1"/>
  <c r="W73" i="59"/>
  <c r="X73" i="59"/>
  <c r="Y73" i="59"/>
  <c r="Y74" i="59" s="1"/>
  <c r="Z73" i="59"/>
  <c r="O74" i="59"/>
  <c r="P74" i="59"/>
  <c r="R74" i="59"/>
  <c r="W74" i="59"/>
  <c r="X74" i="59"/>
  <c r="Z74" i="59"/>
  <c r="AI65" i="59"/>
  <c r="AI66" i="59"/>
  <c r="AI67" i="59"/>
  <c r="AI68" i="59"/>
  <c r="AF65" i="59"/>
  <c r="AF66" i="59"/>
  <c r="AF67" i="59"/>
  <c r="AF68" i="59"/>
  <c r="AF69" i="59"/>
  <c r="AH71" i="59"/>
  <c r="AE71" i="59"/>
  <c r="AH65" i="59"/>
  <c r="AH66" i="59"/>
  <c r="AH67" i="59"/>
  <c r="AH68" i="59"/>
  <c r="AH69" i="59"/>
  <c r="AE64" i="59"/>
  <c r="AE65" i="59"/>
  <c r="AE66" i="59"/>
  <c r="AE67" i="59"/>
  <c r="AE68" i="59"/>
  <c r="AE69" i="59"/>
  <c r="AB67" i="59"/>
  <c r="AB68" i="59"/>
  <c r="L65" i="59"/>
  <c r="M65" i="59"/>
  <c r="N65" i="59"/>
  <c r="L66" i="59"/>
  <c r="M66" i="59"/>
  <c r="N66" i="59"/>
  <c r="L67" i="59"/>
  <c r="M67" i="59"/>
  <c r="N67" i="59"/>
  <c r="L68" i="59"/>
  <c r="M68" i="59"/>
  <c r="N68" i="59"/>
  <c r="L69" i="59"/>
  <c r="M69" i="59"/>
  <c r="N69" i="59"/>
  <c r="L70" i="59"/>
  <c r="M70" i="59"/>
  <c r="N70" i="59"/>
  <c r="L71" i="59"/>
  <c r="M71" i="59"/>
  <c r="N71" i="59"/>
  <c r="L72" i="59"/>
  <c r="M72" i="59"/>
  <c r="N72" i="59"/>
  <c r="I65" i="59"/>
  <c r="J65" i="59"/>
  <c r="I66" i="59"/>
  <c r="J66" i="59"/>
  <c r="I67" i="59"/>
  <c r="J67" i="59"/>
  <c r="I68" i="59"/>
  <c r="J68" i="59"/>
  <c r="I69" i="59"/>
  <c r="J69" i="59"/>
  <c r="I70" i="59"/>
  <c r="J70" i="59"/>
  <c r="I71" i="59"/>
  <c r="J71" i="59"/>
  <c r="I72" i="59"/>
  <c r="J72" i="59"/>
  <c r="AG63" i="59"/>
  <c r="AH64" i="59" s="1"/>
  <c r="AD63" i="59"/>
  <c r="O63" i="59"/>
  <c r="O64" i="59" s="1"/>
  <c r="P63" i="59"/>
  <c r="Q63" i="59"/>
  <c r="Q64" i="59" s="1"/>
  <c r="R63" i="59"/>
  <c r="R64" i="59" s="1"/>
  <c r="S63" i="59"/>
  <c r="S64" i="59" s="1"/>
  <c r="T63" i="59"/>
  <c r="T64" i="59" s="1"/>
  <c r="U63" i="59"/>
  <c r="U64" i="59" s="1"/>
  <c r="V63" i="59"/>
  <c r="W63" i="59"/>
  <c r="W64" i="59" s="1"/>
  <c r="X63" i="59"/>
  <c r="Y63" i="59"/>
  <c r="Y64" i="59" s="1"/>
  <c r="Z63" i="59"/>
  <c r="Z64" i="59" s="1"/>
  <c r="P64" i="59"/>
  <c r="V64" i="59"/>
  <c r="X64" i="59"/>
  <c r="AI56" i="59"/>
  <c r="AI57" i="59"/>
  <c r="AI60" i="59"/>
  <c r="AF56" i="59"/>
  <c r="AH61" i="59"/>
  <c r="AE61" i="59"/>
  <c r="AH54" i="59"/>
  <c r="AH55" i="59"/>
  <c r="AH56" i="59"/>
  <c r="AH57" i="59"/>
  <c r="AH58" i="59"/>
  <c r="AH59" i="59"/>
  <c r="L55" i="59"/>
  <c r="M55" i="59"/>
  <c r="N55" i="59"/>
  <c r="L56" i="59"/>
  <c r="M56" i="59"/>
  <c r="N56" i="59"/>
  <c r="L57" i="59"/>
  <c r="M57" i="59"/>
  <c r="N57" i="59"/>
  <c r="L58" i="59"/>
  <c r="M58" i="59"/>
  <c r="N58" i="59"/>
  <c r="L59" i="59"/>
  <c r="M59" i="59"/>
  <c r="N59" i="59"/>
  <c r="L60" i="59"/>
  <c r="M60" i="59"/>
  <c r="N60" i="59"/>
  <c r="L61" i="59"/>
  <c r="M61" i="59"/>
  <c r="N61" i="59"/>
  <c r="L62" i="59"/>
  <c r="M62" i="59"/>
  <c r="N62" i="59"/>
  <c r="I55" i="59"/>
  <c r="J55" i="59"/>
  <c r="I56" i="59"/>
  <c r="J56" i="59"/>
  <c r="I57" i="59"/>
  <c r="J57" i="59"/>
  <c r="I58" i="59"/>
  <c r="J58" i="59"/>
  <c r="I59" i="59"/>
  <c r="J59" i="59"/>
  <c r="I60" i="59"/>
  <c r="J60" i="59"/>
  <c r="I61" i="59"/>
  <c r="J61" i="59"/>
  <c r="I62" i="59"/>
  <c r="J62" i="59"/>
  <c r="AG53" i="59"/>
  <c r="AD53" i="59"/>
  <c r="AE54" i="59" s="1"/>
  <c r="O53" i="59"/>
  <c r="O54" i="59" s="1"/>
  <c r="P53" i="59"/>
  <c r="P54" i="59" s="1"/>
  <c r="Q53" i="59"/>
  <c r="Q54" i="59" s="1"/>
  <c r="R53" i="59"/>
  <c r="S53" i="59"/>
  <c r="S54" i="59" s="1"/>
  <c r="T53" i="59"/>
  <c r="U53" i="59"/>
  <c r="U54" i="59" s="1"/>
  <c r="V53" i="59"/>
  <c r="V54" i="59" s="1"/>
  <c r="W53" i="59"/>
  <c r="W54" i="59" s="1"/>
  <c r="X53" i="59"/>
  <c r="X54" i="59" s="1"/>
  <c r="Y53" i="59"/>
  <c r="Y54" i="59" s="1"/>
  <c r="Z53" i="59"/>
  <c r="R54" i="59"/>
  <c r="T54" i="59"/>
  <c r="Z54" i="59"/>
  <c r="AI45" i="59"/>
  <c r="AI48" i="59"/>
  <c r="AF45" i="59"/>
  <c r="AF48" i="59"/>
  <c r="AH51" i="59"/>
  <c r="AE51" i="59"/>
  <c r="AH45" i="59"/>
  <c r="AH46" i="59"/>
  <c r="AH47" i="59"/>
  <c r="AH48" i="59"/>
  <c r="AH49" i="59"/>
  <c r="L45" i="59"/>
  <c r="M45" i="59"/>
  <c r="N45" i="59"/>
  <c r="L46" i="59"/>
  <c r="M46" i="59"/>
  <c r="N46" i="59"/>
  <c r="L47" i="59"/>
  <c r="M47" i="59"/>
  <c r="N47" i="59"/>
  <c r="L48" i="59"/>
  <c r="M48" i="59"/>
  <c r="N48" i="59"/>
  <c r="L49" i="59"/>
  <c r="M49" i="59"/>
  <c r="N49" i="59"/>
  <c r="L50" i="59"/>
  <c r="M50" i="59"/>
  <c r="N50" i="59"/>
  <c r="L51" i="59"/>
  <c r="M51" i="59"/>
  <c r="N51" i="59"/>
  <c r="L52" i="59"/>
  <c r="M52" i="59"/>
  <c r="N52" i="59"/>
  <c r="I45" i="59"/>
  <c r="J45" i="59"/>
  <c r="I46" i="59"/>
  <c r="J46" i="59"/>
  <c r="I47" i="59"/>
  <c r="J47" i="59"/>
  <c r="I48" i="59"/>
  <c r="J48" i="59"/>
  <c r="I49" i="59"/>
  <c r="J49" i="59"/>
  <c r="I50" i="59"/>
  <c r="J50" i="59"/>
  <c r="I51" i="59"/>
  <c r="J51" i="59"/>
  <c r="I52" i="59"/>
  <c r="J52" i="59"/>
  <c r="AG43" i="59"/>
  <c r="AH44" i="59" s="1"/>
  <c r="AD43" i="59"/>
  <c r="AE44" i="59" s="1"/>
  <c r="O43" i="59"/>
  <c r="O44" i="59" s="1"/>
  <c r="P43" i="59"/>
  <c r="Q43" i="59"/>
  <c r="Q44" i="59" s="1"/>
  <c r="R43" i="59"/>
  <c r="R44" i="59" s="1"/>
  <c r="S43" i="59"/>
  <c r="S44" i="59" s="1"/>
  <c r="T43" i="59"/>
  <c r="T44" i="59" s="1"/>
  <c r="U43" i="59"/>
  <c r="U44" i="59" s="1"/>
  <c r="V43" i="59"/>
  <c r="V44" i="59" s="1"/>
  <c r="W43" i="59"/>
  <c r="W44" i="59" s="1"/>
  <c r="X43" i="59"/>
  <c r="X44" i="59" s="1"/>
  <c r="Y43" i="59"/>
  <c r="Y44" i="59" s="1"/>
  <c r="Z43" i="59"/>
  <c r="Z44" i="59" s="1"/>
  <c r="P44" i="59"/>
  <c r="AI35" i="59"/>
  <c r="AI36" i="59"/>
  <c r="AF35" i="59"/>
  <c r="AF36" i="59"/>
  <c r="AH41" i="59"/>
  <c r="AE41" i="59"/>
  <c r="AH35" i="59"/>
  <c r="AH36" i="59"/>
  <c r="AH37" i="59"/>
  <c r="AH38" i="59"/>
  <c r="AH39" i="59"/>
  <c r="AE36" i="59"/>
  <c r="AB37" i="59"/>
  <c r="L35" i="59"/>
  <c r="M35" i="59"/>
  <c r="N35" i="59"/>
  <c r="L36" i="59"/>
  <c r="M36" i="59"/>
  <c r="N36" i="59"/>
  <c r="L37" i="59"/>
  <c r="M37" i="59"/>
  <c r="N37" i="59"/>
  <c r="L38" i="59"/>
  <c r="M38" i="59"/>
  <c r="N38" i="59"/>
  <c r="L39" i="59"/>
  <c r="M39" i="59"/>
  <c r="N39" i="59"/>
  <c r="L40" i="59"/>
  <c r="M40" i="59"/>
  <c r="N40" i="59"/>
  <c r="L41" i="59"/>
  <c r="M41" i="59"/>
  <c r="N41" i="59"/>
  <c r="L42" i="59"/>
  <c r="M42" i="59"/>
  <c r="N42" i="59"/>
  <c r="I35" i="59"/>
  <c r="J35" i="59"/>
  <c r="I36" i="59"/>
  <c r="J36" i="59"/>
  <c r="I37" i="59"/>
  <c r="J37" i="59"/>
  <c r="I38" i="59"/>
  <c r="J38" i="59"/>
  <c r="I39" i="59"/>
  <c r="J39" i="59"/>
  <c r="I40" i="59"/>
  <c r="J40" i="59"/>
  <c r="I41" i="59"/>
  <c r="J41" i="59"/>
  <c r="I42" i="59"/>
  <c r="J42" i="59"/>
  <c r="AG32" i="59"/>
  <c r="AD32" i="59"/>
  <c r="O32" i="59"/>
  <c r="P32" i="59"/>
  <c r="Q32" i="59"/>
  <c r="R32" i="59"/>
  <c r="S32" i="59"/>
  <c r="T32" i="59"/>
  <c r="U32" i="59"/>
  <c r="V32" i="59"/>
  <c r="W32" i="59"/>
  <c r="X32" i="59"/>
  <c r="Y32" i="59"/>
  <c r="Z32" i="59"/>
  <c r="AG31" i="59"/>
  <c r="AD31" i="59"/>
  <c r="O31" i="59"/>
  <c r="P31" i="59"/>
  <c r="Q31" i="59"/>
  <c r="R31" i="59"/>
  <c r="S31" i="59"/>
  <c r="T31" i="59"/>
  <c r="U31" i="59"/>
  <c r="V31" i="59"/>
  <c r="W31" i="59"/>
  <c r="X31" i="59"/>
  <c r="Y31" i="59"/>
  <c r="Z31" i="59"/>
  <c r="AA31" i="59"/>
  <c r="N26" i="59"/>
  <c r="N27" i="59"/>
  <c r="N28" i="59"/>
  <c r="N29" i="59"/>
  <c r="B23" i="59"/>
  <c r="AG16" i="59"/>
  <c r="AG19" i="59"/>
  <c r="AG20" i="59"/>
  <c r="AD19" i="59"/>
  <c r="AE85" i="59" s="1"/>
  <c r="AD20" i="59"/>
  <c r="AE87" i="59" s="1"/>
  <c r="G19" i="59"/>
  <c r="G20" i="59"/>
  <c r="N19" i="59"/>
  <c r="O19" i="59"/>
  <c r="P19" i="59"/>
  <c r="Q19" i="59"/>
  <c r="R19" i="59"/>
  <c r="S19" i="59"/>
  <c r="T19" i="59"/>
  <c r="U19" i="59"/>
  <c r="V19" i="59"/>
  <c r="W19" i="59"/>
  <c r="X19" i="59"/>
  <c r="Y19" i="59"/>
  <c r="Z19" i="59"/>
  <c r="N20" i="59"/>
  <c r="O20" i="59"/>
  <c r="P20" i="59"/>
  <c r="Q20" i="59"/>
  <c r="R20" i="59"/>
  <c r="S20" i="59"/>
  <c r="T20" i="59"/>
  <c r="U20" i="59"/>
  <c r="V20" i="59"/>
  <c r="W20" i="59"/>
  <c r="X20" i="59"/>
  <c r="Y20" i="59"/>
  <c r="Z20" i="59"/>
  <c r="B17" i="59"/>
  <c r="B18" i="59"/>
  <c r="B19" i="59"/>
  <c r="O16" i="59"/>
  <c r="P16" i="59"/>
  <c r="Q16" i="59"/>
  <c r="R16" i="59"/>
  <c r="S16" i="59"/>
  <c r="T16" i="59"/>
  <c r="U16" i="59"/>
  <c r="V16" i="59"/>
  <c r="W16" i="59"/>
  <c r="X16" i="59"/>
  <c r="Y16" i="59"/>
  <c r="O17" i="59"/>
  <c r="P17" i="59"/>
  <c r="Q17" i="59"/>
  <c r="R17" i="59"/>
  <c r="S17" i="59"/>
  <c r="T17" i="59"/>
  <c r="U17" i="59"/>
  <c r="V17" i="59"/>
  <c r="W17" i="59"/>
  <c r="X17" i="59"/>
  <c r="Y17" i="59"/>
  <c r="Z17" i="59"/>
  <c r="AA17" i="59" s="1"/>
  <c r="AA11" i="59" s="1"/>
  <c r="AA18" i="59" s="1"/>
  <c r="A14" i="59"/>
  <c r="AG12" i="59"/>
  <c r="AG13" i="59"/>
  <c r="AD12" i="59"/>
  <c r="AD13" i="59"/>
  <c r="B12" i="59"/>
  <c r="AA16" i="59" s="1"/>
  <c r="B13" i="59"/>
  <c r="O12" i="59"/>
  <c r="P12" i="59"/>
  <c r="Q12" i="59"/>
  <c r="R12" i="59"/>
  <c r="S12" i="59"/>
  <c r="T12" i="59"/>
  <c r="U12" i="59"/>
  <c r="V12" i="59"/>
  <c r="W12" i="59"/>
  <c r="X12" i="59"/>
  <c r="Y12" i="59"/>
  <c r="Z12" i="59"/>
  <c r="AA12" i="59"/>
  <c r="O13" i="59"/>
  <c r="P13" i="59"/>
  <c r="Q13" i="59"/>
  <c r="R13" i="59"/>
  <c r="S13" i="59"/>
  <c r="T13" i="59"/>
  <c r="U13" i="59"/>
  <c r="V13" i="59"/>
  <c r="W13" i="59"/>
  <c r="X13" i="59"/>
  <c r="Y13" i="59"/>
  <c r="Z13" i="59"/>
  <c r="AA13" i="59"/>
  <c r="C10" i="59"/>
  <c r="D10" i="59"/>
  <c r="C9" i="59"/>
  <c r="C1" i="59"/>
  <c r="C2" i="59"/>
  <c r="C3" i="59"/>
  <c r="C4" i="59"/>
  <c r="C5" i="59"/>
  <c r="C6" i="59"/>
  <c r="C7" i="59"/>
  <c r="C8" i="59"/>
  <c r="E6" i="59"/>
  <c r="E4" i="59"/>
  <c r="B3" i="59"/>
  <c r="B120" i="11"/>
  <c r="B114" i="11"/>
  <c r="B115" i="11"/>
  <c r="B116" i="11"/>
  <c r="A111" i="11"/>
  <c r="AG94" i="11"/>
  <c r="AD94" i="11"/>
  <c r="O94" i="11"/>
  <c r="P94" i="11"/>
  <c r="Q94" i="11"/>
  <c r="R94" i="11"/>
  <c r="S94" i="11"/>
  <c r="T94" i="11"/>
  <c r="U94" i="11"/>
  <c r="V94" i="11"/>
  <c r="W94" i="11"/>
  <c r="X94" i="11"/>
  <c r="Y94" i="11"/>
  <c r="Z94" i="11"/>
  <c r="N95" i="11"/>
  <c r="Q95" i="11"/>
  <c r="Y95" i="11"/>
  <c r="N91" i="11"/>
  <c r="N94" i="11" s="1"/>
  <c r="N92" i="11"/>
  <c r="AF91" i="11"/>
  <c r="I91" i="11"/>
  <c r="AA91" i="11" s="1"/>
  <c r="J91" i="11"/>
  <c r="I92" i="11"/>
  <c r="AA92" i="11" s="1"/>
  <c r="J92" i="11"/>
  <c r="N80" i="11"/>
  <c r="N81" i="11"/>
  <c r="N82" i="11"/>
  <c r="N83" i="11"/>
  <c r="N84" i="11"/>
  <c r="N85" i="11"/>
  <c r="N86" i="11"/>
  <c r="N87" i="11"/>
  <c r="N88" i="11"/>
  <c r="N89" i="11"/>
  <c r="I89" i="11"/>
  <c r="J89" i="11"/>
  <c r="B88" i="11"/>
  <c r="B89" i="11"/>
  <c r="B83" i="11"/>
  <c r="B84" i="11"/>
  <c r="B85" i="11"/>
  <c r="AH81" i="11"/>
  <c r="AH83" i="11"/>
  <c r="AH84" i="11"/>
  <c r="AH85" i="11"/>
  <c r="AH86" i="11"/>
  <c r="AI86" i="11"/>
  <c r="AH87" i="11"/>
  <c r="AH88" i="11"/>
  <c r="AI89" i="11"/>
  <c r="AF89" i="11"/>
  <c r="AA82" i="11"/>
  <c r="AB84" i="11"/>
  <c r="AN84" i="11" s="1"/>
  <c r="AA86" i="11"/>
  <c r="AF86" i="11" s="1"/>
  <c r="AA89" i="11"/>
  <c r="I81" i="11"/>
  <c r="AA81" i="11" s="1"/>
  <c r="AI81" i="11" s="1"/>
  <c r="J81" i="11"/>
  <c r="L81" i="11"/>
  <c r="M81" i="11"/>
  <c r="I82" i="11"/>
  <c r="J82" i="11"/>
  <c r="K82" i="11"/>
  <c r="L82" i="11"/>
  <c r="M82" i="11"/>
  <c r="I83" i="11"/>
  <c r="J83" i="11"/>
  <c r="L83" i="11"/>
  <c r="M83" i="11"/>
  <c r="I84" i="11"/>
  <c r="AA84" i="11" s="1"/>
  <c r="J84" i="11"/>
  <c r="K84" i="11" s="1"/>
  <c r="L84" i="11"/>
  <c r="M84" i="11"/>
  <c r="I85" i="11"/>
  <c r="AA85" i="11" s="1"/>
  <c r="J85" i="11"/>
  <c r="K85" i="11" s="1"/>
  <c r="L85" i="11"/>
  <c r="M85" i="11"/>
  <c r="I86" i="11"/>
  <c r="J86" i="11"/>
  <c r="L86" i="11"/>
  <c r="M86" i="11"/>
  <c r="I87" i="11"/>
  <c r="J87" i="11"/>
  <c r="L87" i="11"/>
  <c r="M87" i="11"/>
  <c r="I88" i="11"/>
  <c r="AA88" i="11" s="1"/>
  <c r="AF88" i="11" s="1"/>
  <c r="J88" i="11"/>
  <c r="K88" i="11" s="1"/>
  <c r="L88" i="11"/>
  <c r="M88" i="11"/>
  <c r="I80" i="11"/>
  <c r="J80" i="11"/>
  <c r="A80" i="11"/>
  <c r="AH67" i="11"/>
  <c r="AH68" i="11"/>
  <c r="AH69" i="11"/>
  <c r="AH70" i="11"/>
  <c r="AH71" i="11"/>
  <c r="AH72" i="11"/>
  <c r="AH73" i="11"/>
  <c r="AH74" i="11"/>
  <c r="AH75" i="11"/>
  <c r="AH76" i="11"/>
  <c r="AH77" i="11"/>
  <c r="AH78" i="11"/>
  <c r="AE67" i="11"/>
  <c r="AE68" i="11"/>
  <c r="AE69" i="11"/>
  <c r="AA75" i="11"/>
  <c r="AI75" i="11" s="1"/>
  <c r="I67" i="11"/>
  <c r="AA67" i="11" s="1"/>
  <c r="J67" i="11"/>
  <c r="L67" i="11"/>
  <c r="M67" i="11"/>
  <c r="N67" i="11"/>
  <c r="I68" i="11"/>
  <c r="AA68" i="11" s="1"/>
  <c r="AB68" i="11" s="1"/>
  <c r="J68" i="11"/>
  <c r="K68" i="11"/>
  <c r="L68" i="11"/>
  <c r="M68" i="11"/>
  <c r="N68" i="11"/>
  <c r="I69" i="11"/>
  <c r="AA69" i="11" s="1"/>
  <c r="J69" i="11"/>
  <c r="K69" i="11"/>
  <c r="L69" i="11"/>
  <c r="M69" i="11"/>
  <c r="N69" i="11"/>
  <c r="I70" i="11"/>
  <c r="K70" i="11" s="1"/>
  <c r="J70" i="11"/>
  <c r="L70" i="11"/>
  <c r="M70" i="11"/>
  <c r="N70" i="11"/>
  <c r="I71" i="11"/>
  <c r="AA71" i="11" s="1"/>
  <c r="AI71" i="11" s="1"/>
  <c r="J71" i="11"/>
  <c r="L71" i="11"/>
  <c r="M71" i="11"/>
  <c r="N71" i="11"/>
  <c r="I72" i="11"/>
  <c r="AA72" i="11" s="1"/>
  <c r="J72" i="11"/>
  <c r="L72" i="11"/>
  <c r="M72" i="11"/>
  <c r="N72" i="11"/>
  <c r="I73" i="11"/>
  <c r="AA73" i="11" s="1"/>
  <c r="AI73" i="11" s="1"/>
  <c r="J73" i="11"/>
  <c r="L73" i="11"/>
  <c r="M73" i="11"/>
  <c r="N73" i="11"/>
  <c r="I74" i="11"/>
  <c r="K74" i="11" s="1"/>
  <c r="J74" i="11"/>
  <c r="L74" i="11"/>
  <c r="M74" i="11"/>
  <c r="N74" i="11"/>
  <c r="I75" i="11"/>
  <c r="J75" i="11"/>
  <c r="K75" i="11"/>
  <c r="L75" i="11"/>
  <c r="M75" i="11"/>
  <c r="N75" i="11"/>
  <c r="I76" i="11"/>
  <c r="K76" i="11" s="1"/>
  <c r="J76" i="11"/>
  <c r="L76" i="11"/>
  <c r="M76" i="11"/>
  <c r="N76" i="11"/>
  <c r="I77" i="11"/>
  <c r="AA77" i="11" s="1"/>
  <c r="J77" i="11"/>
  <c r="L77" i="11"/>
  <c r="M77" i="11"/>
  <c r="N77" i="11"/>
  <c r="I78" i="11"/>
  <c r="K78" i="11" s="1"/>
  <c r="J78" i="11"/>
  <c r="L78" i="11"/>
  <c r="M78" i="11"/>
  <c r="N78" i="11"/>
  <c r="N65" i="11"/>
  <c r="N66" i="11"/>
  <c r="I65" i="11"/>
  <c r="J65" i="11"/>
  <c r="I66" i="11"/>
  <c r="J66" i="11"/>
  <c r="AD63" i="11"/>
  <c r="AE63" i="11" s="1"/>
  <c r="AG63" i="11"/>
  <c r="AG95" i="11" s="1"/>
  <c r="N63" i="11"/>
  <c r="O63" i="11"/>
  <c r="O95" i="11" s="1"/>
  <c r="P63" i="11"/>
  <c r="P95" i="11" s="1"/>
  <c r="Q63" i="11"/>
  <c r="R63" i="11"/>
  <c r="R95" i="11" s="1"/>
  <c r="S63" i="11"/>
  <c r="S95" i="11" s="1"/>
  <c r="T63" i="11"/>
  <c r="T95" i="11" s="1"/>
  <c r="U63" i="11"/>
  <c r="U95" i="11" s="1"/>
  <c r="V63" i="11"/>
  <c r="V95" i="11" s="1"/>
  <c r="W63" i="11"/>
  <c r="W95" i="11" s="1"/>
  <c r="X63" i="11"/>
  <c r="X95" i="11" s="1"/>
  <c r="Y63" i="11"/>
  <c r="Z63" i="11"/>
  <c r="Z95" i="11" s="1"/>
  <c r="AB55" i="11"/>
  <c r="AB56" i="11"/>
  <c r="AB57" i="11"/>
  <c r="AB58" i="11"/>
  <c r="AN58" i="11" s="1"/>
  <c r="AB59" i="11"/>
  <c r="AB60" i="11"/>
  <c r="AB61" i="11"/>
  <c r="AB62" i="11"/>
  <c r="AM62" i="11" s="1"/>
  <c r="N53" i="11"/>
  <c r="N54" i="11"/>
  <c r="N55" i="11"/>
  <c r="N56" i="11"/>
  <c r="N57" i="11"/>
  <c r="N58" i="11"/>
  <c r="N59" i="11"/>
  <c r="N60" i="11"/>
  <c r="N61" i="11"/>
  <c r="N62" i="11"/>
  <c r="I62" i="11"/>
  <c r="K62" i="11" s="1"/>
  <c r="J62" i="11"/>
  <c r="I63" i="11"/>
  <c r="K63" i="11" s="1"/>
  <c r="J63" i="11"/>
  <c r="AA56" i="11"/>
  <c r="AI56" i="11" s="1"/>
  <c r="B55" i="11"/>
  <c r="B56" i="11"/>
  <c r="AH55" i="11"/>
  <c r="AH56" i="11"/>
  <c r="AH57" i="11"/>
  <c r="AM57" i="11"/>
  <c r="AH58" i="11"/>
  <c r="AH59" i="11"/>
  <c r="AN59" i="11" s="1"/>
  <c r="AH60" i="11"/>
  <c r="AM60" i="11"/>
  <c r="AH61" i="11"/>
  <c r="AN61" i="11"/>
  <c r="AH62" i="11"/>
  <c r="AI62" i="11"/>
  <c r="AE55" i="11"/>
  <c r="AE56" i="11"/>
  <c r="AF56" i="11"/>
  <c r="AE57" i="11"/>
  <c r="AE58" i="11"/>
  <c r="AE59" i="11"/>
  <c r="AM59" i="11" s="1"/>
  <c r="AE60" i="11"/>
  <c r="AE61" i="11"/>
  <c r="AM61" i="11" s="1"/>
  <c r="AE62" i="11"/>
  <c r="AF62" i="11"/>
  <c r="I55" i="11"/>
  <c r="AA55" i="11" s="1"/>
  <c r="J55" i="11"/>
  <c r="L55" i="11"/>
  <c r="M55" i="11"/>
  <c r="I56" i="11"/>
  <c r="J56" i="11"/>
  <c r="K56" i="11"/>
  <c r="L56" i="11"/>
  <c r="M56" i="11"/>
  <c r="I57" i="11"/>
  <c r="AA57" i="11" s="1"/>
  <c r="AF57" i="11" s="1"/>
  <c r="J57" i="11"/>
  <c r="K57" i="11"/>
  <c r="L57" i="11"/>
  <c r="M57" i="11"/>
  <c r="I58" i="11"/>
  <c r="AA58" i="11" s="1"/>
  <c r="J58" i="11"/>
  <c r="K58" i="11"/>
  <c r="L58" i="11"/>
  <c r="M58" i="11"/>
  <c r="I59" i="11"/>
  <c r="AA59" i="11" s="1"/>
  <c r="AI59" i="11" s="1"/>
  <c r="J59" i="11"/>
  <c r="L59" i="11"/>
  <c r="M59" i="11"/>
  <c r="I60" i="11"/>
  <c r="AA60" i="11" s="1"/>
  <c r="J60" i="11"/>
  <c r="K60" i="11"/>
  <c r="L60" i="11"/>
  <c r="M60" i="11"/>
  <c r="I61" i="11"/>
  <c r="AA61" i="11" s="1"/>
  <c r="J61" i="11"/>
  <c r="K61" i="11"/>
  <c r="L61" i="11"/>
  <c r="M61" i="11"/>
  <c r="I53" i="11"/>
  <c r="J53" i="11"/>
  <c r="I54" i="11"/>
  <c r="J54" i="11"/>
  <c r="B50" i="11"/>
  <c r="B51" i="11"/>
  <c r="B52" i="11"/>
  <c r="A47" i="11"/>
  <c r="AH35" i="11"/>
  <c r="AH36" i="11"/>
  <c r="AH37" i="11"/>
  <c r="AH38" i="11"/>
  <c r="AH39" i="11"/>
  <c r="AL39" i="11"/>
  <c r="AH40" i="11"/>
  <c r="AH41" i="11"/>
  <c r="AH42" i="11"/>
  <c r="AL42" i="11"/>
  <c r="AH43" i="11"/>
  <c r="AH44" i="11"/>
  <c r="AH45" i="11"/>
  <c r="AH46" i="11"/>
  <c r="AH47" i="11"/>
  <c r="AL47" i="11"/>
  <c r="AH48" i="11"/>
  <c r="AH49" i="11"/>
  <c r="AH50" i="11"/>
  <c r="AL50" i="11"/>
  <c r="AH51" i="11"/>
  <c r="AE39" i="11"/>
  <c r="AE42" i="11"/>
  <c r="AE44" i="11"/>
  <c r="AE46" i="11"/>
  <c r="AE48" i="11"/>
  <c r="AE49" i="11"/>
  <c r="AA35" i="11"/>
  <c r="AI35" i="11" s="1"/>
  <c r="AA39" i="11"/>
  <c r="AA43" i="11"/>
  <c r="AA45" i="11"/>
  <c r="AF45" i="11" s="1"/>
  <c r="AA51" i="11"/>
  <c r="AI51" i="11" s="1"/>
  <c r="I35" i="11"/>
  <c r="J35" i="11"/>
  <c r="K35" i="11"/>
  <c r="L35" i="11"/>
  <c r="M35" i="11"/>
  <c r="N35" i="11"/>
  <c r="I36" i="11"/>
  <c r="AA36" i="11" s="1"/>
  <c r="J36" i="11"/>
  <c r="L36" i="11"/>
  <c r="M36" i="11"/>
  <c r="N36" i="11"/>
  <c r="I37" i="11"/>
  <c r="J37" i="11"/>
  <c r="L37" i="11"/>
  <c r="M37" i="11"/>
  <c r="N37" i="11"/>
  <c r="I38" i="11"/>
  <c r="AA38" i="11" s="1"/>
  <c r="J38" i="11"/>
  <c r="L38" i="11"/>
  <c r="M38" i="11"/>
  <c r="N38" i="11"/>
  <c r="I39" i="11"/>
  <c r="K39" i="11" s="1"/>
  <c r="J39" i="11"/>
  <c r="L39" i="11"/>
  <c r="M39" i="11"/>
  <c r="N39" i="11"/>
  <c r="I40" i="11"/>
  <c r="AA40" i="11" s="1"/>
  <c r="J40" i="11"/>
  <c r="L40" i="11"/>
  <c r="M40" i="11"/>
  <c r="N40" i="11"/>
  <c r="I41" i="11"/>
  <c r="AA41" i="11" s="1"/>
  <c r="AI41" i="11" s="1"/>
  <c r="J41" i="11"/>
  <c r="L41" i="11"/>
  <c r="M41" i="11"/>
  <c r="N41" i="11"/>
  <c r="I42" i="11"/>
  <c r="AA42" i="11" s="1"/>
  <c r="J42" i="11"/>
  <c r="L42" i="11"/>
  <c r="M42" i="11"/>
  <c r="N42" i="11"/>
  <c r="I43" i="11"/>
  <c r="K43" i="11" s="1"/>
  <c r="J43" i="11"/>
  <c r="L43" i="11"/>
  <c r="M43" i="11"/>
  <c r="N43" i="11"/>
  <c r="I44" i="11"/>
  <c r="AA44" i="11" s="1"/>
  <c r="J44" i="11"/>
  <c r="L44" i="11"/>
  <c r="M44" i="11"/>
  <c r="N44" i="11"/>
  <c r="I45" i="11"/>
  <c r="J45" i="11"/>
  <c r="K45" i="11"/>
  <c r="L45" i="11"/>
  <c r="M45" i="11"/>
  <c r="N45" i="11"/>
  <c r="I46" i="11"/>
  <c r="AA46" i="11" s="1"/>
  <c r="J46" i="11"/>
  <c r="L46" i="11"/>
  <c r="M46" i="11"/>
  <c r="N46" i="11"/>
  <c r="I47" i="11"/>
  <c r="AA47" i="11" s="1"/>
  <c r="AF47" i="11" s="1"/>
  <c r="J47" i="11"/>
  <c r="K47" i="11"/>
  <c r="L47" i="11"/>
  <c r="M47" i="11"/>
  <c r="N47" i="11"/>
  <c r="I48" i="11"/>
  <c r="AA48" i="11" s="1"/>
  <c r="J48" i="11"/>
  <c r="L48" i="11"/>
  <c r="M48" i="11"/>
  <c r="N48" i="11"/>
  <c r="I49" i="11"/>
  <c r="AA49" i="11" s="1"/>
  <c r="AI49" i="11" s="1"/>
  <c r="J49" i="11"/>
  <c r="K49" i="11"/>
  <c r="L49" i="11"/>
  <c r="M49" i="11"/>
  <c r="N49" i="11"/>
  <c r="I50" i="11"/>
  <c r="AA50" i="11" s="1"/>
  <c r="J50" i="11"/>
  <c r="L50" i="11"/>
  <c r="M50" i="11"/>
  <c r="N50" i="11"/>
  <c r="I51" i="11"/>
  <c r="J51" i="11"/>
  <c r="K51" i="11"/>
  <c r="L51" i="11"/>
  <c r="M51" i="11"/>
  <c r="N51" i="11"/>
  <c r="N33" i="11"/>
  <c r="N34" i="11"/>
  <c r="I33" i="11"/>
  <c r="J33" i="11"/>
  <c r="I34" i="11"/>
  <c r="J34" i="11"/>
  <c r="AK32" i="11"/>
  <c r="AL32" i="11"/>
  <c r="AG32" i="11"/>
  <c r="AD32" i="11"/>
  <c r="O32" i="11"/>
  <c r="P32" i="11"/>
  <c r="Q32" i="11"/>
  <c r="R32" i="11"/>
  <c r="S32" i="11"/>
  <c r="T32" i="11"/>
  <c r="U32" i="11"/>
  <c r="V32" i="11"/>
  <c r="W32" i="11"/>
  <c r="X32" i="11"/>
  <c r="Y32" i="11"/>
  <c r="Z32" i="11"/>
  <c r="AJ32" i="11" s="1"/>
  <c r="AJ31" i="11"/>
  <c r="AK31" i="11"/>
  <c r="AM31" i="11" s="1"/>
  <c r="AL31" i="11"/>
  <c r="AN31" i="11"/>
  <c r="AG31" i="11"/>
  <c r="AD31" i="11"/>
  <c r="O31" i="11"/>
  <c r="P31" i="11"/>
  <c r="Q31" i="11"/>
  <c r="R31" i="11"/>
  <c r="S31" i="11"/>
  <c r="T31" i="11"/>
  <c r="U31" i="11"/>
  <c r="V31" i="11"/>
  <c r="W31" i="11"/>
  <c r="X31" i="11"/>
  <c r="Y31" i="11"/>
  <c r="Z31" i="11"/>
  <c r="AA31" i="11"/>
  <c r="N26" i="11"/>
  <c r="N27" i="11"/>
  <c r="N28" i="11"/>
  <c r="N29" i="11"/>
  <c r="B29" i="11"/>
  <c r="B22" i="11"/>
  <c r="B23" i="11"/>
  <c r="AG16" i="11"/>
  <c r="AG19" i="11"/>
  <c r="AH82" i="11" s="1"/>
  <c r="AG20" i="11"/>
  <c r="AL67" i="11" s="1"/>
  <c r="AD19" i="11"/>
  <c r="AD20" i="11"/>
  <c r="AK71" i="11" s="1"/>
  <c r="G19" i="11"/>
  <c r="G20" i="11"/>
  <c r="N19" i="11"/>
  <c r="O19" i="11"/>
  <c r="P19" i="11"/>
  <c r="Q19" i="11"/>
  <c r="R19" i="11"/>
  <c r="S19" i="11"/>
  <c r="T19" i="11"/>
  <c r="U19" i="11"/>
  <c r="V19" i="11"/>
  <c r="W19" i="11"/>
  <c r="X19" i="11"/>
  <c r="Y19" i="11"/>
  <c r="Z19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Z20" i="11"/>
  <c r="B17" i="11"/>
  <c r="B18" i="11"/>
  <c r="B19" i="11"/>
  <c r="O16" i="11"/>
  <c r="P16" i="11"/>
  <c r="Q16" i="11"/>
  <c r="R16" i="11"/>
  <c r="S16" i="11"/>
  <c r="T16" i="11"/>
  <c r="U16" i="11"/>
  <c r="V16" i="11"/>
  <c r="W16" i="11"/>
  <c r="X16" i="11"/>
  <c r="Y16" i="11"/>
  <c r="O17" i="11"/>
  <c r="P17" i="11"/>
  <c r="Q17" i="11"/>
  <c r="R17" i="11"/>
  <c r="S17" i="11"/>
  <c r="T17" i="11"/>
  <c r="U17" i="11"/>
  <c r="V17" i="11"/>
  <c r="W17" i="11"/>
  <c r="X17" i="11"/>
  <c r="Y17" i="11"/>
  <c r="Z17" i="11"/>
  <c r="AA17" i="11" s="1"/>
  <c r="AA11" i="11" s="1"/>
  <c r="A14" i="11"/>
  <c r="AG12" i="11"/>
  <c r="AG13" i="11"/>
  <c r="AD12" i="11"/>
  <c r="AD13" i="11"/>
  <c r="B12" i="11"/>
  <c r="B13" i="11"/>
  <c r="O12" i="11"/>
  <c r="P12" i="11"/>
  <c r="Q12" i="11"/>
  <c r="R12" i="11"/>
  <c r="S12" i="11"/>
  <c r="T12" i="11"/>
  <c r="U12" i="11"/>
  <c r="V12" i="11"/>
  <c r="W12" i="11"/>
  <c r="X12" i="11"/>
  <c r="Y12" i="11"/>
  <c r="Z12" i="11"/>
  <c r="AA12" i="11"/>
  <c r="O13" i="11"/>
  <c r="P13" i="11"/>
  <c r="Q13" i="11"/>
  <c r="R13" i="11"/>
  <c r="S13" i="11"/>
  <c r="T13" i="11"/>
  <c r="U13" i="11"/>
  <c r="V13" i="11"/>
  <c r="W13" i="11"/>
  <c r="X13" i="11"/>
  <c r="Y13" i="11"/>
  <c r="Z13" i="11"/>
  <c r="AA13" i="11"/>
  <c r="C10" i="11"/>
  <c r="D10" i="11"/>
  <c r="AA16" i="11" s="1"/>
  <c r="C9" i="11"/>
  <c r="C1" i="11"/>
  <c r="C2" i="11"/>
  <c r="C3" i="11"/>
  <c r="C4" i="11"/>
  <c r="C5" i="11"/>
  <c r="C6" i="11"/>
  <c r="C7" i="11"/>
  <c r="C8" i="11"/>
  <c r="E6" i="11"/>
  <c r="B62" i="11" s="1"/>
  <c r="E4" i="11"/>
  <c r="B3" i="11"/>
  <c r="AG143" i="58"/>
  <c r="AG144" i="58"/>
  <c r="AG145" i="58"/>
  <c r="AG146" i="58"/>
  <c r="AD143" i="58"/>
  <c r="AD144" i="58"/>
  <c r="AD145" i="58"/>
  <c r="AD146" i="58"/>
  <c r="N143" i="58"/>
  <c r="O143" i="58"/>
  <c r="P143" i="58"/>
  <c r="Q143" i="58"/>
  <c r="R143" i="58"/>
  <c r="S143" i="58"/>
  <c r="T143" i="58"/>
  <c r="U143" i="58"/>
  <c r="V143" i="58"/>
  <c r="W143" i="58"/>
  <c r="X143" i="58"/>
  <c r="Y143" i="58"/>
  <c r="Z143" i="58"/>
  <c r="O144" i="58"/>
  <c r="P144" i="58"/>
  <c r="Q144" i="58"/>
  <c r="R144" i="58"/>
  <c r="S144" i="58"/>
  <c r="T144" i="58"/>
  <c r="U144" i="58"/>
  <c r="V144" i="58"/>
  <c r="W144" i="58"/>
  <c r="X144" i="58"/>
  <c r="Y144" i="58"/>
  <c r="Z144" i="58"/>
  <c r="O145" i="58"/>
  <c r="P145" i="58"/>
  <c r="Q145" i="58"/>
  <c r="R145" i="58"/>
  <c r="S145" i="58"/>
  <c r="T145" i="58"/>
  <c r="U145" i="58"/>
  <c r="V145" i="58"/>
  <c r="W145" i="58"/>
  <c r="X145" i="58"/>
  <c r="Y145" i="58"/>
  <c r="Z145" i="58"/>
  <c r="O146" i="58"/>
  <c r="P146" i="58"/>
  <c r="Q146" i="58"/>
  <c r="R146" i="58"/>
  <c r="S146" i="58"/>
  <c r="T146" i="58"/>
  <c r="U146" i="58"/>
  <c r="V146" i="58"/>
  <c r="W146" i="58"/>
  <c r="X146" i="58"/>
  <c r="Y146" i="58"/>
  <c r="Z146" i="58"/>
  <c r="AI131" i="58"/>
  <c r="AI133" i="58"/>
  <c r="AI134" i="58"/>
  <c r="AI135" i="58"/>
  <c r="AI137" i="58"/>
  <c r="AI139" i="58"/>
  <c r="AG141" i="58"/>
  <c r="AD141" i="58"/>
  <c r="O141" i="58"/>
  <c r="P141" i="58"/>
  <c r="Q141" i="58"/>
  <c r="R141" i="58"/>
  <c r="S141" i="58"/>
  <c r="T141" i="58"/>
  <c r="U141" i="58"/>
  <c r="V141" i="58"/>
  <c r="W141" i="58"/>
  <c r="X141" i="58"/>
  <c r="Y141" i="58"/>
  <c r="Z141" i="58"/>
  <c r="AH140" i="58"/>
  <c r="AE140" i="58"/>
  <c r="AF140" i="58"/>
  <c r="AA140" i="58"/>
  <c r="AB140" i="58"/>
  <c r="AF131" i="58"/>
  <c r="AF133" i="58"/>
  <c r="AF135" i="58"/>
  <c r="AF137" i="58"/>
  <c r="AF139" i="58"/>
  <c r="AH138" i="58"/>
  <c r="AE138" i="58"/>
  <c r="AA138" i="58"/>
  <c r="AI138" i="58" s="1"/>
  <c r="AB138" i="58"/>
  <c r="AH136" i="58"/>
  <c r="AE136" i="58"/>
  <c r="AA136" i="58"/>
  <c r="AB136" i="58"/>
  <c r="AH134" i="58"/>
  <c r="AE134" i="58"/>
  <c r="AA134" i="58"/>
  <c r="AF134" i="58" s="1"/>
  <c r="AB134" i="58"/>
  <c r="AH132" i="58"/>
  <c r="AE132" i="58"/>
  <c r="AA132" i="58"/>
  <c r="AB132" i="58"/>
  <c r="AH130" i="58"/>
  <c r="AE130" i="58"/>
  <c r="AA130" i="58"/>
  <c r="AI130" i="58" s="1"/>
  <c r="AB130" i="58"/>
  <c r="L130" i="58"/>
  <c r="M130" i="58"/>
  <c r="N130" i="58"/>
  <c r="L131" i="58"/>
  <c r="M131" i="58"/>
  <c r="N131" i="58"/>
  <c r="L132" i="58"/>
  <c r="M132" i="58"/>
  <c r="N132" i="58"/>
  <c r="L133" i="58"/>
  <c r="M133" i="58"/>
  <c r="N133" i="58"/>
  <c r="L134" i="58"/>
  <c r="M134" i="58"/>
  <c r="N134" i="58"/>
  <c r="L135" i="58"/>
  <c r="M135" i="58"/>
  <c r="N135" i="58"/>
  <c r="L136" i="58"/>
  <c r="M136" i="58"/>
  <c r="N136" i="58"/>
  <c r="L137" i="58"/>
  <c r="M137" i="58"/>
  <c r="N137" i="58"/>
  <c r="L138" i="58"/>
  <c r="M138" i="58"/>
  <c r="N138" i="58"/>
  <c r="L139" i="58"/>
  <c r="M139" i="58"/>
  <c r="N139" i="58"/>
  <c r="L140" i="58"/>
  <c r="M140" i="58"/>
  <c r="N140" i="58"/>
  <c r="N129" i="58"/>
  <c r="AG121" i="58"/>
  <c r="AG126" i="58" s="1"/>
  <c r="AG127" i="58" s="1"/>
  <c r="AG122" i="58"/>
  <c r="AG123" i="58"/>
  <c r="AH123" i="58" s="1"/>
  <c r="AG124" i="58"/>
  <c r="AG125" i="58"/>
  <c r="AD121" i="58"/>
  <c r="AE121" i="58" s="1"/>
  <c r="AD122" i="58"/>
  <c r="AD123" i="58"/>
  <c r="AE123" i="58" s="1"/>
  <c r="AD124" i="58"/>
  <c r="AD125" i="58"/>
  <c r="AE125" i="58" s="1"/>
  <c r="AH122" i="58"/>
  <c r="AH125" i="58"/>
  <c r="L121" i="58"/>
  <c r="M121" i="58"/>
  <c r="N121" i="58"/>
  <c r="O121" i="58"/>
  <c r="P121" i="58"/>
  <c r="Q121" i="58"/>
  <c r="R121" i="58"/>
  <c r="S121" i="58"/>
  <c r="T121" i="58"/>
  <c r="T126" i="58" s="1"/>
  <c r="T127" i="58" s="1"/>
  <c r="U121" i="58"/>
  <c r="V121" i="58"/>
  <c r="V126" i="58" s="1"/>
  <c r="V127" i="58" s="1"/>
  <c r="W121" i="58"/>
  <c r="X121" i="58"/>
  <c r="Y121" i="58"/>
  <c r="Z121" i="58"/>
  <c r="L122" i="58"/>
  <c r="M122" i="58"/>
  <c r="N122" i="58"/>
  <c r="O122" i="58"/>
  <c r="P122" i="58"/>
  <c r="Q122" i="58"/>
  <c r="R122" i="58"/>
  <c r="S122" i="58"/>
  <c r="T122" i="58"/>
  <c r="U122" i="58"/>
  <c r="V122" i="58"/>
  <c r="W122" i="58"/>
  <c r="X122" i="58"/>
  <c r="Y122" i="58"/>
  <c r="Z122" i="58"/>
  <c r="L123" i="58"/>
  <c r="M123" i="58"/>
  <c r="N123" i="58"/>
  <c r="O123" i="58"/>
  <c r="P123" i="58"/>
  <c r="Q123" i="58"/>
  <c r="R123" i="58"/>
  <c r="S123" i="58"/>
  <c r="T123" i="58"/>
  <c r="U123" i="58"/>
  <c r="V123" i="58"/>
  <c r="W123" i="58"/>
  <c r="X123" i="58"/>
  <c r="Y123" i="58"/>
  <c r="Z123" i="58"/>
  <c r="L124" i="58"/>
  <c r="M124" i="58"/>
  <c r="N124" i="58"/>
  <c r="O124" i="58"/>
  <c r="P124" i="58"/>
  <c r="Q124" i="58"/>
  <c r="R124" i="58"/>
  <c r="S124" i="58"/>
  <c r="T124" i="58"/>
  <c r="U124" i="58"/>
  <c r="V124" i="58"/>
  <c r="W124" i="58"/>
  <c r="X124" i="58"/>
  <c r="Y124" i="58"/>
  <c r="Y126" i="58" s="1"/>
  <c r="Y127" i="58" s="1"/>
  <c r="Z124" i="58"/>
  <c r="L125" i="58"/>
  <c r="M125" i="58"/>
  <c r="N125" i="58"/>
  <c r="O125" i="58"/>
  <c r="P125" i="58"/>
  <c r="Q125" i="58"/>
  <c r="R125" i="58"/>
  <c r="S125" i="58"/>
  <c r="T125" i="58"/>
  <c r="U125" i="58"/>
  <c r="V125" i="58"/>
  <c r="W125" i="58"/>
  <c r="X125" i="58"/>
  <c r="Y125" i="58"/>
  <c r="Z125" i="58"/>
  <c r="Z126" i="58" s="1"/>
  <c r="Z127" i="58" s="1"/>
  <c r="L126" i="58"/>
  <c r="M126" i="58"/>
  <c r="N126" i="58"/>
  <c r="AH115" i="58"/>
  <c r="AH116" i="58"/>
  <c r="AH118" i="58"/>
  <c r="AE114" i="58"/>
  <c r="AF114" i="58"/>
  <c r="AE116" i="58"/>
  <c r="AE117" i="58"/>
  <c r="AF117" i="58"/>
  <c r="AE118" i="58"/>
  <c r="AA114" i="58"/>
  <c r="AI114" i="58" s="1"/>
  <c r="AA115" i="58"/>
  <c r="AF115" i="58" s="1"/>
  <c r="AA116" i="58"/>
  <c r="AI116" i="58" s="1"/>
  <c r="AA117" i="58"/>
  <c r="AI117" i="58" s="1"/>
  <c r="AA118" i="58"/>
  <c r="AA119" i="58"/>
  <c r="AF119" i="58" s="1"/>
  <c r="L114" i="58"/>
  <c r="M114" i="58"/>
  <c r="N114" i="58"/>
  <c r="L115" i="58"/>
  <c r="M115" i="58"/>
  <c r="N115" i="58"/>
  <c r="L116" i="58"/>
  <c r="M116" i="58"/>
  <c r="N116" i="58"/>
  <c r="L117" i="58"/>
  <c r="M117" i="58"/>
  <c r="N117" i="58"/>
  <c r="L118" i="58"/>
  <c r="M118" i="58"/>
  <c r="N118" i="58"/>
  <c r="L119" i="58"/>
  <c r="M119" i="58"/>
  <c r="N119" i="58"/>
  <c r="AH107" i="58"/>
  <c r="AH108" i="58"/>
  <c r="AH109" i="58"/>
  <c r="AH110" i="58"/>
  <c r="AI111" i="58"/>
  <c r="AE106" i="58"/>
  <c r="AF107" i="58"/>
  <c r="AE108" i="58"/>
  <c r="AE110" i="58"/>
  <c r="AA106" i="58"/>
  <c r="AI106" i="58" s="1"/>
  <c r="AA107" i="58"/>
  <c r="AI107" i="58" s="1"/>
  <c r="AB107" i="58"/>
  <c r="AA108" i="58"/>
  <c r="AF108" i="58" s="1"/>
  <c r="AA109" i="58"/>
  <c r="AI109" i="58" s="1"/>
  <c r="AA110" i="58"/>
  <c r="AI110" i="58" s="1"/>
  <c r="AB110" i="58"/>
  <c r="AA111" i="58"/>
  <c r="AF111" i="58" s="1"/>
  <c r="L106" i="58"/>
  <c r="M106" i="58"/>
  <c r="N106" i="58"/>
  <c r="L107" i="58"/>
  <c r="M107" i="58"/>
  <c r="N107" i="58"/>
  <c r="L108" i="58"/>
  <c r="M108" i="58"/>
  <c r="N108" i="58"/>
  <c r="L109" i="58"/>
  <c r="M109" i="58"/>
  <c r="N109" i="58"/>
  <c r="L110" i="58"/>
  <c r="M110" i="58"/>
  <c r="N110" i="58"/>
  <c r="L111" i="58"/>
  <c r="M111" i="58"/>
  <c r="N111" i="58"/>
  <c r="AH98" i="58"/>
  <c r="AH99" i="58"/>
  <c r="AH100" i="58"/>
  <c r="AI100" i="58"/>
  <c r="AH102" i="58"/>
  <c r="AI103" i="58"/>
  <c r="AE98" i="58"/>
  <c r="AE99" i="58"/>
  <c r="AE100" i="58"/>
  <c r="AF100" i="58"/>
  <c r="AE102" i="58"/>
  <c r="AF103" i="58"/>
  <c r="AA98" i="58"/>
  <c r="AI98" i="58" s="1"/>
  <c r="AA99" i="58"/>
  <c r="AA100" i="58"/>
  <c r="AB100" i="58"/>
  <c r="AA101" i="58"/>
  <c r="AF101" i="58" s="1"/>
  <c r="AA102" i="58"/>
  <c r="AI102" i="58" s="1"/>
  <c r="AA103" i="58"/>
  <c r="L98" i="58"/>
  <c r="M98" i="58"/>
  <c r="N98" i="58"/>
  <c r="L99" i="58"/>
  <c r="M99" i="58"/>
  <c r="N99" i="58"/>
  <c r="L100" i="58"/>
  <c r="M100" i="58"/>
  <c r="N100" i="58"/>
  <c r="L101" i="58"/>
  <c r="M101" i="58"/>
  <c r="N101" i="58"/>
  <c r="L102" i="58"/>
  <c r="M102" i="58"/>
  <c r="N102" i="58"/>
  <c r="L103" i="58"/>
  <c r="M103" i="58"/>
  <c r="N103" i="58"/>
  <c r="AD93" i="58"/>
  <c r="AD94" i="58"/>
  <c r="AG93" i="58"/>
  <c r="AG94" i="58"/>
  <c r="O93" i="58"/>
  <c r="P93" i="58"/>
  <c r="Q93" i="58"/>
  <c r="R93" i="58"/>
  <c r="S93" i="58"/>
  <c r="T93" i="58"/>
  <c r="U93" i="58"/>
  <c r="V93" i="58"/>
  <c r="W93" i="58"/>
  <c r="X93" i="58"/>
  <c r="Y93" i="58"/>
  <c r="Z93" i="58"/>
  <c r="O94" i="58"/>
  <c r="P94" i="58"/>
  <c r="Q94" i="58"/>
  <c r="R94" i="58"/>
  <c r="S94" i="58"/>
  <c r="T94" i="58"/>
  <c r="U94" i="58"/>
  <c r="V94" i="58"/>
  <c r="W94" i="58"/>
  <c r="X94" i="58"/>
  <c r="Y94" i="58"/>
  <c r="Z94" i="58"/>
  <c r="AA91" i="58"/>
  <c r="AA92" i="58"/>
  <c r="AF92" i="58" s="1"/>
  <c r="N91" i="58"/>
  <c r="N92" i="58"/>
  <c r="I91" i="58"/>
  <c r="J91" i="58"/>
  <c r="I92" i="58"/>
  <c r="J92" i="58"/>
  <c r="AF86" i="58"/>
  <c r="AA35" i="58"/>
  <c r="AI35" i="58" s="1"/>
  <c r="AA36" i="58"/>
  <c r="AA37" i="58"/>
  <c r="AA38" i="58"/>
  <c r="AF38" i="58" s="1"/>
  <c r="AA39" i="58"/>
  <c r="AA40" i="58"/>
  <c r="AI40" i="58" s="1"/>
  <c r="AA41" i="58"/>
  <c r="AA45" i="58"/>
  <c r="AA46" i="58"/>
  <c r="AI46" i="58" s="1"/>
  <c r="AA47" i="58"/>
  <c r="AI47" i="58" s="1"/>
  <c r="AA48" i="58"/>
  <c r="AI48" i="58" s="1"/>
  <c r="AA49" i="58"/>
  <c r="AI49" i="58" s="1"/>
  <c r="AA50" i="58"/>
  <c r="AA51" i="58"/>
  <c r="AA53" i="58" s="1"/>
  <c r="AA55" i="58"/>
  <c r="AB55" i="58" s="1"/>
  <c r="AA56" i="58"/>
  <c r="AA57" i="58"/>
  <c r="AB57" i="58" s="1"/>
  <c r="AA58" i="58"/>
  <c r="AB58" i="58" s="1"/>
  <c r="AA59" i="58"/>
  <c r="AA60" i="58"/>
  <c r="AF60" i="58" s="1"/>
  <c r="AA61" i="58"/>
  <c r="AB61" i="58" s="1"/>
  <c r="AA63" i="58"/>
  <c r="AA65" i="58"/>
  <c r="AF65" i="58" s="1"/>
  <c r="AA66" i="58"/>
  <c r="AI66" i="58" s="1"/>
  <c r="AA67" i="58"/>
  <c r="AA68" i="58"/>
  <c r="AA69" i="58"/>
  <c r="AA70" i="58"/>
  <c r="AA71" i="58"/>
  <c r="AA72" i="58" s="1"/>
  <c r="AA75" i="58"/>
  <c r="AA76" i="58"/>
  <c r="AI76" i="58" s="1"/>
  <c r="AA77" i="58"/>
  <c r="AF77" i="58" s="1"/>
  <c r="AA78" i="58"/>
  <c r="AF78" i="58" s="1"/>
  <c r="AA79" i="58"/>
  <c r="AB79" i="58" s="1"/>
  <c r="AA80" i="58"/>
  <c r="AB80" i="58" s="1"/>
  <c r="AA83" i="58"/>
  <c r="AA85" i="58"/>
  <c r="AF85" i="58" s="1"/>
  <c r="AA86" i="58"/>
  <c r="AI86" i="58" s="1"/>
  <c r="AA87" i="58"/>
  <c r="AA94" i="58" s="1"/>
  <c r="N85" i="58"/>
  <c r="N86" i="58"/>
  <c r="N87" i="58"/>
  <c r="N144" i="58" s="1"/>
  <c r="N88" i="58"/>
  <c r="N145" i="58" s="1"/>
  <c r="AE83" i="58"/>
  <c r="AE85" i="58"/>
  <c r="L85" i="58"/>
  <c r="M85" i="58"/>
  <c r="L86" i="58"/>
  <c r="M86" i="58"/>
  <c r="L87" i="58"/>
  <c r="M87" i="58"/>
  <c r="I85" i="58"/>
  <c r="J85" i="58"/>
  <c r="I86" i="58"/>
  <c r="J86" i="58"/>
  <c r="I87" i="58"/>
  <c r="J87" i="58"/>
  <c r="I88" i="58"/>
  <c r="J88" i="58"/>
  <c r="Q84" i="58"/>
  <c r="R84" i="58"/>
  <c r="U84" i="58"/>
  <c r="W84" i="58"/>
  <c r="Z84" i="58"/>
  <c r="L83" i="58"/>
  <c r="M83" i="58"/>
  <c r="N83" i="58"/>
  <c r="I83" i="58"/>
  <c r="J83" i="58"/>
  <c r="AG82" i="58"/>
  <c r="AH84" i="58" s="1"/>
  <c r="AD82" i="58"/>
  <c r="AE84" i="58" s="1"/>
  <c r="O82" i="58"/>
  <c r="O84" i="58" s="1"/>
  <c r="P82" i="58"/>
  <c r="P84" i="58" s="1"/>
  <c r="Q82" i="58"/>
  <c r="R82" i="58"/>
  <c r="S82" i="58"/>
  <c r="S84" i="58" s="1"/>
  <c r="T82" i="58"/>
  <c r="T84" i="58" s="1"/>
  <c r="U82" i="58"/>
  <c r="V82" i="58"/>
  <c r="V84" i="58" s="1"/>
  <c r="W82" i="58"/>
  <c r="X82" i="58"/>
  <c r="X84" i="58" s="1"/>
  <c r="Y82" i="58"/>
  <c r="Y84" i="58" s="1"/>
  <c r="Z82" i="58"/>
  <c r="AF80" i="58"/>
  <c r="AH75" i="58"/>
  <c r="AH76" i="58"/>
  <c r="AH77" i="58"/>
  <c r="AH78" i="58"/>
  <c r="AH79" i="58"/>
  <c r="AH80" i="58"/>
  <c r="AE75" i="58"/>
  <c r="AE76" i="58"/>
  <c r="AE77" i="58"/>
  <c r="AE78" i="58"/>
  <c r="AE79" i="58"/>
  <c r="AE80" i="58"/>
  <c r="AB78" i="58"/>
  <c r="L75" i="58"/>
  <c r="M75" i="58"/>
  <c r="N75" i="58"/>
  <c r="L76" i="58"/>
  <c r="M76" i="58"/>
  <c r="N76" i="58"/>
  <c r="L77" i="58"/>
  <c r="M77" i="58"/>
  <c r="N77" i="58"/>
  <c r="L78" i="58"/>
  <c r="M78" i="58"/>
  <c r="N78" i="58"/>
  <c r="L79" i="58"/>
  <c r="M79" i="58"/>
  <c r="N79" i="58"/>
  <c r="L80" i="58"/>
  <c r="M80" i="58"/>
  <c r="N80" i="58"/>
  <c r="L81" i="58"/>
  <c r="M81" i="58"/>
  <c r="N81" i="58"/>
  <c r="I75" i="58"/>
  <c r="J75" i="58"/>
  <c r="I76" i="58"/>
  <c r="J76" i="58"/>
  <c r="I77" i="58"/>
  <c r="J77" i="58"/>
  <c r="I78" i="58"/>
  <c r="J78" i="58"/>
  <c r="I79" i="58"/>
  <c r="J79" i="58"/>
  <c r="I80" i="58"/>
  <c r="J80" i="58"/>
  <c r="I81" i="58"/>
  <c r="J81" i="58"/>
  <c r="AG73" i="58"/>
  <c r="AH74" i="58" s="1"/>
  <c r="AD73" i="58"/>
  <c r="AE74" i="58" s="1"/>
  <c r="O73" i="58"/>
  <c r="O74" i="58" s="1"/>
  <c r="P73" i="58"/>
  <c r="P74" i="58" s="1"/>
  <c r="Q73" i="58"/>
  <c r="R73" i="58"/>
  <c r="S73" i="58"/>
  <c r="S74" i="58" s="1"/>
  <c r="T73" i="58"/>
  <c r="T74" i="58" s="1"/>
  <c r="U73" i="58"/>
  <c r="U74" i="58" s="1"/>
  <c r="V73" i="58"/>
  <c r="V74" i="58" s="1"/>
  <c r="W73" i="58"/>
  <c r="W74" i="58" s="1"/>
  <c r="X73" i="58"/>
  <c r="X74" i="58" s="1"/>
  <c r="Y73" i="58"/>
  <c r="Y74" i="58" s="1"/>
  <c r="Z73" i="58"/>
  <c r="Z74" i="58" s="1"/>
  <c r="Q74" i="58"/>
  <c r="R74" i="58"/>
  <c r="AI65" i="58"/>
  <c r="AI67" i="58"/>
  <c r="AI69" i="58"/>
  <c r="AF67" i="58"/>
  <c r="AF69" i="58"/>
  <c r="AH71" i="58"/>
  <c r="AE71" i="58"/>
  <c r="AH68" i="58"/>
  <c r="L65" i="58"/>
  <c r="M65" i="58"/>
  <c r="N65" i="58"/>
  <c r="L66" i="58"/>
  <c r="M66" i="58"/>
  <c r="N66" i="58"/>
  <c r="L67" i="58"/>
  <c r="M67" i="58"/>
  <c r="N67" i="58"/>
  <c r="L68" i="58"/>
  <c r="M68" i="58"/>
  <c r="N68" i="58"/>
  <c r="L69" i="58"/>
  <c r="M69" i="58"/>
  <c r="N69" i="58"/>
  <c r="L70" i="58"/>
  <c r="M70" i="58"/>
  <c r="N70" i="58"/>
  <c r="L71" i="58"/>
  <c r="M71" i="58"/>
  <c r="N71" i="58"/>
  <c r="L72" i="58"/>
  <c r="M72" i="58"/>
  <c r="N72" i="58"/>
  <c r="I65" i="58"/>
  <c r="J65" i="58"/>
  <c r="I66" i="58"/>
  <c r="J66" i="58"/>
  <c r="I67" i="58"/>
  <c r="J67" i="58"/>
  <c r="I68" i="58"/>
  <c r="J68" i="58"/>
  <c r="I69" i="58"/>
  <c r="J69" i="58"/>
  <c r="I70" i="58"/>
  <c r="J70" i="58"/>
  <c r="I71" i="58"/>
  <c r="J71" i="58"/>
  <c r="I72" i="58"/>
  <c r="J72" i="58"/>
  <c r="AG63" i="58"/>
  <c r="AH64" i="58" s="1"/>
  <c r="AD63" i="58"/>
  <c r="AE64" i="58" s="1"/>
  <c r="O63" i="58"/>
  <c r="O64" i="58" s="1"/>
  <c r="P63" i="58"/>
  <c r="P64" i="58" s="1"/>
  <c r="Q63" i="58"/>
  <c r="Q64" i="58" s="1"/>
  <c r="R63" i="58"/>
  <c r="S63" i="58"/>
  <c r="S64" i="58" s="1"/>
  <c r="T63" i="58"/>
  <c r="U63" i="58"/>
  <c r="U64" i="58" s="1"/>
  <c r="V63" i="58"/>
  <c r="V64" i="58" s="1"/>
  <c r="W63" i="58"/>
  <c r="W64" i="58" s="1"/>
  <c r="X63" i="58"/>
  <c r="X64" i="58" s="1"/>
  <c r="Y63" i="58"/>
  <c r="Y64" i="58" s="1"/>
  <c r="Z63" i="58"/>
  <c r="R64" i="58"/>
  <c r="T64" i="58"/>
  <c r="Z64" i="58"/>
  <c r="AI55" i="58"/>
  <c r="AI56" i="58"/>
  <c r="AI57" i="58"/>
  <c r="AI58" i="58"/>
  <c r="AI59" i="58"/>
  <c r="AI60" i="58"/>
  <c r="AI61" i="58"/>
  <c r="AF55" i="58"/>
  <c r="AF56" i="58"/>
  <c r="AF57" i="58"/>
  <c r="AF59" i="58"/>
  <c r="AF61" i="58"/>
  <c r="AH61" i="58"/>
  <c r="AE61" i="58"/>
  <c r="AH55" i="58"/>
  <c r="AH56" i="58"/>
  <c r="AH57" i="58"/>
  <c r="AH58" i="58"/>
  <c r="AH59" i="58"/>
  <c r="AE55" i="58"/>
  <c r="AE56" i="58"/>
  <c r="AE57" i="58"/>
  <c r="AE58" i="58"/>
  <c r="AE59" i="58"/>
  <c r="AB56" i="58"/>
  <c r="AB59" i="58"/>
  <c r="L55" i="58"/>
  <c r="M55" i="58"/>
  <c r="N55" i="58"/>
  <c r="L56" i="58"/>
  <c r="M56" i="58"/>
  <c r="N56" i="58"/>
  <c r="L57" i="58"/>
  <c r="M57" i="58"/>
  <c r="N57" i="58"/>
  <c r="L58" i="58"/>
  <c r="M58" i="58"/>
  <c r="N58" i="58"/>
  <c r="L59" i="58"/>
  <c r="M59" i="58"/>
  <c r="N59" i="58"/>
  <c r="L60" i="58"/>
  <c r="M60" i="58"/>
  <c r="N60" i="58"/>
  <c r="L61" i="58"/>
  <c r="M61" i="58"/>
  <c r="N61" i="58"/>
  <c r="L62" i="58"/>
  <c r="M62" i="58"/>
  <c r="N62" i="58"/>
  <c r="I55" i="58"/>
  <c r="J55" i="58"/>
  <c r="I56" i="58"/>
  <c r="J56" i="58"/>
  <c r="I57" i="58"/>
  <c r="J57" i="58"/>
  <c r="I58" i="58"/>
  <c r="J58" i="58"/>
  <c r="I59" i="58"/>
  <c r="J59" i="58"/>
  <c r="I60" i="58"/>
  <c r="J60" i="58"/>
  <c r="I61" i="58"/>
  <c r="J61" i="58"/>
  <c r="I62" i="58"/>
  <c r="J62" i="58"/>
  <c r="AG53" i="58"/>
  <c r="AH54" i="58" s="1"/>
  <c r="AD53" i="58"/>
  <c r="AE54" i="58" s="1"/>
  <c r="O53" i="58"/>
  <c r="O54" i="58" s="1"/>
  <c r="P53" i="58"/>
  <c r="P54" i="58" s="1"/>
  <c r="Q53" i="58"/>
  <c r="Q54" i="58" s="1"/>
  <c r="R53" i="58"/>
  <c r="R54" i="58" s="1"/>
  <c r="S53" i="58"/>
  <c r="T53" i="58"/>
  <c r="U53" i="58"/>
  <c r="V53" i="58"/>
  <c r="W53" i="58"/>
  <c r="W54" i="58" s="1"/>
  <c r="X53" i="58"/>
  <c r="X54" i="58" s="1"/>
  <c r="Y53" i="58"/>
  <c r="Y54" i="58" s="1"/>
  <c r="Z53" i="58"/>
  <c r="Z54" i="58" s="1"/>
  <c r="S54" i="58"/>
  <c r="T54" i="58"/>
  <c r="U54" i="58"/>
  <c r="V54" i="58"/>
  <c r="AI50" i="58"/>
  <c r="AF46" i="58"/>
  <c r="AF49" i="58"/>
  <c r="AF50" i="58"/>
  <c r="AH51" i="58"/>
  <c r="AE51" i="58"/>
  <c r="AH45" i="58"/>
  <c r="AH46" i="58"/>
  <c r="AH47" i="58"/>
  <c r="AH48" i="58"/>
  <c r="AH49" i="58"/>
  <c r="AE45" i="58"/>
  <c r="AE48" i="58"/>
  <c r="AB47" i="58"/>
  <c r="AB49" i="58"/>
  <c r="L45" i="58"/>
  <c r="M45" i="58"/>
  <c r="N45" i="58"/>
  <c r="L46" i="58"/>
  <c r="M46" i="58"/>
  <c r="N46" i="58"/>
  <c r="L47" i="58"/>
  <c r="M47" i="58"/>
  <c r="N47" i="58"/>
  <c r="L48" i="58"/>
  <c r="M48" i="58"/>
  <c r="N48" i="58"/>
  <c r="L49" i="58"/>
  <c r="M49" i="58"/>
  <c r="N49" i="58"/>
  <c r="L50" i="58"/>
  <c r="M50" i="58"/>
  <c r="N50" i="58"/>
  <c r="L51" i="58"/>
  <c r="M51" i="58"/>
  <c r="N51" i="58"/>
  <c r="L52" i="58"/>
  <c r="M52" i="58"/>
  <c r="N52" i="58"/>
  <c r="I45" i="58"/>
  <c r="J45" i="58"/>
  <c r="I46" i="58"/>
  <c r="J46" i="58"/>
  <c r="I47" i="58"/>
  <c r="J47" i="58"/>
  <c r="I48" i="58"/>
  <c r="J48" i="58"/>
  <c r="I49" i="58"/>
  <c r="J49" i="58"/>
  <c r="I50" i="58"/>
  <c r="J50" i="58"/>
  <c r="I51" i="58"/>
  <c r="J51" i="58"/>
  <c r="I52" i="58"/>
  <c r="J52" i="58"/>
  <c r="AG43" i="58"/>
  <c r="AH44" i="58" s="1"/>
  <c r="AD43" i="58"/>
  <c r="AE44" i="58" s="1"/>
  <c r="O43" i="58"/>
  <c r="O44" i="58" s="1"/>
  <c r="P43" i="58"/>
  <c r="P44" i="58" s="1"/>
  <c r="Q43" i="58"/>
  <c r="Q44" i="58" s="1"/>
  <c r="R43" i="58"/>
  <c r="R44" i="58" s="1"/>
  <c r="S43" i="58"/>
  <c r="S44" i="58" s="1"/>
  <c r="T43" i="58"/>
  <c r="T44" i="58" s="1"/>
  <c r="U43" i="58"/>
  <c r="V43" i="58"/>
  <c r="W43" i="58"/>
  <c r="X43" i="58"/>
  <c r="X44" i="58" s="1"/>
  <c r="Y43" i="58"/>
  <c r="Y44" i="58" s="1"/>
  <c r="Z43" i="58"/>
  <c r="Z44" i="58" s="1"/>
  <c r="U44" i="58"/>
  <c r="V44" i="58"/>
  <c r="W44" i="58"/>
  <c r="AI36" i="58"/>
  <c r="AI37" i="58"/>
  <c r="AI41" i="58"/>
  <c r="AF36" i="58"/>
  <c r="AF37" i="58"/>
  <c r="AF41" i="58"/>
  <c r="AH41" i="58"/>
  <c r="AE41" i="58"/>
  <c r="AB41" i="58"/>
  <c r="AE35" i="58"/>
  <c r="AE36" i="58"/>
  <c r="AE37" i="58"/>
  <c r="AE38" i="58"/>
  <c r="L35" i="58"/>
  <c r="M35" i="58"/>
  <c r="N35" i="58"/>
  <c r="L36" i="58"/>
  <c r="M36" i="58"/>
  <c r="N36" i="58"/>
  <c r="L37" i="58"/>
  <c r="M37" i="58"/>
  <c r="N37" i="58"/>
  <c r="L38" i="58"/>
  <c r="M38" i="58"/>
  <c r="N38" i="58"/>
  <c r="L39" i="58"/>
  <c r="M39" i="58"/>
  <c r="N39" i="58"/>
  <c r="L40" i="58"/>
  <c r="M40" i="58"/>
  <c r="N40" i="58"/>
  <c r="L41" i="58"/>
  <c r="M41" i="58"/>
  <c r="N41" i="58"/>
  <c r="L42" i="58"/>
  <c r="M42" i="58"/>
  <c r="N42" i="58"/>
  <c r="I35" i="58"/>
  <c r="J35" i="58"/>
  <c r="I36" i="58"/>
  <c r="J36" i="58"/>
  <c r="I37" i="58"/>
  <c r="J37" i="58"/>
  <c r="I38" i="58"/>
  <c r="J38" i="58"/>
  <c r="I39" i="58"/>
  <c r="J39" i="58"/>
  <c r="I40" i="58"/>
  <c r="J40" i="58"/>
  <c r="I41" i="58"/>
  <c r="J41" i="58"/>
  <c r="I42" i="58"/>
  <c r="J42" i="58"/>
  <c r="AG32" i="58"/>
  <c r="AD32" i="58"/>
  <c r="O32" i="58"/>
  <c r="P32" i="58"/>
  <c r="Q32" i="58"/>
  <c r="R32" i="58"/>
  <c r="S32" i="58"/>
  <c r="T32" i="58"/>
  <c r="U32" i="58"/>
  <c r="V32" i="58"/>
  <c r="W32" i="58"/>
  <c r="X32" i="58"/>
  <c r="Y32" i="58"/>
  <c r="Z32" i="58"/>
  <c r="AG31" i="58"/>
  <c r="AD31" i="58"/>
  <c r="O31" i="58"/>
  <c r="P31" i="58"/>
  <c r="Q31" i="58"/>
  <c r="R31" i="58"/>
  <c r="S31" i="58"/>
  <c r="T31" i="58"/>
  <c r="U31" i="58"/>
  <c r="V31" i="58"/>
  <c r="W31" i="58"/>
  <c r="X31" i="58"/>
  <c r="Y31" i="58"/>
  <c r="Z31" i="58"/>
  <c r="AA31" i="58"/>
  <c r="N26" i="58"/>
  <c r="N27" i="58"/>
  <c r="N28" i="58"/>
  <c r="N29" i="58"/>
  <c r="B23" i="58"/>
  <c r="AG16" i="58"/>
  <c r="AG19" i="58"/>
  <c r="AH83" i="58" s="1"/>
  <c r="AG20" i="58"/>
  <c r="AH87" i="58" s="1"/>
  <c r="AD19" i="58"/>
  <c r="AE115" i="58" s="1"/>
  <c r="AD20" i="58"/>
  <c r="AE87" i="58" s="1"/>
  <c r="G19" i="58"/>
  <c r="G20" i="58"/>
  <c r="N19" i="58"/>
  <c r="O19" i="58"/>
  <c r="P19" i="58"/>
  <c r="Q19" i="58"/>
  <c r="R19" i="58"/>
  <c r="S19" i="58"/>
  <c r="T19" i="58"/>
  <c r="U19" i="58"/>
  <c r="V19" i="58"/>
  <c r="W19" i="58"/>
  <c r="X19" i="58"/>
  <c r="Y19" i="58"/>
  <c r="Z19" i="58"/>
  <c r="N20" i="58"/>
  <c r="O20" i="58"/>
  <c r="P20" i="58"/>
  <c r="Q20" i="58"/>
  <c r="R20" i="58"/>
  <c r="S20" i="58"/>
  <c r="T20" i="58"/>
  <c r="U20" i="58"/>
  <c r="V20" i="58"/>
  <c r="W20" i="58"/>
  <c r="X20" i="58"/>
  <c r="Y20" i="58"/>
  <c r="Z20" i="58"/>
  <c r="B17" i="58"/>
  <c r="B18" i="58"/>
  <c r="B19" i="58"/>
  <c r="O16" i="58"/>
  <c r="P16" i="58"/>
  <c r="Q16" i="58"/>
  <c r="R16" i="58"/>
  <c r="S16" i="58"/>
  <c r="T16" i="58"/>
  <c r="U16" i="58"/>
  <c r="V16" i="58"/>
  <c r="W16" i="58"/>
  <c r="X16" i="58"/>
  <c r="Y16" i="58"/>
  <c r="O17" i="58"/>
  <c r="P17" i="58"/>
  <c r="Q17" i="58"/>
  <c r="R17" i="58"/>
  <c r="S17" i="58"/>
  <c r="T17" i="58"/>
  <c r="U17" i="58"/>
  <c r="V17" i="58"/>
  <c r="W17" i="58"/>
  <c r="X17" i="58"/>
  <c r="Y17" i="58"/>
  <c r="Z17" i="58"/>
  <c r="AA17" i="58" s="1"/>
  <c r="AA11" i="58" s="1"/>
  <c r="AA18" i="58" s="1"/>
  <c r="A14" i="58"/>
  <c r="AG12" i="58"/>
  <c r="AG13" i="58"/>
  <c r="AD12" i="58"/>
  <c r="AD13" i="58"/>
  <c r="B12" i="58"/>
  <c r="AA16" i="58" s="1"/>
  <c r="B13" i="58"/>
  <c r="O12" i="58"/>
  <c r="P12" i="58"/>
  <c r="Q12" i="58"/>
  <c r="R12" i="58"/>
  <c r="S12" i="58"/>
  <c r="T12" i="58"/>
  <c r="U12" i="58"/>
  <c r="V12" i="58"/>
  <c r="W12" i="58"/>
  <c r="X12" i="58"/>
  <c r="Y12" i="58"/>
  <c r="Z12" i="58"/>
  <c r="AA12" i="58"/>
  <c r="O13" i="58"/>
  <c r="P13" i="58"/>
  <c r="Q13" i="58"/>
  <c r="R13" i="58"/>
  <c r="S13" i="58"/>
  <c r="T13" i="58"/>
  <c r="U13" i="58"/>
  <c r="V13" i="58"/>
  <c r="W13" i="58"/>
  <c r="X13" i="58"/>
  <c r="Y13" i="58"/>
  <c r="Z13" i="58"/>
  <c r="AA13" i="58"/>
  <c r="C10" i="58"/>
  <c r="D10" i="58"/>
  <c r="C9" i="58"/>
  <c r="C1" i="58"/>
  <c r="C2" i="58"/>
  <c r="C3" i="58"/>
  <c r="C4" i="58"/>
  <c r="C5" i="58"/>
  <c r="C6" i="58"/>
  <c r="C7" i="58"/>
  <c r="C8" i="58"/>
  <c r="E6" i="58"/>
  <c r="E4" i="58"/>
  <c r="B3" i="58"/>
  <c r="AG123" i="54"/>
  <c r="AD123" i="54"/>
  <c r="O123" i="54"/>
  <c r="P123" i="54"/>
  <c r="Q123" i="54"/>
  <c r="R123" i="54"/>
  <c r="S123" i="54"/>
  <c r="T123" i="54"/>
  <c r="U123" i="54"/>
  <c r="V123" i="54"/>
  <c r="W123" i="54"/>
  <c r="X123" i="54"/>
  <c r="Y123" i="54"/>
  <c r="Z123" i="54"/>
  <c r="N124" i="54"/>
  <c r="N120" i="54"/>
  <c r="N123" i="54" s="1"/>
  <c r="N121" i="54"/>
  <c r="I120" i="54"/>
  <c r="AA120" i="54" s="1"/>
  <c r="J120" i="54"/>
  <c r="I121" i="54"/>
  <c r="AA121" i="54" s="1"/>
  <c r="AI121" i="54" s="1"/>
  <c r="J121" i="54"/>
  <c r="B120" i="54"/>
  <c r="N91" i="54"/>
  <c r="N92" i="54"/>
  <c r="N93" i="54"/>
  <c r="N94" i="54"/>
  <c r="N95" i="54"/>
  <c r="N96" i="54"/>
  <c r="N97" i="54"/>
  <c r="N98" i="54"/>
  <c r="N99" i="54"/>
  <c r="N100" i="54"/>
  <c r="N101" i="54"/>
  <c r="N102" i="54"/>
  <c r="N103" i="54"/>
  <c r="N104" i="54"/>
  <c r="N105" i="54"/>
  <c r="N106" i="54"/>
  <c r="N107" i="54"/>
  <c r="N108" i="54"/>
  <c r="N109" i="54"/>
  <c r="N110" i="54"/>
  <c r="N111" i="54"/>
  <c r="N112" i="54"/>
  <c r="N113" i="54"/>
  <c r="N114" i="54"/>
  <c r="N115" i="54"/>
  <c r="N116" i="54"/>
  <c r="N117" i="54"/>
  <c r="N118" i="54"/>
  <c r="I118" i="54"/>
  <c r="AA118" i="54" s="1"/>
  <c r="AI118" i="54" s="1"/>
  <c r="J118" i="54"/>
  <c r="B114" i="54"/>
  <c r="B115" i="54"/>
  <c r="B116" i="54"/>
  <c r="A111" i="54"/>
  <c r="AH110" i="54"/>
  <c r="AH112" i="54"/>
  <c r="AH113" i="54"/>
  <c r="AH117" i="54"/>
  <c r="AE92" i="54"/>
  <c r="AE97" i="54"/>
  <c r="AE100" i="54"/>
  <c r="AE102" i="54"/>
  <c r="AF102" i="54"/>
  <c r="AE103" i="54"/>
  <c r="AE105" i="54"/>
  <c r="AE108" i="54"/>
  <c r="AE109" i="54"/>
  <c r="AE111" i="54"/>
  <c r="AE112" i="54"/>
  <c r="AE113" i="54"/>
  <c r="AE114" i="54"/>
  <c r="AE115" i="54"/>
  <c r="AE116" i="54"/>
  <c r="AE117" i="54"/>
  <c r="AF118" i="54"/>
  <c r="AA93" i="54"/>
  <c r="AF93" i="54" s="1"/>
  <c r="AA100" i="54"/>
  <c r="AB100" i="54" s="1"/>
  <c r="AA107" i="54"/>
  <c r="AF107" i="54" s="1"/>
  <c r="AA115" i="54"/>
  <c r="AF115" i="54" s="1"/>
  <c r="I92" i="54"/>
  <c r="J92" i="54"/>
  <c r="L92" i="54"/>
  <c r="M92" i="54"/>
  <c r="I93" i="54"/>
  <c r="K93" i="54" s="1"/>
  <c r="J93" i="54"/>
  <c r="L93" i="54"/>
  <c r="M93" i="54"/>
  <c r="I94" i="54"/>
  <c r="AA94" i="54" s="1"/>
  <c r="AI94" i="54" s="1"/>
  <c r="J94" i="54"/>
  <c r="L94" i="54"/>
  <c r="M94" i="54"/>
  <c r="I95" i="54"/>
  <c r="J95" i="54"/>
  <c r="L95" i="54"/>
  <c r="M95" i="54"/>
  <c r="I96" i="54"/>
  <c r="J96" i="54"/>
  <c r="L96" i="54"/>
  <c r="M96" i="54"/>
  <c r="I97" i="54"/>
  <c r="J97" i="54"/>
  <c r="L97" i="54"/>
  <c r="M97" i="54"/>
  <c r="I98" i="54"/>
  <c r="AA98" i="54" s="1"/>
  <c r="AF98" i="54" s="1"/>
  <c r="J98" i="54"/>
  <c r="K98" i="54" s="1"/>
  <c r="L98" i="54"/>
  <c r="M98" i="54"/>
  <c r="I99" i="54"/>
  <c r="AA99" i="54" s="1"/>
  <c r="AF99" i="54" s="1"/>
  <c r="J99" i="54"/>
  <c r="K99" i="54" s="1"/>
  <c r="L99" i="54"/>
  <c r="M99" i="54"/>
  <c r="I100" i="54"/>
  <c r="J100" i="54"/>
  <c r="L100" i="54"/>
  <c r="M100" i="54"/>
  <c r="I101" i="54"/>
  <c r="AA101" i="54" s="1"/>
  <c r="J101" i="54"/>
  <c r="L101" i="54"/>
  <c r="M101" i="54"/>
  <c r="I102" i="54"/>
  <c r="AA102" i="54" s="1"/>
  <c r="AI102" i="54" s="1"/>
  <c r="J102" i="54"/>
  <c r="L102" i="54"/>
  <c r="M102" i="54"/>
  <c r="I103" i="54"/>
  <c r="AA103" i="54" s="1"/>
  <c r="J103" i="54"/>
  <c r="L103" i="54"/>
  <c r="M103" i="54"/>
  <c r="I104" i="54"/>
  <c r="J104" i="54"/>
  <c r="L104" i="54"/>
  <c r="M104" i="54"/>
  <c r="I105" i="54"/>
  <c r="AA105" i="54" s="1"/>
  <c r="AI105" i="54" s="1"/>
  <c r="J105" i="54"/>
  <c r="L105" i="54"/>
  <c r="M105" i="54"/>
  <c r="I106" i="54"/>
  <c r="J106" i="54"/>
  <c r="L106" i="54"/>
  <c r="M106" i="54"/>
  <c r="I107" i="54"/>
  <c r="J107" i="54"/>
  <c r="K107" i="54" s="1"/>
  <c r="L107" i="54"/>
  <c r="M107" i="54"/>
  <c r="I108" i="54"/>
  <c r="J108" i="54"/>
  <c r="L108" i="54"/>
  <c r="M108" i="54"/>
  <c r="I109" i="54"/>
  <c r="AA109" i="54" s="1"/>
  <c r="J109" i="54"/>
  <c r="L109" i="54"/>
  <c r="M109" i="54"/>
  <c r="I110" i="54"/>
  <c r="AA110" i="54" s="1"/>
  <c r="AI110" i="54" s="1"/>
  <c r="J110" i="54"/>
  <c r="L110" i="54"/>
  <c r="M110" i="54"/>
  <c r="I111" i="54"/>
  <c r="AA111" i="54" s="1"/>
  <c r="J111" i="54"/>
  <c r="L111" i="54"/>
  <c r="M111" i="54"/>
  <c r="I112" i="54"/>
  <c r="J112" i="54"/>
  <c r="L112" i="54"/>
  <c r="M112" i="54"/>
  <c r="I113" i="54"/>
  <c r="K113" i="54" s="1"/>
  <c r="J113" i="54"/>
  <c r="L113" i="54"/>
  <c r="M113" i="54"/>
  <c r="I114" i="54"/>
  <c r="AA114" i="54" s="1"/>
  <c r="J114" i="54"/>
  <c r="L114" i="54"/>
  <c r="M114" i="54"/>
  <c r="I115" i="54"/>
  <c r="J115" i="54"/>
  <c r="L115" i="54"/>
  <c r="M115" i="54"/>
  <c r="I116" i="54"/>
  <c r="AA116" i="54" s="1"/>
  <c r="J116" i="54"/>
  <c r="K116" i="54"/>
  <c r="L116" i="54"/>
  <c r="M116" i="54"/>
  <c r="I117" i="54"/>
  <c r="AA117" i="54" s="1"/>
  <c r="J117" i="54"/>
  <c r="K117" i="54"/>
  <c r="L117" i="54"/>
  <c r="M117" i="54"/>
  <c r="I91" i="54"/>
  <c r="J91" i="54"/>
  <c r="B88" i="54"/>
  <c r="B89" i="54"/>
  <c r="B83" i="54"/>
  <c r="B84" i="54"/>
  <c r="B85" i="54"/>
  <c r="A80" i="54"/>
  <c r="AH76" i="54"/>
  <c r="AH77" i="54"/>
  <c r="AH78" i="54"/>
  <c r="AE76" i="54"/>
  <c r="AE77" i="54"/>
  <c r="AE78" i="54"/>
  <c r="AE83" i="54"/>
  <c r="AA76" i="54"/>
  <c r="AA82" i="54"/>
  <c r="I76" i="54"/>
  <c r="K76" i="54" s="1"/>
  <c r="J76" i="54"/>
  <c r="L76" i="54"/>
  <c r="M76" i="54"/>
  <c r="N76" i="54"/>
  <c r="I77" i="54"/>
  <c r="AA77" i="54" s="1"/>
  <c r="J77" i="54"/>
  <c r="L77" i="54"/>
  <c r="M77" i="54"/>
  <c r="N77" i="54"/>
  <c r="I78" i="54"/>
  <c r="K78" i="54" s="1"/>
  <c r="J78" i="54"/>
  <c r="L78" i="54"/>
  <c r="M78" i="54"/>
  <c r="N78" i="54"/>
  <c r="I79" i="54"/>
  <c r="AA79" i="54" s="1"/>
  <c r="AF79" i="54" s="1"/>
  <c r="J79" i="54"/>
  <c r="K79" i="54"/>
  <c r="L79" i="54"/>
  <c r="M79" i="54"/>
  <c r="N79" i="54"/>
  <c r="I80" i="54"/>
  <c r="K80" i="54" s="1"/>
  <c r="J80" i="54"/>
  <c r="L80" i="54"/>
  <c r="M80" i="54"/>
  <c r="N80" i="54"/>
  <c r="I81" i="54"/>
  <c r="AA81" i="54" s="1"/>
  <c r="J81" i="54"/>
  <c r="L81" i="54"/>
  <c r="M81" i="54"/>
  <c r="N81" i="54"/>
  <c r="I82" i="54"/>
  <c r="J82" i="54"/>
  <c r="K82" i="54"/>
  <c r="L82" i="54"/>
  <c r="M82" i="54"/>
  <c r="N82" i="54"/>
  <c r="I83" i="54"/>
  <c r="AA83" i="54" s="1"/>
  <c r="AF83" i="54" s="1"/>
  <c r="J83" i="54"/>
  <c r="L83" i="54"/>
  <c r="M83" i="54"/>
  <c r="N83" i="54"/>
  <c r="I84" i="54"/>
  <c r="AA84" i="54" s="1"/>
  <c r="J84" i="54"/>
  <c r="K84" i="54"/>
  <c r="L84" i="54"/>
  <c r="M84" i="54"/>
  <c r="N84" i="54"/>
  <c r="I85" i="54"/>
  <c r="AA85" i="54" s="1"/>
  <c r="J85" i="54"/>
  <c r="L85" i="54"/>
  <c r="M85" i="54"/>
  <c r="N85" i="54"/>
  <c r="I86" i="54"/>
  <c r="AA86" i="54" s="1"/>
  <c r="J86" i="54"/>
  <c r="K86" i="54"/>
  <c r="L86" i="54"/>
  <c r="M86" i="54"/>
  <c r="N86" i="54"/>
  <c r="I87" i="54"/>
  <c r="AA87" i="54" s="1"/>
  <c r="AF87" i="54" s="1"/>
  <c r="J87" i="54"/>
  <c r="L87" i="54"/>
  <c r="M87" i="54"/>
  <c r="N87" i="54"/>
  <c r="I88" i="54"/>
  <c r="AA88" i="54" s="1"/>
  <c r="J88" i="54"/>
  <c r="K88" i="54"/>
  <c r="L88" i="54"/>
  <c r="M88" i="54"/>
  <c r="N88" i="54"/>
  <c r="I89" i="54"/>
  <c r="K89" i="54" s="1"/>
  <c r="J89" i="54"/>
  <c r="L89" i="54"/>
  <c r="M89" i="54"/>
  <c r="N89" i="54"/>
  <c r="N74" i="54"/>
  <c r="N75" i="54"/>
  <c r="I74" i="54"/>
  <c r="J74" i="54"/>
  <c r="I75" i="54"/>
  <c r="J75" i="54"/>
  <c r="AD72" i="54"/>
  <c r="AD124" i="54" s="1"/>
  <c r="AG72" i="54"/>
  <c r="AG124" i="54" s="1"/>
  <c r="N72" i="54"/>
  <c r="O72" i="54"/>
  <c r="O124" i="54" s="1"/>
  <c r="P72" i="54"/>
  <c r="P124" i="54" s="1"/>
  <c r="Q72" i="54"/>
  <c r="Q124" i="54" s="1"/>
  <c r="R72" i="54"/>
  <c r="R124" i="54" s="1"/>
  <c r="S72" i="54"/>
  <c r="S124" i="54" s="1"/>
  <c r="T72" i="54"/>
  <c r="T124" i="54" s="1"/>
  <c r="U72" i="54"/>
  <c r="U124" i="54" s="1"/>
  <c r="V72" i="54"/>
  <c r="V124" i="54" s="1"/>
  <c r="W72" i="54"/>
  <c r="W124" i="54" s="1"/>
  <c r="X72" i="54"/>
  <c r="X124" i="54" s="1"/>
  <c r="Y72" i="54"/>
  <c r="Y124" i="54" s="1"/>
  <c r="Z72" i="54"/>
  <c r="Z124" i="54" s="1"/>
  <c r="AB62" i="54"/>
  <c r="AB63" i="54"/>
  <c r="AN63" i="54" s="1"/>
  <c r="AB64" i="54"/>
  <c r="AB65" i="54"/>
  <c r="AB66" i="54"/>
  <c r="AN66" i="54" s="1"/>
  <c r="AB67" i="54"/>
  <c r="AB68" i="54"/>
  <c r="AB69" i="54"/>
  <c r="AB70" i="54"/>
  <c r="AN70" i="54" s="1"/>
  <c r="AB71" i="54"/>
  <c r="N60" i="54"/>
  <c r="N61" i="54"/>
  <c r="N62" i="54"/>
  <c r="N63" i="54"/>
  <c r="N64" i="54"/>
  <c r="N65" i="54"/>
  <c r="N66" i="54"/>
  <c r="N67" i="54"/>
  <c r="N68" i="54"/>
  <c r="N69" i="54"/>
  <c r="N70" i="54"/>
  <c r="N71" i="54"/>
  <c r="I71" i="54"/>
  <c r="K71" i="54" s="1"/>
  <c r="J71" i="54"/>
  <c r="I72" i="54"/>
  <c r="J72" i="54"/>
  <c r="AA63" i="54"/>
  <c r="AF63" i="54" s="1"/>
  <c r="AA67" i="54"/>
  <c r="AI67" i="54" s="1"/>
  <c r="AH62" i="54"/>
  <c r="AH63" i="54"/>
  <c r="AI63" i="54"/>
  <c r="AH64" i="54"/>
  <c r="AH65" i="54"/>
  <c r="AN65" i="54" s="1"/>
  <c r="AL65" i="54"/>
  <c r="AH66" i="54"/>
  <c r="AH67" i="54"/>
  <c r="AH68" i="54"/>
  <c r="AH69" i="54"/>
  <c r="AN69" i="54" s="1"/>
  <c r="AH70" i="54"/>
  <c r="AH71" i="54"/>
  <c r="AI71" i="54"/>
  <c r="AE62" i="54"/>
  <c r="AM62" i="54" s="1"/>
  <c r="AF62" i="54"/>
  <c r="AE63" i="54"/>
  <c r="AE64" i="54"/>
  <c r="AE65" i="54"/>
  <c r="AE66" i="54"/>
  <c r="AE67" i="54"/>
  <c r="AE68" i="54"/>
  <c r="AE69" i="54"/>
  <c r="AM69" i="54" s="1"/>
  <c r="AE70" i="54"/>
  <c r="AM70" i="54" s="1"/>
  <c r="AE71" i="54"/>
  <c r="AF71" i="54"/>
  <c r="I62" i="54"/>
  <c r="AA62" i="54" s="1"/>
  <c r="J62" i="54"/>
  <c r="K62" i="54"/>
  <c r="L62" i="54"/>
  <c r="M62" i="54"/>
  <c r="I63" i="54"/>
  <c r="K63" i="54" s="1"/>
  <c r="J63" i="54"/>
  <c r="L63" i="54"/>
  <c r="M63" i="54"/>
  <c r="I64" i="54"/>
  <c r="K64" i="54" s="1"/>
  <c r="J64" i="54"/>
  <c r="L64" i="54"/>
  <c r="M64" i="54"/>
  <c r="I65" i="54"/>
  <c r="AA65" i="54" s="1"/>
  <c r="J65" i="54"/>
  <c r="L65" i="54"/>
  <c r="M65" i="54"/>
  <c r="I66" i="54"/>
  <c r="AA66" i="54" s="1"/>
  <c r="J66" i="54"/>
  <c r="L66" i="54"/>
  <c r="M66" i="54"/>
  <c r="I67" i="54"/>
  <c r="K67" i="54" s="1"/>
  <c r="J67" i="54"/>
  <c r="L67" i="54"/>
  <c r="M67" i="54"/>
  <c r="I68" i="54"/>
  <c r="J68" i="54"/>
  <c r="L68" i="54"/>
  <c r="M68" i="54"/>
  <c r="I69" i="54"/>
  <c r="AA69" i="54" s="1"/>
  <c r="J69" i="54"/>
  <c r="L69" i="54"/>
  <c r="M69" i="54"/>
  <c r="I70" i="54"/>
  <c r="AA70" i="54" s="1"/>
  <c r="J70" i="54"/>
  <c r="L70" i="54"/>
  <c r="M70" i="54"/>
  <c r="I60" i="54"/>
  <c r="J60" i="54"/>
  <c r="I61" i="54"/>
  <c r="J61" i="54"/>
  <c r="B55" i="54"/>
  <c r="B56" i="54"/>
  <c r="B50" i="54"/>
  <c r="B51" i="54"/>
  <c r="B52" i="54"/>
  <c r="A47" i="54"/>
  <c r="AH36" i="54"/>
  <c r="AH37" i="54"/>
  <c r="AH39" i="54"/>
  <c r="AH41" i="54"/>
  <c r="AH42" i="54"/>
  <c r="AH43" i="54"/>
  <c r="AH44" i="54"/>
  <c r="AL44" i="54"/>
  <c r="AH45" i="54"/>
  <c r="AH46" i="54"/>
  <c r="AH48" i="54"/>
  <c r="AH49" i="54"/>
  <c r="AH50" i="54"/>
  <c r="AH51" i="54"/>
  <c r="AH52" i="54"/>
  <c r="AL52" i="54"/>
  <c r="AH53" i="54"/>
  <c r="AH56" i="54"/>
  <c r="AH57" i="54"/>
  <c r="AH58" i="54"/>
  <c r="AE37" i="54"/>
  <c r="AE38" i="54"/>
  <c r="AE39" i="54"/>
  <c r="AE41" i="54"/>
  <c r="AE42" i="54"/>
  <c r="AE44" i="54"/>
  <c r="AE46" i="54"/>
  <c r="AE48" i="54"/>
  <c r="AE50" i="54"/>
  <c r="AE51" i="54"/>
  <c r="AE52" i="54"/>
  <c r="AE53" i="54"/>
  <c r="AE55" i="54"/>
  <c r="AE56" i="54"/>
  <c r="AA38" i="54"/>
  <c r="AI38" i="54" s="1"/>
  <c r="AA50" i="54"/>
  <c r="AI50" i="54" s="1"/>
  <c r="AA58" i="54"/>
  <c r="I35" i="54"/>
  <c r="AA35" i="54" s="1"/>
  <c r="J35" i="54"/>
  <c r="K35" i="54"/>
  <c r="L35" i="54"/>
  <c r="M35" i="54"/>
  <c r="N35" i="54"/>
  <c r="I36" i="54"/>
  <c r="K36" i="54" s="1"/>
  <c r="J36" i="54"/>
  <c r="L36" i="54"/>
  <c r="M36" i="54"/>
  <c r="N36" i="54"/>
  <c r="I37" i="54"/>
  <c r="AA37" i="54" s="1"/>
  <c r="J37" i="54"/>
  <c r="K37" i="54"/>
  <c r="L37" i="54"/>
  <c r="M37" i="54"/>
  <c r="N37" i="54"/>
  <c r="I38" i="54"/>
  <c r="K38" i="54" s="1"/>
  <c r="J38" i="54"/>
  <c r="L38" i="54"/>
  <c r="M38" i="54"/>
  <c r="N38" i="54"/>
  <c r="I39" i="54"/>
  <c r="J39" i="54"/>
  <c r="L39" i="54"/>
  <c r="M39" i="54"/>
  <c r="N39" i="54"/>
  <c r="I40" i="54"/>
  <c r="K40" i="54" s="1"/>
  <c r="J40" i="54"/>
  <c r="L40" i="54"/>
  <c r="M40" i="54"/>
  <c r="N40" i="54"/>
  <c r="I41" i="54"/>
  <c r="J41" i="54"/>
  <c r="L41" i="54"/>
  <c r="M41" i="54"/>
  <c r="N41" i="54"/>
  <c r="I42" i="54"/>
  <c r="K42" i="54" s="1"/>
  <c r="J42" i="54"/>
  <c r="L42" i="54"/>
  <c r="M42" i="54"/>
  <c r="N42" i="54"/>
  <c r="I43" i="54"/>
  <c r="AA43" i="54" s="1"/>
  <c r="J43" i="54"/>
  <c r="L43" i="54"/>
  <c r="M43" i="54"/>
  <c r="N43" i="54"/>
  <c r="I44" i="54"/>
  <c r="K44" i="54" s="1"/>
  <c r="J44" i="54"/>
  <c r="L44" i="54"/>
  <c r="M44" i="54"/>
  <c r="N44" i="54"/>
  <c r="I45" i="54"/>
  <c r="AA45" i="54" s="1"/>
  <c r="J45" i="54"/>
  <c r="K45" i="54"/>
  <c r="L45" i="54"/>
  <c r="M45" i="54"/>
  <c r="N45" i="54"/>
  <c r="I46" i="54"/>
  <c r="J46" i="54"/>
  <c r="L46" i="54"/>
  <c r="M46" i="54"/>
  <c r="N46" i="54"/>
  <c r="I47" i="54"/>
  <c r="AA47" i="54" s="1"/>
  <c r="J47" i="54"/>
  <c r="K47" i="54"/>
  <c r="L47" i="54"/>
  <c r="M47" i="54"/>
  <c r="N47" i="54"/>
  <c r="I48" i="54"/>
  <c r="K48" i="54" s="1"/>
  <c r="J48" i="54"/>
  <c r="L48" i="54"/>
  <c r="M48" i="54"/>
  <c r="N48" i="54"/>
  <c r="I49" i="54"/>
  <c r="AA49" i="54" s="1"/>
  <c r="J49" i="54"/>
  <c r="K49" i="54"/>
  <c r="L49" i="54"/>
  <c r="M49" i="54"/>
  <c r="N49" i="54"/>
  <c r="I50" i="54"/>
  <c r="K50" i="54" s="1"/>
  <c r="J50" i="54"/>
  <c r="L50" i="54"/>
  <c r="M50" i="54"/>
  <c r="N50" i="54"/>
  <c r="I51" i="54"/>
  <c r="AA51" i="54" s="1"/>
  <c r="J51" i="54"/>
  <c r="K51" i="54"/>
  <c r="L51" i="54"/>
  <c r="M51" i="54"/>
  <c r="N51" i="54"/>
  <c r="I52" i="54"/>
  <c r="K52" i="54" s="1"/>
  <c r="J52" i="54"/>
  <c r="L52" i="54"/>
  <c r="M52" i="54"/>
  <c r="N52" i="54"/>
  <c r="I53" i="54"/>
  <c r="AA53" i="54" s="1"/>
  <c r="J53" i="54"/>
  <c r="L53" i="54"/>
  <c r="M53" i="54"/>
  <c r="N53" i="54"/>
  <c r="I54" i="54"/>
  <c r="K54" i="54" s="1"/>
  <c r="J54" i="54"/>
  <c r="L54" i="54"/>
  <c r="M54" i="54"/>
  <c r="N54" i="54"/>
  <c r="I55" i="54"/>
  <c r="AA55" i="54" s="1"/>
  <c r="J55" i="54"/>
  <c r="L55" i="54"/>
  <c r="M55" i="54"/>
  <c r="N55" i="54"/>
  <c r="I56" i="54"/>
  <c r="K56" i="54" s="1"/>
  <c r="J56" i="54"/>
  <c r="L56" i="54"/>
  <c r="M56" i="54"/>
  <c r="N56" i="54"/>
  <c r="I57" i="54"/>
  <c r="AA57" i="54" s="1"/>
  <c r="J57" i="54"/>
  <c r="L57" i="54"/>
  <c r="M57" i="54"/>
  <c r="N57" i="54"/>
  <c r="I58" i="54"/>
  <c r="K58" i="54" s="1"/>
  <c r="J58" i="54"/>
  <c r="L58" i="54"/>
  <c r="M58" i="54"/>
  <c r="N58" i="54"/>
  <c r="N33" i="54"/>
  <c r="N34" i="54"/>
  <c r="I33" i="54"/>
  <c r="J33" i="54"/>
  <c r="I34" i="54"/>
  <c r="J34" i="54"/>
  <c r="AG32" i="54"/>
  <c r="AL32" i="54" s="1"/>
  <c r="AD32" i="54"/>
  <c r="AK32" i="54" s="1"/>
  <c r="O32" i="54"/>
  <c r="P32" i="54"/>
  <c r="Q32" i="54"/>
  <c r="R32" i="54"/>
  <c r="S32" i="54"/>
  <c r="T32" i="54"/>
  <c r="U32" i="54"/>
  <c r="V32" i="54"/>
  <c r="W32" i="54"/>
  <c r="X32" i="54"/>
  <c r="Y32" i="54"/>
  <c r="Z32" i="54"/>
  <c r="AJ32" i="54" s="1"/>
  <c r="AJ31" i="54"/>
  <c r="AK31" i="54"/>
  <c r="AL31" i="54"/>
  <c r="AN31" i="54" s="1"/>
  <c r="AM31" i="54"/>
  <c r="AG31" i="54"/>
  <c r="AD31" i="54"/>
  <c r="O31" i="54"/>
  <c r="P31" i="54"/>
  <c r="Q31" i="54"/>
  <c r="R31" i="54"/>
  <c r="S31" i="54"/>
  <c r="T31" i="54"/>
  <c r="U31" i="54"/>
  <c r="V31" i="54"/>
  <c r="W31" i="54"/>
  <c r="X31" i="54"/>
  <c r="Y31" i="54"/>
  <c r="Z31" i="54"/>
  <c r="AA31" i="54"/>
  <c r="N26" i="54"/>
  <c r="N27" i="54"/>
  <c r="N28" i="54"/>
  <c r="N29" i="54"/>
  <c r="B29" i="54"/>
  <c r="B22" i="54"/>
  <c r="B23" i="54"/>
  <c r="AG16" i="54"/>
  <c r="AG19" i="54"/>
  <c r="AH99" i="54" s="1"/>
  <c r="AG20" i="54"/>
  <c r="AD19" i="54"/>
  <c r="AD20" i="54"/>
  <c r="AK120" i="54" s="1"/>
  <c r="G19" i="54"/>
  <c r="G20" i="54"/>
  <c r="N19" i="54"/>
  <c r="O19" i="54"/>
  <c r="P19" i="54"/>
  <c r="Q19" i="54"/>
  <c r="R19" i="54"/>
  <c r="S19" i="54"/>
  <c r="T19" i="54"/>
  <c r="U19" i="54"/>
  <c r="V19" i="54"/>
  <c r="W19" i="54"/>
  <c r="X19" i="54"/>
  <c r="Y19" i="54"/>
  <c r="Z19" i="54"/>
  <c r="N20" i="54"/>
  <c r="O20" i="54"/>
  <c r="P20" i="54"/>
  <c r="Q20" i="54"/>
  <c r="R20" i="54"/>
  <c r="S20" i="54"/>
  <c r="T20" i="54"/>
  <c r="U20" i="54"/>
  <c r="V20" i="54"/>
  <c r="W20" i="54"/>
  <c r="X20" i="54"/>
  <c r="Y20" i="54"/>
  <c r="Z20" i="54"/>
  <c r="B17" i="54"/>
  <c r="B18" i="54"/>
  <c r="B19" i="54"/>
  <c r="O16" i="54"/>
  <c r="P16" i="54"/>
  <c r="Q16" i="54"/>
  <c r="R16" i="54"/>
  <c r="S16" i="54"/>
  <c r="T16" i="54"/>
  <c r="U16" i="54"/>
  <c r="V16" i="54"/>
  <c r="W16" i="54"/>
  <c r="X16" i="54"/>
  <c r="Y16" i="54"/>
  <c r="O17" i="54"/>
  <c r="P17" i="54"/>
  <c r="Q17" i="54"/>
  <c r="R17" i="54"/>
  <c r="S17" i="54"/>
  <c r="T17" i="54"/>
  <c r="U17" i="54"/>
  <c r="V17" i="54"/>
  <c r="W17" i="54"/>
  <c r="X17" i="54"/>
  <c r="Y17" i="54"/>
  <c r="Z17" i="54"/>
  <c r="AA17" i="54"/>
  <c r="AA11" i="54" s="1"/>
  <c r="A14" i="54"/>
  <c r="AG12" i="54"/>
  <c r="AG13" i="54"/>
  <c r="AD12" i="54"/>
  <c r="AD13" i="54"/>
  <c r="B12" i="54"/>
  <c r="B13" i="54"/>
  <c r="O12" i="54"/>
  <c r="P12" i="54"/>
  <c r="Q12" i="54"/>
  <c r="R12" i="54"/>
  <c r="S12" i="54"/>
  <c r="T12" i="54"/>
  <c r="U12" i="54"/>
  <c r="V12" i="54"/>
  <c r="W12" i="54"/>
  <c r="X12" i="54"/>
  <c r="Y12" i="54"/>
  <c r="Z12" i="54"/>
  <c r="AA12" i="54"/>
  <c r="O13" i="54"/>
  <c r="P13" i="54"/>
  <c r="Q13" i="54"/>
  <c r="R13" i="54"/>
  <c r="S13" i="54"/>
  <c r="T13" i="54"/>
  <c r="U13" i="54"/>
  <c r="V13" i="54"/>
  <c r="W13" i="54"/>
  <c r="X13" i="54"/>
  <c r="Y13" i="54"/>
  <c r="Z13" i="54"/>
  <c r="AA13" i="54"/>
  <c r="C10" i="54"/>
  <c r="D10" i="54"/>
  <c r="Z16" i="54" s="1"/>
  <c r="C9" i="54"/>
  <c r="C1" i="54"/>
  <c r="C2" i="54"/>
  <c r="C3" i="54"/>
  <c r="C4" i="54"/>
  <c r="C5" i="54"/>
  <c r="C6" i="54"/>
  <c r="C7" i="54"/>
  <c r="C8" i="54"/>
  <c r="E6" i="54"/>
  <c r="B62" i="54" s="1"/>
  <c r="E4" i="54"/>
  <c r="B3" i="54"/>
  <c r="H2" i="54"/>
  <c r="N1" i="54"/>
  <c r="N1" i="58" s="1"/>
  <c r="AG143" i="57"/>
  <c r="AG144" i="57"/>
  <c r="AG145" i="57"/>
  <c r="AG146" i="57"/>
  <c r="AD143" i="57"/>
  <c r="AD144" i="57"/>
  <c r="AD145" i="57"/>
  <c r="AD146" i="57"/>
  <c r="O143" i="57"/>
  <c r="P143" i="57"/>
  <c r="Q143" i="57"/>
  <c r="R143" i="57"/>
  <c r="S143" i="57"/>
  <c r="T143" i="57"/>
  <c r="U143" i="57"/>
  <c r="V143" i="57"/>
  <c r="W143" i="57"/>
  <c r="X143" i="57"/>
  <c r="Y143" i="57"/>
  <c r="Z143" i="57"/>
  <c r="O144" i="57"/>
  <c r="P144" i="57"/>
  <c r="Q144" i="57"/>
  <c r="R144" i="57"/>
  <c r="S144" i="57"/>
  <c r="T144" i="57"/>
  <c r="U144" i="57"/>
  <c r="V144" i="57"/>
  <c r="W144" i="57"/>
  <c r="X144" i="57"/>
  <c r="Y144" i="57"/>
  <c r="Z144" i="57"/>
  <c r="O145" i="57"/>
  <c r="P145" i="57"/>
  <c r="Q145" i="57"/>
  <c r="R145" i="57"/>
  <c r="S145" i="57"/>
  <c r="T145" i="57"/>
  <c r="U145" i="57"/>
  <c r="V145" i="57"/>
  <c r="W145" i="57"/>
  <c r="X145" i="57"/>
  <c r="Y145" i="57"/>
  <c r="Z145" i="57"/>
  <c r="O146" i="57"/>
  <c r="P146" i="57"/>
  <c r="Q146" i="57"/>
  <c r="R146" i="57"/>
  <c r="S146" i="57"/>
  <c r="T146" i="57"/>
  <c r="U146" i="57"/>
  <c r="V146" i="57"/>
  <c r="W146" i="57"/>
  <c r="X146" i="57"/>
  <c r="Y146" i="57"/>
  <c r="Z146" i="57"/>
  <c r="AI130" i="57"/>
  <c r="AI131" i="57"/>
  <c r="AI133" i="57"/>
  <c r="AI134" i="57"/>
  <c r="AI135" i="57"/>
  <c r="AI137" i="57"/>
  <c r="AI138" i="57"/>
  <c r="AI139" i="57"/>
  <c r="AG141" i="57"/>
  <c r="AD141" i="57"/>
  <c r="O141" i="57"/>
  <c r="P141" i="57"/>
  <c r="Q141" i="57"/>
  <c r="R141" i="57"/>
  <c r="S141" i="57"/>
  <c r="T141" i="57"/>
  <c r="U141" i="57"/>
  <c r="V141" i="57"/>
  <c r="W141" i="57"/>
  <c r="X141" i="57"/>
  <c r="Y141" i="57"/>
  <c r="Z141" i="57"/>
  <c r="AH140" i="57"/>
  <c r="AE140" i="57"/>
  <c r="AA140" i="57"/>
  <c r="AF140" i="57" s="1"/>
  <c r="AB140" i="57"/>
  <c r="AF131" i="57"/>
  <c r="AF133" i="57"/>
  <c r="AF135" i="57"/>
  <c r="AF137" i="57"/>
  <c r="AF139" i="57"/>
  <c r="AH138" i="57"/>
  <c r="AE138" i="57"/>
  <c r="AA138" i="57"/>
  <c r="AF138" i="57" s="1"/>
  <c r="AB138" i="57"/>
  <c r="AH136" i="57"/>
  <c r="AE136" i="57"/>
  <c r="AA136" i="57"/>
  <c r="AF136" i="57" s="1"/>
  <c r="AB136" i="57"/>
  <c r="AH134" i="57"/>
  <c r="AE134" i="57"/>
  <c r="AA134" i="57"/>
  <c r="AF134" i="57" s="1"/>
  <c r="AB134" i="57"/>
  <c r="AH132" i="57"/>
  <c r="AE132" i="57"/>
  <c r="AA132" i="57"/>
  <c r="AI132" i="57" s="1"/>
  <c r="AB132" i="57"/>
  <c r="AH130" i="57"/>
  <c r="AE130" i="57"/>
  <c r="AA130" i="57"/>
  <c r="AF130" i="57" s="1"/>
  <c r="AB130" i="57"/>
  <c r="L130" i="57"/>
  <c r="M130" i="57"/>
  <c r="N130" i="57"/>
  <c r="L131" i="57"/>
  <c r="M131" i="57"/>
  <c r="N131" i="57"/>
  <c r="L132" i="57"/>
  <c r="M132" i="57"/>
  <c r="N132" i="57"/>
  <c r="L133" i="57"/>
  <c r="M133" i="57"/>
  <c r="N133" i="57"/>
  <c r="L134" i="57"/>
  <c r="M134" i="57"/>
  <c r="N134" i="57"/>
  <c r="L135" i="57"/>
  <c r="M135" i="57"/>
  <c r="N135" i="57"/>
  <c r="L136" i="57"/>
  <c r="M136" i="57"/>
  <c r="N136" i="57"/>
  <c r="L137" i="57"/>
  <c r="M137" i="57"/>
  <c r="N137" i="57"/>
  <c r="L138" i="57"/>
  <c r="M138" i="57"/>
  <c r="N138" i="57"/>
  <c r="L139" i="57"/>
  <c r="M139" i="57"/>
  <c r="N139" i="57"/>
  <c r="L140" i="57"/>
  <c r="M140" i="57"/>
  <c r="N140" i="57"/>
  <c r="N129" i="57"/>
  <c r="AG121" i="57"/>
  <c r="AH121" i="57" s="1"/>
  <c r="AG122" i="57"/>
  <c r="AG123" i="57"/>
  <c r="AH123" i="57" s="1"/>
  <c r="AG124" i="57"/>
  <c r="AH124" i="57" s="1"/>
  <c r="AG125" i="57"/>
  <c r="AD121" i="57"/>
  <c r="AD122" i="57"/>
  <c r="AE122" i="57" s="1"/>
  <c r="AD123" i="57"/>
  <c r="AD124" i="57"/>
  <c r="AE124" i="57" s="1"/>
  <c r="AD125" i="57"/>
  <c r="AE125" i="57" s="1"/>
  <c r="AH122" i="57"/>
  <c r="AH125" i="57"/>
  <c r="AE121" i="57"/>
  <c r="AE123" i="57"/>
  <c r="L121" i="57"/>
  <c r="M121" i="57"/>
  <c r="N121" i="57"/>
  <c r="O121" i="57"/>
  <c r="P121" i="57"/>
  <c r="Q121" i="57"/>
  <c r="R121" i="57"/>
  <c r="S121" i="57"/>
  <c r="T121" i="57"/>
  <c r="U121" i="57"/>
  <c r="V121" i="57"/>
  <c r="W121" i="57"/>
  <c r="X121" i="57"/>
  <c r="Y121" i="57"/>
  <c r="Z121" i="57"/>
  <c r="L122" i="57"/>
  <c r="M122" i="57"/>
  <c r="N122" i="57"/>
  <c r="O122" i="57"/>
  <c r="AA122" i="57" s="1"/>
  <c r="AB122" i="57" s="1"/>
  <c r="P122" i="57"/>
  <c r="Q122" i="57"/>
  <c r="R122" i="57"/>
  <c r="S122" i="57"/>
  <c r="T122" i="57"/>
  <c r="U122" i="57"/>
  <c r="V122" i="57"/>
  <c r="W122" i="57"/>
  <c r="W126" i="57" s="1"/>
  <c r="W127" i="57" s="1"/>
  <c r="X122" i="57"/>
  <c r="Y122" i="57"/>
  <c r="Z122" i="57"/>
  <c r="L123" i="57"/>
  <c r="M123" i="57"/>
  <c r="N123" i="57"/>
  <c r="O123" i="57"/>
  <c r="P123" i="57"/>
  <c r="Q123" i="57"/>
  <c r="R123" i="57"/>
  <c r="S123" i="57"/>
  <c r="T123" i="57"/>
  <c r="U123" i="57"/>
  <c r="V123" i="57"/>
  <c r="W123" i="57"/>
  <c r="X123" i="57"/>
  <c r="Y123" i="57"/>
  <c r="Z123" i="57"/>
  <c r="L124" i="57"/>
  <c r="M124" i="57"/>
  <c r="N124" i="57"/>
  <c r="O124" i="57"/>
  <c r="P124" i="57"/>
  <c r="Q124" i="57"/>
  <c r="R124" i="57"/>
  <c r="S124" i="57"/>
  <c r="T124" i="57"/>
  <c r="U124" i="57"/>
  <c r="V124" i="57"/>
  <c r="W124" i="57"/>
  <c r="X124" i="57"/>
  <c r="Y124" i="57"/>
  <c r="Z124" i="57"/>
  <c r="L125" i="57"/>
  <c r="M125" i="57"/>
  <c r="N125" i="57"/>
  <c r="O125" i="57"/>
  <c r="P125" i="57"/>
  <c r="Q125" i="57"/>
  <c r="R125" i="57"/>
  <c r="S125" i="57"/>
  <c r="T125" i="57"/>
  <c r="U125" i="57"/>
  <c r="V125" i="57"/>
  <c r="W125" i="57"/>
  <c r="X125" i="57"/>
  <c r="Y125" i="57"/>
  <c r="Z125" i="57"/>
  <c r="L126" i="57"/>
  <c r="M126" i="57"/>
  <c r="N126" i="57"/>
  <c r="O126" i="57"/>
  <c r="O127" i="57" s="1"/>
  <c r="AH114" i="57"/>
  <c r="AI114" i="57"/>
  <c r="AH115" i="57"/>
  <c r="AH116" i="57"/>
  <c r="AI116" i="57"/>
  <c r="AH117" i="57"/>
  <c r="AH118" i="57"/>
  <c r="AI118" i="57"/>
  <c r="AH119" i="57"/>
  <c r="AE114" i="57"/>
  <c r="AE115" i="57"/>
  <c r="AE116" i="57"/>
  <c r="AE117" i="57"/>
  <c r="AE118" i="57"/>
  <c r="AE119" i="57"/>
  <c r="AA114" i="57"/>
  <c r="AF114" i="57" s="1"/>
  <c r="AB114" i="57"/>
  <c r="AA115" i="57"/>
  <c r="AI115" i="57" s="1"/>
  <c r="AA116" i="57"/>
  <c r="AF116" i="57" s="1"/>
  <c r="AB116" i="57"/>
  <c r="AA117" i="57"/>
  <c r="AF117" i="57" s="1"/>
  <c r="AA118" i="57"/>
  <c r="AF118" i="57" s="1"/>
  <c r="AB118" i="57"/>
  <c r="AA119" i="57"/>
  <c r="AI119" i="57" s="1"/>
  <c r="L114" i="57"/>
  <c r="M114" i="57"/>
  <c r="N114" i="57"/>
  <c r="L115" i="57"/>
  <c r="M115" i="57"/>
  <c r="N115" i="57"/>
  <c r="L116" i="57"/>
  <c r="M116" i="57"/>
  <c r="N116" i="57"/>
  <c r="L117" i="57"/>
  <c r="M117" i="57"/>
  <c r="N117" i="57"/>
  <c r="L118" i="57"/>
  <c r="M118" i="57"/>
  <c r="N118" i="57"/>
  <c r="L119" i="57"/>
  <c r="M119" i="57"/>
  <c r="N119" i="57"/>
  <c r="AH106" i="57"/>
  <c r="AH107" i="57"/>
  <c r="AI107" i="57"/>
  <c r="AH108" i="57"/>
  <c r="AH109" i="57"/>
  <c r="AH110" i="57"/>
  <c r="AH111" i="57"/>
  <c r="AE106" i="57"/>
  <c r="AE107" i="57"/>
  <c r="AE108" i="57"/>
  <c r="AE109" i="57"/>
  <c r="AE110" i="57"/>
  <c r="AE111" i="57"/>
  <c r="AA106" i="57"/>
  <c r="AF106" i="57" s="1"/>
  <c r="AA107" i="57"/>
  <c r="AF107" i="57" s="1"/>
  <c r="AB107" i="57"/>
  <c r="AA108" i="57"/>
  <c r="AI108" i="57" s="1"/>
  <c r="AA109" i="57"/>
  <c r="AI109" i="57" s="1"/>
  <c r="AB109" i="57"/>
  <c r="AA110" i="57"/>
  <c r="AF110" i="57" s="1"/>
  <c r="AA111" i="57"/>
  <c r="AI111" i="57" s="1"/>
  <c r="L106" i="57"/>
  <c r="M106" i="57"/>
  <c r="N106" i="57"/>
  <c r="L107" i="57"/>
  <c r="M107" i="57"/>
  <c r="N107" i="57"/>
  <c r="L108" i="57"/>
  <c r="M108" i="57"/>
  <c r="N108" i="57"/>
  <c r="L109" i="57"/>
  <c r="M109" i="57"/>
  <c r="N109" i="57"/>
  <c r="L110" i="57"/>
  <c r="M110" i="57"/>
  <c r="N110" i="57"/>
  <c r="L111" i="57"/>
  <c r="M111" i="57"/>
  <c r="N111" i="57"/>
  <c r="AH98" i="57"/>
  <c r="AH99" i="57"/>
  <c r="AH100" i="57"/>
  <c r="AI100" i="57"/>
  <c r="AH101" i="57"/>
  <c r="AH102" i="57"/>
  <c r="AI102" i="57"/>
  <c r="AH103" i="57"/>
  <c r="AE98" i="57"/>
  <c r="AE99" i="57"/>
  <c r="AE100" i="57"/>
  <c r="AE101" i="57"/>
  <c r="AE102" i="57"/>
  <c r="AE103" i="57"/>
  <c r="AA98" i="57"/>
  <c r="AB98" i="57" s="1"/>
  <c r="AA99" i="57"/>
  <c r="AF99" i="57" s="1"/>
  <c r="AA100" i="57"/>
  <c r="AF100" i="57" s="1"/>
  <c r="AA101" i="57"/>
  <c r="AI101" i="57" s="1"/>
  <c r="AA102" i="57"/>
  <c r="AF102" i="57" s="1"/>
  <c r="AB102" i="57"/>
  <c r="AA103" i="57"/>
  <c r="AF103" i="57" s="1"/>
  <c r="L98" i="57"/>
  <c r="M98" i="57"/>
  <c r="N98" i="57"/>
  <c r="L99" i="57"/>
  <c r="M99" i="57"/>
  <c r="N99" i="57"/>
  <c r="L100" i="57"/>
  <c r="M100" i="57"/>
  <c r="N100" i="57"/>
  <c r="L101" i="57"/>
  <c r="M101" i="57"/>
  <c r="N101" i="57"/>
  <c r="L102" i="57"/>
  <c r="M102" i="57"/>
  <c r="N102" i="57"/>
  <c r="L103" i="57"/>
  <c r="M103" i="57"/>
  <c r="N103" i="57"/>
  <c r="AI91" i="57"/>
  <c r="AD93" i="57"/>
  <c r="AD94" i="57"/>
  <c r="AG93" i="57"/>
  <c r="AG94" i="57"/>
  <c r="O93" i="57"/>
  <c r="P93" i="57"/>
  <c r="Q93" i="57"/>
  <c r="R93" i="57"/>
  <c r="S93" i="57"/>
  <c r="T93" i="57"/>
  <c r="U93" i="57"/>
  <c r="V93" i="57"/>
  <c r="W93" i="57"/>
  <c r="X93" i="57"/>
  <c r="Y93" i="57"/>
  <c r="Z93" i="57"/>
  <c r="O94" i="57"/>
  <c r="P94" i="57"/>
  <c r="Q94" i="57"/>
  <c r="R94" i="57"/>
  <c r="S94" i="57"/>
  <c r="T94" i="57"/>
  <c r="U94" i="57"/>
  <c r="V94" i="57"/>
  <c r="W94" i="57"/>
  <c r="X94" i="57"/>
  <c r="Y94" i="57"/>
  <c r="Z94" i="57"/>
  <c r="AF91" i="57"/>
  <c r="AA91" i="57"/>
  <c r="AA92" i="57"/>
  <c r="AI92" i="57" s="1"/>
  <c r="N91" i="57"/>
  <c r="N92" i="57"/>
  <c r="I91" i="57"/>
  <c r="J91" i="57"/>
  <c r="I92" i="57"/>
  <c r="J92" i="57"/>
  <c r="AI87" i="57"/>
  <c r="AA35" i="57"/>
  <c r="AB35" i="57" s="1"/>
  <c r="AA36" i="57"/>
  <c r="AI36" i="57" s="1"/>
  <c r="AA37" i="57"/>
  <c r="AI37" i="57" s="1"/>
  <c r="AA38" i="57"/>
  <c r="AI38" i="57" s="1"/>
  <c r="AA39" i="57"/>
  <c r="AA40" i="57"/>
  <c r="AI40" i="57" s="1"/>
  <c r="AA41" i="57"/>
  <c r="AA45" i="57"/>
  <c r="AI45" i="57" s="1"/>
  <c r="AA46" i="57"/>
  <c r="AI46" i="57" s="1"/>
  <c r="AA47" i="57"/>
  <c r="AA48" i="57"/>
  <c r="AA49" i="57"/>
  <c r="AA50" i="57"/>
  <c r="AA51" i="57"/>
  <c r="AI51" i="57" s="1"/>
  <c r="AA55" i="57"/>
  <c r="AB55" i="57" s="1"/>
  <c r="AA56" i="57"/>
  <c r="AB56" i="57" s="1"/>
  <c r="AA57" i="57"/>
  <c r="AB57" i="57" s="1"/>
  <c r="AA58" i="57"/>
  <c r="AA59" i="57"/>
  <c r="AA62" i="57" s="1"/>
  <c r="AA60" i="57"/>
  <c r="AA61" i="57"/>
  <c r="AF61" i="57" s="1"/>
  <c r="AA65" i="57"/>
  <c r="AB65" i="57" s="1"/>
  <c r="AA66" i="57"/>
  <c r="AB66" i="57" s="1"/>
  <c r="AA67" i="57"/>
  <c r="AF67" i="57" s="1"/>
  <c r="AA68" i="57"/>
  <c r="AB68" i="57" s="1"/>
  <c r="AA69" i="57"/>
  <c r="AA72" i="57" s="1"/>
  <c r="AA70" i="57"/>
  <c r="AI70" i="57" s="1"/>
  <c r="AA71" i="57"/>
  <c r="AI71" i="57" s="1"/>
  <c r="AA75" i="57"/>
  <c r="AB75" i="57" s="1"/>
  <c r="AA76" i="57"/>
  <c r="AF76" i="57" s="1"/>
  <c r="AA77" i="57"/>
  <c r="AB77" i="57" s="1"/>
  <c r="AA78" i="57"/>
  <c r="AF78" i="57" s="1"/>
  <c r="AA79" i="57"/>
  <c r="AA80" i="57"/>
  <c r="AA81" i="57"/>
  <c r="AI81" i="57" s="1"/>
  <c r="AA83" i="57"/>
  <c r="AF83" i="57" s="1"/>
  <c r="AA85" i="57"/>
  <c r="AB85" i="57" s="1"/>
  <c r="AA86" i="57"/>
  <c r="AI86" i="57" s="1"/>
  <c r="AA87" i="57"/>
  <c r="AA93" i="57" s="1"/>
  <c r="N85" i="57"/>
  <c r="N143" i="57" s="1"/>
  <c r="N86" i="57"/>
  <c r="N87" i="57"/>
  <c r="N144" i="57" s="1"/>
  <c r="N88" i="57"/>
  <c r="N145" i="57" s="1"/>
  <c r="AH87" i="57"/>
  <c r="AE87" i="57"/>
  <c r="AB87" i="57"/>
  <c r="AH83" i="57"/>
  <c r="AH85" i="57"/>
  <c r="AE83" i="57"/>
  <c r="AE84" i="57"/>
  <c r="AE85" i="57"/>
  <c r="L85" i="57"/>
  <c r="M85" i="57"/>
  <c r="L86" i="57"/>
  <c r="M86" i="57"/>
  <c r="L87" i="57"/>
  <c r="M87" i="57"/>
  <c r="I85" i="57"/>
  <c r="J85" i="57"/>
  <c r="I86" i="57"/>
  <c r="J86" i="57"/>
  <c r="I87" i="57"/>
  <c r="J87" i="57"/>
  <c r="I88" i="57"/>
  <c r="J88" i="57"/>
  <c r="R84" i="57"/>
  <c r="V84" i="57"/>
  <c r="W84" i="57"/>
  <c r="AI83" i="57"/>
  <c r="AB83" i="57"/>
  <c r="L83" i="57"/>
  <c r="M83" i="57"/>
  <c r="N83" i="57"/>
  <c r="I83" i="57"/>
  <c r="J83" i="57"/>
  <c r="AG82" i="57"/>
  <c r="AH84" i="57" s="1"/>
  <c r="AD82" i="57"/>
  <c r="O82" i="57"/>
  <c r="O84" i="57" s="1"/>
  <c r="P82" i="57"/>
  <c r="P84" i="57" s="1"/>
  <c r="Q82" i="57"/>
  <c r="Q84" i="57" s="1"/>
  <c r="R82" i="57"/>
  <c r="S82" i="57"/>
  <c r="S84" i="57" s="1"/>
  <c r="T82" i="57"/>
  <c r="T84" i="57" s="1"/>
  <c r="U82" i="57"/>
  <c r="U84" i="57" s="1"/>
  <c r="V82" i="57"/>
  <c r="W82" i="57"/>
  <c r="X82" i="57"/>
  <c r="X84" i="57" s="1"/>
  <c r="Y82" i="57"/>
  <c r="Y84" i="57" s="1"/>
  <c r="Z82" i="57"/>
  <c r="Z84" i="57" s="1"/>
  <c r="AI78" i="57"/>
  <c r="AI79" i="57"/>
  <c r="AI80" i="57"/>
  <c r="AF75" i="57"/>
  <c r="AF80" i="57"/>
  <c r="AH75" i="57"/>
  <c r="AH76" i="57"/>
  <c r="AH77" i="57"/>
  <c r="AH78" i="57"/>
  <c r="AH79" i="57"/>
  <c r="AH80" i="57"/>
  <c r="AE75" i="57"/>
  <c r="AE76" i="57"/>
  <c r="AE77" i="57"/>
  <c r="AE78" i="57"/>
  <c r="AE79" i="57"/>
  <c r="AE80" i="57"/>
  <c r="AB76" i="57"/>
  <c r="AB79" i="57"/>
  <c r="AB80" i="57"/>
  <c r="L75" i="57"/>
  <c r="M75" i="57"/>
  <c r="N75" i="57"/>
  <c r="L76" i="57"/>
  <c r="M76" i="57"/>
  <c r="N76" i="57"/>
  <c r="L77" i="57"/>
  <c r="M77" i="57"/>
  <c r="N77" i="57"/>
  <c r="L78" i="57"/>
  <c r="M78" i="57"/>
  <c r="N78" i="57"/>
  <c r="L79" i="57"/>
  <c r="M79" i="57"/>
  <c r="N79" i="57"/>
  <c r="L80" i="57"/>
  <c r="M80" i="57"/>
  <c r="N80" i="57"/>
  <c r="L81" i="57"/>
  <c r="M81" i="57"/>
  <c r="N81" i="57"/>
  <c r="I75" i="57"/>
  <c r="J75" i="57"/>
  <c r="I76" i="57"/>
  <c r="J76" i="57"/>
  <c r="I77" i="57"/>
  <c r="J77" i="57"/>
  <c r="I78" i="57"/>
  <c r="J78" i="57"/>
  <c r="I79" i="57"/>
  <c r="J79" i="57"/>
  <c r="I80" i="57"/>
  <c r="J80" i="57"/>
  <c r="I81" i="57"/>
  <c r="J81" i="57"/>
  <c r="AG73" i="57"/>
  <c r="AH74" i="57" s="1"/>
  <c r="AD73" i="57"/>
  <c r="AE74" i="57" s="1"/>
  <c r="O73" i="57"/>
  <c r="O74" i="57" s="1"/>
  <c r="P73" i="57"/>
  <c r="P74" i="57" s="1"/>
  <c r="Q73" i="57"/>
  <c r="R73" i="57"/>
  <c r="S73" i="57"/>
  <c r="T73" i="57"/>
  <c r="T74" i="57" s="1"/>
  <c r="U73" i="57"/>
  <c r="U74" i="57" s="1"/>
  <c r="V73" i="57"/>
  <c r="V74" i="57" s="1"/>
  <c r="W73" i="57"/>
  <c r="W74" i="57" s="1"/>
  <c r="X73" i="57"/>
  <c r="Y73" i="57"/>
  <c r="Z73" i="57"/>
  <c r="Q74" i="57"/>
  <c r="R74" i="57"/>
  <c r="S74" i="57"/>
  <c r="X74" i="57"/>
  <c r="Y74" i="57"/>
  <c r="Z74" i="57"/>
  <c r="AI67" i="57"/>
  <c r="AF66" i="57"/>
  <c r="AH71" i="57"/>
  <c r="AE71" i="57"/>
  <c r="AH65" i="57"/>
  <c r="AH66" i="57"/>
  <c r="AH67" i="57"/>
  <c r="AH68" i="57"/>
  <c r="AH69" i="57"/>
  <c r="AE65" i="57"/>
  <c r="AE66" i="57"/>
  <c r="AE67" i="57"/>
  <c r="AE68" i="57"/>
  <c r="AE69" i="57"/>
  <c r="AB67" i="57"/>
  <c r="L65" i="57"/>
  <c r="M65" i="57"/>
  <c r="N65" i="57"/>
  <c r="L66" i="57"/>
  <c r="M66" i="57"/>
  <c r="N66" i="57"/>
  <c r="L67" i="57"/>
  <c r="M67" i="57"/>
  <c r="N67" i="57"/>
  <c r="L68" i="57"/>
  <c r="M68" i="57"/>
  <c r="N68" i="57"/>
  <c r="L69" i="57"/>
  <c r="M69" i="57"/>
  <c r="N69" i="57"/>
  <c r="L70" i="57"/>
  <c r="M70" i="57"/>
  <c r="N70" i="57"/>
  <c r="L71" i="57"/>
  <c r="M71" i="57"/>
  <c r="N71" i="57"/>
  <c r="L72" i="57"/>
  <c r="M72" i="57"/>
  <c r="N72" i="57"/>
  <c r="I65" i="57"/>
  <c r="J65" i="57"/>
  <c r="I66" i="57"/>
  <c r="J66" i="57"/>
  <c r="I67" i="57"/>
  <c r="J67" i="57"/>
  <c r="I68" i="57"/>
  <c r="J68" i="57"/>
  <c r="I69" i="57"/>
  <c r="J69" i="57"/>
  <c r="I70" i="57"/>
  <c r="J70" i="57"/>
  <c r="I71" i="57"/>
  <c r="J71" i="57"/>
  <c r="I72" i="57"/>
  <c r="J72" i="57"/>
  <c r="AG63" i="57"/>
  <c r="AH64" i="57" s="1"/>
  <c r="AD63" i="57"/>
  <c r="AE64" i="57" s="1"/>
  <c r="O63" i="57"/>
  <c r="O64" i="57" s="1"/>
  <c r="P63" i="57"/>
  <c r="P64" i="57" s="1"/>
  <c r="Q63" i="57"/>
  <c r="R63" i="57"/>
  <c r="R64" i="57" s="1"/>
  <c r="S63" i="57"/>
  <c r="S64" i="57" s="1"/>
  <c r="T63" i="57"/>
  <c r="T64" i="57" s="1"/>
  <c r="U63" i="57"/>
  <c r="U64" i="57" s="1"/>
  <c r="V63" i="57"/>
  <c r="V64" i="57" s="1"/>
  <c r="W63" i="57"/>
  <c r="X63" i="57"/>
  <c r="X64" i="57" s="1"/>
  <c r="Y63" i="57"/>
  <c r="Y64" i="57" s="1"/>
  <c r="Z63" i="57"/>
  <c r="Z64" i="57" s="1"/>
  <c r="Q64" i="57"/>
  <c r="W64" i="57"/>
  <c r="AI55" i="57"/>
  <c r="AI57" i="57"/>
  <c r="AI58" i="57"/>
  <c r="AI60" i="57"/>
  <c r="AF56" i="57"/>
  <c r="AF57" i="57"/>
  <c r="AF58" i="57"/>
  <c r="AF60" i="57"/>
  <c r="AH61" i="57"/>
  <c r="AE61" i="57"/>
  <c r="AB61" i="57"/>
  <c r="AH55" i="57"/>
  <c r="AH56" i="57"/>
  <c r="AH57" i="57"/>
  <c r="AH58" i="57"/>
  <c r="AH59" i="57"/>
  <c r="AE55" i="57"/>
  <c r="AE56" i="57"/>
  <c r="AE57" i="57"/>
  <c r="AE58" i="57"/>
  <c r="AE59" i="57"/>
  <c r="AB58" i="57"/>
  <c r="L55" i="57"/>
  <c r="M55" i="57"/>
  <c r="N55" i="57"/>
  <c r="L56" i="57"/>
  <c r="M56" i="57"/>
  <c r="N56" i="57"/>
  <c r="L57" i="57"/>
  <c r="M57" i="57"/>
  <c r="N57" i="57"/>
  <c r="L58" i="57"/>
  <c r="M58" i="57"/>
  <c r="N58" i="57"/>
  <c r="L59" i="57"/>
  <c r="M59" i="57"/>
  <c r="N59" i="57"/>
  <c r="L60" i="57"/>
  <c r="M60" i="57"/>
  <c r="N60" i="57"/>
  <c r="L61" i="57"/>
  <c r="M61" i="57"/>
  <c r="N61" i="57"/>
  <c r="L62" i="57"/>
  <c r="M62" i="57"/>
  <c r="N62" i="57"/>
  <c r="I55" i="57"/>
  <c r="J55" i="57"/>
  <c r="I56" i="57"/>
  <c r="J56" i="57"/>
  <c r="I57" i="57"/>
  <c r="J57" i="57"/>
  <c r="I58" i="57"/>
  <c r="J58" i="57"/>
  <c r="I59" i="57"/>
  <c r="J59" i="57"/>
  <c r="I60" i="57"/>
  <c r="J60" i="57"/>
  <c r="I61" i="57"/>
  <c r="J61" i="57"/>
  <c r="I62" i="57"/>
  <c r="J62" i="57"/>
  <c r="AG53" i="57"/>
  <c r="AH54" i="57" s="1"/>
  <c r="AD53" i="57"/>
  <c r="AE54" i="57" s="1"/>
  <c r="O53" i="57"/>
  <c r="O54" i="57" s="1"/>
  <c r="P53" i="57"/>
  <c r="P54" i="57" s="1"/>
  <c r="Q53" i="57"/>
  <c r="Q54" i="57" s="1"/>
  <c r="R53" i="57"/>
  <c r="R54" i="57" s="1"/>
  <c r="S53" i="57"/>
  <c r="T53" i="57"/>
  <c r="T54" i="57" s="1"/>
  <c r="U53" i="57"/>
  <c r="U54" i="57" s="1"/>
  <c r="V53" i="57"/>
  <c r="V54" i="57" s="1"/>
  <c r="W53" i="57"/>
  <c r="W54" i="57" s="1"/>
  <c r="X53" i="57"/>
  <c r="X54" i="57" s="1"/>
  <c r="Y53" i="57"/>
  <c r="Y54" i="57" s="1"/>
  <c r="Z53" i="57"/>
  <c r="S54" i="57"/>
  <c r="Z54" i="57"/>
  <c r="AI47" i="57"/>
  <c r="AI48" i="57"/>
  <c r="AI50" i="57"/>
  <c r="AF47" i="57"/>
  <c r="AF48" i="57"/>
  <c r="AF50" i="57"/>
  <c r="AF51" i="57"/>
  <c r="AH51" i="57"/>
  <c r="AE51" i="57"/>
  <c r="AH45" i="57"/>
  <c r="AH46" i="57"/>
  <c r="AH47" i="57"/>
  <c r="AH48" i="57"/>
  <c r="AH49" i="57"/>
  <c r="AE45" i="57"/>
  <c r="AE46" i="57"/>
  <c r="AE47" i="57"/>
  <c r="AE48" i="57"/>
  <c r="AE49" i="57"/>
  <c r="AB45" i="57"/>
  <c r="AB47" i="57"/>
  <c r="AB48" i="57"/>
  <c r="L45" i="57"/>
  <c r="M45" i="57"/>
  <c r="N45" i="57"/>
  <c r="L46" i="57"/>
  <c r="M46" i="57"/>
  <c r="N46" i="57"/>
  <c r="L47" i="57"/>
  <c r="M47" i="57"/>
  <c r="N47" i="57"/>
  <c r="L48" i="57"/>
  <c r="M48" i="57"/>
  <c r="N48" i="57"/>
  <c r="L49" i="57"/>
  <c r="M49" i="57"/>
  <c r="N49" i="57"/>
  <c r="L50" i="57"/>
  <c r="M50" i="57"/>
  <c r="N50" i="57"/>
  <c r="L51" i="57"/>
  <c r="M51" i="57"/>
  <c r="N51" i="57"/>
  <c r="L52" i="57"/>
  <c r="M52" i="57"/>
  <c r="N52" i="57"/>
  <c r="I45" i="57"/>
  <c r="J45" i="57"/>
  <c r="I46" i="57"/>
  <c r="J46" i="57"/>
  <c r="I47" i="57"/>
  <c r="J47" i="57"/>
  <c r="I48" i="57"/>
  <c r="J48" i="57"/>
  <c r="I49" i="57"/>
  <c r="J49" i="57"/>
  <c r="I50" i="57"/>
  <c r="J50" i="57"/>
  <c r="I51" i="57"/>
  <c r="J51" i="57"/>
  <c r="I52" i="57"/>
  <c r="J52" i="57"/>
  <c r="AG43" i="57"/>
  <c r="AH44" i="57" s="1"/>
  <c r="AD43" i="57"/>
  <c r="AE44" i="57" s="1"/>
  <c r="O43" i="57"/>
  <c r="O44" i="57" s="1"/>
  <c r="P43" i="57"/>
  <c r="P44" i="57" s="1"/>
  <c r="Q43" i="57"/>
  <c r="R43" i="57"/>
  <c r="R44" i="57" s="1"/>
  <c r="S43" i="57"/>
  <c r="S44" i="57" s="1"/>
  <c r="T43" i="57"/>
  <c r="U43" i="57"/>
  <c r="U44" i="57" s="1"/>
  <c r="V43" i="57"/>
  <c r="W43" i="57"/>
  <c r="W44" i="57" s="1"/>
  <c r="X43" i="57"/>
  <c r="X44" i="57" s="1"/>
  <c r="Y43" i="57"/>
  <c r="Y44" i="57" s="1"/>
  <c r="Z43" i="57"/>
  <c r="Z44" i="57" s="1"/>
  <c r="Q44" i="57"/>
  <c r="T44" i="57"/>
  <c r="V44" i="57"/>
  <c r="AI35" i="57"/>
  <c r="AI39" i="57"/>
  <c r="AF35" i="57"/>
  <c r="AF39" i="57"/>
  <c r="AH41" i="57"/>
  <c r="AE41" i="57"/>
  <c r="AH35" i="57"/>
  <c r="AH36" i="57"/>
  <c r="AH37" i="57"/>
  <c r="AH38" i="57"/>
  <c r="AH39" i="57"/>
  <c r="AE35" i="57"/>
  <c r="AE36" i="57"/>
  <c r="AE37" i="57"/>
  <c r="AE38" i="57"/>
  <c r="AE39" i="57"/>
  <c r="AB39" i="57"/>
  <c r="L35" i="57"/>
  <c r="M35" i="57"/>
  <c r="N35" i="57"/>
  <c r="L36" i="57"/>
  <c r="M36" i="57"/>
  <c r="N36" i="57"/>
  <c r="L37" i="57"/>
  <c r="M37" i="57"/>
  <c r="N37" i="57"/>
  <c r="L38" i="57"/>
  <c r="M38" i="57"/>
  <c r="N38" i="57"/>
  <c r="L39" i="57"/>
  <c r="M39" i="57"/>
  <c r="N39" i="57"/>
  <c r="L40" i="57"/>
  <c r="M40" i="57"/>
  <c r="N40" i="57"/>
  <c r="L41" i="57"/>
  <c r="M41" i="57"/>
  <c r="N41" i="57"/>
  <c r="L42" i="57"/>
  <c r="M42" i="57"/>
  <c r="N42" i="57"/>
  <c r="I35" i="57"/>
  <c r="J35" i="57"/>
  <c r="I36" i="57"/>
  <c r="J36" i="57"/>
  <c r="I37" i="57"/>
  <c r="J37" i="57"/>
  <c r="I38" i="57"/>
  <c r="J38" i="57"/>
  <c r="I39" i="57"/>
  <c r="J39" i="57"/>
  <c r="I40" i="57"/>
  <c r="J40" i="57"/>
  <c r="I41" i="57"/>
  <c r="J41" i="57"/>
  <c r="I42" i="57"/>
  <c r="J42" i="57"/>
  <c r="AG32" i="57"/>
  <c r="AD32" i="57"/>
  <c r="O32" i="57"/>
  <c r="P32" i="57"/>
  <c r="Q32" i="57"/>
  <c r="R32" i="57"/>
  <c r="S32" i="57"/>
  <c r="T32" i="57"/>
  <c r="U32" i="57"/>
  <c r="V32" i="57"/>
  <c r="W32" i="57"/>
  <c r="X32" i="57"/>
  <c r="Y32" i="57"/>
  <c r="Z32" i="57"/>
  <c r="AG31" i="57"/>
  <c r="AD31" i="57"/>
  <c r="O31" i="57"/>
  <c r="P31" i="57"/>
  <c r="Q31" i="57"/>
  <c r="R31" i="57"/>
  <c r="S31" i="57"/>
  <c r="T31" i="57"/>
  <c r="U31" i="57"/>
  <c r="V31" i="57"/>
  <c r="W31" i="57"/>
  <c r="X31" i="57"/>
  <c r="Y31" i="57"/>
  <c r="Z31" i="57"/>
  <c r="AA31" i="57"/>
  <c r="N26" i="57"/>
  <c r="N27" i="57"/>
  <c r="N28" i="57"/>
  <c r="N29" i="57"/>
  <c r="B23" i="57"/>
  <c r="AG16" i="57"/>
  <c r="AG19" i="57"/>
  <c r="AG20" i="57"/>
  <c r="AD19" i="57"/>
  <c r="AD20" i="57"/>
  <c r="G19" i="57"/>
  <c r="G20" i="57"/>
  <c r="N19" i="57"/>
  <c r="O19" i="57"/>
  <c r="P19" i="57"/>
  <c r="Q19" i="57"/>
  <c r="R19" i="57"/>
  <c r="S19" i="57"/>
  <c r="T19" i="57"/>
  <c r="U19" i="57"/>
  <c r="V19" i="57"/>
  <c r="W19" i="57"/>
  <c r="X19" i="57"/>
  <c r="Y19" i="57"/>
  <c r="Z19" i="57"/>
  <c r="N20" i="57"/>
  <c r="O20" i="57"/>
  <c r="P20" i="57"/>
  <c r="Q20" i="57"/>
  <c r="R20" i="57"/>
  <c r="S20" i="57"/>
  <c r="T20" i="57"/>
  <c r="U20" i="57"/>
  <c r="V20" i="57"/>
  <c r="W20" i="57"/>
  <c r="X20" i="57"/>
  <c r="Y20" i="57"/>
  <c r="Z20" i="57"/>
  <c r="B17" i="57"/>
  <c r="B18" i="57"/>
  <c r="B19" i="57"/>
  <c r="AA17" i="57"/>
  <c r="AA11" i="57" s="1"/>
  <c r="AA18" i="57" s="1"/>
  <c r="O16" i="57"/>
  <c r="P16" i="57"/>
  <c r="Q16" i="57"/>
  <c r="R16" i="57"/>
  <c r="S16" i="57"/>
  <c r="T16" i="57"/>
  <c r="U16" i="57"/>
  <c r="V16" i="57"/>
  <c r="W16" i="57"/>
  <c r="X16" i="57"/>
  <c r="Y16" i="57"/>
  <c r="O17" i="57"/>
  <c r="P17" i="57"/>
  <c r="Q17" i="57"/>
  <c r="R17" i="57"/>
  <c r="S17" i="57"/>
  <c r="T17" i="57"/>
  <c r="U17" i="57"/>
  <c r="V17" i="57"/>
  <c r="W17" i="57"/>
  <c r="X17" i="57"/>
  <c r="Y17" i="57"/>
  <c r="Z17" i="57"/>
  <c r="A14" i="57"/>
  <c r="AG12" i="57"/>
  <c r="AG13" i="57"/>
  <c r="AD12" i="57"/>
  <c r="AD13" i="57"/>
  <c r="B12" i="57"/>
  <c r="AA16" i="57" s="1"/>
  <c r="B13" i="57"/>
  <c r="O12" i="57"/>
  <c r="P12" i="57"/>
  <c r="Q12" i="57"/>
  <c r="R12" i="57"/>
  <c r="S12" i="57"/>
  <c r="T12" i="57"/>
  <c r="U12" i="57"/>
  <c r="V12" i="57"/>
  <c r="W12" i="57"/>
  <c r="X12" i="57"/>
  <c r="Y12" i="57"/>
  <c r="Z12" i="57"/>
  <c r="AA12" i="57"/>
  <c r="O13" i="57"/>
  <c r="P13" i="57"/>
  <c r="Q13" i="57"/>
  <c r="R13" i="57"/>
  <c r="S13" i="57"/>
  <c r="T13" i="57"/>
  <c r="U13" i="57"/>
  <c r="V13" i="57"/>
  <c r="W13" i="57"/>
  <c r="X13" i="57"/>
  <c r="Y13" i="57"/>
  <c r="Z13" i="57"/>
  <c r="AA13" i="57"/>
  <c r="C10" i="57"/>
  <c r="D10" i="57"/>
  <c r="C9" i="57"/>
  <c r="C1" i="57"/>
  <c r="C2" i="57"/>
  <c r="C3" i="57"/>
  <c r="C4" i="57"/>
  <c r="C5" i="57"/>
  <c r="C6" i="57"/>
  <c r="C7" i="57"/>
  <c r="C8" i="57"/>
  <c r="E6" i="57"/>
  <c r="E4" i="57"/>
  <c r="B3" i="57"/>
  <c r="B120" i="53"/>
  <c r="B114" i="53"/>
  <c r="B115" i="53"/>
  <c r="B116" i="53"/>
  <c r="A111" i="53"/>
  <c r="AG90" i="53"/>
  <c r="AG91" i="53"/>
  <c r="AD90" i="53"/>
  <c r="N90" i="53"/>
  <c r="O90" i="53"/>
  <c r="P90" i="53"/>
  <c r="Q90" i="53"/>
  <c r="R90" i="53"/>
  <c r="S90" i="53"/>
  <c r="T90" i="53"/>
  <c r="U90" i="53"/>
  <c r="V90" i="53"/>
  <c r="W90" i="53"/>
  <c r="X90" i="53"/>
  <c r="Y90" i="53"/>
  <c r="Z90" i="53"/>
  <c r="B88" i="53"/>
  <c r="B89" i="53"/>
  <c r="N87" i="53"/>
  <c r="N88" i="53"/>
  <c r="N91" i="53" s="1"/>
  <c r="AH87" i="53"/>
  <c r="AH88" i="53"/>
  <c r="AE87" i="53"/>
  <c r="AE88" i="53"/>
  <c r="I87" i="53"/>
  <c r="AA87" i="53" s="1"/>
  <c r="J87" i="53"/>
  <c r="I88" i="53"/>
  <c r="AA88" i="53" s="1"/>
  <c r="J88" i="53"/>
  <c r="N82" i="53"/>
  <c r="N83" i="53"/>
  <c r="N84" i="53"/>
  <c r="N85" i="53"/>
  <c r="I85" i="53"/>
  <c r="AA85" i="53" s="1"/>
  <c r="J85" i="53"/>
  <c r="B83" i="53"/>
  <c r="B84" i="53"/>
  <c r="B85" i="53"/>
  <c r="AH83" i="53"/>
  <c r="AH84" i="53"/>
  <c r="AH85" i="53"/>
  <c r="AE83" i="53"/>
  <c r="AE84" i="53"/>
  <c r="AE85" i="53"/>
  <c r="AB85" i="53"/>
  <c r="AM85" i="53" s="1"/>
  <c r="I83" i="53"/>
  <c r="J83" i="53"/>
  <c r="L83" i="53"/>
  <c r="M83" i="53"/>
  <c r="I84" i="53"/>
  <c r="K84" i="53" s="1"/>
  <c r="J84" i="53"/>
  <c r="L84" i="53"/>
  <c r="M84" i="53"/>
  <c r="I82" i="53"/>
  <c r="J82" i="53"/>
  <c r="A80" i="53"/>
  <c r="AH76" i="53"/>
  <c r="AH77" i="53"/>
  <c r="AH78" i="53"/>
  <c r="AH79" i="53"/>
  <c r="AH80" i="53"/>
  <c r="AE76" i="53"/>
  <c r="AE77" i="53"/>
  <c r="AE78" i="53"/>
  <c r="AE79" i="53"/>
  <c r="AE80" i="53"/>
  <c r="AA77" i="53"/>
  <c r="AA79" i="53"/>
  <c r="AB79" i="53" s="1"/>
  <c r="AM79" i="53" s="1"/>
  <c r="I76" i="53"/>
  <c r="J76" i="53"/>
  <c r="L76" i="53"/>
  <c r="M76" i="53"/>
  <c r="N76" i="53"/>
  <c r="I77" i="53"/>
  <c r="J77" i="53"/>
  <c r="K77" i="53"/>
  <c r="L77" i="53"/>
  <c r="M77" i="53"/>
  <c r="N77" i="53"/>
  <c r="I78" i="53"/>
  <c r="J78" i="53"/>
  <c r="L78" i="53"/>
  <c r="M78" i="53"/>
  <c r="N78" i="53"/>
  <c r="I79" i="53"/>
  <c r="K79" i="53" s="1"/>
  <c r="J79" i="53"/>
  <c r="L79" i="53"/>
  <c r="M79" i="53"/>
  <c r="N79" i="53"/>
  <c r="I80" i="53"/>
  <c r="J80" i="53"/>
  <c r="L80" i="53"/>
  <c r="M80" i="53"/>
  <c r="N80" i="53"/>
  <c r="N74" i="53"/>
  <c r="N75" i="53"/>
  <c r="I74" i="53"/>
  <c r="J74" i="53"/>
  <c r="I75" i="53"/>
  <c r="J75" i="53"/>
  <c r="AD72" i="53"/>
  <c r="AE72" i="53" s="1"/>
  <c r="AG72" i="53"/>
  <c r="AH72" i="53"/>
  <c r="N72" i="53"/>
  <c r="O72" i="53"/>
  <c r="O91" i="53" s="1"/>
  <c r="P72" i="53"/>
  <c r="P91" i="53" s="1"/>
  <c r="Q72" i="53"/>
  <c r="Q91" i="53" s="1"/>
  <c r="R72" i="53"/>
  <c r="R91" i="53" s="1"/>
  <c r="S72" i="53"/>
  <c r="S91" i="53" s="1"/>
  <c r="T72" i="53"/>
  <c r="T91" i="53" s="1"/>
  <c r="U72" i="53"/>
  <c r="U91" i="53" s="1"/>
  <c r="V72" i="53"/>
  <c r="V91" i="53" s="1"/>
  <c r="W72" i="53"/>
  <c r="W91" i="53" s="1"/>
  <c r="X72" i="53"/>
  <c r="X91" i="53" s="1"/>
  <c r="Y72" i="53"/>
  <c r="Y91" i="53" s="1"/>
  <c r="Z72" i="53"/>
  <c r="Z91" i="53" s="1"/>
  <c r="AH71" i="53"/>
  <c r="AI71" i="53"/>
  <c r="AB62" i="53"/>
  <c r="AM62" i="53" s="1"/>
  <c r="AB63" i="53"/>
  <c r="AB64" i="53"/>
  <c r="AM64" i="53" s="1"/>
  <c r="AB65" i="53"/>
  <c r="AM65" i="53" s="1"/>
  <c r="AB66" i="53"/>
  <c r="AB67" i="53"/>
  <c r="AB68" i="53"/>
  <c r="AB69" i="53"/>
  <c r="AB70" i="53"/>
  <c r="AB71" i="53"/>
  <c r="N60" i="53"/>
  <c r="N61" i="53"/>
  <c r="N62" i="53"/>
  <c r="N63" i="53"/>
  <c r="N64" i="53"/>
  <c r="N65" i="53"/>
  <c r="N66" i="53"/>
  <c r="N67" i="53"/>
  <c r="N68" i="53"/>
  <c r="N69" i="53"/>
  <c r="N70" i="53"/>
  <c r="N71" i="53"/>
  <c r="I71" i="53"/>
  <c r="J71" i="53"/>
  <c r="K71" i="53"/>
  <c r="I72" i="53"/>
  <c r="J72" i="53"/>
  <c r="K72" i="53"/>
  <c r="AH62" i="53"/>
  <c r="AH63" i="53"/>
  <c r="AN63" i="53" s="1"/>
  <c r="AH64" i="53"/>
  <c r="AI64" i="53"/>
  <c r="AH65" i="53"/>
  <c r="AH66" i="53"/>
  <c r="AH67" i="53"/>
  <c r="AH68" i="53"/>
  <c r="AN68" i="53"/>
  <c r="AH69" i="53"/>
  <c r="AN69" i="53"/>
  <c r="AH70" i="53"/>
  <c r="AE62" i="53"/>
  <c r="AE63" i="53"/>
  <c r="AM63" i="53" s="1"/>
  <c r="AE64" i="53"/>
  <c r="AE65" i="53"/>
  <c r="AE66" i="53"/>
  <c r="AE67" i="53"/>
  <c r="AE68" i="53"/>
  <c r="AM68" i="53" s="1"/>
  <c r="AE69" i="53"/>
  <c r="AM69" i="53" s="1"/>
  <c r="AE70" i="53"/>
  <c r="AE71" i="53"/>
  <c r="AF71" i="53"/>
  <c r="I62" i="53"/>
  <c r="J62" i="53"/>
  <c r="L62" i="53"/>
  <c r="M62" i="53"/>
  <c r="I63" i="53"/>
  <c r="K63" i="53" s="1"/>
  <c r="J63" i="53"/>
  <c r="L63" i="53"/>
  <c r="M63" i="53"/>
  <c r="I64" i="53"/>
  <c r="AA64" i="53" s="1"/>
  <c r="AF64" i="53" s="1"/>
  <c r="J64" i="53"/>
  <c r="L64" i="53"/>
  <c r="M64" i="53"/>
  <c r="I65" i="53"/>
  <c r="AA65" i="53" s="1"/>
  <c r="AI65" i="53" s="1"/>
  <c r="J65" i="53"/>
  <c r="L65" i="53"/>
  <c r="M65" i="53"/>
  <c r="I66" i="53"/>
  <c r="K66" i="53" s="1"/>
  <c r="J66" i="53"/>
  <c r="L66" i="53"/>
  <c r="M66" i="53"/>
  <c r="I67" i="53"/>
  <c r="AA67" i="53" s="1"/>
  <c r="J67" i="53"/>
  <c r="L67" i="53"/>
  <c r="M67" i="53"/>
  <c r="I68" i="53"/>
  <c r="K68" i="53" s="1"/>
  <c r="J68" i="53"/>
  <c r="L68" i="53"/>
  <c r="M68" i="53"/>
  <c r="I69" i="53"/>
  <c r="AA69" i="53" s="1"/>
  <c r="J69" i="53"/>
  <c r="L69" i="53"/>
  <c r="M69" i="53"/>
  <c r="I70" i="53"/>
  <c r="K70" i="53" s="1"/>
  <c r="J70" i="53"/>
  <c r="L70" i="53"/>
  <c r="M70" i="53"/>
  <c r="I60" i="53"/>
  <c r="J60" i="53"/>
  <c r="I61" i="53"/>
  <c r="J61" i="53"/>
  <c r="B55" i="53"/>
  <c r="B56" i="53"/>
  <c r="B50" i="53"/>
  <c r="B51" i="53"/>
  <c r="B52" i="53"/>
  <c r="A47" i="53"/>
  <c r="AH35" i="53"/>
  <c r="AL35" i="53"/>
  <c r="AH36" i="53"/>
  <c r="AH37" i="53"/>
  <c r="AH38" i="53"/>
  <c r="AH39" i="53"/>
  <c r="AH40" i="53"/>
  <c r="AH41" i="53"/>
  <c r="AH42" i="53"/>
  <c r="AH43" i="53"/>
  <c r="AH44" i="53"/>
  <c r="AH45" i="53"/>
  <c r="AH46" i="53"/>
  <c r="AH47" i="53"/>
  <c r="AH48" i="53"/>
  <c r="AH49" i="53"/>
  <c r="AH50" i="53"/>
  <c r="AH51" i="53"/>
  <c r="AL51" i="53"/>
  <c r="AH52" i="53"/>
  <c r="AL52" i="53"/>
  <c r="AH53" i="53"/>
  <c r="AH54" i="53"/>
  <c r="AH55" i="53"/>
  <c r="AH56" i="53"/>
  <c r="AH57" i="53"/>
  <c r="AH58" i="53"/>
  <c r="AE35" i="53"/>
  <c r="AE36" i="53"/>
  <c r="AE37" i="53"/>
  <c r="AE38" i="53"/>
  <c r="AE39" i="53"/>
  <c r="AE40" i="53"/>
  <c r="AE41" i="53"/>
  <c r="AE42" i="53"/>
  <c r="AE43" i="53"/>
  <c r="AE44" i="53"/>
  <c r="AE45" i="53"/>
  <c r="AE46" i="53"/>
  <c r="AE47" i="53"/>
  <c r="AE48" i="53"/>
  <c r="AE49" i="53"/>
  <c r="AE50" i="53"/>
  <c r="AE51" i="53"/>
  <c r="AE52" i="53"/>
  <c r="AE53" i="53"/>
  <c r="AE54" i="53"/>
  <c r="AE55" i="53"/>
  <c r="AE56" i="53"/>
  <c r="AE57" i="53"/>
  <c r="AE58" i="53"/>
  <c r="AA42" i="53"/>
  <c r="AF42" i="53" s="1"/>
  <c r="AA58" i="53"/>
  <c r="AF58" i="53" s="1"/>
  <c r="I35" i="53"/>
  <c r="AA35" i="53" s="1"/>
  <c r="J35" i="53"/>
  <c r="L35" i="53"/>
  <c r="M35" i="53"/>
  <c r="N35" i="53"/>
  <c r="I36" i="53"/>
  <c r="AA36" i="53" s="1"/>
  <c r="J36" i="53"/>
  <c r="L36" i="53"/>
  <c r="M36" i="53"/>
  <c r="N36" i="53"/>
  <c r="I37" i="53"/>
  <c r="AA37" i="53" s="1"/>
  <c r="J37" i="53"/>
  <c r="L37" i="53"/>
  <c r="M37" i="53"/>
  <c r="N37" i="53"/>
  <c r="I38" i="53"/>
  <c r="J38" i="53"/>
  <c r="L38" i="53"/>
  <c r="M38" i="53"/>
  <c r="N38" i="53"/>
  <c r="I39" i="53"/>
  <c r="AA39" i="53" s="1"/>
  <c r="J39" i="53"/>
  <c r="L39" i="53"/>
  <c r="M39" i="53"/>
  <c r="N39" i="53"/>
  <c r="I40" i="53"/>
  <c r="AA40" i="53" s="1"/>
  <c r="J40" i="53"/>
  <c r="K40" i="53"/>
  <c r="L40" i="53"/>
  <c r="M40" i="53"/>
  <c r="N40" i="53"/>
  <c r="I41" i="53"/>
  <c r="AA41" i="53" s="1"/>
  <c r="J41" i="53"/>
  <c r="L41" i="53"/>
  <c r="M41" i="53"/>
  <c r="N41" i="53"/>
  <c r="I42" i="53"/>
  <c r="J42" i="53"/>
  <c r="K42" i="53"/>
  <c r="L42" i="53"/>
  <c r="M42" i="53"/>
  <c r="N42" i="53"/>
  <c r="I43" i="53"/>
  <c r="AA43" i="53" s="1"/>
  <c r="J43" i="53"/>
  <c r="L43" i="53"/>
  <c r="M43" i="53"/>
  <c r="N43" i="53"/>
  <c r="I44" i="53"/>
  <c r="AA44" i="53" s="1"/>
  <c r="J44" i="53"/>
  <c r="K44" i="53"/>
  <c r="L44" i="53"/>
  <c r="M44" i="53"/>
  <c r="N44" i="53"/>
  <c r="I45" i="53"/>
  <c r="AA45" i="53" s="1"/>
  <c r="J45" i="53"/>
  <c r="L45" i="53"/>
  <c r="M45" i="53"/>
  <c r="N45" i="53"/>
  <c r="I46" i="53"/>
  <c r="AA46" i="53" s="1"/>
  <c r="AI46" i="53" s="1"/>
  <c r="J46" i="53"/>
  <c r="L46" i="53"/>
  <c r="M46" i="53"/>
  <c r="N46" i="53"/>
  <c r="I47" i="53"/>
  <c r="AA47" i="53" s="1"/>
  <c r="J47" i="53"/>
  <c r="L47" i="53"/>
  <c r="M47" i="53"/>
  <c r="N47" i="53"/>
  <c r="I48" i="53"/>
  <c r="AA48" i="53" s="1"/>
  <c r="J48" i="53"/>
  <c r="L48" i="53"/>
  <c r="M48" i="53"/>
  <c r="N48" i="53"/>
  <c r="I49" i="53"/>
  <c r="AA49" i="53" s="1"/>
  <c r="J49" i="53"/>
  <c r="L49" i="53"/>
  <c r="M49" i="53"/>
  <c r="N49" i="53"/>
  <c r="I50" i="53"/>
  <c r="K50" i="53" s="1"/>
  <c r="J50" i="53"/>
  <c r="L50" i="53"/>
  <c r="M50" i="53"/>
  <c r="N50" i="53"/>
  <c r="I51" i="53"/>
  <c r="AA51" i="53" s="1"/>
  <c r="J51" i="53"/>
  <c r="L51" i="53"/>
  <c r="M51" i="53"/>
  <c r="N51" i="53"/>
  <c r="I52" i="53"/>
  <c r="AA52" i="53" s="1"/>
  <c r="J52" i="53"/>
  <c r="L52" i="53"/>
  <c r="M52" i="53"/>
  <c r="N52" i="53"/>
  <c r="I53" i="53"/>
  <c r="AA53" i="53" s="1"/>
  <c r="J53" i="53"/>
  <c r="L53" i="53"/>
  <c r="M53" i="53"/>
  <c r="N53" i="53"/>
  <c r="I54" i="53"/>
  <c r="J54" i="53"/>
  <c r="L54" i="53"/>
  <c r="M54" i="53"/>
  <c r="N54" i="53"/>
  <c r="I55" i="53"/>
  <c r="AA55" i="53" s="1"/>
  <c r="J55" i="53"/>
  <c r="L55" i="53"/>
  <c r="M55" i="53"/>
  <c r="N55" i="53"/>
  <c r="I56" i="53"/>
  <c r="AA56" i="53" s="1"/>
  <c r="J56" i="53"/>
  <c r="K56" i="53"/>
  <c r="L56" i="53"/>
  <c r="M56" i="53"/>
  <c r="N56" i="53"/>
  <c r="I57" i="53"/>
  <c r="AA57" i="53" s="1"/>
  <c r="J57" i="53"/>
  <c r="L57" i="53"/>
  <c r="M57" i="53"/>
  <c r="N57" i="53"/>
  <c r="I58" i="53"/>
  <c r="J58" i="53"/>
  <c r="K58" i="53"/>
  <c r="L58" i="53"/>
  <c r="M58" i="53"/>
  <c r="N58" i="53"/>
  <c r="N33" i="53"/>
  <c r="N34" i="53"/>
  <c r="I33" i="53"/>
  <c r="J33" i="53"/>
  <c r="I34" i="53"/>
  <c r="J34" i="53"/>
  <c r="AK32" i="53"/>
  <c r="AL32" i="53"/>
  <c r="AG32" i="53"/>
  <c r="AD32" i="53"/>
  <c r="O32" i="53"/>
  <c r="P32" i="53"/>
  <c r="Q32" i="53"/>
  <c r="R32" i="53"/>
  <c r="S32" i="53"/>
  <c r="T32" i="53"/>
  <c r="U32" i="53"/>
  <c r="V32" i="53"/>
  <c r="W32" i="53"/>
  <c r="X32" i="53"/>
  <c r="Y32" i="53"/>
  <c r="Z32" i="53"/>
  <c r="AJ32" i="53" s="1"/>
  <c r="AJ31" i="53"/>
  <c r="AK31" i="53"/>
  <c r="AM31" i="53" s="1"/>
  <c r="AL31" i="53"/>
  <c r="AN31" i="53"/>
  <c r="AG31" i="53"/>
  <c r="AD31" i="53"/>
  <c r="O31" i="53"/>
  <c r="P31" i="53"/>
  <c r="Q31" i="53"/>
  <c r="R31" i="53"/>
  <c r="S31" i="53"/>
  <c r="T31" i="53"/>
  <c r="U31" i="53"/>
  <c r="V31" i="53"/>
  <c r="W31" i="53"/>
  <c r="X31" i="53"/>
  <c r="Y31" i="53"/>
  <c r="Z31" i="53"/>
  <c r="AA31" i="53"/>
  <c r="N26" i="53"/>
  <c r="N27" i="53"/>
  <c r="N28" i="53"/>
  <c r="N29" i="53"/>
  <c r="B22" i="53"/>
  <c r="B23" i="53"/>
  <c r="AG16" i="53"/>
  <c r="AG19" i="53"/>
  <c r="AG20" i="53"/>
  <c r="AL42" i="53" s="1"/>
  <c r="AD19" i="53"/>
  <c r="AD20" i="53"/>
  <c r="G19" i="53"/>
  <c r="G20" i="53"/>
  <c r="N19" i="53"/>
  <c r="O19" i="53"/>
  <c r="P19" i="53"/>
  <c r="Q19" i="53"/>
  <c r="R19" i="53"/>
  <c r="S19" i="53"/>
  <c r="T19" i="53"/>
  <c r="U19" i="53"/>
  <c r="V19" i="53"/>
  <c r="W19" i="53"/>
  <c r="X19" i="53"/>
  <c r="Y19" i="53"/>
  <c r="Z19" i="53"/>
  <c r="N20" i="53"/>
  <c r="O20" i="53"/>
  <c r="P20" i="53"/>
  <c r="Q20" i="53"/>
  <c r="R20" i="53"/>
  <c r="S20" i="53"/>
  <c r="T20" i="53"/>
  <c r="U20" i="53"/>
  <c r="V20" i="53"/>
  <c r="W20" i="53"/>
  <c r="X20" i="53"/>
  <c r="Y20" i="53"/>
  <c r="Z20" i="53"/>
  <c r="B17" i="53"/>
  <c r="B18" i="53"/>
  <c r="B19" i="53"/>
  <c r="O16" i="53"/>
  <c r="P16" i="53"/>
  <c r="Q16" i="53"/>
  <c r="R16" i="53"/>
  <c r="S16" i="53"/>
  <c r="T16" i="53"/>
  <c r="U16" i="53"/>
  <c r="V16" i="53"/>
  <c r="W16" i="53"/>
  <c r="X16" i="53"/>
  <c r="Y16" i="53"/>
  <c r="Z16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 s="1"/>
  <c r="AA11" i="53" s="1"/>
  <c r="A14" i="53"/>
  <c r="AG12" i="53"/>
  <c r="AG13" i="53"/>
  <c r="AD12" i="53"/>
  <c r="AD13" i="53"/>
  <c r="B12" i="53"/>
  <c r="B13" i="53"/>
  <c r="O12" i="53"/>
  <c r="P12" i="53"/>
  <c r="Q12" i="53"/>
  <c r="R12" i="53"/>
  <c r="S12" i="53"/>
  <c r="T12" i="53"/>
  <c r="U12" i="53"/>
  <c r="V12" i="53"/>
  <c r="W12" i="53"/>
  <c r="X12" i="53"/>
  <c r="Y12" i="53"/>
  <c r="Z12" i="53"/>
  <c r="AA12" i="53"/>
  <c r="O13" i="53"/>
  <c r="P13" i="53"/>
  <c r="Q13" i="53"/>
  <c r="R13" i="53"/>
  <c r="S13" i="53"/>
  <c r="T13" i="53"/>
  <c r="U13" i="53"/>
  <c r="V13" i="53"/>
  <c r="W13" i="53"/>
  <c r="X13" i="53"/>
  <c r="Y13" i="53"/>
  <c r="Z13" i="53"/>
  <c r="AA13" i="53"/>
  <c r="C10" i="53"/>
  <c r="D10" i="53"/>
  <c r="C9" i="53"/>
  <c r="C1" i="53"/>
  <c r="C2" i="53"/>
  <c r="C3" i="53"/>
  <c r="C4" i="53"/>
  <c r="C5" i="53"/>
  <c r="C6" i="53"/>
  <c r="C7" i="53"/>
  <c r="C8" i="53"/>
  <c r="E6" i="53"/>
  <c r="B29" i="53" s="1"/>
  <c r="E4" i="53"/>
  <c r="B3" i="53"/>
  <c r="H2" i="53" s="1"/>
  <c r="N1" i="53"/>
  <c r="N1" i="57" s="1"/>
  <c r="AG143" i="56"/>
  <c r="AG144" i="56"/>
  <c r="AG145" i="56"/>
  <c r="AG146" i="56"/>
  <c r="AD143" i="56"/>
  <c r="AD144" i="56"/>
  <c r="AD145" i="56"/>
  <c r="AD146" i="56"/>
  <c r="O143" i="56"/>
  <c r="P143" i="56"/>
  <c r="Q143" i="56"/>
  <c r="R143" i="56"/>
  <c r="S143" i="56"/>
  <c r="T143" i="56"/>
  <c r="U143" i="56"/>
  <c r="V143" i="56"/>
  <c r="W143" i="56"/>
  <c r="X143" i="56"/>
  <c r="Y143" i="56"/>
  <c r="Z143" i="56"/>
  <c r="O144" i="56"/>
  <c r="P144" i="56"/>
  <c r="Q144" i="56"/>
  <c r="R144" i="56"/>
  <c r="S144" i="56"/>
  <c r="T144" i="56"/>
  <c r="U144" i="56"/>
  <c r="V144" i="56"/>
  <c r="W144" i="56"/>
  <c r="X144" i="56"/>
  <c r="Y144" i="56"/>
  <c r="Z144" i="56"/>
  <c r="O145" i="56"/>
  <c r="P145" i="56"/>
  <c r="Q145" i="56"/>
  <c r="R145" i="56"/>
  <c r="S145" i="56"/>
  <c r="T145" i="56"/>
  <c r="U145" i="56"/>
  <c r="V145" i="56"/>
  <c r="W145" i="56"/>
  <c r="X145" i="56"/>
  <c r="Y145" i="56"/>
  <c r="Z145" i="56"/>
  <c r="O146" i="56"/>
  <c r="P146" i="56"/>
  <c r="Q146" i="56"/>
  <c r="R146" i="56"/>
  <c r="S146" i="56"/>
  <c r="T146" i="56"/>
  <c r="U146" i="56"/>
  <c r="V146" i="56"/>
  <c r="W146" i="56"/>
  <c r="X146" i="56"/>
  <c r="Y146" i="56"/>
  <c r="Z146" i="56"/>
  <c r="AI131" i="56"/>
  <c r="AI133" i="56"/>
  <c r="AI135" i="56"/>
  <c r="AI137" i="56"/>
  <c r="AI139" i="56"/>
  <c r="AG141" i="56"/>
  <c r="AD141" i="56"/>
  <c r="O141" i="56"/>
  <c r="P141" i="56"/>
  <c r="Q141" i="56"/>
  <c r="R141" i="56"/>
  <c r="S141" i="56"/>
  <c r="T141" i="56"/>
  <c r="U141" i="56"/>
  <c r="V141" i="56"/>
  <c r="W141" i="56"/>
  <c r="X141" i="56"/>
  <c r="Y141" i="56"/>
  <c r="Z141" i="56"/>
  <c r="AH140" i="56"/>
  <c r="AE140" i="56"/>
  <c r="AA140" i="56"/>
  <c r="AF140" i="56" s="1"/>
  <c r="AB140" i="56"/>
  <c r="AF131" i="56"/>
  <c r="AF133" i="56"/>
  <c r="AF135" i="56"/>
  <c r="AF137" i="56"/>
  <c r="AF139" i="56"/>
  <c r="AH138" i="56"/>
  <c r="AE138" i="56"/>
  <c r="AA138" i="56"/>
  <c r="AF138" i="56" s="1"/>
  <c r="AB138" i="56"/>
  <c r="AH136" i="56"/>
  <c r="AE136" i="56"/>
  <c r="AA136" i="56"/>
  <c r="AI136" i="56" s="1"/>
  <c r="AB136" i="56"/>
  <c r="AH134" i="56"/>
  <c r="AE134" i="56"/>
  <c r="AA134" i="56"/>
  <c r="AI134" i="56" s="1"/>
  <c r="AB134" i="56"/>
  <c r="AH132" i="56"/>
  <c r="AE132" i="56"/>
  <c r="AA132" i="56"/>
  <c r="AI132" i="56" s="1"/>
  <c r="AB132" i="56"/>
  <c r="AH130" i="56"/>
  <c r="AE130" i="56"/>
  <c r="AA130" i="56"/>
  <c r="AF130" i="56" s="1"/>
  <c r="AB130" i="56"/>
  <c r="L130" i="56"/>
  <c r="M130" i="56"/>
  <c r="N130" i="56"/>
  <c r="L131" i="56"/>
  <c r="M131" i="56"/>
  <c r="N131" i="56"/>
  <c r="L132" i="56"/>
  <c r="M132" i="56"/>
  <c r="N132" i="56"/>
  <c r="L133" i="56"/>
  <c r="M133" i="56"/>
  <c r="N133" i="56"/>
  <c r="L134" i="56"/>
  <c r="M134" i="56"/>
  <c r="N134" i="56"/>
  <c r="L135" i="56"/>
  <c r="M135" i="56"/>
  <c r="N135" i="56"/>
  <c r="L136" i="56"/>
  <c r="M136" i="56"/>
  <c r="N136" i="56"/>
  <c r="L137" i="56"/>
  <c r="M137" i="56"/>
  <c r="N137" i="56"/>
  <c r="L138" i="56"/>
  <c r="M138" i="56"/>
  <c r="N138" i="56"/>
  <c r="L139" i="56"/>
  <c r="M139" i="56"/>
  <c r="N139" i="56"/>
  <c r="L140" i="56"/>
  <c r="M140" i="56"/>
  <c r="N140" i="56"/>
  <c r="N129" i="56"/>
  <c r="AG121" i="56"/>
  <c r="AH121" i="56" s="1"/>
  <c r="AG122" i="56"/>
  <c r="AH122" i="56" s="1"/>
  <c r="AG123" i="56"/>
  <c r="AG124" i="56"/>
  <c r="AH124" i="56" s="1"/>
  <c r="AG125" i="56"/>
  <c r="AH125" i="56" s="1"/>
  <c r="AD121" i="56"/>
  <c r="AD122" i="56"/>
  <c r="AD123" i="56"/>
  <c r="AE123" i="56" s="1"/>
  <c r="AD124" i="56"/>
  <c r="AE124" i="56" s="1"/>
  <c r="AD125" i="56"/>
  <c r="AH123" i="56"/>
  <c r="AE121" i="56"/>
  <c r="AE125" i="56"/>
  <c r="L121" i="56"/>
  <c r="M121" i="56"/>
  <c r="N121" i="56"/>
  <c r="O121" i="56"/>
  <c r="P121" i="56"/>
  <c r="Q121" i="56"/>
  <c r="R121" i="56"/>
  <c r="S121" i="56"/>
  <c r="T121" i="56"/>
  <c r="U121" i="56"/>
  <c r="V121" i="56"/>
  <c r="W121" i="56"/>
  <c r="X121" i="56"/>
  <c r="X126" i="56" s="1"/>
  <c r="X127" i="56" s="1"/>
  <c r="Y121" i="56"/>
  <c r="Z121" i="56"/>
  <c r="L122" i="56"/>
  <c r="M122" i="56"/>
  <c r="N122" i="56"/>
  <c r="O122" i="56"/>
  <c r="P122" i="56"/>
  <c r="Q122" i="56"/>
  <c r="R122" i="56"/>
  <c r="S122" i="56"/>
  <c r="T122" i="56"/>
  <c r="T126" i="56" s="1"/>
  <c r="T127" i="56" s="1"/>
  <c r="U122" i="56"/>
  <c r="V122" i="56"/>
  <c r="W122" i="56"/>
  <c r="X122" i="56"/>
  <c r="Y122" i="56"/>
  <c r="Z122" i="56"/>
  <c r="L123" i="56"/>
  <c r="M123" i="56"/>
  <c r="N123" i="56"/>
  <c r="O123" i="56"/>
  <c r="AA123" i="56" s="1"/>
  <c r="AI123" i="56" s="1"/>
  <c r="P123" i="56"/>
  <c r="Q123" i="56"/>
  <c r="R123" i="56"/>
  <c r="S123" i="56"/>
  <c r="T123" i="56"/>
  <c r="U123" i="56"/>
  <c r="V123" i="56"/>
  <c r="W123" i="56"/>
  <c r="X123" i="56"/>
  <c r="Y123" i="56"/>
  <c r="Z123" i="56"/>
  <c r="L124" i="56"/>
  <c r="M124" i="56"/>
  <c r="N124" i="56"/>
  <c r="O124" i="56"/>
  <c r="P124" i="56"/>
  <c r="Q124" i="56"/>
  <c r="R124" i="56"/>
  <c r="S124" i="56"/>
  <c r="T124" i="56"/>
  <c r="U124" i="56"/>
  <c r="V124" i="56"/>
  <c r="W124" i="56"/>
  <c r="X124" i="56"/>
  <c r="Y124" i="56"/>
  <c r="Z124" i="56"/>
  <c r="L125" i="56"/>
  <c r="M125" i="56"/>
  <c r="N125" i="56"/>
  <c r="O125" i="56"/>
  <c r="P125" i="56"/>
  <c r="Q125" i="56"/>
  <c r="R125" i="56"/>
  <c r="S125" i="56"/>
  <c r="T125" i="56"/>
  <c r="U125" i="56"/>
  <c r="V125" i="56"/>
  <c r="W125" i="56"/>
  <c r="X125" i="56"/>
  <c r="Y125" i="56"/>
  <c r="Z125" i="56"/>
  <c r="L126" i="56"/>
  <c r="M126" i="56"/>
  <c r="N126" i="56"/>
  <c r="P126" i="56"/>
  <c r="P127" i="56" s="1"/>
  <c r="AH114" i="56"/>
  <c r="AH115" i="56"/>
  <c r="AI115" i="56"/>
  <c r="AH116" i="56"/>
  <c r="AH117" i="56"/>
  <c r="AH118" i="56"/>
  <c r="AH119" i="56"/>
  <c r="AI119" i="56"/>
  <c r="AE114" i="56"/>
  <c r="AE115" i="56"/>
  <c r="AF115" i="56"/>
  <c r="AE116" i="56"/>
  <c r="AE117" i="56"/>
  <c r="AE118" i="56"/>
  <c r="AE119" i="56"/>
  <c r="AA114" i="56"/>
  <c r="AI114" i="56" s="1"/>
  <c r="AA115" i="56"/>
  <c r="AB115" i="56"/>
  <c r="AA116" i="56"/>
  <c r="AA117" i="56"/>
  <c r="AA118" i="56"/>
  <c r="AI118" i="56" s="1"/>
  <c r="AA119" i="56"/>
  <c r="AF119" i="56" s="1"/>
  <c r="AB119" i="56"/>
  <c r="L114" i="56"/>
  <c r="M114" i="56"/>
  <c r="N114" i="56"/>
  <c r="L115" i="56"/>
  <c r="M115" i="56"/>
  <c r="N115" i="56"/>
  <c r="L116" i="56"/>
  <c r="M116" i="56"/>
  <c r="N116" i="56"/>
  <c r="L117" i="56"/>
  <c r="M117" i="56"/>
  <c r="N117" i="56"/>
  <c r="L118" i="56"/>
  <c r="M118" i="56"/>
  <c r="N118" i="56"/>
  <c r="L119" i="56"/>
  <c r="M119" i="56"/>
  <c r="N119" i="56"/>
  <c r="AH106" i="56"/>
  <c r="AH107" i="56"/>
  <c r="AH108" i="56"/>
  <c r="AI108" i="56"/>
  <c r="AH109" i="56"/>
  <c r="AI109" i="56"/>
  <c r="AH110" i="56"/>
  <c r="AH111" i="56"/>
  <c r="AE106" i="56"/>
  <c r="AE107" i="56"/>
  <c r="AE108" i="56"/>
  <c r="AE109" i="56"/>
  <c r="AE110" i="56"/>
  <c r="AE111" i="56"/>
  <c r="AA106" i="56"/>
  <c r="AA107" i="56"/>
  <c r="AI107" i="56" s="1"/>
  <c r="AA108" i="56"/>
  <c r="AF108" i="56" s="1"/>
  <c r="AB108" i="56"/>
  <c r="AA109" i="56"/>
  <c r="AF109" i="56" s="1"/>
  <c r="AB109" i="56"/>
  <c r="AA110" i="56"/>
  <c r="AI110" i="56" s="1"/>
  <c r="AA111" i="56"/>
  <c r="AI111" i="56" s="1"/>
  <c r="L106" i="56"/>
  <c r="M106" i="56"/>
  <c r="N106" i="56"/>
  <c r="L107" i="56"/>
  <c r="M107" i="56"/>
  <c r="N107" i="56"/>
  <c r="L108" i="56"/>
  <c r="M108" i="56"/>
  <c r="N108" i="56"/>
  <c r="L109" i="56"/>
  <c r="M109" i="56"/>
  <c r="N109" i="56"/>
  <c r="L110" i="56"/>
  <c r="M110" i="56"/>
  <c r="N110" i="56"/>
  <c r="L111" i="56"/>
  <c r="M111" i="56"/>
  <c r="N111" i="56"/>
  <c r="AH98" i="56"/>
  <c r="AH99" i="56"/>
  <c r="AH100" i="56"/>
  <c r="AH101" i="56"/>
  <c r="AH102" i="56"/>
  <c r="AI102" i="56"/>
  <c r="AH103" i="56"/>
  <c r="AE98" i="56"/>
  <c r="AE99" i="56"/>
  <c r="AE100" i="56"/>
  <c r="AE101" i="56"/>
  <c r="AF101" i="56"/>
  <c r="AE102" i="56"/>
  <c r="AF102" i="56"/>
  <c r="AE103" i="56"/>
  <c r="AA98" i="56"/>
  <c r="AA99" i="56"/>
  <c r="AI99" i="56" s="1"/>
  <c r="AA100" i="56"/>
  <c r="AI100" i="56" s="1"/>
  <c r="AA101" i="56"/>
  <c r="AI101" i="56" s="1"/>
  <c r="AB101" i="56"/>
  <c r="AA102" i="56"/>
  <c r="AB102" i="56"/>
  <c r="AA103" i="56"/>
  <c r="L98" i="56"/>
  <c r="M98" i="56"/>
  <c r="N98" i="56"/>
  <c r="L99" i="56"/>
  <c r="M99" i="56"/>
  <c r="N99" i="56"/>
  <c r="L100" i="56"/>
  <c r="M100" i="56"/>
  <c r="N100" i="56"/>
  <c r="L101" i="56"/>
  <c r="M101" i="56"/>
  <c r="N101" i="56"/>
  <c r="L102" i="56"/>
  <c r="M102" i="56"/>
  <c r="N102" i="56"/>
  <c r="L103" i="56"/>
  <c r="M103" i="56"/>
  <c r="N103" i="56"/>
  <c r="AD93" i="56"/>
  <c r="AD94" i="56"/>
  <c r="AG93" i="56"/>
  <c r="AG94" i="56"/>
  <c r="O93" i="56"/>
  <c r="P93" i="56"/>
  <c r="Q93" i="56"/>
  <c r="R93" i="56"/>
  <c r="S93" i="56"/>
  <c r="T93" i="56"/>
  <c r="U93" i="56"/>
  <c r="V93" i="56"/>
  <c r="W93" i="56"/>
  <c r="X93" i="56"/>
  <c r="Y93" i="56"/>
  <c r="Z93" i="56"/>
  <c r="O94" i="56"/>
  <c r="P94" i="56"/>
  <c r="Q94" i="56"/>
  <c r="R94" i="56"/>
  <c r="S94" i="56"/>
  <c r="T94" i="56"/>
  <c r="U94" i="56"/>
  <c r="V94" i="56"/>
  <c r="W94" i="56"/>
  <c r="X94" i="56"/>
  <c r="Y94" i="56"/>
  <c r="Z94" i="56"/>
  <c r="AF91" i="56"/>
  <c r="AA91" i="56"/>
  <c r="AA93" i="56" s="1"/>
  <c r="AA92" i="56"/>
  <c r="AF92" i="56" s="1"/>
  <c r="N91" i="56"/>
  <c r="N92" i="56"/>
  <c r="I91" i="56"/>
  <c r="J91" i="56"/>
  <c r="I92" i="56"/>
  <c r="J92" i="56"/>
  <c r="AI85" i="56"/>
  <c r="AI87" i="56"/>
  <c r="AF87" i="56"/>
  <c r="AA35" i="56"/>
  <c r="AI35" i="56" s="1"/>
  <c r="AA36" i="56"/>
  <c r="AA37" i="56"/>
  <c r="AA38" i="56"/>
  <c r="AB38" i="56" s="1"/>
  <c r="AA39" i="56"/>
  <c r="AI39" i="56" s="1"/>
  <c r="AA40" i="56"/>
  <c r="AI40" i="56" s="1"/>
  <c r="AA41" i="56"/>
  <c r="AA42" i="56" s="1"/>
  <c r="AA45" i="56"/>
  <c r="AA46" i="56"/>
  <c r="AI46" i="56" s="1"/>
  <c r="AA47" i="56"/>
  <c r="AA48" i="56"/>
  <c r="AB48" i="56" s="1"/>
  <c r="AA49" i="56"/>
  <c r="AA50" i="56"/>
  <c r="AI50" i="56" s="1"/>
  <c r="AA51" i="56"/>
  <c r="AA55" i="56"/>
  <c r="AB55" i="56" s="1"/>
  <c r="AA56" i="56"/>
  <c r="AA57" i="56"/>
  <c r="AB57" i="56" s="1"/>
  <c r="AA58" i="56"/>
  <c r="AA59" i="56"/>
  <c r="AA63" i="56" s="1"/>
  <c r="AA60" i="56"/>
  <c r="AI60" i="56" s="1"/>
  <c r="AA61" i="56"/>
  <c r="AA62" i="56"/>
  <c r="AA64" i="56" s="1"/>
  <c r="AA65" i="56"/>
  <c r="AB65" i="56" s="1"/>
  <c r="AA66" i="56"/>
  <c r="AB66" i="56" s="1"/>
  <c r="AA67" i="56"/>
  <c r="AF67" i="56" s="1"/>
  <c r="AA68" i="56"/>
  <c r="AA69" i="56"/>
  <c r="AA72" i="56" s="1"/>
  <c r="AA70" i="56"/>
  <c r="AI70" i="56" s="1"/>
  <c r="AA71" i="56"/>
  <c r="AA73" i="56"/>
  <c r="AA75" i="56"/>
  <c r="AB75" i="56" s="1"/>
  <c r="AA76" i="56"/>
  <c r="AB76" i="56" s="1"/>
  <c r="AA77" i="56"/>
  <c r="AI77" i="56" s="1"/>
  <c r="AA78" i="56"/>
  <c r="AF78" i="56" s="1"/>
  <c r="AA79" i="56"/>
  <c r="AA80" i="56"/>
  <c r="AI80" i="56" s="1"/>
  <c r="AA83" i="56"/>
  <c r="AF83" i="56" s="1"/>
  <c r="AA85" i="56"/>
  <c r="AA86" i="56"/>
  <c r="AI86" i="56" s="1"/>
  <c r="AA87" i="56"/>
  <c r="N85" i="56"/>
  <c r="N143" i="56" s="1"/>
  <c r="N86" i="56"/>
  <c r="N87" i="56"/>
  <c r="N144" i="56" s="1"/>
  <c r="N88" i="56"/>
  <c r="N145" i="56" s="1"/>
  <c r="AH87" i="56"/>
  <c r="AE87" i="56"/>
  <c r="AB87" i="56"/>
  <c r="AH83" i="56"/>
  <c r="AH85" i="56"/>
  <c r="AE83" i="56"/>
  <c r="AE85" i="56"/>
  <c r="AB85" i="56"/>
  <c r="L85" i="56"/>
  <c r="M85" i="56"/>
  <c r="L86" i="56"/>
  <c r="M86" i="56"/>
  <c r="L87" i="56"/>
  <c r="M87" i="56"/>
  <c r="I85" i="56"/>
  <c r="J85" i="56"/>
  <c r="I86" i="56"/>
  <c r="J86" i="56"/>
  <c r="I87" i="56"/>
  <c r="J87" i="56"/>
  <c r="I88" i="56"/>
  <c r="J88" i="56"/>
  <c r="S84" i="56"/>
  <c r="T84" i="56"/>
  <c r="AI83" i="56"/>
  <c r="L83" i="56"/>
  <c r="M83" i="56"/>
  <c r="N83" i="56"/>
  <c r="I83" i="56"/>
  <c r="J83" i="56"/>
  <c r="AG82" i="56"/>
  <c r="AH84" i="56" s="1"/>
  <c r="AD82" i="56"/>
  <c r="AE84" i="56" s="1"/>
  <c r="O82" i="56"/>
  <c r="O84" i="56" s="1"/>
  <c r="P82" i="56"/>
  <c r="P84" i="56" s="1"/>
  <c r="Q82" i="56"/>
  <c r="Q84" i="56" s="1"/>
  <c r="R82" i="56"/>
  <c r="R84" i="56" s="1"/>
  <c r="S82" i="56"/>
  <c r="T82" i="56"/>
  <c r="U82" i="56"/>
  <c r="U84" i="56" s="1"/>
  <c r="V82" i="56"/>
  <c r="V84" i="56" s="1"/>
  <c r="W82" i="56"/>
  <c r="W84" i="56" s="1"/>
  <c r="X82" i="56"/>
  <c r="X84" i="56" s="1"/>
  <c r="Y82" i="56"/>
  <c r="Y84" i="56" s="1"/>
  <c r="Z82" i="56"/>
  <c r="Z84" i="56" s="1"/>
  <c r="AI76" i="56"/>
  <c r="AI79" i="56"/>
  <c r="AF77" i="56"/>
  <c r="AH74" i="56"/>
  <c r="AH75" i="56"/>
  <c r="AH76" i="56"/>
  <c r="AH77" i="56"/>
  <c r="AH78" i="56"/>
  <c r="AH79" i="56"/>
  <c r="AH80" i="56"/>
  <c r="AE75" i="56"/>
  <c r="AE76" i="56"/>
  <c r="AE77" i="56"/>
  <c r="AE78" i="56"/>
  <c r="AE79" i="56"/>
  <c r="AE80" i="56"/>
  <c r="AB77" i="56"/>
  <c r="AB80" i="56"/>
  <c r="L75" i="56"/>
  <c r="M75" i="56"/>
  <c r="N75" i="56"/>
  <c r="L76" i="56"/>
  <c r="M76" i="56"/>
  <c r="N76" i="56"/>
  <c r="L77" i="56"/>
  <c r="M77" i="56"/>
  <c r="N77" i="56"/>
  <c r="L78" i="56"/>
  <c r="M78" i="56"/>
  <c r="N78" i="56"/>
  <c r="L79" i="56"/>
  <c r="M79" i="56"/>
  <c r="N79" i="56"/>
  <c r="L80" i="56"/>
  <c r="M80" i="56"/>
  <c r="N80" i="56"/>
  <c r="L81" i="56"/>
  <c r="M81" i="56"/>
  <c r="N81" i="56"/>
  <c r="I75" i="56"/>
  <c r="J75" i="56"/>
  <c r="I76" i="56"/>
  <c r="J76" i="56"/>
  <c r="I77" i="56"/>
  <c r="J77" i="56"/>
  <c r="I78" i="56"/>
  <c r="J78" i="56"/>
  <c r="I79" i="56"/>
  <c r="J79" i="56"/>
  <c r="I80" i="56"/>
  <c r="J80" i="56"/>
  <c r="I81" i="56"/>
  <c r="J81" i="56"/>
  <c r="AG73" i="56"/>
  <c r="AD73" i="56"/>
  <c r="AE74" i="56" s="1"/>
  <c r="O73" i="56"/>
  <c r="P73" i="56"/>
  <c r="Q73" i="56"/>
  <c r="Q74" i="56" s="1"/>
  <c r="R73" i="56"/>
  <c r="R74" i="56" s="1"/>
  <c r="S73" i="56"/>
  <c r="S74" i="56" s="1"/>
  <c r="T73" i="56"/>
  <c r="T74" i="56" s="1"/>
  <c r="U73" i="56"/>
  <c r="V73" i="56"/>
  <c r="V74" i="56" s="1"/>
  <c r="W73" i="56"/>
  <c r="X73" i="56"/>
  <c r="Y73" i="56"/>
  <c r="Y74" i="56" s="1"/>
  <c r="Z73" i="56"/>
  <c r="O74" i="56"/>
  <c r="P74" i="56"/>
  <c r="U74" i="56"/>
  <c r="W74" i="56"/>
  <c r="X74" i="56"/>
  <c r="Z74" i="56"/>
  <c r="AI66" i="56"/>
  <c r="AI67" i="56"/>
  <c r="AI68" i="56"/>
  <c r="AI71" i="56"/>
  <c r="AF66" i="56"/>
  <c r="AF68" i="56"/>
  <c r="AF69" i="56"/>
  <c r="AF71" i="56"/>
  <c r="AH71" i="56"/>
  <c r="AE71" i="56"/>
  <c r="AB71" i="56"/>
  <c r="AH64" i="56"/>
  <c r="AH65" i="56"/>
  <c r="AH66" i="56"/>
  <c r="AH67" i="56"/>
  <c r="AH68" i="56"/>
  <c r="AH69" i="56"/>
  <c r="AE65" i="56"/>
  <c r="AE66" i="56"/>
  <c r="AE67" i="56"/>
  <c r="AE68" i="56"/>
  <c r="AE69" i="56"/>
  <c r="AB67" i="56"/>
  <c r="AB68" i="56"/>
  <c r="L65" i="56"/>
  <c r="M65" i="56"/>
  <c r="N65" i="56"/>
  <c r="L66" i="56"/>
  <c r="M66" i="56"/>
  <c r="N66" i="56"/>
  <c r="L67" i="56"/>
  <c r="M67" i="56"/>
  <c r="N67" i="56"/>
  <c r="L68" i="56"/>
  <c r="M68" i="56"/>
  <c r="N68" i="56"/>
  <c r="L69" i="56"/>
  <c r="M69" i="56"/>
  <c r="N69" i="56"/>
  <c r="L70" i="56"/>
  <c r="M70" i="56"/>
  <c r="N70" i="56"/>
  <c r="L71" i="56"/>
  <c r="M71" i="56"/>
  <c r="N71" i="56"/>
  <c r="L72" i="56"/>
  <c r="M72" i="56"/>
  <c r="N72" i="56"/>
  <c r="I65" i="56"/>
  <c r="J65" i="56"/>
  <c r="I66" i="56"/>
  <c r="J66" i="56"/>
  <c r="I67" i="56"/>
  <c r="J67" i="56"/>
  <c r="I68" i="56"/>
  <c r="J68" i="56"/>
  <c r="I69" i="56"/>
  <c r="J69" i="56"/>
  <c r="I70" i="56"/>
  <c r="J70" i="56"/>
  <c r="I71" i="56"/>
  <c r="J71" i="56"/>
  <c r="I72" i="56"/>
  <c r="J72" i="56"/>
  <c r="AG63" i="56"/>
  <c r="AD63" i="56"/>
  <c r="AE64" i="56" s="1"/>
  <c r="O63" i="56"/>
  <c r="O64" i="56" s="1"/>
  <c r="P63" i="56"/>
  <c r="P64" i="56" s="1"/>
  <c r="Q63" i="56"/>
  <c r="Q64" i="56" s="1"/>
  <c r="R63" i="56"/>
  <c r="R64" i="56" s="1"/>
  <c r="S63" i="56"/>
  <c r="S64" i="56" s="1"/>
  <c r="T63" i="56"/>
  <c r="T64" i="56" s="1"/>
  <c r="U63" i="56"/>
  <c r="U64" i="56" s="1"/>
  <c r="V63" i="56"/>
  <c r="V64" i="56" s="1"/>
  <c r="W63" i="56"/>
  <c r="W64" i="56" s="1"/>
  <c r="X63" i="56"/>
  <c r="X64" i="56" s="1"/>
  <c r="Y63" i="56"/>
  <c r="Z63" i="56"/>
  <c r="Z64" i="56" s="1"/>
  <c r="Y64" i="56"/>
  <c r="AI55" i="56"/>
  <c r="AI56" i="56"/>
  <c r="AI57" i="56"/>
  <c r="AI58" i="56"/>
  <c r="AI59" i="56"/>
  <c r="AI61" i="56"/>
  <c r="AI62" i="56"/>
  <c r="AF55" i="56"/>
  <c r="AF56" i="56"/>
  <c r="AF57" i="56"/>
  <c r="AF58" i="56"/>
  <c r="AF59" i="56"/>
  <c r="AF61" i="56"/>
  <c r="AF62" i="56"/>
  <c r="AH61" i="56"/>
  <c r="AE61" i="56"/>
  <c r="AB61" i="56"/>
  <c r="AH55" i="56"/>
  <c r="AH56" i="56"/>
  <c r="AH57" i="56"/>
  <c r="AH58" i="56"/>
  <c r="AH59" i="56"/>
  <c r="AE55" i="56"/>
  <c r="AE56" i="56"/>
  <c r="AE57" i="56"/>
  <c r="AE58" i="56"/>
  <c r="AE59" i="56"/>
  <c r="AB56" i="56"/>
  <c r="AB58" i="56"/>
  <c r="AB59" i="56"/>
  <c r="L55" i="56"/>
  <c r="M55" i="56"/>
  <c r="N55" i="56"/>
  <c r="L56" i="56"/>
  <c r="M56" i="56"/>
  <c r="N56" i="56"/>
  <c r="L57" i="56"/>
  <c r="M57" i="56"/>
  <c r="N57" i="56"/>
  <c r="L58" i="56"/>
  <c r="M58" i="56"/>
  <c r="N58" i="56"/>
  <c r="L59" i="56"/>
  <c r="M59" i="56"/>
  <c r="N59" i="56"/>
  <c r="L60" i="56"/>
  <c r="M60" i="56"/>
  <c r="N60" i="56"/>
  <c r="L61" i="56"/>
  <c r="M61" i="56"/>
  <c r="N61" i="56"/>
  <c r="L62" i="56"/>
  <c r="M62" i="56"/>
  <c r="N62" i="56"/>
  <c r="I55" i="56"/>
  <c r="J55" i="56"/>
  <c r="I56" i="56"/>
  <c r="J56" i="56"/>
  <c r="I57" i="56"/>
  <c r="J57" i="56"/>
  <c r="I58" i="56"/>
  <c r="J58" i="56"/>
  <c r="I59" i="56"/>
  <c r="J59" i="56"/>
  <c r="I60" i="56"/>
  <c r="J60" i="56"/>
  <c r="I61" i="56"/>
  <c r="J61" i="56"/>
  <c r="I62" i="56"/>
  <c r="J62" i="56"/>
  <c r="AG53" i="56"/>
  <c r="AH54" i="56" s="1"/>
  <c r="AD53" i="56"/>
  <c r="AE54" i="56" s="1"/>
  <c r="O53" i="56"/>
  <c r="P53" i="56"/>
  <c r="P54" i="56" s="1"/>
  <c r="Q53" i="56"/>
  <c r="R53" i="56"/>
  <c r="R54" i="56" s="1"/>
  <c r="S53" i="56"/>
  <c r="S54" i="56" s="1"/>
  <c r="T53" i="56"/>
  <c r="T54" i="56" s="1"/>
  <c r="U53" i="56"/>
  <c r="U54" i="56" s="1"/>
  <c r="V53" i="56"/>
  <c r="V54" i="56" s="1"/>
  <c r="W53" i="56"/>
  <c r="X53" i="56"/>
  <c r="X54" i="56" s="1"/>
  <c r="Y53" i="56"/>
  <c r="Z53" i="56"/>
  <c r="Z54" i="56" s="1"/>
  <c r="O54" i="56"/>
  <c r="Q54" i="56"/>
  <c r="W54" i="56"/>
  <c r="Y54" i="56"/>
  <c r="AI45" i="56"/>
  <c r="AI47" i="56"/>
  <c r="AI48" i="56"/>
  <c r="AF45" i="56"/>
  <c r="AF47" i="56"/>
  <c r="AF48" i="56"/>
  <c r="AF50" i="56"/>
  <c r="AH51" i="56"/>
  <c r="AE51" i="56"/>
  <c r="AH44" i="56"/>
  <c r="AH45" i="56"/>
  <c r="AH46" i="56"/>
  <c r="AH47" i="56"/>
  <c r="AH48" i="56"/>
  <c r="AH49" i="56"/>
  <c r="AE45" i="56"/>
  <c r="AE46" i="56"/>
  <c r="AE47" i="56"/>
  <c r="AE48" i="56"/>
  <c r="AE49" i="56"/>
  <c r="AB45" i="56"/>
  <c r="AB46" i="56"/>
  <c r="AB47" i="56"/>
  <c r="L45" i="56"/>
  <c r="M45" i="56"/>
  <c r="N45" i="56"/>
  <c r="L46" i="56"/>
  <c r="M46" i="56"/>
  <c r="N46" i="56"/>
  <c r="L47" i="56"/>
  <c r="M47" i="56"/>
  <c r="N47" i="56"/>
  <c r="L48" i="56"/>
  <c r="M48" i="56"/>
  <c r="N48" i="56"/>
  <c r="L49" i="56"/>
  <c r="M49" i="56"/>
  <c r="N49" i="56"/>
  <c r="L50" i="56"/>
  <c r="M50" i="56"/>
  <c r="N50" i="56"/>
  <c r="L51" i="56"/>
  <c r="M51" i="56"/>
  <c r="N51" i="56"/>
  <c r="L52" i="56"/>
  <c r="M52" i="56"/>
  <c r="N52" i="56"/>
  <c r="I45" i="56"/>
  <c r="J45" i="56"/>
  <c r="I46" i="56"/>
  <c r="J46" i="56"/>
  <c r="I47" i="56"/>
  <c r="J47" i="56"/>
  <c r="I48" i="56"/>
  <c r="J48" i="56"/>
  <c r="I49" i="56"/>
  <c r="J49" i="56"/>
  <c r="I50" i="56"/>
  <c r="J50" i="56"/>
  <c r="I51" i="56"/>
  <c r="J51" i="56"/>
  <c r="I52" i="56"/>
  <c r="J52" i="56"/>
  <c r="AG43" i="56"/>
  <c r="AD43" i="56"/>
  <c r="AE44" i="56" s="1"/>
  <c r="O43" i="56"/>
  <c r="O44" i="56" s="1"/>
  <c r="P43" i="56"/>
  <c r="P44" i="56" s="1"/>
  <c r="Q43" i="56"/>
  <c r="Q44" i="56" s="1"/>
  <c r="R43" i="56"/>
  <c r="R44" i="56" s="1"/>
  <c r="S43" i="56"/>
  <c r="T43" i="56"/>
  <c r="T44" i="56" s="1"/>
  <c r="U43" i="56"/>
  <c r="U44" i="56" s="1"/>
  <c r="V43" i="56"/>
  <c r="V44" i="56" s="1"/>
  <c r="W43" i="56"/>
  <c r="W44" i="56" s="1"/>
  <c r="X43" i="56"/>
  <c r="Y43" i="56"/>
  <c r="Y44" i="56" s="1"/>
  <c r="Z43" i="56"/>
  <c r="Z44" i="56" s="1"/>
  <c r="S44" i="56"/>
  <c r="X44" i="56"/>
  <c r="AI36" i="56"/>
  <c r="AI37" i="56"/>
  <c r="AI41" i="56"/>
  <c r="AF36" i="56"/>
  <c r="AF37" i="56"/>
  <c r="AF39" i="56"/>
  <c r="AF40" i="56"/>
  <c r="AF41" i="56"/>
  <c r="AH41" i="56"/>
  <c r="AE41" i="56"/>
  <c r="AH35" i="56"/>
  <c r="AH36" i="56"/>
  <c r="AH37" i="56"/>
  <c r="AH38" i="56"/>
  <c r="AH39" i="56"/>
  <c r="AE35" i="56"/>
  <c r="AE36" i="56"/>
  <c r="AE37" i="56"/>
  <c r="AE38" i="56"/>
  <c r="AE39" i="56"/>
  <c r="AB35" i="56"/>
  <c r="AB36" i="56"/>
  <c r="AB37" i="56"/>
  <c r="AB39" i="56"/>
  <c r="L35" i="56"/>
  <c r="M35" i="56"/>
  <c r="N35" i="56"/>
  <c r="L36" i="56"/>
  <c r="M36" i="56"/>
  <c r="N36" i="56"/>
  <c r="L37" i="56"/>
  <c r="M37" i="56"/>
  <c r="N37" i="56"/>
  <c r="L38" i="56"/>
  <c r="M38" i="56"/>
  <c r="N38" i="56"/>
  <c r="L39" i="56"/>
  <c r="M39" i="56"/>
  <c r="N39" i="56"/>
  <c r="L40" i="56"/>
  <c r="M40" i="56"/>
  <c r="N40" i="56"/>
  <c r="L41" i="56"/>
  <c r="M41" i="56"/>
  <c r="N41" i="56"/>
  <c r="L42" i="56"/>
  <c r="M42" i="56"/>
  <c r="N42" i="56"/>
  <c r="I35" i="56"/>
  <c r="J35" i="56"/>
  <c r="I36" i="56"/>
  <c r="J36" i="56"/>
  <c r="I37" i="56"/>
  <c r="J37" i="56"/>
  <c r="I38" i="56"/>
  <c r="J38" i="56"/>
  <c r="I39" i="56"/>
  <c r="J39" i="56"/>
  <c r="I40" i="56"/>
  <c r="J40" i="56"/>
  <c r="I41" i="56"/>
  <c r="J41" i="56"/>
  <c r="I42" i="56"/>
  <c r="J42" i="56"/>
  <c r="AG32" i="56"/>
  <c r="AD32" i="56"/>
  <c r="O32" i="56"/>
  <c r="P32" i="56"/>
  <c r="Q32" i="56"/>
  <c r="R32" i="56"/>
  <c r="S32" i="56"/>
  <c r="T32" i="56"/>
  <c r="U32" i="56"/>
  <c r="V32" i="56"/>
  <c r="W32" i="56"/>
  <c r="X32" i="56"/>
  <c r="Y32" i="56"/>
  <c r="Z32" i="56"/>
  <c r="AG31" i="56"/>
  <c r="AD31" i="56"/>
  <c r="O31" i="56"/>
  <c r="P31" i="56"/>
  <c r="Q31" i="56"/>
  <c r="R31" i="56"/>
  <c r="S31" i="56"/>
  <c r="T31" i="56"/>
  <c r="U31" i="56"/>
  <c r="V31" i="56"/>
  <c r="W31" i="56"/>
  <c r="X31" i="56"/>
  <c r="Y31" i="56"/>
  <c r="Z31" i="56"/>
  <c r="AA31" i="56"/>
  <c r="N26" i="56"/>
  <c r="N27" i="56"/>
  <c r="N28" i="56"/>
  <c r="N29" i="56"/>
  <c r="B23" i="56"/>
  <c r="AG16" i="56"/>
  <c r="AG19" i="56"/>
  <c r="AG20" i="56"/>
  <c r="AD19" i="56"/>
  <c r="AD20" i="56"/>
  <c r="G19" i="56"/>
  <c r="G20" i="56"/>
  <c r="N19" i="56"/>
  <c r="O19" i="56"/>
  <c r="P19" i="56"/>
  <c r="Q19" i="56"/>
  <c r="R19" i="56"/>
  <c r="S19" i="56"/>
  <c r="T19" i="56"/>
  <c r="U19" i="56"/>
  <c r="V19" i="56"/>
  <c r="W19" i="56"/>
  <c r="X19" i="56"/>
  <c r="Y19" i="56"/>
  <c r="Z19" i="56"/>
  <c r="N20" i="56"/>
  <c r="O20" i="56"/>
  <c r="P20" i="56"/>
  <c r="Q20" i="56"/>
  <c r="R20" i="56"/>
  <c r="S20" i="56"/>
  <c r="T20" i="56"/>
  <c r="U20" i="56"/>
  <c r="V20" i="56"/>
  <c r="W20" i="56"/>
  <c r="X20" i="56"/>
  <c r="Y20" i="56"/>
  <c r="Z20" i="56"/>
  <c r="B17" i="56"/>
  <c r="B18" i="56"/>
  <c r="B19" i="56"/>
  <c r="O16" i="56"/>
  <c r="P16" i="56"/>
  <c r="Q16" i="56"/>
  <c r="R16" i="56"/>
  <c r="S16" i="56"/>
  <c r="T16" i="56"/>
  <c r="U16" i="56"/>
  <c r="V16" i="56"/>
  <c r="W16" i="56"/>
  <c r="X16" i="56"/>
  <c r="Y16" i="56"/>
  <c r="Z16" i="56"/>
  <c r="O17" i="56"/>
  <c r="P17" i="56"/>
  <c r="Q17" i="56"/>
  <c r="R17" i="56"/>
  <c r="S17" i="56"/>
  <c r="T17" i="56"/>
  <c r="U17" i="56"/>
  <c r="V17" i="56"/>
  <c r="W17" i="56"/>
  <c r="X17" i="56"/>
  <c r="Y17" i="56"/>
  <c r="Z17" i="56"/>
  <c r="AA17" i="56" s="1"/>
  <c r="AA11" i="56" s="1"/>
  <c r="AA18" i="56" s="1"/>
  <c r="A14" i="56"/>
  <c r="AG12" i="56"/>
  <c r="AG13" i="56"/>
  <c r="AD12" i="56"/>
  <c r="AD13" i="56"/>
  <c r="B12" i="56"/>
  <c r="B13" i="56"/>
  <c r="O12" i="56"/>
  <c r="P12" i="56"/>
  <c r="Q12" i="56"/>
  <c r="R12" i="56"/>
  <c r="S12" i="56"/>
  <c r="T12" i="56"/>
  <c r="U12" i="56"/>
  <c r="V12" i="56"/>
  <c r="W12" i="56"/>
  <c r="X12" i="56"/>
  <c r="Y12" i="56"/>
  <c r="Z12" i="56"/>
  <c r="AA12" i="56"/>
  <c r="O13" i="56"/>
  <c r="P13" i="56"/>
  <c r="Q13" i="56"/>
  <c r="R13" i="56"/>
  <c r="S13" i="56"/>
  <c r="T13" i="56"/>
  <c r="U13" i="56"/>
  <c r="V13" i="56"/>
  <c r="W13" i="56"/>
  <c r="X13" i="56"/>
  <c r="Y13" i="56"/>
  <c r="Z13" i="56"/>
  <c r="AA13" i="56"/>
  <c r="C10" i="56"/>
  <c r="D10" i="56"/>
  <c r="C9" i="56"/>
  <c r="C1" i="56"/>
  <c r="C2" i="56"/>
  <c r="C3" i="56"/>
  <c r="C4" i="56"/>
  <c r="C5" i="56"/>
  <c r="C6" i="56"/>
  <c r="C7" i="56"/>
  <c r="C8" i="56"/>
  <c r="E6" i="56"/>
  <c r="E4" i="56"/>
  <c r="B3" i="56"/>
  <c r="B120" i="52"/>
  <c r="B114" i="52"/>
  <c r="B115" i="52"/>
  <c r="B116" i="52"/>
  <c r="A111" i="52"/>
  <c r="AG90" i="52"/>
  <c r="AD90" i="52"/>
  <c r="O90" i="52"/>
  <c r="P90" i="52"/>
  <c r="Q90" i="52"/>
  <c r="R90" i="52"/>
  <c r="S90" i="52"/>
  <c r="T90" i="52"/>
  <c r="U90" i="52"/>
  <c r="V90" i="52"/>
  <c r="W90" i="52"/>
  <c r="X90" i="52"/>
  <c r="Y90" i="52"/>
  <c r="Z90" i="52"/>
  <c r="B88" i="52"/>
  <c r="B89" i="52"/>
  <c r="N87" i="52"/>
  <c r="N90" i="52" s="1"/>
  <c r="N88" i="52"/>
  <c r="N91" i="52" s="1"/>
  <c r="AH87" i="52"/>
  <c r="AH88" i="52"/>
  <c r="AE87" i="52"/>
  <c r="AE88" i="52"/>
  <c r="AA88" i="52"/>
  <c r="I87" i="52"/>
  <c r="AA87" i="52" s="1"/>
  <c r="AF87" i="52" s="1"/>
  <c r="J87" i="52"/>
  <c r="I88" i="52"/>
  <c r="J88" i="52"/>
  <c r="N82" i="52"/>
  <c r="N83" i="52"/>
  <c r="N84" i="52"/>
  <c r="N85" i="52"/>
  <c r="I85" i="52"/>
  <c r="AA85" i="52" s="1"/>
  <c r="AI85" i="52" s="1"/>
  <c r="J85" i="52"/>
  <c r="B83" i="52"/>
  <c r="B84" i="52"/>
  <c r="B85" i="52"/>
  <c r="AH83" i="52"/>
  <c r="AH84" i="52"/>
  <c r="AH85" i="52"/>
  <c r="AE83" i="52"/>
  <c r="AE84" i="52"/>
  <c r="AE85" i="52"/>
  <c r="AA83" i="52"/>
  <c r="AB83" i="52" s="1"/>
  <c r="I83" i="52"/>
  <c r="J83" i="52"/>
  <c r="L83" i="52"/>
  <c r="M83" i="52"/>
  <c r="I84" i="52"/>
  <c r="AA84" i="52" s="1"/>
  <c r="J84" i="52"/>
  <c r="L84" i="52"/>
  <c r="M84" i="52"/>
  <c r="I82" i="52"/>
  <c r="J82" i="52"/>
  <c r="A80" i="52"/>
  <c r="AH76" i="52"/>
  <c r="AH77" i="52"/>
  <c r="AH78" i="52"/>
  <c r="AH79" i="52"/>
  <c r="AH80" i="52"/>
  <c r="AE76" i="52"/>
  <c r="AE77" i="52"/>
  <c r="AE78" i="52"/>
  <c r="AE79" i="52"/>
  <c r="AE80" i="52"/>
  <c r="AA78" i="52"/>
  <c r="AI78" i="52" s="1"/>
  <c r="AA80" i="52"/>
  <c r="AI80" i="52" s="1"/>
  <c r="I76" i="52"/>
  <c r="J76" i="52"/>
  <c r="L76" i="52"/>
  <c r="M76" i="52"/>
  <c r="N76" i="52"/>
  <c r="I77" i="52"/>
  <c r="AA77" i="52" s="1"/>
  <c r="J77" i="52"/>
  <c r="L77" i="52"/>
  <c r="M77" i="52"/>
  <c r="N77" i="52"/>
  <c r="I78" i="52"/>
  <c r="K78" i="52" s="1"/>
  <c r="J78" i="52"/>
  <c r="L78" i="52"/>
  <c r="M78" i="52"/>
  <c r="N78" i="52"/>
  <c r="I79" i="52"/>
  <c r="AA79" i="52" s="1"/>
  <c r="J79" i="52"/>
  <c r="L79" i="52"/>
  <c r="M79" i="52"/>
  <c r="N79" i="52"/>
  <c r="I80" i="52"/>
  <c r="K80" i="52" s="1"/>
  <c r="J80" i="52"/>
  <c r="L80" i="52"/>
  <c r="M80" i="52"/>
  <c r="N80" i="52"/>
  <c r="N74" i="52"/>
  <c r="N75" i="52"/>
  <c r="I74" i="52"/>
  <c r="J74" i="52"/>
  <c r="I75" i="52"/>
  <c r="J75" i="52"/>
  <c r="AD72" i="52"/>
  <c r="AD91" i="52" s="1"/>
  <c r="AE72" i="52"/>
  <c r="AG72" i="52"/>
  <c r="AH72" i="52" s="1"/>
  <c r="N72" i="52"/>
  <c r="O72" i="52"/>
  <c r="O91" i="52" s="1"/>
  <c r="P72" i="52"/>
  <c r="P91" i="52" s="1"/>
  <c r="Q72" i="52"/>
  <c r="Q91" i="52" s="1"/>
  <c r="R72" i="52"/>
  <c r="R91" i="52" s="1"/>
  <c r="S72" i="52"/>
  <c r="S91" i="52" s="1"/>
  <c r="T72" i="52"/>
  <c r="T91" i="52" s="1"/>
  <c r="U72" i="52"/>
  <c r="U91" i="52" s="1"/>
  <c r="V72" i="52"/>
  <c r="V91" i="52" s="1"/>
  <c r="W72" i="52"/>
  <c r="W91" i="52" s="1"/>
  <c r="X72" i="52"/>
  <c r="X91" i="52" s="1"/>
  <c r="Y72" i="52"/>
  <c r="Y91" i="52" s="1"/>
  <c r="Z72" i="52"/>
  <c r="Z91" i="52" s="1"/>
  <c r="AH71" i="52"/>
  <c r="AI71" i="52"/>
  <c r="AB62" i="52"/>
  <c r="AB63" i="52"/>
  <c r="AB64" i="52"/>
  <c r="AB65" i="52"/>
  <c r="AB66" i="52"/>
  <c r="AB67" i="52"/>
  <c r="AN67" i="52" s="1"/>
  <c r="AB68" i="52"/>
  <c r="AB69" i="52"/>
  <c r="AB70" i="52"/>
  <c r="AB71" i="52"/>
  <c r="N60" i="52"/>
  <c r="N61" i="52"/>
  <c r="N62" i="52"/>
  <c r="N63" i="52"/>
  <c r="N64" i="52"/>
  <c r="N65" i="52"/>
  <c r="N66" i="52"/>
  <c r="N67" i="52"/>
  <c r="N68" i="52"/>
  <c r="N69" i="52"/>
  <c r="N70" i="52"/>
  <c r="N71" i="52"/>
  <c r="I71" i="52"/>
  <c r="K71" i="52" s="1"/>
  <c r="J71" i="52"/>
  <c r="I72" i="52"/>
  <c r="K72" i="52" s="1"/>
  <c r="J72" i="52"/>
  <c r="AA62" i="52"/>
  <c r="AI62" i="52" s="1"/>
  <c r="AA68" i="52"/>
  <c r="AA70" i="52"/>
  <c r="AI70" i="52" s="1"/>
  <c r="AH62" i="52"/>
  <c r="AN62" i="52" s="1"/>
  <c r="AH63" i="52"/>
  <c r="AN63" i="52" s="1"/>
  <c r="AH64" i="52"/>
  <c r="AH65" i="52"/>
  <c r="AN65" i="52" s="1"/>
  <c r="AH66" i="52"/>
  <c r="AH67" i="52"/>
  <c r="AH68" i="52"/>
  <c r="AN68" i="52" s="1"/>
  <c r="AH69" i="52"/>
  <c r="AN69" i="52" s="1"/>
  <c r="AH70" i="52"/>
  <c r="AE62" i="52"/>
  <c r="AF62" i="52"/>
  <c r="AE63" i="52"/>
  <c r="AM63" i="52" s="1"/>
  <c r="AE64" i="52"/>
  <c r="AE65" i="52"/>
  <c r="AE66" i="52"/>
  <c r="AE67" i="52"/>
  <c r="AM67" i="52" s="1"/>
  <c r="AE68" i="52"/>
  <c r="AE69" i="52"/>
  <c r="AE70" i="52"/>
  <c r="AF70" i="52"/>
  <c r="AE71" i="52"/>
  <c r="AF71" i="52"/>
  <c r="I62" i="52"/>
  <c r="J62" i="52"/>
  <c r="K62" i="52"/>
  <c r="L62" i="52"/>
  <c r="M62" i="52"/>
  <c r="I63" i="52"/>
  <c r="K63" i="52" s="1"/>
  <c r="J63" i="52"/>
  <c r="L63" i="52"/>
  <c r="M63" i="52"/>
  <c r="I64" i="52"/>
  <c r="J64" i="52"/>
  <c r="L64" i="52"/>
  <c r="M64" i="52"/>
  <c r="I65" i="52"/>
  <c r="AA65" i="52" s="1"/>
  <c r="J65" i="52"/>
  <c r="L65" i="52"/>
  <c r="M65" i="52"/>
  <c r="I66" i="52"/>
  <c r="J66" i="52"/>
  <c r="L66" i="52"/>
  <c r="M66" i="52"/>
  <c r="I67" i="52"/>
  <c r="AA67" i="52" s="1"/>
  <c r="J67" i="52"/>
  <c r="L67" i="52"/>
  <c r="M67" i="52"/>
  <c r="I68" i="52"/>
  <c r="K68" i="52" s="1"/>
  <c r="J68" i="52"/>
  <c r="L68" i="52"/>
  <c r="M68" i="52"/>
  <c r="I69" i="52"/>
  <c r="J69" i="52"/>
  <c r="L69" i="52"/>
  <c r="M69" i="52"/>
  <c r="I70" i="52"/>
  <c r="J70" i="52"/>
  <c r="K70" i="52"/>
  <c r="L70" i="52"/>
  <c r="M70" i="52"/>
  <c r="I60" i="52"/>
  <c r="J60" i="52"/>
  <c r="I61" i="52"/>
  <c r="J61" i="52"/>
  <c r="B55" i="52"/>
  <c r="B56" i="52"/>
  <c r="B50" i="52"/>
  <c r="B51" i="52"/>
  <c r="B52" i="52"/>
  <c r="A47" i="52"/>
  <c r="AH35" i="52"/>
  <c r="AH36" i="52"/>
  <c r="AK36" i="52"/>
  <c r="AH37" i="52"/>
  <c r="AL37" i="52"/>
  <c r="AH38" i="52"/>
  <c r="AH39" i="52"/>
  <c r="AH40" i="52"/>
  <c r="AH41" i="52"/>
  <c r="AH42" i="52"/>
  <c r="AH43" i="52"/>
  <c r="AH44" i="52"/>
  <c r="AH45" i="52"/>
  <c r="AH46" i="52"/>
  <c r="AH47" i="52"/>
  <c r="AH48" i="52"/>
  <c r="AH49" i="52"/>
  <c r="AH50" i="52"/>
  <c r="AH51" i="52"/>
  <c r="AH52" i="52"/>
  <c r="AH53" i="52"/>
  <c r="AH54" i="52"/>
  <c r="AH55" i="52"/>
  <c r="AH56" i="52"/>
  <c r="AH57" i="52"/>
  <c r="AH58" i="52"/>
  <c r="AE35" i="52"/>
  <c r="AE36" i="52"/>
  <c r="AE37" i="52"/>
  <c r="AE38" i="52"/>
  <c r="AE39" i="52"/>
  <c r="AE40" i="52"/>
  <c r="AE41" i="52"/>
  <c r="AE42" i="52"/>
  <c r="AE43" i="52"/>
  <c r="AE44" i="52"/>
  <c r="AE45" i="52"/>
  <c r="AE46" i="52"/>
  <c r="AE47" i="52"/>
  <c r="AE48" i="52"/>
  <c r="AE49" i="52"/>
  <c r="AE50" i="52"/>
  <c r="AE51" i="52"/>
  <c r="AE52" i="52"/>
  <c r="AE53" i="52"/>
  <c r="AE54" i="52"/>
  <c r="AE55" i="52"/>
  <c r="AE56" i="52"/>
  <c r="AE57" i="52"/>
  <c r="AE58" i="52"/>
  <c r="AA40" i="52"/>
  <c r="AA48" i="52"/>
  <c r="AA52" i="52"/>
  <c r="AA56" i="52"/>
  <c r="I35" i="52"/>
  <c r="J35" i="52"/>
  <c r="L35" i="52"/>
  <c r="M35" i="52"/>
  <c r="N35" i="52"/>
  <c r="I36" i="52"/>
  <c r="J36" i="52"/>
  <c r="L36" i="52"/>
  <c r="M36" i="52"/>
  <c r="N36" i="52"/>
  <c r="I37" i="52"/>
  <c r="AA37" i="52" s="1"/>
  <c r="J37" i="52"/>
  <c r="L37" i="52"/>
  <c r="M37" i="52"/>
  <c r="N37" i="52"/>
  <c r="I38" i="52"/>
  <c r="J38" i="52"/>
  <c r="L38" i="52"/>
  <c r="M38" i="52"/>
  <c r="N38" i="52"/>
  <c r="I39" i="52"/>
  <c r="J39" i="52"/>
  <c r="L39" i="52"/>
  <c r="M39" i="52"/>
  <c r="N39" i="52"/>
  <c r="I40" i="52"/>
  <c r="K40" i="52" s="1"/>
  <c r="J40" i="52"/>
  <c r="L40" i="52"/>
  <c r="M40" i="52"/>
  <c r="N40" i="52"/>
  <c r="I41" i="52"/>
  <c r="AA41" i="52" s="1"/>
  <c r="J41" i="52"/>
  <c r="K41" i="52"/>
  <c r="L41" i="52"/>
  <c r="M41" i="52"/>
  <c r="N41" i="52"/>
  <c r="I42" i="52"/>
  <c r="J42" i="52"/>
  <c r="L42" i="52"/>
  <c r="M42" i="52"/>
  <c r="N42" i="52"/>
  <c r="I43" i="52"/>
  <c r="AA43" i="52" s="1"/>
  <c r="J43" i="52"/>
  <c r="K43" i="52"/>
  <c r="L43" i="52"/>
  <c r="M43" i="52"/>
  <c r="N43" i="52"/>
  <c r="I44" i="52"/>
  <c r="K44" i="52" s="1"/>
  <c r="J44" i="52"/>
  <c r="L44" i="52"/>
  <c r="M44" i="52"/>
  <c r="N44" i="52"/>
  <c r="I45" i="52"/>
  <c r="J45" i="52"/>
  <c r="L45" i="52"/>
  <c r="M45" i="52"/>
  <c r="N45" i="52"/>
  <c r="I46" i="52"/>
  <c r="J46" i="52"/>
  <c r="L46" i="52"/>
  <c r="M46" i="52"/>
  <c r="N46" i="52"/>
  <c r="I47" i="52"/>
  <c r="AA47" i="52" s="1"/>
  <c r="J47" i="52"/>
  <c r="K47" i="52"/>
  <c r="L47" i="52"/>
  <c r="M47" i="52"/>
  <c r="N47" i="52"/>
  <c r="I48" i="52"/>
  <c r="K48" i="52" s="1"/>
  <c r="J48" i="52"/>
  <c r="L48" i="52"/>
  <c r="M48" i="52"/>
  <c r="N48" i="52"/>
  <c r="I49" i="52"/>
  <c r="AA49" i="52" s="1"/>
  <c r="J49" i="52"/>
  <c r="K49" i="52"/>
  <c r="L49" i="52"/>
  <c r="M49" i="52"/>
  <c r="N49" i="52"/>
  <c r="I50" i="52"/>
  <c r="J50" i="52"/>
  <c r="L50" i="52"/>
  <c r="M50" i="52"/>
  <c r="N50" i="52"/>
  <c r="I51" i="52"/>
  <c r="J51" i="52"/>
  <c r="L51" i="52"/>
  <c r="M51" i="52"/>
  <c r="N51" i="52"/>
  <c r="I52" i="52"/>
  <c r="K52" i="52" s="1"/>
  <c r="J52" i="52"/>
  <c r="L52" i="52"/>
  <c r="M52" i="52"/>
  <c r="N52" i="52"/>
  <c r="I53" i="52"/>
  <c r="AA53" i="52" s="1"/>
  <c r="J53" i="52"/>
  <c r="K53" i="52"/>
  <c r="L53" i="52"/>
  <c r="M53" i="52"/>
  <c r="N53" i="52"/>
  <c r="I54" i="52"/>
  <c r="J54" i="52"/>
  <c r="L54" i="52"/>
  <c r="M54" i="52"/>
  <c r="N54" i="52"/>
  <c r="I55" i="52"/>
  <c r="AA55" i="52" s="1"/>
  <c r="J55" i="52"/>
  <c r="K55" i="52"/>
  <c r="L55" i="52"/>
  <c r="M55" i="52"/>
  <c r="N55" i="52"/>
  <c r="I56" i="52"/>
  <c r="K56" i="52" s="1"/>
  <c r="J56" i="52"/>
  <c r="L56" i="52"/>
  <c r="M56" i="52"/>
  <c r="N56" i="52"/>
  <c r="I57" i="52"/>
  <c r="AA57" i="52" s="1"/>
  <c r="J57" i="52"/>
  <c r="K57" i="52"/>
  <c r="L57" i="52"/>
  <c r="M57" i="52"/>
  <c r="N57" i="52"/>
  <c r="I58" i="52"/>
  <c r="J58" i="52"/>
  <c r="L58" i="52"/>
  <c r="M58" i="52"/>
  <c r="N58" i="52"/>
  <c r="N33" i="52"/>
  <c r="N34" i="52"/>
  <c r="I33" i="52"/>
  <c r="J33" i="52"/>
  <c r="I34" i="52"/>
  <c r="J34" i="52"/>
  <c r="AG32" i="52"/>
  <c r="AL32" i="52" s="1"/>
  <c r="AD32" i="52"/>
  <c r="AK32" i="52" s="1"/>
  <c r="O32" i="52"/>
  <c r="P32" i="52"/>
  <c r="Q32" i="52"/>
  <c r="R32" i="52"/>
  <c r="S32" i="52"/>
  <c r="T32" i="52"/>
  <c r="U32" i="52"/>
  <c r="V32" i="52"/>
  <c r="W32" i="52"/>
  <c r="X32" i="52"/>
  <c r="Y32" i="52"/>
  <c r="Z32" i="52"/>
  <c r="AJ32" i="52" s="1"/>
  <c r="AJ31" i="52"/>
  <c r="AK31" i="52"/>
  <c r="AL31" i="52"/>
  <c r="AN31" i="52" s="1"/>
  <c r="AM31" i="52"/>
  <c r="AG31" i="52"/>
  <c r="AD31" i="52"/>
  <c r="O31" i="52"/>
  <c r="P31" i="52"/>
  <c r="Q31" i="52"/>
  <c r="R31" i="52"/>
  <c r="S31" i="52"/>
  <c r="T31" i="52"/>
  <c r="U31" i="52"/>
  <c r="V31" i="52"/>
  <c r="W31" i="52"/>
  <c r="X31" i="52"/>
  <c r="Y31" i="52"/>
  <c r="Z31" i="52"/>
  <c r="AA31" i="52"/>
  <c r="N26" i="52"/>
  <c r="N27" i="52"/>
  <c r="N28" i="52"/>
  <c r="N29" i="52"/>
  <c r="B22" i="52"/>
  <c r="B23" i="52"/>
  <c r="AG16" i="52"/>
  <c r="AG19" i="52"/>
  <c r="AG20" i="52"/>
  <c r="AD19" i="52"/>
  <c r="AD20" i="52"/>
  <c r="AK52" i="52" s="1"/>
  <c r="G19" i="52"/>
  <c r="G20" i="52"/>
  <c r="N19" i="52"/>
  <c r="O19" i="52"/>
  <c r="P19" i="52"/>
  <c r="Q19" i="52"/>
  <c r="R19" i="52"/>
  <c r="S19" i="52"/>
  <c r="T19" i="52"/>
  <c r="U19" i="52"/>
  <c r="V19" i="52"/>
  <c r="W19" i="52"/>
  <c r="X19" i="52"/>
  <c r="Y19" i="52"/>
  <c r="Z19" i="52"/>
  <c r="N20" i="52"/>
  <c r="O20" i="52"/>
  <c r="P20" i="52"/>
  <c r="Q20" i="52"/>
  <c r="R20" i="52"/>
  <c r="S20" i="52"/>
  <c r="T20" i="52"/>
  <c r="U20" i="52"/>
  <c r="V20" i="52"/>
  <c r="W20" i="52"/>
  <c r="X20" i="52"/>
  <c r="Y20" i="52"/>
  <c r="Z20" i="52"/>
  <c r="B17" i="52"/>
  <c r="B18" i="52"/>
  <c r="B19" i="52"/>
  <c r="O16" i="52"/>
  <c r="P16" i="52"/>
  <c r="Q16" i="52"/>
  <c r="R16" i="52"/>
  <c r="S16" i="52"/>
  <c r="T16" i="52"/>
  <c r="U16" i="52"/>
  <c r="V16" i="52"/>
  <c r="W16" i="52"/>
  <c r="X16" i="52"/>
  <c r="Y16" i="52"/>
  <c r="O17" i="52"/>
  <c r="P17" i="52"/>
  <c r="Q17" i="52"/>
  <c r="R17" i="52"/>
  <c r="S17" i="52"/>
  <c r="T17" i="52"/>
  <c r="U17" i="52"/>
  <c r="V17" i="52"/>
  <c r="W17" i="52"/>
  <c r="X17" i="52"/>
  <c r="Y17" i="52"/>
  <c r="Z17" i="52"/>
  <c r="AA17" i="52" s="1"/>
  <c r="AA11" i="52" s="1"/>
  <c r="A14" i="52"/>
  <c r="AG12" i="52"/>
  <c r="AG13" i="52"/>
  <c r="AD12" i="52"/>
  <c r="AD13" i="52"/>
  <c r="B12" i="52"/>
  <c r="B13" i="52"/>
  <c r="O12" i="52"/>
  <c r="P12" i="52"/>
  <c r="Q12" i="52"/>
  <c r="R12" i="52"/>
  <c r="S12" i="52"/>
  <c r="T12" i="52"/>
  <c r="U12" i="52"/>
  <c r="V12" i="52"/>
  <c r="W12" i="52"/>
  <c r="X12" i="52"/>
  <c r="Y12" i="52"/>
  <c r="Z12" i="52"/>
  <c r="AA12" i="52"/>
  <c r="O13" i="52"/>
  <c r="P13" i="52"/>
  <c r="Q13" i="52"/>
  <c r="R13" i="52"/>
  <c r="S13" i="52"/>
  <c r="T13" i="52"/>
  <c r="U13" i="52"/>
  <c r="V13" i="52"/>
  <c r="W13" i="52"/>
  <c r="X13" i="52"/>
  <c r="Y13" i="52"/>
  <c r="Z13" i="52"/>
  <c r="AA13" i="52"/>
  <c r="C10" i="52"/>
  <c r="D10" i="52"/>
  <c r="Z16" i="52" s="1"/>
  <c r="C9" i="52"/>
  <c r="C1" i="52"/>
  <c r="C2" i="52"/>
  <c r="C3" i="52"/>
  <c r="C4" i="52"/>
  <c r="C5" i="52"/>
  <c r="C6" i="52"/>
  <c r="C7" i="52"/>
  <c r="C8" i="52"/>
  <c r="E6" i="52"/>
  <c r="B29" i="52" s="1"/>
  <c r="E4" i="52"/>
  <c r="B3" i="52"/>
  <c r="H2" i="52"/>
  <c r="N1" i="52"/>
  <c r="N1" i="56" s="1"/>
  <c r="AG143" i="55"/>
  <c r="AG144" i="55"/>
  <c r="AG145" i="55"/>
  <c r="AG146" i="55"/>
  <c r="AD143" i="55"/>
  <c r="AD144" i="55"/>
  <c r="AD145" i="55"/>
  <c r="AD146" i="55"/>
  <c r="O143" i="55"/>
  <c r="P143" i="55"/>
  <c r="Q143" i="55"/>
  <c r="R143" i="55"/>
  <c r="S143" i="55"/>
  <c r="T143" i="55"/>
  <c r="U143" i="55"/>
  <c r="V143" i="55"/>
  <c r="W143" i="55"/>
  <c r="X143" i="55"/>
  <c r="Y143" i="55"/>
  <c r="Z143" i="55"/>
  <c r="O144" i="55"/>
  <c r="P144" i="55"/>
  <c r="Q144" i="55"/>
  <c r="R144" i="55"/>
  <c r="S144" i="55"/>
  <c r="T144" i="55"/>
  <c r="U144" i="55"/>
  <c r="V144" i="55"/>
  <c r="W144" i="55"/>
  <c r="X144" i="55"/>
  <c r="Y144" i="55"/>
  <c r="Z144" i="55"/>
  <c r="O145" i="55"/>
  <c r="P145" i="55"/>
  <c r="Q145" i="55"/>
  <c r="R145" i="55"/>
  <c r="S145" i="55"/>
  <c r="T145" i="55"/>
  <c r="U145" i="55"/>
  <c r="V145" i="55"/>
  <c r="W145" i="55"/>
  <c r="X145" i="55"/>
  <c r="Y145" i="55"/>
  <c r="Z145" i="55"/>
  <c r="O146" i="55"/>
  <c r="P146" i="55"/>
  <c r="Q146" i="55"/>
  <c r="R146" i="55"/>
  <c r="S146" i="55"/>
  <c r="T146" i="55"/>
  <c r="U146" i="55"/>
  <c r="V146" i="55"/>
  <c r="W146" i="55"/>
  <c r="X146" i="55"/>
  <c r="Y146" i="55"/>
  <c r="Z146" i="55"/>
  <c r="AI131" i="55"/>
  <c r="AI133" i="55"/>
  <c r="AI134" i="55"/>
  <c r="AI135" i="55"/>
  <c r="AI137" i="55"/>
  <c r="AI139" i="55"/>
  <c r="AG141" i="55"/>
  <c r="AD141" i="55"/>
  <c r="O141" i="55"/>
  <c r="P141" i="55"/>
  <c r="Q141" i="55"/>
  <c r="R141" i="55"/>
  <c r="S141" i="55"/>
  <c r="T141" i="55"/>
  <c r="U141" i="55"/>
  <c r="V141" i="55"/>
  <c r="W141" i="55"/>
  <c r="X141" i="55"/>
  <c r="Y141" i="55"/>
  <c r="Z141" i="55"/>
  <c r="AH140" i="55"/>
  <c r="AE140" i="55"/>
  <c r="AA140" i="55"/>
  <c r="AB140" i="55"/>
  <c r="AF130" i="55"/>
  <c r="AF131" i="55"/>
  <c r="AF132" i="55"/>
  <c r="AF133" i="55"/>
  <c r="AF135" i="55"/>
  <c r="AF137" i="55"/>
  <c r="AF138" i="55"/>
  <c r="AF139" i="55"/>
  <c r="AH138" i="55"/>
  <c r="AE138" i="55"/>
  <c r="AA138" i="55"/>
  <c r="AI138" i="55" s="1"/>
  <c r="AB138" i="55"/>
  <c r="AH136" i="55"/>
  <c r="AE136" i="55"/>
  <c r="AA136" i="55"/>
  <c r="AI136" i="55" s="1"/>
  <c r="AB136" i="55"/>
  <c r="AH134" i="55"/>
  <c r="AE134" i="55"/>
  <c r="AA134" i="55"/>
  <c r="AF134" i="55" s="1"/>
  <c r="AB134" i="55"/>
  <c r="AH132" i="55"/>
  <c r="AE132" i="55"/>
  <c r="AA132" i="55"/>
  <c r="AI132" i="55" s="1"/>
  <c r="AB132" i="55"/>
  <c r="AH130" i="55"/>
  <c r="AE130" i="55"/>
  <c r="AA130" i="55"/>
  <c r="AI130" i="55" s="1"/>
  <c r="AB130" i="55"/>
  <c r="L130" i="55"/>
  <c r="M130" i="55"/>
  <c r="N130" i="55"/>
  <c r="L131" i="55"/>
  <c r="M131" i="55"/>
  <c r="N131" i="55"/>
  <c r="L132" i="55"/>
  <c r="M132" i="55"/>
  <c r="N132" i="55"/>
  <c r="L133" i="55"/>
  <c r="M133" i="55"/>
  <c r="N133" i="55"/>
  <c r="L134" i="55"/>
  <c r="M134" i="55"/>
  <c r="N134" i="55"/>
  <c r="L135" i="55"/>
  <c r="M135" i="55"/>
  <c r="N135" i="55"/>
  <c r="L136" i="55"/>
  <c r="M136" i="55"/>
  <c r="N136" i="55"/>
  <c r="L137" i="55"/>
  <c r="M137" i="55"/>
  <c r="N137" i="55"/>
  <c r="L138" i="55"/>
  <c r="M138" i="55"/>
  <c r="N138" i="55"/>
  <c r="L139" i="55"/>
  <c r="M139" i="55"/>
  <c r="N139" i="55"/>
  <c r="L140" i="55"/>
  <c r="M140" i="55"/>
  <c r="N140" i="55"/>
  <c r="N129" i="55"/>
  <c r="AG121" i="55"/>
  <c r="AH121" i="55" s="1"/>
  <c r="AG122" i="55"/>
  <c r="AG123" i="55"/>
  <c r="AH123" i="55" s="1"/>
  <c r="AG124" i="55"/>
  <c r="AH124" i="55" s="1"/>
  <c r="AG125" i="55"/>
  <c r="AD121" i="55"/>
  <c r="AE121" i="55" s="1"/>
  <c r="AD122" i="55"/>
  <c r="AD123" i="55"/>
  <c r="AE123" i="55" s="1"/>
  <c r="AD124" i="55"/>
  <c r="AE124" i="55" s="1"/>
  <c r="AD125" i="55"/>
  <c r="AE125" i="55" s="1"/>
  <c r="AH125" i="55"/>
  <c r="L121" i="55"/>
  <c r="M121" i="55"/>
  <c r="N121" i="55"/>
  <c r="O121" i="55"/>
  <c r="P121" i="55"/>
  <c r="Q121" i="55"/>
  <c r="R121" i="55"/>
  <c r="S121" i="55"/>
  <c r="T121" i="55"/>
  <c r="U121" i="55"/>
  <c r="U126" i="55" s="1"/>
  <c r="U127" i="55" s="1"/>
  <c r="V121" i="55"/>
  <c r="W121" i="55"/>
  <c r="X121" i="55"/>
  <c r="Y121" i="55"/>
  <c r="Z121" i="55"/>
  <c r="L122" i="55"/>
  <c r="M122" i="55"/>
  <c r="N122" i="55"/>
  <c r="O122" i="55"/>
  <c r="P122" i="55"/>
  <c r="Q122" i="55"/>
  <c r="R122" i="55"/>
  <c r="S122" i="55"/>
  <c r="T122" i="55"/>
  <c r="U122" i="55"/>
  <c r="V122" i="55"/>
  <c r="W122" i="55"/>
  <c r="X122" i="55"/>
  <c r="Y122" i="55"/>
  <c r="Z122" i="55"/>
  <c r="L123" i="55"/>
  <c r="M123" i="55"/>
  <c r="N123" i="55"/>
  <c r="O123" i="55"/>
  <c r="P123" i="55"/>
  <c r="Q123" i="55"/>
  <c r="R123" i="55"/>
  <c r="S123" i="55"/>
  <c r="T123" i="55"/>
  <c r="U123" i="55"/>
  <c r="V123" i="55"/>
  <c r="W123" i="55"/>
  <c r="X123" i="55"/>
  <c r="Y123" i="55"/>
  <c r="Z123" i="55"/>
  <c r="L124" i="55"/>
  <c r="M124" i="55"/>
  <c r="N124" i="55"/>
  <c r="O124" i="55"/>
  <c r="P124" i="55"/>
  <c r="Q124" i="55"/>
  <c r="R124" i="55"/>
  <c r="S124" i="55"/>
  <c r="T124" i="55"/>
  <c r="U124" i="55"/>
  <c r="V124" i="55"/>
  <c r="W124" i="55"/>
  <c r="X124" i="55"/>
  <c r="Y124" i="55"/>
  <c r="Z124" i="55"/>
  <c r="L125" i="55"/>
  <c r="M125" i="55"/>
  <c r="N125" i="55"/>
  <c r="O125" i="55"/>
  <c r="P125" i="55"/>
  <c r="Q125" i="55"/>
  <c r="AA125" i="55" s="1"/>
  <c r="R125" i="55"/>
  <c r="S125" i="55"/>
  <c r="T125" i="55"/>
  <c r="U125" i="55"/>
  <c r="V125" i="55"/>
  <c r="W125" i="55"/>
  <c r="X125" i="55"/>
  <c r="Y125" i="55"/>
  <c r="Z125" i="55"/>
  <c r="L126" i="55"/>
  <c r="M126" i="55"/>
  <c r="N126" i="55"/>
  <c r="AH114" i="55"/>
  <c r="AH116" i="55"/>
  <c r="AI116" i="55"/>
  <c r="AH117" i="55"/>
  <c r="AI117" i="55"/>
  <c r="AH118" i="55"/>
  <c r="AE114" i="55"/>
  <c r="AF115" i="55"/>
  <c r="AE116" i="55"/>
  <c r="AF116" i="55"/>
  <c r="AE117" i="55"/>
  <c r="AE118" i="55"/>
  <c r="AA114" i="55"/>
  <c r="AI114" i="55" s="1"/>
  <c r="AA115" i="55"/>
  <c r="AI115" i="55" s="1"/>
  <c r="AA116" i="55"/>
  <c r="AB116" i="55"/>
  <c r="AA117" i="55"/>
  <c r="AF117" i="55" s="1"/>
  <c r="AB117" i="55"/>
  <c r="AA118" i="55"/>
  <c r="AI118" i="55" s="1"/>
  <c r="AA119" i="55"/>
  <c r="AI119" i="55" s="1"/>
  <c r="L114" i="55"/>
  <c r="M114" i="55"/>
  <c r="N114" i="55"/>
  <c r="L115" i="55"/>
  <c r="M115" i="55"/>
  <c r="N115" i="55"/>
  <c r="L116" i="55"/>
  <c r="M116" i="55"/>
  <c r="N116" i="55"/>
  <c r="L117" i="55"/>
  <c r="M117" i="55"/>
  <c r="N117" i="55"/>
  <c r="L118" i="55"/>
  <c r="M118" i="55"/>
  <c r="N118" i="55"/>
  <c r="L119" i="55"/>
  <c r="M119" i="55"/>
  <c r="N119" i="55"/>
  <c r="AH106" i="55"/>
  <c r="AI106" i="55"/>
  <c r="AH108" i="55"/>
  <c r="AH109" i="55"/>
  <c r="AH110" i="55"/>
  <c r="AE106" i="55"/>
  <c r="AE108" i="55"/>
  <c r="AF108" i="55"/>
  <c r="AE109" i="55"/>
  <c r="AE110" i="55"/>
  <c r="AA106" i="55"/>
  <c r="AF106" i="55" s="1"/>
  <c r="AB106" i="55"/>
  <c r="AA107" i="55"/>
  <c r="AI107" i="55" s="1"/>
  <c r="AA108" i="55"/>
  <c r="AI108" i="55" s="1"/>
  <c r="AA109" i="55"/>
  <c r="AA110" i="55"/>
  <c r="AB110" i="55" s="1"/>
  <c r="AA111" i="55"/>
  <c r="L106" i="55"/>
  <c r="M106" i="55"/>
  <c r="N106" i="55"/>
  <c r="L107" i="55"/>
  <c r="M107" i="55"/>
  <c r="N107" i="55"/>
  <c r="L108" i="55"/>
  <c r="M108" i="55"/>
  <c r="N108" i="55"/>
  <c r="L109" i="55"/>
  <c r="M109" i="55"/>
  <c r="N109" i="55"/>
  <c r="L110" i="55"/>
  <c r="M110" i="55"/>
  <c r="N110" i="55"/>
  <c r="L111" i="55"/>
  <c r="M111" i="55"/>
  <c r="N111" i="55"/>
  <c r="AH98" i="55"/>
  <c r="AI98" i="55"/>
  <c r="AH100" i="55"/>
  <c r="AH101" i="55"/>
  <c r="AH102" i="55"/>
  <c r="AI102" i="55"/>
  <c r="AE98" i="55"/>
  <c r="AF98" i="55"/>
  <c r="AE100" i="55"/>
  <c r="AE101" i="55"/>
  <c r="AF101" i="55"/>
  <c r="AE102" i="55"/>
  <c r="AF102" i="55"/>
  <c r="AA98" i="55"/>
  <c r="AB98" i="55"/>
  <c r="AA99" i="55"/>
  <c r="AF99" i="55" s="1"/>
  <c r="AA100" i="55"/>
  <c r="AB100" i="55" s="1"/>
  <c r="AA101" i="55"/>
  <c r="AI101" i="55" s="1"/>
  <c r="AA102" i="55"/>
  <c r="AB102" i="55"/>
  <c r="AA103" i="55"/>
  <c r="AF103" i="55" s="1"/>
  <c r="L98" i="55"/>
  <c r="M98" i="55"/>
  <c r="N98" i="55"/>
  <c r="L99" i="55"/>
  <c r="M99" i="55"/>
  <c r="N99" i="55"/>
  <c r="L100" i="55"/>
  <c r="M100" i="55"/>
  <c r="N100" i="55"/>
  <c r="L101" i="55"/>
  <c r="M101" i="55"/>
  <c r="N101" i="55"/>
  <c r="L102" i="55"/>
  <c r="M102" i="55"/>
  <c r="N102" i="55"/>
  <c r="L103" i="55"/>
  <c r="M103" i="55"/>
  <c r="N103" i="55"/>
  <c r="AD93" i="55"/>
  <c r="AD94" i="55"/>
  <c r="AG93" i="55"/>
  <c r="AG94" i="55"/>
  <c r="O93" i="55"/>
  <c r="P93" i="55"/>
  <c r="Q93" i="55"/>
  <c r="R93" i="55"/>
  <c r="S93" i="55"/>
  <c r="T93" i="55"/>
  <c r="U93" i="55"/>
  <c r="V93" i="55"/>
  <c r="W93" i="55"/>
  <c r="X93" i="55"/>
  <c r="Y93" i="55"/>
  <c r="Z93" i="55"/>
  <c r="O94" i="55"/>
  <c r="P94" i="55"/>
  <c r="Q94" i="55"/>
  <c r="R94" i="55"/>
  <c r="S94" i="55"/>
  <c r="T94" i="55"/>
  <c r="U94" i="55"/>
  <c r="V94" i="55"/>
  <c r="W94" i="55"/>
  <c r="X94" i="55"/>
  <c r="Y94" i="55"/>
  <c r="Z94" i="55"/>
  <c r="AA91" i="55"/>
  <c r="AA92" i="55"/>
  <c r="AI92" i="55" s="1"/>
  <c r="N91" i="55"/>
  <c r="N92" i="55"/>
  <c r="I91" i="55"/>
  <c r="J91" i="55"/>
  <c r="I92" i="55"/>
  <c r="J92" i="55"/>
  <c r="AA35" i="55"/>
  <c r="AA36" i="55"/>
  <c r="AB36" i="55" s="1"/>
  <c r="AA37" i="55"/>
  <c r="AA38" i="55"/>
  <c r="AA39" i="55"/>
  <c r="AA42" i="55" s="1"/>
  <c r="AF42" i="55" s="1"/>
  <c r="AA40" i="55"/>
  <c r="AA41" i="55"/>
  <c r="AA43" i="55"/>
  <c r="AA44" i="55" s="1"/>
  <c r="AA45" i="55"/>
  <c r="AF45" i="55" s="1"/>
  <c r="AA46" i="55"/>
  <c r="AA47" i="55"/>
  <c r="AA48" i="55"/>
  <c r="AF48" i="55" s="1"/>
  <c r="AA49" i="55"/>
  <c r="AA50" i="55"/>
  <c r="AA51" i="55"/>
  <c r="AA53" i="55" s="1"/>
  <c r="AA55" i="55"/>
  <c r="AA56" i="55"/>
  <c r="AF56" i="55" s="1"/>
  <c r="AA57" i="55"/>
  <c r="AA58" i="55"/>
  <c r="AA59" i="55"/>
  <c r="AF59" i="55" s="1"/>
  <c r="AA60" i="55"/>
  <c r="AA61" i="55"/>
  <c r="AA65" i="55"/>
  <c r="AI65" i="55" s="1"/>
  <c r="AA66" i="55"/>
  <c r="AA67" i="55"/>
  <c r="AB67" i="55" s="1"/>
  <c r="AA68" i="55"/>
  <c r="AA69" i="55"/>
  <c r="AA70" i="55"/>
  <c r="AF70" i="55" s="1"/>
  <c r="AA71" i="55"/>
  <c r="AA72" i="55"/>
  <c r="AA75" i="55"/>
  <c r="AA76" i="55"/>
  <c r="AA77" i="55"/>
  <c r="AI77" i="55" s="1"/>
  <c r="AA78" i="55"/>
  <c r="AA79" i="55"/>
  <c r="AA80" i="55"/>
  <c r="AB80" i="55" s="1"/>
  <c r="AA83" i="55"/>
  <c r="AI83" i="55" s="1"/>
  <c r="AA85" i="55"/>
  <c r="AI85" i="55" s="1"/>
  <c r="AA86" i="55"/>
  <c r="AI86" i="55" s="1"/>
  <c r="AA87" i="55"/>
  <c r="N85" i="55"/>
  <c r="N143" i="55" s="1"/>
  <c r="N86" i="55"/>
  <c r="N87" i="55"/>
  <c r="N144" i="55" s="1"/>
  <c r="N88" i="55"/>
  <c r="N145" i="55" s="1"/>
  <c r="AE83" i="55"/>
  <c r="AE85" i="55"/>
  <c r="L85" i="55"/>
  <c r="M85" i="55"/>
  <c r="L86" i="55"/>
  <c r="M86" i="55"/>
  <c r="L87" i="55"/>
  <c r="M87" i="55"/>
  <c r="I85" i="55"/>
  <c r="J85" i="55"/>
  <c r="I86" i="55"/>
  <c r="J86" i="55"/>
  <c r="I87" i="55"/>
  <c r="J87" i="55"/>
  <c r="I88" i="55"/>
  <c r="J88" i="55"/>
  <c r="R84" i="55"/>
  <c r="T84" i="55"/>
  <c r="U84" i="55"/>
  <c r="L83" i="55"/>
  <c r="M83" i="55"/>
  <c r="N83" i="55"/>
  <c r="I83" i="55"/>
  <c r="J83" i="55"/>
  <c r="AG82" i="55"/>
  <c r="AH84" i="55" s="1"/>
  <c r="AD82" i="55"/>
  <c r="AE84" i="55" s="1"/>
  <c r="O82" i="55"/>
  <c r="O84" i="55" s="1"/>
  <c r="P82" i="55"/>
  <c r="P84" i="55" s="1"/>
  <c r="Q82" i="55"/>
  <c r="Q84" i="55" s="1"/>
  <c r="R82" i="55"/>
  <c r="S82" i="55"/>
  <c r="S84" i="55" s="1"/>
  <c r="T82" i="55"/>
  <c r="U82" i="55"/>
  <c r="V82" i="55"/>
  <c r="V84" i="55" s="1"/>
  <c r="W82" i="55"/>
  <c r="W84" i="55" s="1"/>
  <c r="X82" i="55"/>
  <c r="X84" i="55" s="1"/>
  <c r="Y82" i="55"/>
  <c r="Y84" i="55" s="1"/>
  <c r="Z82" i="55"/>
  <c r="Z84" i="55" s="1"/>
  <c r="AI75" i="55"/>
  <c r="AI78" i="55"/>
  <c r="AI79" i="55"/>
  <c r="AF77" i="55"/>
  <c r="AF78" i="55"/>
  <c r="AF79" i="55"/>
  <c r="AF80" i="55"/>
  <c r="AH75" i="55"/>
  <c r="AH76" i="55"/>
  <c r="AH77" i="55"/>
  <c r="AH78" i="55"/>
  <c r="AH79" i="55"/>
  <c r="AH80" i="55"/>
  <c r="AE75" i="55"/>
  <c r="AE76" i="55"/>
  <c r="AE77" i="55"/>
  <c r="AE78" i="55"/>
  <c r="AE79" i="55"/>
  <c r="AE80" i="55"/>
  <c r="AB77" i="55"/>
  <c r="AB78" i="55"/>
  <c r="AB79" i="55"/>
  <c r="L75" i="55"/>
  <c r="M75" i="55"/>
  <c r="N75" i="55"/>
  <c r="L76" i="55"/>
  <c r="M76" i="55"/>
  <c r="N76" i="55"/>
  <c r="L77" i="55"/>
  <c r="M77" i="55"/>
  <c r="N77" i="55"/>
  <c r="L78" i="55"/>
  <c r="M78" i="55"/>
  <c r="N78" i="55"/>
  <c r="L79" i="55"/>
  <c r="M79" i="55"/>
  <c r="N79" i="55"/>
  <c r="L80" i="55"/>
  <c r="M80" i="55"/>
  <c r="N80" i="55"/>
  <c r="L81" i="55"/>
  <c r="M81" i="55"/>
  <c r="N81" i="55"/>
  <c r="I75" i="55"/>
  <c r="J75" i="55"/>
  <c r="I76" i="55"/>
  <c r="J76" i="55"/>
  <c r="I77" i="55"/>
  <c r="J77" i="55"/>
  <c r="I78" i="55"/>
  <c r="J78" i="55"/>
  <c r="I79" i="55"/>
  <c r="J79" i="55"/>
  <c r="I80" i="55"/>
  <c r="J80" i="55"/>
  <c r="I81" i="55"/>
  <c r="J81" i="55"/>
  <c r="AG73" i="55"/>
  <c r="AH74" i="55" s="1"/>
  <c r="AD73" i="55"/>
  <c r="AE74" i="55" s="1"/>
  <c r="O73" i="55"/>
  <c r="O74" i="55" s="1"/>
  <c r="P73" i="55"/>
  <c r="P74" i="55" s="1"/>
  <c r="Q73" i="55"/>
  <c r="Q74" i="55" s="1"/>
  <c r="R73" i="55"/>
  <c r="S73" i="55"/>
  <c r="S74" i="55" s="1"/>
  <c r="T73" i="55"/>
  <c r="T74" i="55" s="1"/>
  <c r="U73" i="55"/>
  <c r="U74" i="55" s="1"/>
  <c r="V73" i="55"/>
  <c r="V74" i="55" s="1"/>
  <c r="W73" i="55"/>
  <c r="W74" i="55" s="1"/>
  <c r="X73" i="55"/>
  <c r="Y73" i="55"/>
  <c r="Y74" i="55" s="1"/>
  <c r="Z73" i="55"/>
  <c r="R74" i="55"/>
  <c r="X74" i="55"/>
  <c r="Z74" i="55"/>
  <c r="AI68" i="55"/>
  <c r="AI69" i="55"/>
  <c r="AI70" i="55"/>
  <c r="AI71" i="55"/>
  <c r="AF65" i="55"/>
  <c r="AF68" i="55"/>
  <c r="AF69" i="55"/>
  <c r="AF71" i="55"/>
  <c r="AH71" i="55"/>
  <c r="AE71" i="55"/>
  <c r="AB71" i="55"/>
  <c r="AH65" i="55"/>
  <c r="AH66" i="55"/>
  <c r="AH67" i="55"/>
  <c r="AH68" i="55"/>
  <c r="AH69" i="55"/>
  <c r="AE65" i="55"/>
  <c r="AE66" i="55"/>
  <c r="AE67" i="55"/>
  <c r="AE68" i="55"/>
  <c r="AE69" i="55"/>
  <c r="AB65" i="55"/>
  <c r="AB68" i="55"/>
  <c r="AB69" i="55"/>
  <c r="L65" i="55"/>
  <c r="M65" i="55"/>
  <c r="N65" i="55"/>
  <c r="L66" i="55"/>
  <c r="M66" i="55"/>
  <c r="N66" i="55"/>
  <c r="L67" i="55"/>
  <c r="M67" i="55"/>
  <c r="N67" i="55"/>
  <c r="L68" i="55"/>
  <c r="M68" i="55"/>
  <c r="N68" i="55"/>
  <c r="L69" i="55"/>
  <c r="M69" i="55"/>
  <c r="N69" i="55"/>
  <c r="L70" i="55"/>
  <c r="M70" i="55"/>
  <c r="N70" i="55"/>
  <c r="L71" i="55"/>
  <c r="M71" i="55"/>
  <c r="N71" i="55"/>
  <c r="L72" i="55"/>
  <c r="M72" i="55"/>
  <c r="N72" i="55"/>
  <c r="I65" i="55"/>
  <c r="J65" i="55"/>
  <c r="I66" i="55"/>
  <c r="J66" i="55"/>
  <c r="I67" i="55"/>
  <c r="J67" i="55"/>
  <c r="I68" i="55"/>
  <c r="J68" i="55"/>
  <c r="I69" i="55"/>
  <c r="J69" i="55"/>
  <c r="I70" i="55"/>
  <c r="J70" i="55"/>
  <c r="I71" i="55"/>
  <c r="J71" i="55"/>
  <c r="I72" i="55"/>
  <c r="J72" i="55"/>
  <c r="AG63" i="55"/>
  <c r="AH64" i="55" s="1"/>
  <c r="AD63" i="55"/>
  <c r="AE64" i="55" s="1"/>
  <c r="O63" i="55"/>
  <c r="O64" i="55" s="1"/>
  <c r="P63" i="55"/>
  <c r="Q63" i="55"/>
  <c r="R63" i="55"/>
  <c r="S63" i="55"/>
  <c r="S64" i="55" s="1"/>
  <c r="T63" i="55"/>
  <c r="T64" i="55" s="1"/>
  <c r="U63" i="55"/>
  <c r="U64" i="55" s="1"/>
  <c r="V63" i="55"/>
  <c r="V64" i="55" s="1"/>
  <c r="W63" i="55"/>
  <c r="W64" i="55" s="1"/>
  <c r="X63" i="55"/>
  <c r="X64" i="55" s="1"/>
  <c r="Y63" i="55"/>
  <c r="Y64" i="55" s="1"/>
  <c r="Z63" i="55"/>
  <c r="P64" i="55"/>
  <c r="Q64" i="55"/>
  <c r="R64" i="55"/>
  <c r="Z64" i="55"/>
  <c r="AI56" i="55"/>
  <c r="AI57" i="55"/>
  <c r="AI58" i="55"/>
  <c r="AI59" i="55"/>
  <c r="AI60" i="55"/>
  <c r="AF57" i="55"/>
  <c r="AF58" i="55"/>
  <c r="AF60" i="55"/>
  <c r="AH61" i="55"/>
  <c r="AE61" i="55"/>
  <c r="AB61" i="55"/>
  <c r="AH55" i="55"/>
  <c r="AH56" i="55"/>
  <c r="AH57" i="55"/>
  <c r="AH58" i="55"/>
  <c r="AH59" i="55"/>
  <c r="AE55" i="55"/>
  <c r="AE56" i="55"/>
  <c r="AE57" i="55"/>
  <c r="AE58" i="55"/>
  <c r="AE59" i="55"/>
  <c r="AB55" i="55"/>
  <c r="AB56" i="55"/>
  <c r="AB57" i="55"/>
  <c r="AB58" i="55"/>
  <c r="AB59" i="55"/>
  <c r="L55" i="55"/>
  <c r="M55" i="55"/>
  <c r="N55" i="55"/>
  <c r="L56" i="55"/>
  <c r="M56" i="55"/>
  <c r="N56" i="55"/>
  <c r="L57" i="55"/>
  <c r="M57" i="55"/>
  <c r="N57" i="55"/>
  <c r="L58" i="55"/>
  <c r="M58" i="55"/>
  <c r="N58" i="55"/>
  <c r="L59" i="55"/>
  <c r="M59" i="55"/>
  <c r="N59" i="55"/>
  <c r="L60" i="55"/>
  <c r="M60" i="55"/>
  <c r="N60" i="55"/>
  <c r="L61" i="55"/>
  <c r="M61" i="55"/>
  <c r="N61" i="55"/>
  <c r="L62" i="55"/>
  <c r="M62" i="55"/>
  <c r="N62" i="55"/>
  <c r="I55" i="55"/>
  <c r="J55" i="55"/>
  <c r="I56" i="55"/>
  <c r="J56" i="55"/>
  <c r="I57" i="55"/>
  <c r="J57" i="55"/>
  <c r="I58" i="55"/>
  <c r="J58" i="55"/>
  <c r="I59" i="55"/>
  <c r="J59" i="55"/>
  <c r="I60" i="55"/>
  <c r="J60" i="55"/>
  <c r="I61" i="55"/>
  <c r="J61" i="55"/>
  <c r="I62" i="55"/>
  <c r="J62" i="55"/>
  <c r="AG53" i="55"/>
  <c r="AH54" i="55" s="1"/>
  <c r="AD53" i="55"/>
  <c r="AE54" i="55" s="1"/>
  <c r="O53" i="55"/>
  <c r="O54" i="55" s="1"/>
  <c r="P53" i="55"/>
  <c r="P54" i="55" s="1"/>
  <c r="Q53" i="55"/>
  <c r="Q54" i="55" s="1"/>
  <c r="R53" i="55"/>
  <c r="S53" i="55"/>
  <c r="T53" i="55"/>
  <c r="U53" i="55"/>
  <c r="U54" i="55" s="1"/>
  <c r="V53" i="55"/>
  <c r="V54" i="55" s="1"/>
  <c r="W53" i="55"/>
  <c r="W54" i="55" s="1"/>
  <c r="X53" i="55"/>
  <c r="X54" i="55" s="1"/>
  <c r="Y53" i="55"/>
  <c r="Y54" i="55" s="1"/>
  <c r="Z53" i="55"/>
  <c r="R54" i="55"/>
  <c r="S54" i="55"/>
  <c r="T54" i="55"/>
  <c r="Z54" i="55"/>
  <c r="AI45" i="55"/>
  <c r="AI46" i="55"/>
  <c r="AI47" i="55"/>
  <c r="AI48" i="55"/>
  <c r="AI49" i="55"/>
  <c r="AI50" i="55"/>
  <c r="AF46" i="55"/>
  <c r="AF47" i="55"/>
  <c r="AF49" i="55"/>
  <c r="AF50" i="55"/>
  <c r="AF51" i="55"/>
  <c r="AH51" i="55"/>
  <c r="AE51" i="55"/>
  <c r="L45" i="55"/>
  <c r="M45" i="55"/>
  <c r="N45" i="55"/>
  <c r="L46" i="55"/>
  <c r="M46" i="55"/>
  <c r="N46" i="55"/>
  <c r="L47" i="55"/>
  <c r="M47" i="55"/>
  <c r="N47" i="55"/>
  <c r="L48" i="55"/>
  <c r="M48" i="55"/>
  <c r="N48" i="55"/>
  <c r="L49" i="55"/>
  <c r="M49" i="55"/>
  <c r="N49" i="55"/>
  <c r="L50" i="55"/>
  <c r="M50" i="55"/>
  <c r="N50" i="55"/>
  <c r="L51" i="55"/>
  <c r="M51" i="55"/>
  <c r="N51" i="55"/>
  <c r="L52" i="55"/>
  <c r="M52" i="55"/>
  <c r="N52" i="55"/>
  <c r="I45" i="55"/>
  <c r="J45" i="55"/>
  <c r="I46" i="55"/>
  <c r="J46" i="55"/>
  <c r="I47" i="55"/>
  <c r="J47" i="55"/>
  <c r="I48" i="55"/>
  <c r="J48" i="55"/>
  <c r="I49" i="55"/>
  <c r="J49" i="55"/>
  <c r="I50" i="55"/>
  <c r="J50" i="55"/>
  <c r="I51" i="55"/>
  <c r="J51" i="55"/>
  <c r="I52" i="55"/>
  <c r="J52" i="55"/>
  <c r="AG43" i="55"/>
  <c r="AH44" i="55" s="1"/>
  <c r="AD43" i="55"/>
  <c r="AE44" i="55" s="1"/>
  <c r="O43" i="55"/>
  <c r="O44" i="55" s="1"/>
  <c r="P43" i="55"/>
  <c r="P44" i="55" s="1"/>
  <c r="Q43" i="55"/>
  <c r="Q44" i="55" s="1"/>
  <c r="R43" i="55"/>
  <c r="R44" i="55" s="1"/>
  <c r="S43" i="55"/>
  <c r="T43" i="55"/>
  <c r="U43" i="55"/>
  <c r="V43" i="55"/>
  <c r="V44" i="55" s="1"/>
  <c r="W43" i="55"/>
  <c r="W44" i="55" s="1"/>
  <c r="X43" i="55"/>
  <c r="X44" i="55" s="1"/>
  <c r="Y43" i="55"/>
  <c r="Y44" i="55" s="1"/>
  <c r="Z43" i="55"/>
  <c r="Z44" i="55" s="1"/>
  <c r="S44" i="55"/>
  <c r="T44" i="55"/>
  <c r="U44" i="55"/>
  <c r="AI36" i="55"/>
  <c r="AI37" i="55"/>
  <c r="AI38" i="55"/>
  <c r="AI40" i="55"/>
  <c r="AI41" i="55"/>
  <c r="AI42" i="55"/>
  <c r="AF36" i="55"/>
  <c r="AF37" i="55"/>
  <c r="AF38" i="55"/>
  <c r="AF40" i="55"/>
  <c r="AF41" i="55"/>
  <c r="AH41" i="55"/>
  <c r="AE41" i="55"/>
  <c r="AB41" i="55"/>
  <c r="AH36" i="55"/>
  <c r="AH37" i="55"/>
  <c r="AH38" i="55"/>
  <c r="AE35" i="55"/>
  <c r="AE36" i="55"/>
  <c r="AE37" i="55"/>
  <c r="AE38" i="55"/>
  <c r="AE39" i="55"/>
  <c r="AB37" i="55"/>
  <c r="AB38" i="55"/>
  <c r="L35" i="55"/>
  <c r="M35" i="55"/>
  <c r="N35" i="55"/>
  <c r="L36" i="55"/>
  <c r="M36" i="55"/>
  <c r="N36" i="55"/>
  <c r="L37" i="55"/>
  <c r="M37" i="55"/>
  <c r="N37" i="55"/>
  <c r="L38" i="55"/>
  <c r="M38" i="55"/>
  <c r="N38" i="55"/>
  <c r="L39" i="55"/>
  <c r="M39" i="55"/>
  <c r="N39" i="55"/>
  <c r="L40" i="55"/>
  <c r="M40" i="55"/>
  <c r="N40" i="55"/>
  <c r="L41" i="55"/>
  <c r="M41" i="55"/>
  <c r="N41" i="55"/>
  <c r="L42" i="55"/>
  <c r="M42" i="55"/>
  <c r="N42" i="55"/>
  <c r="I35" i="55"/>
  <c r="J35" i="55"/>
  <c r="I36" i="55"/>
  <c r="J36" i="55"/>
  <c r="I37" i="55"/>
  <c r="J37" i="55"/>
  <c r="I38" i="55"/>
  <c r="J38" i="55"/>
  <c r="I39" i="55"/>
  <c r="J39" i="55"/>
  <c r="I40" i="55"/>
  <c r="J40" i="55"/>
  <c r="I41" i="55"/>
  <c r="J41" i="55"/>
  <c r="I42" i="55"/>
  <c r="J42" i="55"/>
  <c r="AG32" i="55"/>
  <c r="AD32" i="55"/>
  <c r="O32" i="55"/>
  <c r="P32" i="55"/>
  <c r="Q32" i="55"/>
  <c r="R32" i="55"/>
  <c r="S32" i="55"/>
  <c r="T32" i="55"/>
  <c r="U32" i="55"/>
  <c r="V32" i="55"/>
  <c r="W32" i="55"/>
  <c r="X32" i="55"/>
  <c r="Y32" i="55"/>
  <c r="Z32" i="55"/>
  <c r="AG31" i="55"/>
  <c r="AD31" i="55"/>
  <c r="O31" i="55"/>
  <c r="P31" i="55"/>
  <c r="Q31" i="55"/>
  <c r="R31" i="55"/>
  <c r="S31" i="55"/>
  <c r="T31" i="55"/>
  <c r="U31" i="55"/>
  <c r="V31" i="55"/>
  <c r="W31" i="55"/>
  <c r="X31" i="55"/>
  <c r="Y31" i="55"/>
  <c r="Z31" i="55"/>
  <c r="AA31" i="55"/>
  <c r="N26" i="55"/>
  <c r="N27" i="55"/>
  <c r="N28" i="55"/>
  <c r="N29" i="55"/>
  <c r="B23" i="55"/>
  <c r="AG16" i="55"/>
  <c r="AG19" i="55"/>
  <c r="AH48" i="55" s="1"/>
  <c r="AG20" i="55"/>
  <c r="AH87" i="55" s="1"/>
  <c r="AD19" i="55"/>
  <c r="AD20" i="55"/>
  <c r="AE87" i="55" s="1"/>
  <c r="G19" i="55"/>
  <c r="G20" i="55"/>
  <c r="N19" i="55"/>
  <c r="O19" i="55"/>
  <c r="P19" i="55"/>
  <c r="Q19" i="55"/>
  <c r="R19" i="55"/>
  <c r="S19" i="55"/>
  <c r="T19" i="55"/>
  <c r="U19" i="55"/>
  <c r="V19" i="55"/>
  <c r="W19" i="55"/>
  <c r="X19" i="55"/>
  <c r="Y19" i="55"/>
  <c r="Z19" i="55"/>
  <c r="N20" i="55"/>
  <c r="O20" i="55"/>
  <c r="P20" i="55"/>
  <c r="Q20" i="55"/>
  <c r="R20" i="55"/>
  <c r="S20" i="55"/>
  <c r="T20" i="55"/>
  <c r="U20" i="55"/>
  <c r="V20" i="55"/>
  <c r="W20" i="55"/>
  <c r="X20" i="55"/>
  <c r="Y20" i="55"/>
  <c r="Z20" i="55"/>
  <c r="B17" i="55"/>
  <c r="B18" i="55"/>
  <c r="B19" i="55"/>
  <c r="O16" i="55"/>
  <c r="P16" i="55"/>
  <c r="Q16" i="55"/>
  <c r="R16" i="55"/>
  <c r="S16" i="55"/>
  <c r="T16" i="55"/>
  <c r="U16" i="55"/>
  <c r="V16" i="55"/>
  <c r="W16" i="55"/>
  <c r="X16" i="55"/>
  <c r="Y16" i="55"/>
  <c r="O17" i="55"/>
  <c r="P17" i="55"/>
  <c r="Q17" i="55"/>
  <c r="R17" i="55"/>
  <c r="S17" i="55"/>
  <c r="T17" i="55"/>
  <c r="U17" i="55"/>
  <c r="V17" i="55"/>
  <c r="W17" i="55"/>
  <c r="X17" i="55"/>
  <c r="Y17" i="55"/>
  <c r="Z17" i="55"/>
  <c r="AA17" i="55" s="1"/>
  <c r="AA11" i="55" s="1"/>
  <c r="AA18" i="55" s="1"/>
  <c r="A14" i="55"/>
  <c r="AG12" i="55"/>
  <c r="AG13" i="55"/>
  <c r="AD12" i="55"/>
  <c r="AD13" i="55"/>
  <c r="B12" i="55"/>
  <c r="AA16" i="55" s="1"/>
  <c r="B13" i="55"/>
  <c r="O12" i="55"/>
  <c r="P12" i="55"/>
  <c r="Q12" i="55"/>
  <c r="R12" i="55"/>
  <c r="S12" i="55"/>
  <c r="T12" i="55"/>
  <c r="U12" i="55"/>
  <c r="V12" i="55"/>
  <c r="W12" i="55"/>
  <c r="X12" i="55"/>
  <c r="Y12" i="55"/>
  <c r="Z12" i="55"/>
  <c r="AA12" i="55"/>
  <c r="O13" i="55"/>
  <c r="P13" i="55"/>
  <c r="Q13" i="55"/>
  <c r="R13" i="55"/>
  <c r="S13" i="55"/>
  <c r="T13" i="55"/>
  <c r="U13" i="55"/>
  <c r="V13" i="55"/>
  <c r="W13" i="55"/>
  <c r="X13" i="55"/>
  <c r="Y13" i="55"/>
  <c r="Z13" i="55"/>
  <c r="AA13" i="55"/>
  <c r="C10" i="55"/>
  <c r="D10" i="55"/>
  <c r="C9" i="55"/>
  <c r="C1" i="55"/>
  <c r="C2" i="55"/>
  <c r="C3" i="55"/>
  <c r="C4" i="55"/>
  <c r="C5" i="55"/>
  <c r="C6" i="55"/>
  <c r="C7" i="55"/>
  <c r="C8" i="55"/>
  <c r="E6" i="55"/>
  <c r="E4" i="55"/>
  <c r="B3" i="55"/>
  <c r="B120" i="51"/>
  <c r="B114" i="51"/>
  <c r="B115" i="51"/>
  <c r="B116" i="51"/>
  <c r="A111" i="51"/>
  <c r="AG108" i="51"/>
  <c r="AD108" i="51"/>
  <c r="O108" i="51"/>
  <c r="P108" i="51"/>
  <c r="Q108" i="51"/>
  <c r="R108" i="51"/>
  <c r="S108" i="51"/>
  <c r="T108" i="51"/>
  <c r="U108" i="51"/>
  <c r="V108" i="51"/>
  <c r="W108" i="51"/>
  <c r="X108" i="51"/>
  <c r="Y108" i="51"/>
  <c r="Z108" i="51"/>
  <c r="R109" i="51"/>
  <c r="S109" i="51"/>
  <c r="Z109" i="51"/>
  <c r="N105" i="51"/>
  <c r="N108" i="51" s="1"/>
  <c r="N106" i="51"/>
  <c r="N109" i="51" s="1"/>
  <c r="AA106" i="51"/>
  <c r="AI106" i="51" s="1"/>
  <c r="I105" i="51"/>
  <c r="AA105" i="51" s="1"/>
  <c r="J105" i="51"/>
  <c r="I106" i="51"/>
  <c r="J106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I103" i="51"/>
  <c r="AA103" i="51" s="1"/>
  <c r="J103" i="51"/>
  <c r="AH92" i="51"/>
  <c r="AH94" i="51"/>
  <c r="AH95" i="51"/>
  <c r="AH96" i="51"/>
  <c r="AI97" i="51"/>
  <c r="AH98" i="51"/>
  <c r="AI99" i="51"/>
  <c r="AH100" i="51"/>
  <c r="AL100" i="51"/>
  <c r="AH101" i="51"/>
  <c r="AH102" i="51"/>
  <c r="AE97" i="51"/>
  <c r="AE102" i="51"/>
  <c r="AA96" i="51"/>
  <c r="AA99" i="51"/>
  <c r="I92" i="51"/>
  <c r="J92" i="51"/>
  <c r="L92" i="51"/>
  <c r="M92" i="51"/>
  <c r="I93" i="51"/>
  <c r="AA93" i="51" s="1"/>
  <c r="J93" i="51"/>
  <c r="L93" i="51"/>
  <c r="M93" i="51"/>
  <c r="I94" i="51"/>
  <c r="AA94" i="51" s="1"/>
  <c r="J94" i="51"/>
  <c r="L94" i="51"/>
  <c r="M94" i="51"/>
  <c r="I95" i="51"/>
  <c r="AA95" i="51" s="1"/>
  <c r="J95" i="51"/>
  <c r="L95" i="51"/>
  <c r="M95" i="51"/>
  <c r="I96" i="51"/>
  <c r="J96" i="51"/>
  <c r="K96" i="51" s="1"/>
  <c r="L96" i="51"/>
  <c r="M96" i="51"/>
  <c r="I97" i="51"/>
  <c r="AA97" i="51" s="1"/>
  <c r="J97" i="51"/>
  <c r="L97" i="51"/>
  <c r="M97" i="51"/>
  <c r="I98" i="51"/>
  <c r="AA98" i="51" s="1"/>
  <c r="J98" i="51"/>
  <c r="L98" i="51"/>
  <c r="M98" i="51"/>
  <c r="I99" i="51"/>
  <c r="K99" i="51" s="1"/>
  <c r="J99" i="51"/>
  <c r="L99" i="51"/>
  <c r="M99" i="51"/>
  <c r="I100" i="51"/>
  <c r="J100" i="51"/>
  <c r="L100" i="51"/>
  <c r="M100" i="51"/>
  <c r="I101" i="51"/>
  <c r="AA101" i="51" s="1"/>
  <c r="J101" i="51"/>
  <c r="L101" i="51"/>
  <c r="M101" i="51"/>
  <c r="I102" i="51"/>
  <c r="AA102" i="51" s="1"/>
  <c r="J102" i="51"/>
  <c r="L102" i="51"/>
  <c r="M102" i="51"/>
  <c r="I91" i="51"/>
  <c r="J91" i="51"/>
  <c r="B88" i="51"/>
  <c r="B89" i="51"/>
  <c r="B83" i="51"/>
  <c r="B84" i="51"/>
  <c r="B85" i="51"/>
  <c r="A80" i="51"/>
  <c r="AH76" i="51"/>
  <c r="AH77" i="51"/>
  <c r="AH78" i="51"/>
  <c r="AH79" i="51"/>
  <c r="AL81" i="51"/>
  <c r="AH83" i="51"/>
  <c r="AL86" i="51"/>
  <c r="AE76" i="51"/>
  <c r="AE77" i="51"/>
  <c r="AE78" i="51"/>
  <c r="AE79" i="51"/>
  <c r="AF79" i="51"/>
  <c r="AE83" i="51"/>
  <c r="AA82" i="51"/>
  <c r="I76" i="51"/>
  <c r="K76" i="51" s="1"/>
  <c r="J76" i="51"/>
  <c r="L76" i="51"/>
  <c r="M76" i="51"/>
  <c r="N76" i="51"/>
  <c r="I77" i="51"/>
  <c r="AA77" i="51" s="1"/>
  <c r="AB77" i="51" s="1"/>
  <c r="J77" i="51"/>
  <c r="K77" i="51"/>
  <c r="L77" i="51"/>
  <c r="M77" i="51"/>
  <c r="N77" i="51"/>
  <c r="I78" i="51"/>
  <c r="AA78" i="51" s="1"/>
  <c r="AI78" i="51" s="1"/>
  <c r="J78" i="51"/>
  <c r="L78" i="51"/>
  <c r="M78" i="51"/>
  <c r="N78" i="51"/>
  <c r="I79" i="51"/>
  <c r="AA79" i="51" s="1"/>
  <c r="J79" i="51"/>
  <c r="K79" i="51"/>
  <c r="L79" i="51"/>
  <c r="M79" i="51"/>
  <c r="N79" i="51"/>
  <c r="I80" i="51"/>
  <c r="K80" i="51" s="1"/>
  <c r="J80" i="51"/>
  <c r="L80" i="51"/>
  <c r="M80" i="51"/>
  <c r="N80" i="51"/>
  <c r="I81" i="51"/>
  <c r="AA81" i="51" s="1"/>
  <c r="J81" i="51"/>
  <c r="K81" i="51"/>
  <c r="L81" i="51"/>
  <c r="M81" i="51"/>
  <c r="N81" i="51"/>
  <c r="I82" i="51"/>
  <c r="K82" i="51" s="1"/>
  <c r="J82" i="51"/>
  <c r="L82" i="51"/>
  <c r="M82" i="51"/>
  <c r="N82" i="51"/>
  <c r="I83" i="51"/>
  <c r="AA83" i="51" s="1"/>
  <c r="J83" i="51"/>
  <c r="L83" i="51"/>
  <c r="M83" i="51"/>
  <c r="N83" i="51"/>
  <c r="I84" i="51"/>
  <c r="K84" i="51" s="1"/>
  <c r="J84" i="51"/>
  <c r="L84" i="51"/>
  <c r="M84" i="51"/>
  <c r="N84" i="51"/>
  <c r="I85" i="51"/>
  <c r="AA85" i="51" s="1"/>
  <c r="J85" i="51"/>
  <c r="L85" i="51"/>
  <c r="M85" i="51"/>
  <c r="N85" i="51"/>
  <c r="I86" i="51"/>
  <c r="AA86" i="51" s="1"/>
  <c r="J86" i="51"/>
  <c r="K86" i="51"/>
  <c r="L86" i="51"/>
  <c r="M86" i="51"/>
  <c r="N86" i="51"/>
  <c r="I87" i="51"/>
  <c r="AA87" i="51" s="1"/>
  <c r="J87" i="51"/>
  <c r="K87" i="51"/>
  <c r="L87" i="51"/>
  <c r="M87" i="51"/>
  <c r="N87" i="51"/>
  <c r="I88" i="51"/>
  <c r="K88" i="51" s="1"/>
  <c r="J88" i="51"/>
  <c r="L88" i="51"/>
  <c r="M88" i="51"/>
  <c r="N88" i="51"/>
  <c r="I89" i="51"/>
  <c r="AA89" i="51" s="1"/>
  <c r="J89" i="51"/>
  <c r="L89" i="51"/>
  <c r="M89" i="51"/>
  <c r="N89" i="51"/>
  <c r="N74" i="51"/>
  <c r="N75" i="51"/>
  <c r="I74" i="51"/>
  <c r="J74" i="51"/>
  <c r="I75" i="51"/>
  <c r="J75" i="51"/>
  <c r="AD72" i="51"/>
  <c r="AK72" i="51" s="1"/>
  <c r="AG72" i="51"/>
  <c r="N72" i="51"/>
  <c r="O72" i="51"/>
  <c r="O109" i="51" s="1"/>
  <c r="P72" i="51"/>
  <c r="P109" i="51" s="1"/>
  <c r="Q72" i="51"/>
  <c r="Q109" i="51" s="1"/>
  <c r="R72" i="51"/>
  <c r="S72" i="51"/>
  <c r="T72" i="51"/>
  <c r="T109" i="51" s="1"/>
  <c r="U72" i="51"/>
  <c r="U109" i="51" s="1"/>
  <c r="V72" i="51"/>
  <c r="V109" i="51" s="1"/>
  <c r="W72" i="51"/>
  <c r="W109" i="51" s="1"/>
  <c r="X72" i="51"/>
  <c r="X109" i="51" s="1"/>
  <c r="Y72" i="51"/>
  <c r="Y109" i="51" s="1"/>
  <c r="Z72" i="51"/>
  <c r="AH71" i="51"/>
  <c r="AI71" i="51"/>
  <c r="AB62" i="51"/>
  <c r="AN62" i="51" s="1"/>
  <c r="AB63" i="51"/>
  <c r="AN63" i="51" s="1"/>
  <c r="AB64" i="51"/>
  <c r="AB65" i="51"/>
  <c r="AB66" i="51"/>
  <c r="AM66" i="51" s="1"/>
  <c r="AB67" i="51"/>
  <c r="AB68" i="51"/>
  <c r="AB69" i="51"/>
  <c r="AB70" i="51"/>
  <c r="AN70" i="51" s="1"/>
  <c r="AB71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I71" i="51"/>
  <c r="J71" i="51"/>
  <c r="K71" i="51"/>
  <c r="I72" i="51"/>
  <c r="J72" i="51"/>
  <c r="AA66" i="51"/>
  <c r="AI66" i="51" s="1"/>
  <c r="AH62" i="51"/>
  <c r="AK62" i="51"/>
  <c r="AH63" i="51"/>
  <c r="AL63" i="51"/>
  <c r="AH64" i="51"/>
  <c r="AK64" i="51"/>
  <c r="AN64" i="51"/>
  <c r="AH65" i="51"/>
  <c r="AN65" i="51" s="1"/>
  <c r="AM65" i="51"/>
  <c r="AH66" i="51"/>
  <c r="AN66" i="51" s="1"/>
  <c r="AH67" i="51"/>
  <c r="AN67" i="51" s="1"/>
  <c r="AH68" i="51"/>
  <c r="AH69" i="51"/>
  <c r="AK69" i="51"/>
  <c r="AL69" i="51"/>
  <c r="AH70" i="51"/>
  <c r="AL70" i="51"/>
  <c r="AE62" i="51"/>
  <c r="AM62" i="51" s="1"/>
  <c r="AE63" i="51"/>
  <c r="AE64" i="51"/>
  <c r="AE65" i="51"/>
  <c r="AE66" i="51"/>
  <c r="AE67" i="51"/>
  <c r="AM67" i="51" s="1"/>
  <c r="AE68" i="51"/>
  <c r="AE69" i="51"/>
  <c r="AE70" i="51"/>
  <c r="AM70" i="51" s="1"/>
  <c r="AE71" i="51"/>
  <c r="AF71" i="51"/>
  <c r="I62" i="51"/>
  <c r="AA62" i="51" s="1"/>
  <c r="J62" i="51"/>
  <c r="K62" i="51"/>
  <c r="L62" i="51"/>
  <c r="M62" i="51"/>
  <c r="I63" i="51"/>
  <c r="J63" i="51"/>
  <c r="L63" i="51"/>
  <c r="M63" i="51"/>
  <c r="I64" i="51"/>
  <c r="K64" i="51" s="1"/>
  <c r="J64" i="51"/>
  <c r="L64" i="51"/>
  <c r="M64" i="51"/>
  <c r="I65" i="51"/>
  <c r="AA65" i="51" s="1"/>
  <c r="J65" i="51"/>
  <c r="L65" i="51"/>
  <c r="M65" i="51"/>
  <c r="I66" i="51"/>
  <c r="J66" i="51"/>
  <c r="K66" i="51"/>
  <c r="L66" i="51"/>
  <c r="M66" i="51"/>
  <c r="I67" i="51"/>
  <c r="J67" i="51"/>
  <c r="L67" i="51"/>
  <c r="M67" i="51"/>
  <c r="I68" i="51"/>
  <c r="AA68" i="51" s="1"/>
  <c r="J68" i="51"/>
  <c r="K68" i="51"/>
  <c r="L68" i="51"/>
  <c r="M68" i="51"/>
  <c r="I69" i="51"/>
  <c r="AA69" i="51" s="1"/>
  <c r="J69" i="51"/>
  <c r="L69" i="51"/>
  <c r="M69" i="51"/>
  <c r="I70" i="51"/>
  <c r="J70" i="51"/>
  <c r="L70" i="51"/>
  <c r="M70" i="51"/>
  <c r="I60" i="51"/>
  <c r="J60" i="51"/>
  <c r="I61" i="51"/>
  <c r="J61" i="51"/>
  <c r="B55" i="51"/>
  <c r="B56" i="51"/>
  <c r="B50" i="51"/>
  <c r="B51" i="51"/>
  <c r="B52" i="51"/>
  <c r="A47" i="51"/>
  <c r="AH36" i="51"/>
  <c r="AH37" i="51"/>
  <c r="AL37" i="51"/>
  <c r="AH38" i="51"/>
  <c r="AK38" i="51"/>
  <c r="AL38" i="51"/>
  <c r="AH39" i="51"/>
  <c r="AL39" i="51"/>
  <c r="AL40" i="51"/>
  <c r="AH41" i="51"/>
  <c r="AH42" i="51"/>
  <c r="AH43" i="51"/>
  <c r="AH44" i="51"/>
  <c r="AK44" i="51"/>
  <c r="AH45" i="51"/>
  <c r="AH46" i="51"/>
  <c r="AK47" i="51"/>
  <c r="AH49" i="51"/>
  <c r="AH50" i="51"/>
  <c r="AH51" i="51"/>
  <c r="AH52" i="51"/>
  <c r="AK52" i="51"/>
  <c r="AH53" i="51"/>
  <c r="AK54" i="51"/>
  <c r="AL54" i="51"/>
  <c r="AH55" i="51"/>
  <c r="AL55" i="51"/>
  <c r="AH56" i="51"/>
  <c r="AH57" i="51"/>
  <c r="AH58" i="51"/>
  <c r="AE35" i="51"/>
  <c r="AE37" i="51"/>
  <c r="AE38" i="51"/>
  <c r="AE39" i="51"/>
  <c r="AE41" i="51"/>
  <c r="AE42" i="51"/>
  <c r="AE44" i="51"/>
  <c r="AE45" i="51"/>
  <c r="AE46" i="51"/>
  <c r="AE48" i="51"/>
  <c r="AE50" i="51"/>
  <c r="AE51" i="51"/>
  <c r="AE52" i="51"/>
  <c r="AE53" i="51"/>
  <c r="AE55" i="51"/>
  <c r="AE56" i="51"/>
  <c r="AA36" i="51"/>
  <c r="AF36" i="51" s="1"/>
  <c r="AB39" i="51"/>
  <c r="AN39" i="51" s="1"/>
  <c r="AA52" i="51"/>
  <c r="AF52" i="51" s="1"/>
  <c r="I35" i="51"/>
  <c r="J35" i="51"/>
  <c r="L35" i="51"/>
  <c r="M35" i="51"/>
  <c r="N35" i="51"/>
  <c r="I36" i="51"/>
  <c r="J36" i="51"/>
  <c r="K36" i="51"/>
  <c r="L36" i="51"/>
  <c r="M36" i="51"/>
  <c r="N36" i="51"/>
  <c r="I37" i="51"/>
  <c r="J37" i="51"/>
  <c r="L37" i="51"/>
  <c r="M37" i="51"/>
  <c r="N37" i="51"/>
  <c r="I38" i="51"/>
  <c r="K38" i="51" s="1"/>
  <c r="J38" i="51"/>
  <c r="L38" i="51"/>
  <c r="M38" i="51"/>
  <c r="N38" i="51"/>
  <c r="I39" i="51"/>
  <c r="AA39" i="51" s="1"/>
  <c r="J39" i="51"/>
  <c r="K39" i="51"/>
  <c r="L39" i="51"/>
  <c r="M39" i="51"/>
  <c r="N39" i="51"/>
  <c r="I40" i="51"/>
  <c r="AA40" i="51" s="1"/>
  <c r="AF40" i="51" s="1"/>
  <c r="J40" i="51"/>
  <c r="L40" i="51"/>
  <c r="M40" i="51"/>
  <c r="N40" i="51"/>
  <c r="I41" i="51"/>
  <c r="AA41" i="51" s="1"/>
  <c r="J41" i="51"/>
  <c r="K41" i="51"/>
  <c r="L41" i="51"/>
  <c r="M41" i="51"/>
  <c r="N41" i="51"/>
  <c r="I42" i="51"/>
  <c r="K42" i="51" s="1"/>
  <c r="J42" i="51"/>
  <c r="L42" i="51"/>
  <c r="M42" i="51"/>
  <c r="N42" i="51"/>
  <c r="I43" i="51"/>
  <c r="AA43" i="51" s="1"/>
  <c r="J43" i="51"/>
  <c r="K43" i="51"/>
  <c r="L43" i="51"/>
  <c r="M43" i="51"/>
  <c r="N43" i="51"/>
  <c r="I44" i="51"/>
  <c r="J44" i="51"/>
  <c r="L44" i="51"/>
  <c r="M44" i="51"/>
  <c r="N44" i="51"/>
  <c r="I45" i="51"/>
  <c r="AA45" i="51" s="1"/>
  <c r="J45" i="51"/>
  <c r="K45" i="51"/>
  <c r="L45" i="51"/>
  <c r="M45" i="51"/>
  <c r="N45" i="51"/>
  <c r="I46" i="51"/>
  <c r="K46" i="51" s="1"/>
  <c r="J46" i="51"/>
  <c r="L46" i="51"/>
  <c r="M46" i="51"/>
  <c r="N46" i="51"/>
  <c r="I47" i="51"/>
  <c r="AA47" i="51" s="1"/>
  <c r="J47" i="51"/>
  <c r="L47" i="51"/>
  <c r="M47" i="51"/>
  <c r="N47" i="51"/>
  <c r="I48" i="51"/>
  <c r="AA48" i="51" s="1"/>
  <c r="AF48" i="51" s="1"/>
  <c r="J48" i="51"/>
  <c r="K48" i="51"/>
  <c r="L48" i="51"/>
  <c r="M48" i="51"/>
  <c r="N48" i="51"/>
  <c r="I49" i="51"/>
  <c r="AA49" i="51" s="1"/>
  <c r="J49" i="51"/>
  <c r="K49" i="51"/>
  <c r="L49" i="51"/>
  <c r="M49" i="51"/>
  <c r="N49" i="51"/>
  <c r="I50" i="51"/>
  <c r="K50" i="51" s="1"/>
  <c r="J50" i="51"/>
  <c r="L50" i="51"/>
  <c r="M50" i="51"/>
  <c r="N50" i="51"/>
  <c r="I51" i="51"/>
  <c r="J51" i="51"/>
  <c r="L51" i="51"/>
  <c r="M51" i="51"/>
  <c r="N51" i="51"/>
  <c r="I52" i="51"/>
  <c r="J52" i="51"/>
  <c r="K52" i="51"/>
  <c r="L52" i="51"/>
  <c r="M52" i="51"/>
  <c r="N52" i="51"/>
  <c r="I53" i="51"/>
  <c r="J53" i="51"/>
  <c r="L53" i="51"/>
  <c r="M53" i="51"/>
  <c r="N53" i="51"/>
  <c r="I54" i="51"/>
  <c r="K54" i="51" s="1"/>
  <c r="J54" i="51"/>
  <c r="L54" i="51"/>
  <c r="M54" i="51"/>
  <c r="N54" i="51"/>
  <c r="I55" i="51"/>
  <c r="AA55" i="51" s="1"/>
  <c r="AB55" i="51" s="1"/>
  <c r="J55" i="51"/>
  <c r="K55" i="51"/>
  <c r="L55" i="51"/>
  <c r="M55" i="51"/>
  <c r="N55" i="51"/>
  <c r="I56" i="51"/>
  <c r="AA56" i="51" s="1"/>
  <c r="AF56" i="51" s="1"/>
  <c r="J56" i="51"/>
  <c r="K56" i="51"/>
  <c r="L56" i="51"/>
  <c r="M56" i="51"/>
  <c r="N56" i="51"/>
  <c r="I57" i="51"/>
  <c r="AA57" i="51" s="1"/>
  <c r="J57" i="51"/>
  <c r="K57" i="51"/>
  <c r="L57" i="51"/>
  <c r="M57" i="51"/>
  <c r="N57" i="51"/>
  <c r="I58" i="51"/>
  <c r="K58" i="51" s="1"/>
  <c r="J58" i="51"/>
  <c r="L58" i="51"/>
  <c r="M58" i="51"/>
  <c r="N58" i="51"/>
  <c r="N33" i="51"/>
  <c r="N34" i="51"/>
  <c r="I33" i="51"/>
  <c r="J33" i="51"/>
  <c r="I34" i="51"/>
  <c r="J34" i="51"/>
  <c r="AK32" i="51"/>
  <c r="AG32" i="51"/>
  <c r="AL32" i="51" s="1"/>
  <c r="AD32" i="51"/>
  <c r="O32" i="51"/>
  <c r="P32" i="51"/>
  <c r="Q32" i="51"/>
  <c r="R32" i="51"/>
  <c r="S32" i="51"/>
  <c r="T32" i="51"/>
  <c r="U32" i="51"/>
  <c r="V32" i="51"/>
  <c r="W32" i="51"/>
  <c r="X32" i="51"/>
  <c r="Y32" i="51"/>
  <c r="Z32" i="51"/>
  <c r="AJ32" i="51" s="1"/>
  <c r="AJ31" i="51"/>
  <c r="AK31" i="51"/>
  <c r="AM31" i="51" s="1"/>
  <c r="AL31" i="51"/>
  <c r="AN31" i="51" s="1"/>
  <c r="AG31" i="51"/>
  <c r="AD31" i="51"/>
  <c r="O31" i="51"/>
  <c r="P31" i="51"/>
  <c r="Q31" i="51"/>
  <c r="R31" i="51"/>
  <c r="S31" i="51"/>
  <c r="T31" i="51"/>
  <c r="U31" i="51"/>
  <c r="V31" i="51"/>
  <c r="W31" i="51"/>
  <c r="X31" i="51"/>
  <c r="Y31" i="51"/>
  <c r="Z31" i="51"/>
  <c r="AA31" i="51"/>
  <c r="N26" i="51"/>
  <c r="N27" i="51"/>
  <c r="N28" i="51"/>
  <c r="N29" i="51"/>
  <c r="B22" i="51"/>
  <c r="B23" i="51"/>
  <c r="AG16" i="51"/>
  <c r="AG19" i="51"/>
  <c r="AH106" i="51" s="1"/>
  <c r="AG20" i="51"/>
  <c r="AL98" i="51" s="1"/>
  <c r="AD19" i="51"/>
  <c r="AD20" i="51"/>
  <c r="AK97" i="51" s="1"/>
  <c r="G19" i="51"/>
  <c r="G20" i="51"/>
  <c r="N19" i="51"/>
  <c r="O19" i="51"/>
  <c r="P19" i="51"/>
  <c r="Q19" i="51"/>
  <c r="R19" i="51"/>
  <c r="S19" i="51"/>
  <c r="T19" i="51"/>
  <c r="U19" i="51"/>
  <c r="V19" i="51"/>
  <c r="W19" i="51"/>
  <c r="X19" i="51"/>
  <c r="Y19" i="51"/>
  <c r="Z19" i="51"/>
  <c r="N20" i="51"/>
  <c r="O20" i="51"/>
  <c r="P20" i="51"/>
  <c r="Q20" i="51"/>
  <c r="R20" i="51"/>
  <c r="S20" i="51"/>
  <c r="T20" i="51"/>
  <c r="U20" i="51"/>
  <c r="V20" i="51"/>
  <c r="W20" i="51"/>
  <c r="X20" i="51"/>
  <c r="Y20" i="51"/>
  <c r="Z20" i="51"/>
  <c r="B17" i="51"/>
  <c r="B18" i="51"/>
  <c r="B19" i="51"/>
  <c r="O16" i="51"/>
  <c r="P16" i="51"/>
  <c r="Q16" i="51"/>
  <c r="R16" i="51"/>
  <c r="S16" i="51"/>
  <c r="T16" i="51"/>
  <c r="U16" i="51"/>
  <c r="V16" i="51"/>
  <c r="W16" i="51"/>
  <c r="X16" i="51"/>
  <c r="Y16" i="51"/>
  <c r="Z16" i="51"/>
  <c r="O17" i="51"/>
  <c r="P17" i="51"/>
  <c r="Q17" i="51"/>
  <c r="R17" i="51"/>
  <c r="S17" i="51"/>
  <c r="T17" i="51"/>
  <c r="U17" i="51"/>
  <c r="V17" i="51"/>
  <c r="W17" i="51"/>
  <c r="X17" i="51"/>
  <c r="Y17" i="51"/>
  <c r="Z17" i="51"/>
  <c r="AA17" i="51" s="1"/>
  <c r="A14" i="51"/>
  <c r="AG12" i="51"/>
  <c r="AG13" i="51"/>
  <c r="AD12" i="51"/>
  <c r="AD13" i="51"/>
  <c r="B12" i="51"/>
  <c r="B13" i="51"/>
  <c r="O12" i="51"/>
  <c r="P12" i="51"/>
  <c r="Q12" i="51"/>
  <c r="R12" i="51"/>
  <c r="S12" i="51"/>
  <c r="T12" i="51"/>
  <c r="U12" i="51"/>
  <c r="V12" i="51"/>
  <c r="W12" i="51"/>
  <c r="X12" i="51"/>
  <c r="Y12" i="51"/>
  <c r="Z12" i="51"/>
  <c r="AA12" i="51"/>
  <c r="O13" i="51"/>
  <c r="P13" i="51"/>
  <c r="Q13" i="51"/>
  <c r="R13" i="51"/>
  <c r="S13" i="51"/>
  <c r="T13" i="51"/>
  <c r="U13" i="51"/>
  <c r="V13" i="51"/>
  <c r="W13" i="51"/>
  <c r="X13" i="51"/>
  <c r="Y13" i="51"/>
  <c r="Z13" i="51"/>
  <c r="AA13" i="51"/>
  <c r="AA11" i="51"/>
  <c r="C10" i="51"/>
  <c r="D10" i="51"/>
  <c r="AA16" i="51" s="1"/>
  <c r="C9" i="51"/>
  <c r="C1" i="51"/>
  <c r="C2" i="51"/>
  <c r="C3" i="51"/>
  <c r="C4" i="51"/>
  <c r="C5" i="51"/>
  <c r="C6" i="51"/>
  <c r="C7" i="51"/>
  <c r="C8" i="51"/>
  <c r="E6" i="51"/>
  <c r="E4" i="51"/>
  <c r="B3" i="51"/>
  <c r="H2" i="51"/>
  <c r="N1" i="51"/>
  <c r="N1" i="55" s="1"/>
  <c r="AG143" i="39"/>
  <c r="AG144" i="39"/>
  <c r="AG145" i="39"/>
  <c r="AG146" i="39"/>
  <c r="AD143" i="39"/>
  <c r="AD144" i="39"/>
  <c r="AD145" i="39"/>
  <c r="AD146" i="39"/>
  <c r="O143" i="39"/>
  <c r="P143" i="39"/>
  <c r="Q143" i="39"/>
  <c r="R143" i="39"/>
  <c r="S143" i="39"/>
  <c r="T143" i="39"/>
  <c r="U143" i="39"/>
  <c r="V143" i="39"/>
  <c r="W143" i="39"/>
  <c r="X143" i="39"/>
  <c r="Y143" i="39"/>
  <c r="Z143" i="39"/>
  <c r="O144" i="39"/>
  <c r="P144" i="39"/>
  <c r="Q144" i="39"/>
  <c r="R144" i="39"/>
  <c r="S144" i="39"/>
  <c r="T144" i="39"/>
  <c r="U144" i="39"/>
  <c r="V144" i="39"/>
  <c r="W144" i="39"/>
  <c r="X144" i="39"/>
  <c r="Y144" i="39"/>
  <c r="Z144" i="39"/>
  <c r="O145" i="39"/>
  <c r="P145" i="39"/>
  <c r="Q145" i="39"/>
  <c r="R145" i="39"/>
  <c r="S145" i="39"/>
  <c r="T145" i="39"/>
  <c r="U145" i="39"/>
  <c r="V145" i="39"/>
  <c r="W145" i="39"/>
  <c r="X145" i="39"/>
  <c r="Y145" i="39"/>
  <c r="Z145" i="39"/>
  <c r="O146" i="39"/>
  <c r="P146" i="39"/>
  <c r="Q146" i="39"/>
  <c r="R146" i="39"/>
  <c r="S146" i="39"/>
  <c r="T146" i="39"/>
  <c r="U146" i="39"/>
  <c r="V146" i="39"/>
  <c r="W146" i="39"/>
  <c r="X146" i="39"/>
  <c r="Y146" i="39"/>
  <c r="Z146" i="39"/>
  <c r="AI131" i="39"/>
  <c r="AI133" i="39"/>
  <c r="AI135" i="39"/>
  <c r="AI137" i="39"/>
  <c r="AI139" i="39"/>
  <c r="AG141" i="39"/>
  <c r="AD141" i="39"/>
  <c r="O141" i="39"/>
  <c r="P141" i="39"/>
  <c r="Q141" i="39"/>
  <c r="R141" i="39"/>
  <c r="S141" i="39"/>
  <c r="T141" i="39"/>
  <c r="U141" i="39"/>
  <c r="V141" i="39"/>
  <c r="W141" i="39"/>
  <c r="X141" i="39"/>
  <c r="Y141" i="39"/>
  <c r="Z141" i="39"/>
  <c r="AH140" i="39"/>
  <c r="AE140" i="39"/>
  <c r="AF140" i="39"/>
  <c r="AA140" i="39"/>
  <c r="AB140" i="39"/>
  <c r="AF131" i="39"/>
  <c r="AF132" i="39"/>
  <c r="AF133" i="39"/>
  <c r="AF135" i="39"/>
  <c r="AF137" i="39"/>
  <c r="AF139" i="39"/>
  <c r="AH138" i="39"/>
  <c r="AE138" i="39"/>
  <c r="AA138" i="39"/>
  <c r="AI138" i="39" s="1"/>
  <c r="AB138" i="39"/>
  <c r="AH136" i="39"/>
  <c r="AE136" i="39"/>
  <c r="AA136" i="39"/>
  <c r="AB136" i="39"/>
  <c r="AH134" i="39"/>
  <c r="AE134" i="39"/>
  <c r="AA134" i="39"/>
  <c r="AB134" i="39"/>
  <c r="AH132" i="39"/>
  <c r="AE132" i="39"/>
  <c r="AA132" i="39"/>
  <c r="AI132" i="39" s="1"/>
  <c r="AB132" i="39"/>
  <c r="AH130" i="39"/>
  <c r="AE130" i="39"/>
  <c r="AA130" i="39"/>
  <c r="AI130" i="39" s="1"/>
  <c r="AB130" i="39"/>
  <c r="L130" i="39"/>
  <c r="M130" i="39"/>
  <c r="N130" i="39"/>
  <c r="L131" i="39"/>
  <c r="M131" i="39"/>
  <c r="N131" i="39"/>
  <c r="L132" i="39"/>
  <c r="M132" i="39"/>
  <c r="N132" i="39"/>
  <c r="L133" i="39"/>
  <c r="M133" i="39"/>
  <c r="N133" i="39"/>
  <c r="L134" i="39"/>
  <c r="M134" i="39"/>
  <c r="N134" i="39"/>
  <c r="L135" i="39"/>
  <c r="M135" i="39"/>
  <c r="N135" i="39"/>
  <c r="L136" i="39"/>
  <c r="M136" i="39"/>
  <c r="N136" i="39"/>
  <c r="L137" i="39"/>
  <c r="M137" i="39"/>
  <c r="N137" i="39"/>
  <c r="L138" i="39"/>
  <c r="M138" i="39"/>
  <c r="N138" i="39"/>
  <c r="L139" i="39"/>
  <c r="M139" i="39"/>
  <c r="N139" i="39"/>
  <c r="L140" i="39"/>
  <c r="M140" i="39"/>
  <c r="N140" i="39"/>
  <c r="N129" i="39"/>
  <c r="AG121" i="39"/>
  <c r="AH121" i="39" s="1"/>
  <c r="AG122" i="39"/>
  <c r="AG123" i="39"/>
  <c r="AH123" i="39" s="1"/>
  <c r="AG124" i="39"/>
  <c r="AH124" i="39" s="1"/>
  <c r="AG125" i="39"/>
  <c r="AH125" i="39" s="1"/>
  <c r="AD121" i="39"/>
  <c r="AD122" i="39"/>
  <c r="AD123" i="39"/>
  <c r="AD124" i="39"/>
  <c r="AE124" i="39" s="1"/>
  <c r="AD125" i="39"/>
  <c r="AH122" i="39"/>
  <c r="AE123" i="39"/>
  <c r="L121" i="39"/>
  <c r="M121" i="39"/>
  <c r="N121" i="39"/>
  <c r="O121" i="39"/>
  <c r="P121" i="39"/>
  <c r="Q121" i="39"/>
  <c r="R121" i="39"/>
  <c r="S121" i="39"/>
  <c r="T121" i="39"/>
  <c r="U121" i="39"/>
  <c r="V121" i="39"/>
  <c r="W121" i="39"/>
  <c r="X121" i="39"/>
  <c r="Y121" i="39"/>
  <c r="Y126" i="39" s="1"/>
  <c r="Y127" i="39" s="1"/>
  <c r="Z121" i="39"/>
  <c r="L122" i="39"/>
  <c r="M122" i="39"/>
  <c r="N122" i="39"/>
  <c r="O122" i="39"/>
  <c r="P122" i="39"/>
  <c r="Q122" i="39"/>
  <c r="R122" i="39"/>
  <c r="S122" i="39"/>
  <c r="T122" i="39"/>
  <c r="U122" i="39"/>
  <c r="V122" i="39"/>
  <c r="W122" i="39"/>
  <c r="X122" i="39"/>
  <c r="Y122" i="39"/>
  <c r="Z122" i="39"/>
  <c r="L123" i="39"/>
  <c r="M123" i="39"/>
  <c r="N123" i="39"/>
  <c r="O123" i="39"/>
  <c r="P123" i="39"/>
  <c r="Q123" i="39"/>
  <c r="R123" i="39"/>
  <c r="S123" i="39"/>
  <c r="T123" i="39"/>
  <c r="U123" i="39"/>
  <c r="V123" i="39"/>
  <c r="W123" i="39"/>
  <c r="X123" i="39"/>
  <c r="Y123" i="39"/>
  <c r="Z123" i="39"/>
  <c r="L124" i="39"/>
  <c r="M124" i="39"/>
  <c r="N124" i="39"/>
  <c r="O124" i="39"/>
  <c r="AA124" i="39" s="1"/>
  <c r="P124" i="39"/>
  <c r="Q124" i="39"/>
  <c r="R124" i="39"/>
  <c r="S124" i="39"/>
  <c r="T124" i="39"/>
  <c r="U124" i="39"/>
  <c r="V124" i="39"/>
  <c r="W124" i="39"/>
  <c r="X124" i="39"/>
  <c r="Y124" i="39"/>
  <c r="Z124" i="39"/>
  <c r="L125" i="39"/>
  <c r="M125" i="39"/>
  <c r="N125" i="39"/>
  <c r="O125" i="39"/>
  <c r="P125" i="39"/>
  <c r="Q125" i="39"/>
  <c r="R125" i="39"/>
  <c r="S125" i="39"/>
  <c r="T125" i="39"/>
  <c r="U125" i="39"/>
  <c r="V125" i="39"/>
  <c r="W125" i="39"/>
  <c r="X125" i="39"/>
  <c r="Y125" i="39"/>
  <c r="Z125" i="39"/>
  <c r="L126" i="39"/>
  <c r="M126" i="39"/>
  <c r="N126" i="39"/>
  <c r="Q126" i="39"/>
  <c r="Q127" i="39" s="1"/>
  <c r="AH114" i="39"/>
  <c r="AI114" i="39"/>
  <c r="AH115" i="39"/>
  <c r="AH116" i="39"/>
  <c r="AH117" i="39"/>
  <c r="AI117" i="39"/>
  <c r="AH118" i="39"/>
  <c r="AI118" i="39"/>
  <c r="AH119" i="39"/>
  <c r="AE114" i="39"/>
  <c r="AF114" i="39"/>
  <c r="AE118" i="39"/>
  <c r="AF118" i="39"/>
  <c r="AA114" i="39"/>
  <c r="AA115" i="39"/>
  <c r="AA116" i="39"/>
  <c r="AA117" i="39"/>
  <c r="AF117" i="39" s="1"/>
  <c r="AA118" i="39"/>
  <c r="AB118" i="39"/>
  <c r="AA119" i="39"/>
  <c r="L114" i="39"/>
  <c r="M114" i="39"/>
  <c r="N114" i="39"/>
  <c r="L115" i="39"/>
  <c r="M115" i="39"/>
  <c r="N115" i="39"/>
  <c r="L116" i="39"/>
  <c r="M116" i="39"/>
  <c r="N116" i="39"/>
  <c r="L117" i="39"/>
  <c r="M117" i="39"/>
  <c r="N117" i="39"/>
  <c r="L118" i="39"/>
  <c r="M118" i="39"/>
  <c r="N118" i="39"/>
  <c r="L119" i="39"/>
  <c r="M119" i="39"/>
  <c r="N119" i="39"/>
  <c r="AH106" i="39"/>
  <c r="AI106" i="39"/>
  <c r="AH107" i="39"/>
  <c r="AH108" i="39"/>
  <c r="AH109" i="39"/>
  <c r="AH110" i="39"/>
  <c r="AI110" i="39"/>
  <c r="AH111" i="39"/>
  <c r="AI111" i="39"/>
  <c r="AE106" i="39"/>
  <c r="AF107" i="39"/>
  <c r="AF110" i="39"/>
  <c r="AF111" i="39"/>
  <c r="AA106" i="39"/>
  <c r="AF106" i="39" s="1"/>
  <c r="AA107" i="39"/>
  <c r="AI107" i="39" s="1"/>
  <c r="AA108" i="39"/>
  <c r="AA109" i="39"/>
  <c r="AA110" i="39"/>
  <c r="AB110" i="39"/>
  <c r="AA111" i="39"/>
  <c r="L106" i="39"/>
  <c r="M106" i="39"/>
  <c r="N106" i="39"/>
  <c r="L107" i="39"/>
  <c r="M107" i="39"/>
  <c r="N107" i="39"/>
  <c r="L108" i="39"/>
  <c r="M108" i="39"/>
  <c r="N108" i="39"/>
  <c r="L109" i="39"/>
  <c r="M109" i="39"/>
  <c r="N109" i="39"/>
  <c r="L110" i="39"/>
  <c r="M110" i="39"/>
  <c r="N110" i="39"/>
  <c r="L111" i="39"/>
  <c r="M111" i="39"/>
  <c r="N111" i="39"/>
  <c r="AH98" i="39"/>
  <c r="AH99" i="39"/>
  <c r="AI99" i="39"/>
  <c r="AH100" i="39"/>
  <c r="AI100" i="39"/>
  <c r="AH101" i="39"/>
  <c r="AH102" i="39"/>
  <c r="AH103" i="39"/>
  <c r="AF99" i="39"/>
  <c r="AF100" i="39"/>
  <c r="AF103" i="39"/>
  <c r="AA98" i="39"/>
  <c r="AA99" i="39"/>
  <c r="AA100" i="39"/>
  <c r="AA101" i="39"/>
  <c r="AA102" i="39"/>
  <c r="AA103" i="39"/>
  <c r="AI103" i="39" s="1"/>
  <c r="L98" i="39"/>
  <c r="M98" i="39"/>
  <c r="N98" i="39"/>
  <c r="L99" i="39"/>
  <c r="M99" i="39"/>
  <c r="N99" i="39"/>
  <c r="L100" i="39"/>
  <c r="M100" i="39"/>
  <c r="N100" i="39"/>
  <c r="L101" i="39"/>
  <c r="M101" i="39"/>
  <c r="N101" i="39"/>
  <c r="L102" i="39"/>
  <c r="M102" i="39"/>
  <c r="N102" i="39"/>
  <c r="L103" i="39"/>
  <c r="M103" i="39"/>
  <c r="N103" i="39"/>
  <c r="AD93" i="39"/>
  <c r="AD94" i="39"/>
  <c r="AG93" i="39"/>
  <c r="AG94" i="39"/>
  <c r="O93" i="39"/>
  <c r="P93" i="39"/>
  <c r="Q93" i="39"/>
  <c r="R93" i="39"/>
  <c r="S93" i="39"/>
  <c r="T93" i="39"/>
  <c r="U93" i="39"/>
  <c r="V93" i="39"/>
  <c r="W93" i="39"/>
  <c r="X93" i="39"/>
  <c r="Y93" i="39"/>
  <c r="Z93" i="39"/>
  <c r="O94" i="39"/>
  <c r="P94" i="39"/>
  <c r="Q94" i="39"/>
  <c r="R94" i="39"/>
  <c r="S94" i="39"/>
  <c r="T94" i="39"/>
  <c r="U94" i="39"/>
  <c r="V94" i="39"/>
  <c r="W94" i="39"/>
  <c r="X94" i="39"/>
  <c r="Y94" i="39"/>
  <c r="Z94" i="39"/>
  <c r="AA91" i="39"/>
  <c r="AA92" i="39"/>
  <c r="AF92" i="39" s="1"/>
  <c r="N91" i="39"/>
  <c r="N92" i="39"/>
  <c r="I91" i="39"/>
  <c r="J91" i="39"/>
  <c r="I92" i="39"/>
  <c r="J92" i="39"/>
  <c r="AF86" i="39"/>
  <c r="AA35" i="39"/>
  <c r="AI35" i="39" s="1"/>
  <c r="AA36" i="39"/>
  <c r="AA37" i="39"/>
  <c r="AF37" i="39" s="1"/>
  <c r="AA38" i="39"/>
  <c r="AA39" i="39"/>
  <c r="AA40" i="39"/>
  <c r="AI40" i="39" s="1"/>
  <c r="AA41" i="39"/>
  <c r="AA45" i="39"/>
  <c r="AA46" i="39"/>
  <c r="AA47" i="39"/>
  <c r="AA48" i="39"/>
  <c r="AI48" i="39" s="1"/>
  <c r="AA49" i="39"/>
  <c r="AA50" i="39"/>
  <c r="AF50" i="39" s="1"/>
  <c r="AA51" i="39"/>
  <c r="AA55" i="39"/>
  <c r="AA56" i="39"/>
  <c r="AA57" i="39"/>
  <c r="AA58" i="39"/>
  <c r="AI58" i="39" s="1"/>
  <c r="AA59" i="39"/>
  <c r="AA60" i="39"/>
  <c r="AA61" i="39"/>
  <c r="AA63" i="39"/>
  <c r="AA65" i="39"/>
  <c r="AI65" i="39" s="1"/>
  <c r="AA66" i="39"/>
  <c r="AA67" i="39"/>
  <c r="AA68" i="39"/>
  <c r="AA69" i="39"/>
  <c r="AA70" i="39"/>
  <c r="AI70" i="39" s="1"/>
  <c r="AA71" i="39"/>
  <c r="AA75" i="39"/>
  <c r="AF75" i="39" s="1"/>
  <c r="AA76" i="39"/>
  <c r="AI76" i="39" s="1"/>
  <c r="AA77" i="39"/>
  <c r="AA78" i="39"/>
  <c r="AF78" i="39" s="1"/>
  <c r="AA79" i="39"/>
  <c r="AA80" i="39"/>
  <c r="AB80" i="39" s="1"/>
  <c r="AA83" i="39"/>
  <c r="AI83" i="39" s="1"/>
  <c r="AA85" i="39"/>
  <c r="AA86" i="39"/>
  <c r="AI86" i="39" s="1"/>
  <c r="AA87" i="39"/>
  <c r="N85" i="39"/>
  <c r="N143" i="39" s="1"/>
  <c r="N86" i="39"/>
  <c r="N87" i="39"/>
  <c r="N144" i="39" s="1"/>
  <c r="N88" i="39"/>
  <c r="N145" i="39" s="1"/>
  <c r="AH87" i="39"/>
  <c r="AH83" i="39"/>
  <c r="AH85" i="39"/>
  <c r="AE83" i="39"/>
  <c r="AE85" i="39"/>
  <c r="L85" i="39"/>
  <c r="M85" i="39"/>
  <c r="L86" i="39"/>
  <c r="M86" i="39"/>
  <c r="L87" i="39"/>
  <c r="M87" i="39"/>
  <c r="I85" i="39"/>
  <c r="J85" i="39"/>
  <c r="I86" i="39"/>
  <c r="J86" i="39"/>
  <c r="I87" i="39"/>
  <c r="J87" i="39"/>
  <c r="I88" i="39"/>
  <c r="J88" i="39"/>
  <c r="P84" i="39"/>
  <c r="V84" i="39"/>
  <c r="X84" i="39"/>
  <c r="Z84" i="39"/>
  <c r="AB83" i="39"/>
  <c r="L83" i="39"/>
  <c r="M83" i="39"/>
  <c r="N83" i="39"/>
  <c r="I83" i="39"/>
  <c r="J83" i="39"/>
  <c r="AG82" i="39"/>
  <c r="AH84" i="39" s="1"/>
  <c r="AD82" i="39"/>
  <c r="AE84" i="39" s="1"/>
  <c r="O82" i="39"/>
  <c r="O84" i="39" s="1"/>
  <c r="P82" i="39"/>
  <c r="Q82" i="39"/>
  <c r="Q84" i="39" s="1"/>
  <c r="R82" i="39"/>
  <c r="R84" i="39" s="1"/>
  <c r="S82" i="39"/>
  <c r="S84" i="39" s="1"/>
  <c r="T82" i="39"/>
  <c r="T84" i="39" s="1"/>
  <c r="U82" i="39"/>
  <c r="U84" i="39" s="1"/>
  <c r="V82" i="39"/>
  <c r="W82" i="39"/>
  <c r="W84" i="39" s="1"/>
  <c r="X82" i="39"/>
  <c r="Y82" i="39"/>
  <c r="Y84" i="39" s="1"/>
  <c r="Z82" i="39"/>
  <c r="AI75" i="39"/>
  <c r="AI80" i="39"/>
  <c r="AH75" i="39"/>
  <c r="AH76" i="39"/>
  <c r="AH77" i="39"/>
  <c r="AH78" i="39"/>
  <c r="AH79" i="39"/>
  <c r="AH80" i="39"/>
  <c r="AE76" i="39"/>
  <c r="AE80" i="39"/>
  <c r="AB78" i="39"/>
  <c r="L75" i="39"/>
  <c r="M75" i="39"/>
  <c r="N75" i="39"/>
  <c r="L76" i="39"/>
  <c r="M76" i="39"/>
  <c r="N76" i="39"/>
  <c r="L77" i="39"/>
  <c r="M77" i="39"/>
  <c r="N77" i="39"/>
  <c r="L78" i="39"/>
  <c r="M78" i="39"/>
  <c r="N78" i="39"/>
  <c r="L79" i="39"/>
  <c r="M79" i="39"/>
  <c r="N79" i="39"/>
  <c r="L80" i="39"/>
  <c r="M80" i="39"/>
  <c r="N80" i="39"/>
  <c r="L81" i="39"/>
  <c r="M81" i="39"/>
  <c r="N81" i="39"/>
  <c r="I75" i="39"/>
  <c r="J75" i="39"/>
  <c r="I76" i="39"/>
  <c r="J76" i="39"/>
  <c r="I77" i="39"/>
  <c r="J77" i="39"/>
  <c r="I78" i="39"/>
  <c r="J78" i="39"/>
  <c r="I79" i="39"/>
  <c r="J79" i="39"/>
  <c r="I80" i="39"/>
  <c r="J80" i="39"/>
  <c r="I81" i="39"/>
  <c r="J81" i="39"/>
  <c r="AG73" i="39"/>
  <c r="AH74" i="39" s="1"/>
  <c r="AD73" i="39"/>
  <c r="AE74" i="39" s="1"/>
  <c r="O73" i="39"/>
  <c r="O74" i="39" s="1"/>
  <c r="P73" i="39"/>
  <c r="P74" i="39" s="1"/>
  <c r="Q73" i="39"/>
  <c r="R73" i="39"/>
  <c r="R74" i="39" s="1"/>
  <c r="S73" i="39"/>
  <c r="S74" i="39" s="1"/>
  <c r="T73" i="39"/>
  <c r="U73" i="39"/>
  <c r="U74" i="39" s="1"/>
  <c r="V73" i="39"/>
  <c r="V74" i="39" s="1"/>
  <c r="W73" i="39"/>
  <c r="W74" i="39" s="1"/>
  <c r="X73" i="39"/>
  <c r="X74" i="39" s="1"/>
  <c r="Y73" i="39"/>
  <c r="Y74" i="39" s="1"/>
  <c r="Z73" i="39"/>
  <c r="Z74" i="39" s="1"/>
  <c r="Q74" i="39"/>
  <c r="T74" i="39"/>
  <c r="AI66" i="39"/>
  <c r="AI67" i="39"/>
  <c r="AF66" i="39"/>
  <c r="AF67" i="39"/>
  <c r="AF70" i="39"/>
  <c r="AH71" i="39"/>
  <c r="AE71" i="39"/>
  <c r="AH65" i="39"/>
  <c r="AH66" i="39"/>
  <c r="AH67" i="39"/>
  <c r="AH68" i="39"/>
  <c r="AH69" i="39"/>
  <c r="AE69" i="39"/>
  <c r="L65" i="39"/>
  <c r="M65" i="39"/>
  <c r="N65" i="39"/>
  <c r="L66" i="39"/>
  <c r="M66" i="39"/>
  <c r="N66" i="39"/>
  <c r="L67" i="39"/>
  <c r="M67" i="39"/>
  <c r="N67" i="39"/>
  <c r="L68" i="39"/>
  <c r="M68" i="39"/>
  <c r="N68" i="39"/>
  <c r="L69" i="39"/>
  <c r="M69" i="39"/>
  <c r="N69" i="39"/>
  <c r="L70" i="39"/>
  <c r="M70" i="39"/>
  <c r="N70" i="39"/>
  <c r="L71" i="39"/>
  <c r="M71" i="39"/>
  <c r="N71" i="39"/>
  <c r="L72" i="39"/>
  <c r="M72" i="39"/>
  <c r="N72" i="39"/>
  <c r="I65" i="39"/>
  <c r="J65" i="39"/>
  <c r="I66" i="39"/>
  <c r="J66" i="39"/>
  <c r="I67" i="39"/>
  <c r="J67" i="39"/>
  <c r="I68" i="39"/>
  <c r="J68" i="39"/>
  <c r="I69" i="39"/>
  <c r="J69" i="39"/>
  <c r="I70" i="39"/>
  <c r="J70" i="39"/>
  <c r="I71" i="39"/>
  <c r="J71" i="39"/>
  <c r="I72" i="39"/>
  <c r="J72" i="39"/>
  <c r="AG63" i="39"/>
  <c r="AH64" i="39" s="1"/>
  <c r="AD63" i="39"/>
  <c r="AE64" i="39" s="1"/>
  <c r="O63" i="39"/>
  <c r="O64" i="39" s="1"/>
  <c r="P63" i="39"/>
  <c r="P64" i="39" s="1"/>
  <c r="Q63" i="39"/>
  <c r="Q64" i="39" s="1"/>
  <c r="R63" i="39"/>
  <c r="R64" i="39" s="1"/>
  <c r="S63" i="39"/>
  <c r="T63" i="39"/>
  <c r="U63" i="39"/>
  <c r="U64" i="39" s="1"/>
  <c r="V63" i="39"/>
  <c r="V64" i="39" s="1"/>
  <c r="W63" i="39"/>
  <c r="W64" i="39" s="1"/>
  <c r="X63" i="39"/>
  <c r="X64" i="39" s="1"/>
  <c r="Y63" i="39"/>
  <c r="Y64" i="39" s="1"/>
  <c r="Z63" i="39"/>
  <c r="Z64" i="39" s="1"/>
  <c r="S64" i="39"/>
  <c r="T64" i="39"/>
  <c r="AI56" i="39"/>
  <c r="AI57" i="39"/>
  <c r="AI59" i="39"/>
  <c r="AI60" i="39"/>
  <c r="AI61" i="39"/>
  <c r="AF56" i="39"/>
  <c r="AF57" i="39"/>
  <c r="AF59" i="39"/>
  <c r="AF60" i="39"/>
  <c r="AF61" i="39"/>
  <c r="AH61" i="39"/>
  <c r="AE61" i="39"/>
  <c r="AH55" i="39"/>
  <c r="AH56" i="39"/>
  <c r="AH57" i="39"/>
  <c r="AH58" i="39"/>
  <c r="AH59" i="39"/>
  <c r="AE54" i="39"/>
  <c r="AE58" i="39"/>
  <c r="AE59" i="39"/>
  <c r="L55" i="39"/>
  <c r="M55" i="39"/>
  <c r="N55" i="39"/>
  <c r="L56" i="39"/>
  <c r="M56" i="39"/>
  <c r="N56" i="39"/>
  <c r="L57" i="39"/>
  <c r="M57" i="39"/>
  <c r="N57" i="39"/>
  <c r="L58" i="39"/>
  <c r="M58" i="39"/>
  <c r="N58" i="39"/>
  <c r="L59" i="39"/>
  <c r="M59" i="39"/>
  <c r="N59" i="39"/>
  <c r="L60" i="39"/>
  <c r="M60" i="39"/>
  <c r="N60" i="39"/>
  <c r="L61" i="39"/>
  <c r="M61" i="39"/>
  <c r="N61" i="39"/>
  <c r="L62" i="39"/>
  <c r="M62" i="39"/>
  <c r="N62" i="39"/>
  <c r="I55" i="39"/>
  <c r="J55" i="39"/>
  <c r="I56" i="39"/>
  <c r="J56" i="39"/>
  <c r="I57" i="39"/>
  <c r="J57" i="39"/>
  <c r="I58" i="39"/>
  <c r="J58" i="39"/>
  <c r="I59" i="39"/>
  <c r="J59" i="39"/>
  <c r="I60" i="39"/>
  <c r="J60" i="39"/>
  <c r="I61" i="39"/>
  <c r="J61" i="39"/>
  <c r="I62" i="39"/>
  <c r="J62" i="39"/>
  <c r="AG53" i="39"/>
  <c r="AH54" i="39" s="1"/>
  <c r="AD53" i="39"/>
  <c r="O53" i="39"/>
  <c r="O54" i="39" s="1"/>
  <c r="P53" i="39"/>
  <c r="P54" i="39" s="1"/>
  <c r="Q53" i="39"/>
  <c r="Q54" i="39" s="1"/>
  <c r="R53" i="39"/>
  <c r="R54" i="39" s="1"/>
  <c r="S53" i="39"/>
  <c r="T53" i="39"/>
  <c r="U53" i="39"/>
  <c r="V53" i="39"/>
  <c r="W53" i="39"/>
  <c r="W54" i="39" s="1"/>
  <c r="X53" i="39"/>
  <c r="X54" i="39" s="1"/>
  <c r="Y53" i="39"/>
  <c r="Y54" i="39" s="1"/>
  <c r="Z53" i="39"/>
  <c r="Z54" i="39" s="1"/>
  <c r="S54" i="39"/>
  <c r="T54" i="39"/>
  <c r="U54" i="39"/>
  <c r="V54" i="39"/>
  <c r="AI46" i="39"/>
  <c r="AI50" i="39"/>
  <c r="AI51" i="39"/>
  <c r="AF46" i="39"/>
  <c r="AF51" i="39"/>
  <c r="AH51" i="39"/>
  <c r="AE51" i="39"/>
  <c r="AH45" i="39"/>
  <c r="AH46" i="39"/>
  <c r="AH47" i="39"/>
  <c r="AH48" i="39"/>
  <c r="AH49" i="39"/>
  <c r="L45" i="39"/>
  <c r="M45" i="39"/>
  <c r="N45" i="39"/>
  <c r="L46" i="39"/>
  <c r="M46" i="39"/>
  <c r="N46" i="39"/>
  <c r="L47" i="39"/>
  <c r="M47" i="39"/>
  <c r="N47" i="39"/>
  <c r="L48" i="39"/>
  <c r="M48" i="39"/>
  <c r="N48" i="39"/>
  <c r="L49" i="39"/>
  <c r="M49" i="39"/>
  <c r="N49" i="39"/>
  <c r="L50" i="39"/>
  <c r="M50" i="39"/>
  <c r="N50" i="39"/>
  <c r="L51" i="39"/>
  <c r="M51" i="39"/>
  <c r="N51" i="39"/>
  <c r="L52" i="39"/>
  <c r="M52" i="39"/>
  <c r="N52" i="39"/>
  <c r="I45" i="39"/>
  <c r="J45" i="39"/>
  <c r="I46" i="39"/>
  <c r="J46" i="39"/>
  <c r="I47" i="39"/>
  <c r="J47" i="39"/>
  <c r="I48" i="39"/>
  <c r="J48" i="39"/>
  <c r="I49" i="39"/>
  <c r="J49" i="39"/>
  <c r="I50" i="39"/>
  <c r="J50" i="39"/>
  <c r="I51" i="39"/>
  <c r="J51" i="39"/>
  <c r="I52" i="39"/>
  <c r="J52" i="39"/>
  <c r="AG43" i="39"/>
  <c r="AH44" i="39" s="1"/>
  <c r="AD43" i="39"/>
  <c r="AE44" i="39" s="1"/>
  <c r="O43" i="39"/>
  <c r="P43" i="39"/>
  <c r="P44" i="39" s="1"/>
  <c r="Q43" i="39"/>
  <c r="Q44" i="39" s="1"/>
  <c r="R43" i="39"/>
  <c r="R44" i="39" s="1"/>
  <c r="S43" i="39"/>
  <c r="S44" i="39" s="1"/>
  <c r="T43" i="39"/>
  <c r="U43" i="39"/>
  <c r="V43" i="39"/>
  <c r="W43" i="39"/>
  <c r="X43" i="39"/>
  <c r="X44" i="39" s="1"/>
  <c r="Y43" i="39"/>
  <c r="Y44" i="39" s="1"/>
  <c r="Z43" i="39"/>
  <c r="Z44" i="39" s="1"/>
  <c r="O44" i="39"/>
  <c r="T44" i="39"/>
  <c r="U44" i="39"/>
  <c r="V44" i="39"/>
  <c r="W44" i="39"/>
  <c r="AI36" i="39"/>
  <c r="AI37" i="39"/>
  <c r="AI41" i="39"/>
  <c r="AF35" i="39"/>
  <c r="AF36" i="39"/>
  <c r="AF41" i="39"/>
  <c r="AH41" i="39"/>
  <c r="AE41" i="39"/>
  <c r="AH35" i="39"/>
  <c r="AH36" i="39"/>
  <c r="AH37" i="39"/>
  <c r="AH38" i="39"/>
  <c r="AH39" i="39"/>
  <c r="AE35" i="39"/>
  <c r="L35" i="39"/>
  <c r="M35" i="39"/>
  <c r="N35" i="39"/>
  <c r="L36" i="39"/>
  <c r="M36" i="39"/>
  <c r="N36" i="39"/>
  <c r="L37" i="39"/>
  <c r="M37" i="39"/>
  <c r="N37" i="39"/>
  <c r="L38" i="39"/>
  <c r="M38" i="39"/>
  <c r="N38" i="39"/>
  <c r="L39" i="39"/>
  <c r="M39" i="39"/>
  <c r="N39" i="39"/>
  <c r="L40" i="39"/>
  <c r="M40" i="39"/>
  <c r="N40" i="39"/>
  <c r="L41" i="39"/>
  <c r="M41" i="39"/>
  <c r="N41" i="39"/>
  <c r="L42" i="39"/>
  <c r="M42" i="39"/>
  <c r="N42" i="39"/>
  <c r="I35" i="39"/>
  <c r="J35" i="39"/>
  <c r="I36" i="39"/>
  <c r="J36" i="39"/>
  <c r="I37" i="39"/>
  <c r="J37" i="39"/>
  <c r="I38" i="39"/>
  <c r="J38" i="39"/>
  <c r="I39" i="39"/>
  <c r="J39" i="39"/>
  <c r="I40" i="39"/>
  <c r="J40" i="39"/>
  <c r="I41" i="39"/>
  <c r="J41" i="39"/>
  <c r="I42" i="39"/>
  <c r="J42" i="39"/>
  <c r="AG32" i="39"/>
  <c r="AD32" i="39"/>
  <c r="O32" i="39"/>
  <c r="P32" i="39"/>
  <c r="Q32" i="39"/>
  <c r="R32" i="39"/>
  <c r="S32" i="39"/>
  <c r="T32" i="39"/>
  <c r="U32" i="39"/>
  <c r="V32" i="39"/>
  <c r="W32" i="39"/>
  <c r="X32" i="39"/>
  <c r="Y32" i="39"/>
  <c r="Z32" i="39"/>
  <c r="AG31" i="39"/>
  <c r="AD31" i="39"/>
  <c r="O31" i="39"/>
  <c r="P31" i="39"/>
  <c r="Q31" i="39"/>
  <c r="R31" i="39"/>
  <c r="S31" i="39"/>
  <c r="T31" i="39"/>
  <c r="U31" i="39"/>
  <c r="V31" i="39"/>
  <c r="W31" i="39"/>
  <c r="X31" i="39"/>
  <c r="Y31" i="39"/>
  <c r="Z31" i="39"/>
  <c r="AA31" i="39"/>
  <c r="N26" i="39"/>
  <c r="N27" i="39"/>
  <c r="N28" i="39"/>
  <c r="N29" i="39"/>
  <c r="B23" i="39"/>
  <c r="AG16" i="39"/>
  <c r="AG19" i="39"/>
  <c r="AG20" i="39"/>
  <c r="AD19" i="39"/>
  <c r="AE111" i="39" s="1"/>
  <c r="AD20" i="39"/>
  <c r="AE87" i="39" s="1"/>
  <c r="G19" i="39"/>
  <c r="G20" i="39"/>
  <c r="N19" i="39"/>
  <c r="O19" i="39"/>
  <c r="P19" i="39"/>
  <c r="Q19" i="39"/>
  <c r="R19" i="39"/>
  <c r="S19" i="39"/>
  <c r="T19" i="39"/>
  <c r="U19" i="39"/>
  <c r="V19" i="39"/>
  <c r="W19" i="39"/>
  <c r="X19" i="39"/>
  <c r="Y19" i="39"/>
  <c r="Z19" i="39"/>
  <c r="N20" i="39"/>
  <c r="O20" i="39"/>
  <c r="P20" i="39"/>
  <c r="Q20" i="39"/>
  <c r="R20" i="39"/>
  <c r="S20" i="39"/>
  <c r="T20" i="39"/>
  <c r="U20" i="39"/>
  <c r="V20" i="39"/>
  <c r="W20" i="39"/>
  <c r="X20" i="39"/>
  <c r="Y20" i="39"/>
  <c r="Z20" i="39"/>
  <c r="B17" i="39"/>
  <c r="B18" i="39"/>
  <c r="B19" i="39"/>
  <c r="O16" i="39"/>
  <c r="P16" i="39"/>
  <c r="Q16" i="39"/>
  <c r="R16" i="39"/>
  <c r="S16" i="39"/>
  <c r="T16" i="39"/>
  <c r="U16" i="39"/>
  <c r="V16" i="39"/>
  <c r="W16" i="39"/>
  <c r="X16" i="39"/>
  <c r="Y16" i="39"/>
  <c r="O17" i="39"/>
  <c r="P17" i="39"/>
  <c r="Q17" i="39"/>
  <c r="R17" i="39"/>
  <c r="S17" i="39"/>
  <c r="T17" i="39"/>
  <c r="U17" i="39"/>
  <c r="V17" i="39"/>
  <c r="W17" i="39"/>
  <c r="X17" i="39"/>
  <c r="Y17" i="39"/>
  <c r="Z17" i="39"/>
  <c r="AA17" i="39" s="1"/>
  <c r="AA11" i="39" s="1"/>
  <c r="AA18" i="39" s="1"/>
  <c r="A14" i="39"/>
  <c r="AG12" i="39"/>
  <c r="AG13" i="39"/>
  <c r="AD12" i="39"/>
  <c r="AD13" i="39"/>
  <c r="B12" i="39"/>
  <c r="B13" i="39"/>
  <c r="O12" i="39"/>
  <c r="P12" i="39"/>
  <c r="Q12" i="39"/>
  <c r="R12" i="39"/>
  <c r="S12" i="39"/>
  <c r="T12" i="39"/>
  <c r="U12" i="39"/>
  <c r="V12" i="39"/>
  <c r="W12" i="39"/>
  <c r="X12" i="39"/>
  <c r="Y12" i="39"/>
  <c r="Z12" i="39"/>
  <c r="AA12" i="39"/>
  <c r="O13" i="39"/>
  <c r="P13" i="39"/>
  <c r="Q13" i="39"/>
  <c r="R13" i="39"/>
  <c r="S13" i="39"/>
  <c r="T13" i="39"/>
  <c r="U13" i="39"/>
  <c r="V13" i="39"/>
  <c r="W13" i="39"/>
  <c r="X13" i="39"/>
  <c r="Y13" i="39"/>
  <c r="Z13" i="39"/>
  <c r="AA13" i="39"/>
  <c r="C10" i="39"/>
  <c r="D10" i="39"/>
  <c r="Z16" i="39" s="1"/>
  <c r="C9" i="39"/>
  <c r="C1" i="39"/>
  <c r="C2" i="39"/>
  <c r="C3" i="39"/>
  <c r="C4" i="39"/>
  <c r="C5" i="39"/>
  <c r="C6" i="39"/>
  <c r="C7" i="39"/>
  <c r="C8" i="39"/>
  <c r="E6" i="39"/>
  <c r="E4" i="39"/>
  <c r="B3" i="39"/>
  <c r="AG122" i="9"/>
  <c r="AD122" i="9"/>
  <c r="O122" i="9"/>
  <c r="P122" i="9"/>
  <c r="Q122" i="9"/>
  <c r="R122" i="9"/>
  <c r="S122" i="9"/>
  <c r="T122" i="9"/>
  <c r="U122" i="9"/>
  <c r="V122" i="9"/>
  <c r="W122" i="9"/>
  <c r="X122" i="9"/>
  <c r="Y122" i="9"/>
  <c r="Z122" i="9"/>
  <c r="N123" i="9"/>
  <c r="Q123" i="9"/>
  <c r="N119" i="9"/>
  <c r="N122" i="9" s="1"/>
  <c r="N120" i="9"/>
  <c r="B120" i="9"/>
  <c r="AA119" i="9"/>
  <c r="I119" i="9"/>
  <c r="J119" i="9"/>
  <c r="I120" i="9"/>
  <c r="AA120" i="9" s="1"/>
  <c r="J120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I117" i="9"/>
  <c r="AA117" i="9" s="1"/>
  <c r="AI117" i="9" s="1"/>
  <c r="J117" i="9"/>
  <c r="B114" i="9"/>
  <c r="B115" i="9"/>
  <c r="B116" i="9"/>
  <c r="A111" i="9"/>
  <c r="AH93" i="9"/>
  <c r="AH94" i="9"/>
  <c r="AH95" i="9"/>
  <c r="AH96" i="9"/>
  <c r="AH97" i="9"/>
  <c r="AH98" i="9"/>
  <c r="AH99" i="9"/>
  <c r="AH101" i="9"/>
  <c r="AH104" i="9"/>
  <c r="AH105" i="9"/>
  <c r="AH106" i="9"/>
  <c r="AH107" i="9"/>
  <c r="AH108" i="9"/>
  <c r="AI110" i="9"/>
  <c r="AH112" i="9"/>
  <c r="AH113" i="9"/>
  <c r="AL114" i="9"/>
  <c r="AH116" i="9"/>
  <c r="AH117" i="9"/>
  <c r="AE93" i="9"/>
  <c r="AE95" i="9"/>
  <c r="AE96" i="9"/>
  <c r="AE103" i="9"/>
  <c r="AE104" i="9"/>
  <c r="AE112" i="9"/>
  <c r="AE115" i="9"/>
  <c r="AE116" i="9"/>
  <c r="AF117" i="9"/>
  <c r="AA95" i="9"/>
  <c r="AA106" i="9"/>
  <c r="AA107" i="9"/>
  <c r="AA110" i="9"/>
  <c r="AA112" i="9"/>
  <c r="AA114" i="9"/>
  <c r="AA116" i="9"/>
  <c r="AB116" i="9"/>
  <c r="AN116" i="9" s="1"/>
  <c r="I93" i="9"/>
  <c r="J93" i="9"/>
  <c r="L93" i="9"/>
  <c r="M93" i="9"/>
  <c r="I94" i="9"/>
  <c r="K94" i="9" s="1"/>
  <c r="J94" i="9"/>
  <c r="L94" i="9"/>
  <c r="M94" i="9"/>
  <c r="I95" i="9"/>
  <c r="J95" i="9"/>
  <c r="L95" i="9"/>
  <c r="M95" i="9"/>
  <c r="I96" i="9"/>
  <c r="AA96" i="9" s="1"/>
  <c r="J96" i="9"/>
  <c r="L96" i="9"/>
  <c r="M96" i="9"/>
  <c r="I97" i="9"/>
  <c r="J97" i="9"/>
  <c r="L97" i="9"/>
  <c r="M97" i="9"/>
  <c r="I98" i="9"/>
  <c r="AA98" i="9" s="1"/>
  <c r="J98" i="9"/>
  <c r="L98" i="9"/>
  <c r="M98" i="9"/>
  <c r="I99" i="9"/>
  <c r="AA99" i="9" s="1"/>
  <c r="AI99" i="9" s="1"/>
  <c r="J99" i="9"/>
  <c r="K99" i="9" s="1"/>
  <c r="L99" i="9"/>
  <c r="M99" i="9"/>
  <c r="I100" i="9"/>
  <c r="AA100" i="9" s="1"/>
  <c r="J100" i="9"/>
  <c r="L100" i="9"/>
  <c r="M100" i="9"/>
  <c r="I101" i="9"/>
  <c r="AA101" i="9" s="1"/>
  <c r="AF101" i="9" s="1"/>
  <c r="J101" i="9"/>
  <c r="L101" i="9"/>
  <c r="M101" i="9"/>
  <c r="I102" i="9"/>
  <c r="J102" i="9"/>
  <c r="L102" i="9"/>
  <c r="M102" i="9"/>
  <c r="I103" i="9"/>
  <c r="K103" i="9" s="1"/>
  <c r="J103" i="9"/>
  <c r="L103" i="9"/>
  <c r="M103" i="9"/>
  <c r="I104" i="9"/>
  <c r="K104" i="9" s="1"/>
  <c r="J104" i="9"/>
  <c r="L104" i="9"/>
  <c r="M104" i="9"/>
  <c r="I105" i="9"/>
  <c r="J105" i="9"/>
  <c r="L105" i="9"/>
  <c r="M105" i="9"/>
  <c r="I106" i="9"/>
  <c r="J106" i="9"/>
  <c r="L106" i="9"/>
  <c r="M106" i="9"/>
  <c r="I107" i="9"/>
  <c r="J107" i="9"/>
  <c r="K107" i="9"/>
  <c r="L107" i="9"/>
  <c r="M107" i="9"/>
  <c r="I108" i="9"/>
  <c r="AA108" i="9" s="1"/>
  <c r="J108" i="9"/>
  <c r="K108" i="9" s="1"/>
  <c r="L108" i="9"/>
  <c r="M108" i="9"/>
  <c r="I109" i="9"/>
  <c r="J109" i="9"/>
  <c r="L109" i="9"/>
  <c r="M109" i="9"/>
  <c r="I110" i="9"/>
  <c r="J110" i="9"/>
  <c r="L110" i="9"/>
  <c r="M110" i="9"/>
  <c r="I111" i="9"/>
  <c r="J111" i="9"/>
  <c r="L111" i="9"/>
  <c r="M111" i="9"/>
  <c r="I112" i="9"/>
  <c r="J112" i="9"/>
  <c r="L112" i="9"/>
  <c r="M112" i="9"/>
  <c r="I113" i="9"/>
  <c r="J113" i="9"/>
  <c r="L113" i="9"/>
  <c r="M113" i="9"/>
  <c r="I114" i="9"/>
  <c r="J114" i="9"/>
  <c r="K114" i="9" s="1"/>
  <c r="L114" i="9"/>
  <c r="M114" i="9"/>
  <c r="I115" i="9"/>
  <c r="AA115" i="9" s="1"/>
  <c r="AI115" i="9" s="1"/>
  <c r="J115" i="9"/>
  <c r="K115" i="9"/>
  <c r="L115" i="9"/>
  <c r="M115" i="9"/>
  <c r="I116" i="9"/>
  <c r="J116" i="9"/>
  <c r="K116" i="9" s="1"/>
  <c r="L116" i="9"/>
  <c r="M116" i="9"/>
  <c r="I92" i="9"/>
  <c r="J92" i="9"/>
  <c r="B88" i="9"/>
  <c r="B89" i="9"/>
  <c r="B83" i="9"/>
  <c r="B84" i="9"/>
  <c r="B85" i="9"/>
  <c r="A80" i="9"/>
  <c r="AH78" i="9"/>
  <c r="AH79" i="9"/>
  <c r="AH80" i="9"/>
  <c r="AH82" i="9"/>
  <c r="AH83" i="9"/>
  <c r="AI85" i="9"/>
  <c r="AH87" i="9"/>
  <c r="AE78" i="9"/>
  <c r="AF79" i="9"/>
  <c r="AF85" i="9"/>
  <c r="AE86" i="9"/>
  <c r="AA79" i="9"/>
  <c r="AA82" i="9"/>
  <c r="AA86" i="9"/>
  <c r="AA90" i="9"/>
  <c r="AI90" i="9" s="1"/>
  <c r="I76" i="9"/>
  <c r="J76" i="9"/>
  <c r="L76" i="9"/>
  <c r="M76" i="9"/>
  <c r="N76" i="9"/>
  <c r="I77" i="9"/>
  <c r="AA77" i="9" s="1"/>
  <c r="AI77" i="9" s="1"/>
  <c r="J77" i="9"/>
  <c r="L77" i="9"/>
  <c r="M77" i="9"/>
  <c r="N77" i="9"/>
  <c r="I78" i="9"/>
  <c r="AA78" i="9" s="1"/>
  <c r="J78" i="9"/>
  <c r="K78" i="9"/>
  <c r="L78" i="9"/>
  <c r="M78" i="9"/>
  <c r="N78" i="9"/>
  <c r="I79" i="9"/>
  <c r="K79" i="9" s="1"/>
  <c r="J79" i="9"/>
  <c r="L79" i="9"/>
  <c r="M79" i="9"/>
  <c r="N79" i="9"/>
  <c r="I80" i="9"/>
  <c r="J80" i="9"/>
  <c r="L80" i="9"/>
  <c r="M80" i="9"/>
  <c r="N80" i="9"/>
  <c r="I81" i="9"/>
  <c r="AA81" i="9" s="1"/>
  <c r="AI81" i="9" s="1"/>
  <c r="J81" i="9"/>
  <c r="L81" i="9"/>
  <c r="M81" i="9"/>
  <c r="N81" i="9"/>
  <c r="I82" i="9"/>
  <c r="K82" i="9" s="1"/>
  <c r="J82" i="9"/>
  <c r="L82" i="9"/>
  <c r="M82" i="9"/>
  <c r="N82" i="9"/>
  <c r="I83" i="9"/>
  <c r="J83" i="9"/>
  <c r="L83" i="9"/>
  <c r="M83" i="9"/>
  <c r="N83" i="9"/>
  <c r="I84" i="9"/>
  <c r="J84" i="9"/>
  <c r="L84" i="9"/>
  <c r="M84" i="9"/>
  <c r="N84" i="9"/>
  <c r="I85" i="9"/>
  <c r="AA85" i="9" s="1"/>
  <c r="J85" i="9"/>
  <c r="L85" i="9"/>
  <c r="M85" i="9"/>
  <c r="N85" i="9"/>
  <c r="I86" i="9"/>
  <c r="K86" i="9" s="1"/>
  <c r="J86" i="9"/>
  <c r="L86" i="9"/>
  <c r="M86" i="9"/>
  <c r="N86" i="9"/>
  <c r="I87" i="9"/>
  <c r="K87" i="9" s="1"/>
  <c r="J87" i="9"/>
  <c r="L87" i="9"/>
  <c r="M87" i="9"/>
  <c r="N87" i="9"/>
  <c r="I88" i="9"/>
  <c r="J88" i="9"/>
  <c r="L88" i="9"/>
  <c r="M88" i="9"/>
  <c r="N88" i="9"/>
  <c r="I89" i="9"/>
  <c r="J89" i="9"/>
  <c r="L89" i="9"/>
  <c r="M89" i="9"/>
  <c r="N89" i="9"/>
  <c r="I90" i="9"/>
  <c r="J90" i="9"/>
  <c r="K90" i="9"/>
  <c r="L90" i="9"/>
  <c r="M90" i="9"/>
  <c r="N90" i="9"/>
  <c r="N74" i="9"/>
  <c r="N75" i="9"/>
  <c r="I74" i="9"/>
  <c r="J74" i="9"/>
  <c r="I75" i="9"/>
  <c r="J75" i="9"/>
  <c r="AD72" i="9"/>
  <c r="AG72" i="9"/>
  <c r="AL72" i="9" s="1"/>
  <c r="N72" i="9"/>
  <c r="O72" i="9"/>
  <c r="O123" i="9" s="1"/>
  <c r="P72" i="9"/>
  <c r="P123" i="9" s="1"/>
  <c r="Q72" i="9"/>
  <c r="R72" i="9"/>
  <c r="R123" i="9" s="1"/>
  <c r="S72" i="9"/>
  <c r="S123" i="9" s="1"/>
  <c r="T72" i="9"/>
  <c r="T123" i="9" s="1"/>
  <c r="U72" i="9"/>
  <c r="U123" i="9" s="1"/>
  <c r="V72" i="9"/>
  <c r="V123" i="9" s="1"/>
  <c r="W72" i="9"/>
  <c r="W123" i="9" s="1"/>
  <c r="X72" i="9"/>
  <c r="X123" i="9" s="1"/>
  <c r="Y72" i="9"/>
  <c r="Y123" i="9" s="1"/>
  <c r="Z72" i="9"/>
  <c r="Z123" i="9" s="1"/>
  <c r="AH71" i="9"/>
  <c r="AI71" i="9"/>
  <c r="AB62" i="9"/>
  <c r="AB63" i="9"/>
  <c r="AB64" i="9"/>
  <c r="AB65" i="9"/>
  <c r="AM65" i="9" s="1"/>
  <c r="AB66" i="9"/>
  <c r="AB67" i="9"/>
  <c r="AN67" i="9" s="1"/>
  <c r="AB68" i="9"/>
  <c r="AB69" i="9"/>
  <c r="AB70" i="9"/>
  <c r="AB71" i="9"/>
  <c r="N60" i="9"/>
  <c r="N61" i="9"/>
  <c r="N62" i="9"/>
  <c r="N63" i="9"/>
  <c r="N64" i="9"/>
  <c r="N65" i="9"/>
  <c r="N66" i="9"/>
  <c r="N67" i="9"/>
  <c r="N68" i="9"/>
  <c r="N69" i="9"/>
  <c r="N70" i="9"/>
  <c r="N71" i="9"/>
  <c r="I71" i="9"/>
  <c r="K71" i="9" s="1"/>
  <c r="J71" i="9"/>
  <c r="I72" i="9"/>
  <c r="K72" i="9" s="1"/>
  <c r="J72" i="9"/>
  <c r="AA64" i="9"/>
  <c r="AA66" i="9"/>
  <c r="AI66" i="9" s="1"/>
  <c r="AH62" i="9"/>
  <c r="AH63" i="9"/>
  <c r="AK63" i="9"/>
  <c r="AH64" i="9"/>
  <c r="AN64" i="9" s="1"/>
  <c r="AH65" i="9"/>
  <c r="AN65" i="9"/>
  <c r="AH66" i="9"/>
  <c r="AM66" i="9"/>
  <c r="AN66" i="9"/>
  <c r="AH67" i="9"/>
  <c r="AH68" i="9"/>
  <c r="AH69" i="9"/>
  <c r="AH70" i="9"/>
  <c r="AE62" i="9"/>
  <c r="AE63" i="9"/>
  <c r="AM63" i="9" s="1"/>
  <c r="AE64" i="9"/>
  <c r="AM64" i="9" s="1"/>
  <c r="AE65" i="9"/>
  <c r="AE66" i="9"/>
  <c r="AE67" i="9"/>
  <c r="AE68" i="9"/>
  <c r="AE69" i="9"/>
  <c r="AE70" i="9"/>
  <c r="AE71" i="9"/>
  <c r="AF71" i="9"/>
  <c r="I62" i="9"/>
  <c r="K62" i="9" s="1"/>
  <c r="J62" i="9"/>
  <c r="L62" i="9"/>
  <c r="M62" i="9"/>
  <c r="I63" i="9"/>
  <c r="AA63" i="9" s="1"/>
  <c r="J63" i="9"/>
  <c r="K63" i="9"/>
  <c r="L63" i="9"/>
  <c r="M63" i="9"/>
  <c r="I64" i="9"/>
  <c r="K64" i="9" s="1"/>
  <c r="J64" i="9"/>
  <c r="L64" i="9"/>
  <c r="M64" i="9"/>
  <c r="I65" i="9"/>
  <c r="K65" i="9" s="1"/>
  <c r="J65" i="9"/>
  <c r="L65" i="9"/>
  <c r="M65" i="9"/>
  <c r="I66" i="9"/>
  <c r="J66" i="9"/>
  <c r="K66" i="9"/>
  <c r="L66" i="9"/>
  <c r="M66" i="9"/>
  <c r="I67" i="9"/>
  <c r="J67" i="9"/>
  <c r="L67" i="9"/>
  <c r="M67" i="9"/>
  <c r="I68" i="9"/>
  <c r="J68" i="9"/>
  <c r="L68" i="9"/>
  <c r="M68" i="9"/>
  <c r="I69" i="9"/>
  <c r="AA69" i="9" s="1"/>
  <c r="J69" i="9"/>
  <c r="L69" i="9"/>
  <c r="M69" i="9"/>
  <c r="I70" i="9"/>
  <c r="K70" i="9" s="1"/>
  <c r="J70" i="9"/>
  <c r="L70" i="9"/>
  <c r="M70" i="9"/>
  <c r="I60" i="9"/>
  <c r="J60" i="9"/>
  <c r="I61" i="9"/>
  <c r="J61" i="9"/>
  <c r="B55" i="9"/>
  <c r="B56" i="9"/>
  <c r="B50" i="9"/>
  <c r="B51" i="9"/>
  <c r="B52" i="9"/>
  <c r="A47" i="9"/>
  <c r="AH35" i="9"/>
  <c r="AH36" i="9"/>
  <c r="AH37" i="9"/>
  <c r="AH38" i="9"/>
  <c r="AH39" i="9"/>
  <c r="AH40" i="9"/>
  <c r="AL40" i="9"/>
  <c r="AH41" i="9"/>
  <c r="AH42" i="9"/>
  <c r="AH43" i="9"/>
  <c r="AH44" i="9"/>
  <c r="AH45" i="9"/>
  <c r="AH46" i="9"/>
  <c r="AH47" i="9"/>
  <c r="AH48" i="9"/>
  <c r="AH49" i="9"/>
  <c r="AL49" i="9"/>
  <c r="AH50" i="9"/>
  <c r="AH51" i="9"/>
  <c r="AH52" i="9"/>
  <c r="AH53" i="9"/>
  <c r="AI53" i="9"/>
  <c r="AH54" i="9"/>
  <c r="AH55" i="9"/>
  <c r="AH56" i="9"/>
  <c r="AL56" i="9"/>
  <c r="AH57" i="9"/>
  <c r="AH58" i="9"/>
  <c r="AE38" i="9"/>
  <c r="AE41" i="9"/>
  <c r="AE42" i="9"/>
  <c r="AE43" i="9"/>
  <c r="AE47" i="9"/>
  <c r="AE48" i="9"/>
  <c r="AE50" i="9"/>
  <c r="AE51" i="9"/>
  <c r="AE53" i="9"/>
  <c r="AE54" i="9"/>
  <c r="AE55" i="9"/>
  <c r="AE56" i="9"/>
  <c r="AE58" i="9"/>
  <c r="AA50" i="9"/>
  <c r="I35" i="9"/>
  <c r="K35" i="9" s="1"/>
  <c r="J35" i="9"/>
  <c r="L35" i="9"/>
  <c r="M35" i="9"/>
  <c r="N35" i="9"/>
  <c r="I36" i="9"/>
  <c r="J36" i="9"/>
  <c r="L36" i="9"/>
  <c r="M36" i="9"/>
  <c r="N36" i="9"/>
  <c r="I37" i="9"/>
  <c r="AA37" i="9" s="1"/>
  <c r="J37" i="9"/>
  <c r="K37" i="9"/>
  <c r="L37" i="9"/>
  <c r="M37" i="9"/>
  <c r="N37" i="9"/>
  <c r="I38" i="9"/>
  <c r="K38" i="9" s="1"/>
  <c r="J38" i="9"/>
  <c r="L38" i="9"/>
  <c r="M38" i="9"/>
  <c r="N38" i="9"/>
  <c r="I39" i="9"/>
  <c r="K39" i="9" s="1"/>
  <c r="J39" i="9"/>
  <c r="L39" i="9"/>
  <c r="M39" i="9"/>
  <c r="N39" i="9"/>
  <c r="I40" i="9"/>
  <c r="J40" i="9"/>
  <c r="L40" i="9"/>
  <c r="M40" i="9"/>
  <c r="N40" i="9"/>
  <c r="I41" i="9"/>
  <c r="AA41" i="9" s="1"/>
  <c r="J41" i="9"/>
  <c r="K41" i="9"/>
  <c r="L41" i="9"/>
  <c r="M41" i="9"/>
  <c r="N41" i="9"/>
  <c r="I42" i="9"/>
  <c r="K42" i="9" s="1"/>
  <c r="J42" i="9"/>
  <c r="L42" i="9"/>
  <c r="M42" i="9"/>
  <c r="N42" i="9"/>
  <c r="I43" i="9"/>
  <c r="K43" i="9" s="1"/>
  <c r="J43" i="9"/>
  <c r="L43" i="9"/>
  <c r="M43" i="9"/>
  <c r="N43" i="9"/>
  <c r="I44" i="9"/>
  <c r="J44" i="9"/>
  <c r="L44" i="9"/>
  <c r="M44" i="9"/>
  <c r="N44" i="9"/>
  <c r="I45" i="9"/>
  <c r="J45" i="9"/>
  <c r="L45" i="9"/>
  <c r="M45" i="9"/>
  <c r="N45" i="9"/>
  <c r="I46" i="9"/>
  <c r="K46" i="9" s="1"/>
  <c r="J46" i="9"/>
  <c r="L46" i="9"/>
  <c r="M46" i="9"/>
  <c r="N46" i="9"/>
  <c r="I47" i="9"/>
  <c r="K47" i="9" s="1"/>
  <c r="J47" i="9"/>
  <c r="L47" i="9"/>
  <c r="M47" i="9"/>
  <c r="N47" i="9"/>
  <c r="I48" i="9"/>
  <c r="J48" i="9"/>
  <c r="L48" i="9"/>
  <c r="M48" i="9"/>
  <c r="N48" i="9"/>
  <c r="I49" i="9"/>
  <c r="AA49" i="9" s="1"/>
  <c r="J49" i="9"/>
  <c r="K49" i="9"/>
  <c r="L49" i="9"/>
  <c r="M49" i="9"/>
  <c r="N49" i="9"/>
  <c r="I50" i="9"/>
  <c r="K50" i="9" s="1"/>
  <c r="J50" i="9"/>
  <c r="L50" i="9"/>
  <c r="M50" i="9"/>
  <c r="N50" i="9"/>
  <c r="I51" i="9"/>
  <c r="K51" i="9" s="1"/>
  <c r="J51" i="9"/>
  <c r="L51" i="9"/>
  <c r="M51" i="9"/>
  <c r="N51" i="9"/>
  <c r="I52" i="9"/>
  <c r="J52" i="9"/>
  <c r="L52" i="9"/>
  <c r="M52" i="9"/>
  <c r="N52" i="9"/>
  <c r="I53" i="9"/>
  <c r="AA53" i="9" s="1"/>
  <c r="J53" i="9"/>
  <c r="K53" i="9"/>
  <c r="L53" i="9"/>
  <c r="M53" i="9"/>
  <c r="N53" i="9"/>
  <c r="I54" i="9"/>
  <c r="J54" i="9"/>
  <c r="L54" i="9"/>
  <c r="M54" i="9"/>
  <c r="N54" i="9"/>
  <c r="I55" i="9"/>
  <c r="K55" i="9" s="1"/>
  <c r="J55" i="9"/>
  <c r="L55" i="9"/>
  <c r="M55" i="9"/>
  <c r="N55" i="9"/>
  <c r="I56" i="9"/>
  <c r="J56" i="9"/>
  <c r="L56" i="9"/>
  <c r="M56" i="9"/>
  <c r="N56" i="9"/>
  <c r="I57" i="9"/>
  <c r="AA57" i="9" s="1"/>
  <c r="J57" i="9"/>
  <c r="K57" i="9"/>
  <c r="L57" i="9"/>
  <c r="M57" i="9"/>
  <c r="N57" i="9"/>
  <c r="I58" i="9"/>
  <c r="K58" i="9" s="1"/>
  <c r="J58" i="9"/>
  <c r="L58" i="9"/>
  <c r="M58" i="9"/>
  <c r="N58" i="9"/>
  <c r="N33" i="9"/>
  <c r="N34" i="9"/>
  <c r="I33" i="9"/>
  <c r="J33" i="9"/>
  <c r="I34" i="9"/>
  <c r="J34" i="9"/>
  <c r="AK32" i="9"/>
  <c r="AL32" i="9"/>
  <c r="AG32" i="9"/>
  <c r="AD32" i="9"/>
  <c r="O32" i="9"/>
  <c r="P32" i="9"/>
  <c r="Q32" i="9"/>
  <c r="R32" i="9"/>
  <c r="S32" i="9"/>
  <c r="T32" i="9"/>
  <c r="U32" i="9"/>
  <c r="V32" i="9"/>
  <c r="W32" i="9"/>
  <c r="X32" i="9"/>
  <c r="Y32" i="9"/>
  <c r="Z32" i="9"/>
  <c r="AJ32" i="9" s="1"/>
  <c r="AJ31" i="9"/>
  <c r="AK31" i="9"/>
  <c r="AM31" i="9" s="1"/>
  <c r="AL31" i="9"/>
  <c r="AN31" i="9"/>
  <c r="AG31" i="9"/>
  <c r="AD31" i="9"/>
  <c r="O31" i="9"/>
  <c r="P31" i="9"/>
  <c r="Q31" i="9"/>
  <c r="R31" i="9"/>
  <c r="S31" i="9"/>
  <c r="T31" i="9"/>
  <c r="U31" i="9"/>
  <c r="V31" i="9"/>
  <c r="W31" i="9"/>
  <c r="X31" i="9"/>
  <c r="Y31" i="9"/>
  <c r="Z31" i="9"/>
  <c r="AA31" i="9"/>
  <c r="N26" i="9"/>
  <c r="N27" i="9"/>
  <c r="N28" i="9"/>
  <c r="N29" i="9"/>
  <c r="B29" i="9"/>
  <c r="B22" i="9"/>
  <c r="B23" i="9"/>
  <c r="AG16" i="9"/>
  <c r="AG19" i="9"/>
  <c r="AH102" i="9" s="1"/>
  <c r="AG20" i="9"/>
  <c r="AL48" i="9" s="1"/>
  <c r="AD19" i="9"/>
  <c r="AE100" i="9" s="1"/>
  <c r="AD20" i="9"/>
  <c r="G19" i="9"/>
  <c r="G20" i="9"/>
  <c r="N19" i="9"/>
  <c r="O19" i="9"/>
  <c r="P19" i="9"/>
  <c r="Q19" i="9"/>
  <c r="R19" i="9"/>
  <c r="S19" i="9"/>
  <c r="T19" i="9"/>
  <c r="U19" i="9"/>
  <c r="V19" i="9"/>
  <c r="W19" i="9"/>
  <c r="X19" i="9"/>
  <c r="Y19" i="9"/>
  <c r="Z19" i="9"/>
  <c r="N20" i="9"/>
  <c r="O20" i="9"/>
  <c r="P20" i="9"/>
  <c r="Q20" i="9"/>
  <c r="R20" i="9"/>
  <c r="S20" i="9"/>
  <c r="T20" i="9"/>
  <c r="U20" i="9"/>
  <c r="V20" i="9"/>
  <c r="W20" i="9"/>
  <c r="X20" i="9"/>
  <c r="Y20" i="9"/>
  <c r="Z20" i="9"/>
  <c r="B17" i="9"/>
  <c r="B18" i="9"/>
  <c r="B19" i="9"/>
  <c r="O16" i="9"/>
  <c r="P16" i="9"/>
  <c r="Q16" i="9"/>
  <c r="R16" i="9"/>
  <c r="S16" i="9"/>
  <c r="T16" i="9"/>
  <c r="U16" i="9"/>
  <c r="V16" i="9"/>
  <c r="W16" i="9"/>
  <c r="X16" i="9"/>
  <c r="Y16" i="9"/>
  <c r="O17" i="9"/>
  <c r="P17" i="9"/>
  <c r="Q17" i="9"/>
  <c r="R17" i="9"/>
  <c r="S17" i="9"/>
  <c r="T17" i="9"/>
  <c r="U17" i="9"/>
  <c r="V17" i="9"/>
  <c r="W17" i="9"/>
  <c r="X17" i="9"/>
  <c r="Y17" i="9"/>
  <c r="Z17" i="9"/>
  <c r="AA17" i="9"/>
  <c r="AA11" i="9" s="1"/>
  <c r="A14" i="9"/>
  <c r="AG12" i="9"/>
  <c r="AG13" i="9"/>
  <c r="AD12" i="9"/>
  <c r="AD13" i="9"/>
  <c r="B12" i="9"/>
  <c r="B13" i="9"/>
  <c r="O12" i="9"/>
  <c r="P12" i="9"/>
  <c r="Q12" i="9"/>
  <c r="R12" i="9"/>
  <c r="S12" i="9"/>
  <c r="T12" i="9"/>
  <c r="U12" i="9"/>
  <c r="V12" i="9"/>
  <c r="W12" i="9"/>
  <c r="X12" i="9"/>
  <c r="Y12" i="9"/>
  <c r="Z12" i="9"/>
  <c r="AA12" i="9"/>
  <c r="O13" i="9"/>
  <c r="P13" i="9"/>
  <c r="Q13" i="9"/>
  <c r="R13" i="9"/>
  <c r="S13" i="9"/>
  <c r="T13" i="9"/>
  <c r="U13" i="9"/>
  <c r="V13" i="9"/>
  <c r="W13" i="9"/>
  <c r="X13" i="9"/>
  <c r="Y13" i="9"/>
  <c r="Z13" i="9"/>
  <c r="AA13" i="9"/>
  <c r="C10" i="9"/>
  <c r="D10" i="9"/>
  <c r="AA16" i="9" s="1"/>
  <c r="C9" i="9"/>
  <c r="C1" i="9"/>
  <c r="C2" i="9"/>
  <c r="C3" i="9"/>
  <c r="C4" i="9"/>
  <c r="C5" i="9"/>
  <c r="C6" i="9"/>
  <c r="C7" i="9"/>
  <c r="C8" i="9"/>
  <c r="E6" i="9"/>
  <c r="B62" i="9" s="1"/>
  <c r="E4" i="9"/>
  <c r="B3" i="9"/>
  <c r="H2" i="9" s="1"/>
  <c r="N1" i="9"/>
  <c r="N1" i="39" s="1"/>
  <c r="AG154" i="17"/>
  <c r="AG155" i="17"/>
  <c r="AG156" i="17"/>
  <c r="AD154" i="17"/>
  <c r="AD155" i="17"/>
  <c r="AD156" i="17"/>
  <c r="O154" i="17"/>
  <c r="P154" i="17"/>
  <c r="Q154" i="17"/>
  <c r="R154" i="17"/>
  <c r="S154" i="17"/>
  <c r="T154" i="17"/>
  <c r="U154" i="17"/>
  <c r="V154" i="17"/>
  <c r="W154" i="17"/>
  <c r="X154" i="17"/>
  <c r="Y154" i="17"/>
  <c r="Z154" i="17"/>
  <c r="O155" i="17"/>
  <c r="P155" i="17"/>
  <c r="Q155" i="17"/>
  <c r="R155" i="17"/>
  <c r="S155" i="17"/>
  <c r="T155" i="17"/>
  <c r="U155" i="17"/>
  <c r="V155" i="17"/>
  <c r="W155" i="17"/>
  <c r="X155" i="17"/>
  <c r="Y155" i="17"/>
  <c r="Z155" i="17"/>
  <c r="O156" i="17"/>
  <c r="P156" i="17"/>
  <c r="Q156" i="17"/>
  <c r="R156" i="17"/>
  <c r="S156" i="17"/>
  <c r="T156" i="17"/>
  <c r="U156" i="17"/>
  <c r="V156" i="17"/>
  <c r="W156" i="17"/>
  <c r="X156" i="17"/>
  <c r="Y156" i="17"/>
  <c r="Z156" i="17"/>
  <c r="AG152" i="17"/>
  <c r="AD152" i="17"/>
  <c r="O152" i="17"/>
  <c r="P152" i="17"/>
  <c r="Q152" i="17"/>
  <c r="R152" i="17"/>
  <c r="S152" i="17"/>
  <c r="T152" i="17"/>
  <c r="U152" i="17"/>
  <c r="V152" i="17"/>
  <c r="W152" i="17"/>
  <c r="X152" i="17"/>
  <c r="Y152" i="17"/>
  <c r="Z152" i="17"/>
  <c r="AH151" i="17"/>
  <c r="AE151" i="17"/>
  <c r="AA151" i="17"/>
  <c r="AI151" i="17" s="1"/>
  <c r="AB151" i="17"/>
  <c r="L151" i="17"/>
  <c r="M151" i="17"/>
  <c r="N151" i="17"/>
  <c r="AI141" i="17"/>
  <c r="AI143" i="17"/>
  <c r="AI145" i="17"/>
  <c r="AI147" i="17"/>
  <c r="AG149" i="17"/>
  <c r="AD149" i="17"/>
  <c r="O149" i="17"/>
  <c r="P149" i="17"/>
  <c r="Q149" i="17"/>
  <c r="R149" i="17"/>
  <c r="S149" i="17"/>
  <c r="T149" i="17"/>
  <c r="U149" i="17"/>
  <c r="V149" i="17"/>
  <c r="W149" i="17"/>
  <c r="X149" i="17"/>
  <c r="Y149" i="17"/>
  <c r="Z149" i="17"/>
  <c r="AA149" i="17"/>
  <c r="AH148" i="17"/>
  <c r="AE148" i="17"/>
  <c r="AA148" i="17"/>
  <c r="AI148" i="17" s="1"/>
  <c r="AB148" i="17"/>
  <c r="AF141" i="17"/>
  <c r="AF143" i="17"/>
  <c r="AF144" i="17"/>
  <c r="AF145" i="17"/>
  <c r="AF147" i="17"/>
  <c r="AH146" i="17"/>
  <c r="AE146" i="17"/>
  <c r="AA146" i="17"/>
  <c r="AB146" i="17"/>
  <c r="AH144" i="17"/>
  <c r="AE144" i="17"/>
  <c r="AA144" i="17"/>
  <c r="AI144" i="17" s="1"/>
  <c r="AB144" i="17"/>
  <c r="AH142" i="17"/>
  <c r="AE142" i="17"/>
  <c r="AA142" i="17"/>
  <c r="AB142" i="17"/>
  <c r="AH140" i="17"/>
  <c r="AE140" i="17"/>
  <c r="AA140" i="17"/>
  <c r="AB140" i="17"/>
  <c r="L140" i="17"/>
  <c r="M140" i="17"/>
  <c r="N140" i="17"/>
  <c r="L141" i="17"/>
  <c r="M141" i="17"/>
  <c r="N141" i="17"/>
  <c r="L142" i="17"/>
  <c r="M142" i="17"/>
  <c r="N142" i="17"/>
  <c r="L143" i="17"/>
  <c r="M143" i="17"/>
  <c r="N143" i="17"/>
  <c r="L144" i="17"/>
  <c r="M144" i="17"/>
  <c r="N144" i="17"/>
  <c r="L145" i="17"/>
  <c r="M145" i="17"/>
  <c r="N145" i="17"/>
  <c r="L146" i="17"/>
  <c r="M146" i="17"/>
  <c r="N146" i="17"/>
  <c r="L147" i="17"/>
  <c r="M147" i="17"/>
  <c r="N147" i="17"/>
  <c r="L148" i="17"/>
  <c r="M148" i="17"/>
  <c r="N148" i="17"/>
  <c r="AI134" i="17"/>
  <c r="AI136" i="17"/>
  <c r="AI138" i="17"/>
  <c r="AF134" i="17"/>
  <c r="AF135" i="17"/>
  <c r="AF136" i="17"/>
  <c r="AF138" i="17"/>
  <c r="AH137" i="17"/>
  <c r="AE137" i="17"/>
  <c r="AA137" i="17"/>
  <c r="AB137" i="17"/>
  <c r="AH135" i="17"/>
  <c r="AE135" i="17"/>
  <c r="AA135" i="17"/>
  <c r="AI135" i="17" s="1"/>
  <c r="AB135" i="17"/>
  <c r="AH133" i="17"/>
  <c r="AE133" i="17"/>
  <c r="AA133" i="17"/>
  <c r="AB133" i="17"/>
  <c r="L133" i="17"/>
  <c r="M133" i="17"/>
  <c r="N133" i="17"/>
  <c r="L134" i="17"/>
  <c r="M134" i="17"/>
  <c r="N134" i="17"/>
  <c r="L135" i="17"/>
  <c r="M135" i="17"/>
  <c r="N135" i="17"/>
  <c r="L136" i="17"/>
  <c r="M136" i="17"/>
  <c r="N136" i="17"/>
  <c r="L137" i="17"/>
  <c r="M137" i="17"/>
  <c r="N137" i="17"/>
  <c r="L138" i="17"/>
  <c r="M138" i="17"/>
  <c r="N138" i="17"/>
  <c r="N132" i="17"/>
  <c r="AD123" i="17"/>
  <c r="AE123" i="17"/>
  <c r="AG123" i="17"/>
  <c r="AD124" i="17"/>
  <c r="AG124" i="17"/>
  <c r="AD125" i="17"/>
  <c r="AG125" i="17"/>
  <c r="AH125" i="17" s="1"/>
  <c r="AD126" i="17"/>
  <c r="AG126" i="17"/>
  <c r="AH126" i="17"/>
  <c r="AD127" i="17"/>
  <c r="AE127" i="17"/>
  <c r="AG127" i="17"/>
  <c r="AH127" i="17" s="1"/>
  <c r="AD128" i="17"/>
  <c r="AG128" i="17"/>
  <c r="L123" i="17"/>
  <c r="M123" i="17"/>
  <c r="N123" i="17"/>
  <c r="O123" i="17"/>
  <c r="P123" i="17"/>
  <c r="Q123" i="17"/>
  <c r="R123" i="17"/>
  <c r="S123" i="17"/>
  <c r="T123" i="17"/>
  <c r="U123" i="17"/>
  <c r="V123" i="17"/>
  <c r="W123" i="17"/>
  <c r="X123" i="17"/>
  <c r="Y123" i="17"/>
  <c r="Z123" i="17"/>
  <c r="L124" i="17"/>
  <c r="M124" i="17"/>
  <c r="N124" i="17"/>
  <c r="O124" i="17"/>
  <c r="P124" i="17"/>
  <c r="Q124" i="17"/>
  <c r="R124" i="17"/>
  <c r="S124" i="17"/>
  <c r="T124" i="17"/>
  <c r="U124" i="17"/>
  <c r="V124" i="17"/>
  <c r="W124" i="17"/>
  <c r="X124" i="17"/>
  <c r="Y124" i="17"/>
  <c r="Z124" i="17"/>
  <c r="L125" i="17"/>
  <c r="M125" i="17"/>
  <c r="N125" i="17"/>
  <c r="O125" i="17"/>
  <c r="P125" i="17"/>
  <c r="Q125" i="17"/>
  <c r="R125" i="17"/>
  <c r="S125" i="17"/>
  <c r="T125" i="17"/>
  <c r="U125" i="17"/>
  <c r="V125" i="17"/>
  <c r="W125" i="17"/>
  <c r="X125" i="17"/>
  <c r="Y125" i="17"/>
  <c r="Z125" i="17"/>
  <c r="L126" i="17"/>
  <c r="M126" i="17"/>
  <c r="N126" i="17"/>
  <c r="O126" i="17"/>
  <c r="P126" i="17"/>
  <c r="Q126" i="17"/>
  <c r="R126" i="17"/>
  <c r="S126" i="17"/>
  <c r="T126" i="17"/>
  <c r="U126" i="17"/>
  <c r="V126" i="17"/>
  <c r="W126" i="17"/>
  <c r="X126" i="17"/>
  <c r="X129" i="17" s="1"/>
  <c r="Y126" i="17"/>
  <c r="Z126" i="17"/>
  <c r="L127" i="17"/>
  <c r="M127" i="17"/>
  <c r="N127" i="17"/>
  <c r="O127" i="17"/>
  <c r="P127" i="17"/>
  <c r="Q127" i="17"/>
  <c r="R127" i="17"/>
  <c r="S127" i="17"/>
  <c r="T127" i="17"/>
  <c r="U127" i="17"/>
  <c r="V127" i="17"/>
  <c r="W127" i="17"/>
  <c r="X127" i="17"/>
  <c r="Y127" i="17"/>
  <c r="Z127" i="17"/>
  <c r="L128" i="17"/>
  <c r="M128" i="17"/>
  <c r="N128" i="17"/>
  <c r="O128" i="17"/>
  <c r="P128" i="17"/>
  <c r="Q128" i="17"/>
  <c r="R128" i="17"/>
  <c r="S128" i="17"/>
  <c r="T128" i="17"/>
  <c r="U128" i="17"/>
  <c r="V128" i="17"/>
  <c r="W128" i="17"/>
  <c r="X128" i="17"/>
  <c r="Y128" i="17"/>
  <c r="Z128" i="17"/>
  <c r="L129" i="17"/>
  <c r="M129" i="17"/>
  <c r="N129" i="17"/>
  <c r="AH118" i="17"/>
  <c r="AH120" i="17"/>
  <c r="AF116" i="17"/>
  <c r="AE118" i="17"/>
  <c r="AF119" i="17"/>
  <c r="AE120" i="17"/>
  <c r="AA116" i="17"/>
  <c r="AI116" i="17" s="1"/>
  <c r="AA117" i="17"/>
  <c r="AF117" i="17" s="1"/>
  <c r="AA118" i="17"/>
  <c r="AF118" i="17" s="1"/>
  <c r="AA119" i="17"/>
  <c r="AI119" i="17" s="1"/>
  <c r="AA120" i="17"/>
  <c r="AI120" i="17" s="1"/>
  <c r="AA121" i="17"/>
  <c r="L116" i="17"/>
  <c r="M116" i="17"/>
  <c r="N116" i="17"/>
  <c r="L117" i="17"/>
  <c r="M117" i="17"/>
  <c r="N117" i="17"/>
  <c r="L118" i="17"/>
  <c r="M118" i="17"/>
  <c r="N118" i="17"/>
  <c r="L119" i="17"/>
  <c r="M119" i="17"/>
  <c r="N119" i="17"/>
  <c r="L120" i="17"/>
  <c r="M120" i="17"/>
  <c r="N120" i="17"/>
  <c r="L121" i="17"/>
  <c r="M121" i="17"/>
  <c r="N121" i="17"/>
  <c r="AH110" i="17"/>
  <c r="AI110" i="17"/>
  <c r="AH111" i="17"/>
  <c r="AH112" i="17"/>
  <c r="AH113" i="17"/>
  <c r="AF109" i="17"/>
  <c r="AE113" i="17"/>
  <c r="AF113" i="17"/>
  <c r="AA108" i="17"/>
  <c r="AI108" i="17" s="1"/>
  <c r="AA109" i="17"/>
  <c r="AI109" i="17" s="1"/>
  <c r="AA110" i="17"/>
  <c r="AF110" i="17" s="1"/>
  <c r="AA111" i="17"/>
  <c r="AA112" i="17"/>
  <c r="AI112" i="17" s="1"/>
  <c r="AA113" i="17"/>
  <c r="AI113" i="17" s="1"/>
  <c r="L108" i="17"/>
  <c r="M108" i="17"/>
  <c r="N108" i="17"/>
  <c r="L109" i="17"/>
  <c r="M109" i="17"/>
  <c r="N109" i="17"/>
  <c r="L110" i="17"/>
  <c r="M110" i="17"/>
  <c r="N110" i="17"/>
  <c r="L111" i="17"/>
  <c r="M111" i="17"/>
  <c r="N111" i="17"/>
  <c r="L112" i="17"/>
  <c r="M112" i="17"/>
  <c r="N112" i="17"/>
  <c r="L113" i="17"/>
  <c r="M113" i="17"/>
  <c r="N113" i="17"/>
  <c r="AH101" i="17"/>
  <c r="AH102" i="17"/>
  <c r="AI103" i="17"/>
  <c r="AH104" i="17"/>
  <c r="AF102" i="17"/>
  <c r="AF103" i="17"/>
  <c r="AE104" i="17"/>
  <c r="AF105" i="17"/>
  <c r="AA100" i="17"/>
  <c r="AA101" i="17"/>
  <c r="AA102" i="17"/>
  <c r="AI102" i="17" s="1"/>
  <c r="AA103" i="17"/>
  <c r="AA104" i="17"/>
  <c r="AF104" i="17" s="1"/>
  <c r="AA105" i="17"/>
  <c r="AI105" i="17" s="1"/>
  <c r="L100" i="17"/>
  <c r="M100" i="17"/>
  <c r="N100" i="17"/>
  <c r="L101" i="17"/>
  <c r="M101" i="17"/>
  <c r="N101" i="17"/>
  <c r="L102" i="17"/>
  <c r="M102" i="17"/>
  <c r="N102" i="17"/>
  <c r="L103" i="17"/>
  <c r="M103" i="17"/>
  <c r="N103" i="17"/>
  <c r="L104" i="17"/>
  <c r="M104" i="17"/>
  <c r="N104" i="17"/>
  <c r="L105" i="17"/>
  <c r="M105" i="17"/>
  <c r="N105" i="17"/>
  <c r="AD95" i="17"/>
  <c r="AD96" i="17"/>
  <c r="AG95" i="17"/>
  <c r="AG96" i="17"/>
  <c r="O95" i="17"/>
  <c r="P95" i="17"/>
  <c r="Q95" i="17"/>
  <c r="R95" i="17"/>
  <c r="S95" i="17"/>
  <c r="T95" i="17"/>
  <c r="U95" i="17"/>
  <c r="V95" i="17"/>
  <c r="W95" i="17"/>
  <c r="X95" i="17"/>
  <c r="Y95" i="17"/>
  <c r="Z95" i="17"/>
  <c r="O96" i="17"/>
  <c r="P96" i="17"/>
  <c r="Q96" i="17"/>
  <c r="R96" i="17"/>
  <c r="S96" i="17"/>
  <c r="T96" i="17"/>
  <c r="U96" i="17"/>
  <c r="V96" i="17"/>
  <c r="W96" i="17"/>
  <c r="X96" i="17"/>
  <c r="Y96" i="17"/>
  <c r="Z96" i="17"/>
  <c r="AA96" i="17"/>
  <c r="AF96" i="17" s="1"/>
  <c r="AA93" i="17"/>
  <c r="AA95" i="17" s="1"/>
  <c r="AA94" i="17"/>
  <c r="AI94" i="17" s="1"/>
  <c r="N93" i="17"/>
  <c r="N94" i="17"/>
  <c r="I93" i="17"/>
  <c r="J93" i="17"/>
  <c r="I94" i="17"/>
  <c r="J94" i="17"/>
  <c r="AF88" i="17"/>
  <c r="AF89" i="17"/>
  <c r="AA87" i="17"/>
  <c r="AA88" i="17"/>
  <c r="AI88" i="17" s="1"/>
  <c r="AA89" i="17"/>
  <c r="AI89" i="17" s="1"/>
  <c r="N87" i="17"/>
  <c r="N154" i="17" s="1"/>
  <c r="N88" i="17"/>
  <c r="N89" i="17"/>
  <c r="N155" i="17" s="1"/>
  <c r="N90" i="17"/>
  <c r="AH87" i="17"/>
  <c r="L87" i="17"/>
  <c r="M87" i="17"/>
  <c r="L88" i="17"/>
  <c r="M88" i="17"/>
  <c r="L89" i="17"/>
  <c r="M89" i="17"/>
  <c r="I87" i="17"/>
  <c r="J87" i="17"/>
  <c r="I88" i="17"/>
  <c r="J88" i="17"/>
  <c r="I89" i="17"/>
  <c r="J89" i="17"/>
  <c r="I90" i="17"/>
  <c r="J90" i="17"/>
  <c r="AH84" i="17"/>
  <c r="AE84" i="17"/>
  <c r="AA84" i="17"/>
  <c r="AI84" i="17" s="1"/>
  <c r="L84" i="17"/>
  <c r="M84" i="17"/>
  <c r="N84" i="17"/>
  <c r="I84" i="17"/>
  <c r="J84" i="17"/>
  <c r="AE80" i="17"/>
  <c r="AA80" i="17"/>
  <c r="AF80" i="17" s="1"/>
  <c r="AA81" i="17"/>
  <c r="AF81" i="17" s="1"/>
  <c r="AA82" i="17"/>
  <c r="AF82" i="17" s="1"/>
  <c r="L80" i="17"/>
  <c r="M80" i="17"/>
  <c r="N80" i="17"/>
  <c r="L81" i="17"/>
  <c r="M81" i="17"/>
  <c r="N81" i="17"/>
  <c r="L82" i="17"/>
  <c r="M82" i="17"/>
  <c r="N82" i="17"/>
  <c r="I80" i="17"/>
  <c r="J80" i="17"/>
  <c r="I81" i="17"/>
  <c r="J81" i="17"/>
  <c r="I82" i="17"/>
  <c r="J82" i="17"/>
  <c r="AH79" i="17"/>
  <c r="AG78" i="17"/>
  <c r="AD78" i="17"/>
  <c r="AE79" i="17" s="1"/>
  <c r="O78" i="17"/>
  <c r="O79" i="17" s="1"/>
  <c r="P78" i="17"/>
  <c r="P79" i="17" s="1"/>
  <c r="Q78" i="17"/>
  <c r="R78" i="17"/>
  <c r="S78" i="17"/>
  <c r="S79" i="17" s="1"/>
  <c r="T78" i="17"/>
  <c r="T79" i="17" s="1"/>
  <c r="U78" i="17"/>
  <c r="V78" i="17"/>
  <c r="V79" i="17" s="1"/>
  <c r="W78" i="17"/>
  <c r="W79" i="17" s="1"/>
  <c r="X78" i="17"/>
  <c r="X79" i="17" s="1"/>
  <c r="Y78" i="17"/>
  <c r="Z78" i="17"/>
  <c r="Q79" i="17"/>
  <c r="R79" i="17"/>
  <c r="U79" i="17"/>
  <c r="Y79" i="17"/>
  <c r="Z79" i="17"/>
  <c r="AI71" i="17"/>
  <c r="AI72" i="17"/>
  <c r="AF71" i="17"/>
  <c r="AF72" i="17"/>
  <c r="AA35" i="17"/>
  <c r="AA36" i="17"/>
  <c r="AF36" i="17" s="1"/>
  <c r="AA37" i="17"/>
  <c r="AI37" i="17" s="1"/>
  <c r="AA38" i="17"/>
  <c r="AI38" i="17" s="1"/>
  <c r="AA39" i="17"/>
  <c r="AA40" i="17"/>
  <c r="AA41" i="17"/>
  <c r="AA43" i="17" s="1"/>
  <c r="AA42" i="17"/>
  <c r="AA44" i="17"/>
  <c r="AF44" i="17" s="1"/>
  <c r="AA45" i="17"/>
  <c r="AF45" i="17" s="1"/>
  <c r="AA46" i="17"/>
  <c r="AI46" i="17" s="1"/>
  <c r="AA47" i="17"/>
  <c r="AA48" i="17"/>
  <c r="AA49" i="17"/>
  <c r="AA51" i="17" s="1"/>
  <c r="AA53" i="17"/>
  <c r="AF53" i="17" s="1"/>
  <c r="AA54" i="17"/>
  <c r="AI54" i="17" s="1"/>
  <c r="AA55" i="17"/>
  <c r="AI55" i="17" s="1"/>
  <c r="AA56" i="17"/>
  <c r="AA57" i="17"/>
  <c r="AA58" i="17"/>
  <c r="AA62" i="17"/>
  <c r="AA63" i="17"/>
  <c r="AI63" i="17" s="1"/>
  <c r="AA64" i="17"/>
  <c r="AI64" i="17" s="1"/>
  <c r="AA65" i="17"/>
  <c r="AI65" i="17" s="1"/>
  <c r="AA66" i="17"/>
  <c r="AF66" i="17" s="1"/>
  <c r="AA67" i="17"/>
  <c r="AA71" i="17"/>
  <c r="AA72" i="17"/>
  <c r="AA73" i="17"/>
  <c r="AA74" i="17"/>
  <c r="AA75" i="17"/>
  <c r="AI75" i="17" s="1"/>
  <c r="AA76" i="17"/>
  <c r="AI76" i="17" s="1"/>
  <c r="AH71" i="17"/>
  <c r="AH72" i="17"/>
  <c r="AH73" i="17"/>
  <c r="AH74" i="17"/>
  <c r="AH75" i="17"/>
  <c r="AH76" i="17"/>
  <c r="AE71" i="17"/>
  <c r="AE74" i="17"/>
  <c r="AE76" i="17"/>
  <c r="L71" i="17"/>
  <c r="M71" i="17"/>
  <c r="N71" i="17"/>
  <c r="L72" i="17"/>
  <c r="M72" i="17"/>
  <c r="N72" i="17"/>
  <c r="L73" i="17"/>
  <c r="M73" i="17"/>
  <c r="N73" i="17"/>
  <c r="L74" i="17"/>
  <c r="M74" i="17"/>
  <c r="N74" i="17"/>
  <c r="L75" i="17"/>
  <c r="M75" i="17"/>
  <c r="N75" i="17"/>
  <c r="L76" i="17"/>
  <c r="M76" i="17"/>
  <c r="N76" i="17"/>
  <c r="L77" i="17"/>
  <c r="M77" i="17"/>
  <c r="N77" i="17"/>
  <c r="I71" i="17"/>
  <c r="J71" i="17"/>
  <c r="I72" i="17"/>
  <c r="J72" i="17"/>
  <c r="I73" i="17"/>
  <c r="J73" i="17"/>
  <c r="I74" i="17"/>
  <c r="J74" i="17"/>
  <c r="I75" i="17"/>
  <c r="J75" i="17"/>
  <c r="I76" i="17"/>
  <c r="J76" i="17"/>
  <c r="I77" i="17"/>
  <c r="J77" i="17"/>
  <c r="AG69" i="17"/>
  <c r="AH70" i="17" s="1"/>
  <c r="AD69" i="17"/>
  <c r="AE70" i="17" s="1"/>
  <c r="O69" i="17"/>
  <c r="P69" i="17"/>
  <c r="Q69" i="17"/>
  <c r="Q70" i="17" s="1"/>
  <c r="R69" i="17"/>
  <c r="R70" i="17" s="1"/>
  <c r="S69" i="17"/>
  <c r="S70" i="17" s="1"/>
  <c r="T69" i="17"/>
  <c r="T70" i="17" s="1"/>
  <c r="U69" i="17"/>
  <c r="V69" i="17"/>
  <c r="V70" i="17" s="1"/>
  <c r="W69" i="17"/>
  <c r="X69" i="17"/>
  <c r="X70" i="17" s="1"/>
  <c r="Y69" i="17"/>
  <c r="Y70" i="17" s="1"/>
  <c r="Z69" i="17"/>
  <c r="Z70" i="17" s="1"/>
  <c r="O70" i="17"/>
  <c r="P70" i="17"/>
  <c r="U70" i="17"/>
  <c r="W70" i="17"/>
  <c r="AF64" i="17"/>
  <c r="AH64" i="17"/>
  <c r="AH65" i="17"/>
  <c r="AH67" i="17"/>
  <c r="AE62" i="17"/>
  <c r="AE65" i="17"/>
  <c r="AE66" i="17"/>
  <c r="AE67" i="17"/>
  <c r="AB67" i="17"/>
  <c r="L62" i="17"/>
  <c r="M62" i="17"/>
  <c r="N62" i="17"/>
  <c r="L63" i="17"/>
  <c r="M63" i="17"/>
  <c r="N63" i="17"/>
  <c r="L64" i="17"/>
  <c r="M64" i="17"/>
  <c r="N64" i="17"/>
  <c r="L65" i="17"/>
  <c r="M65" i="17"/>
  <c r="N65" i="17"/>
  <c r="L66" i="17"/>
  <c r="M66" i="17"/>
  <c r="N66" i="17"/>
  <c r="L67" i="17"/>
  <c r="M67" i="17"/>
  <c r="N67" i="17"/>
  <c r="L68" i="17"/>
  <c r="M68" i="17"/>
  <c r="N68" i="17"/>
  <c r="I62" i="17"/>
  <c r="J62" i="17"/>
  <c r="I63" i="17"/>
  <c r="J63" i="17"/>
  <c r="I64" i="17"/>
  <c r="J64" i="17"/>
  <c r="I65" i="17"/>
  <c r="J65" i="17"/>
  <c r="I66" i="17"/>
  <c r="J66" i="17"/>
  <c r="I67" i="17"/>
  <c r="J67" i="17"/>
  <c r="I68" i="17"/>
  <c r="J68" i="17"/>
  <c r="AG60" i="17"/>
  <c r="AH61" i="17" s="1"/>
  <c r="AD60" i="17"/>
  <c r="AE61" i="17" s="1"/>
  <c r="O60" i="17"/>
  <c r="O61" i="17" s="1"/>
  <c r="P60" i="17"/>
  <c r="Q60" i="17"/>
  <c r="Q61" i="17" s="1"/>
  <c r="R60" i="17"/>
  <c r="R61" i="17" s="1"/>
  <c r="S60" i="17"/>
  <c r="S61" i="17" s="1"/>
  <c r="T60" i="17"/>
  <c r="T61" i="17" s="1"/>
  <c r="U60" i="17"/>
  <c r="V60" i="17"/>
  <c r="V61" i="17" s="1"/>
  <c r="W60" i="17"/>
  <c r="X60" i="17"/>
  <c r="Y60" i="17"/>
  <c r="Y61" i="17" s="1"/>
  <c r="Z60" i="17"/>
  <c r="Z61" i="17" s="1"/>
  <c r="P61" i="17"/>
  <c r="U61" i="17"/>
  <c r="W61" i="17"/>
  <c r="X61" i="17"/>
  <c r="AI56" i="17"/>
  <c r="AF55" i="17"/>
  <c r="AF56" i="17"/>
  <c r="AF57" i="17"/>
  <c r="AH54" i="17"/>
  <c r="AH55" i="17"/>
  <c r="AH56" i="17"/>
  <c r="AH57" i="17"/>
  <c r="AH58" i="17"/>
  <c r="AE57" i="17"/>
  <c r="AE58" i="17"/>
  <c r="L53" i="17"/>
  <c r="M53" i="17"/>
  <c r="N53" i="17"/>
  <c r="L54" i="17"/>
  <c r="M54" i="17"/>
  <c r="N54" i="17"/>
  <c r="L55" i="17"/>
  <c r="M55" i="17"/>
  <c r="N55" i="17"/>
  <c r="L56" i="17"/>
  <c r="M56" i="17"/>
  <c r="N56" i="17"/>
  <c r="L57" i="17"/>
  <c r="M57" i="17"/>
  <c r="N57" i="17"/>
  <c r="L58" i="17"/>
  <c r="M58" i="17"/>
  <c r="N58" i="17"/>
  <c r="L59" i="17"/>
  <c r="M59" i="17"/>
  <c r="N59" i="17"/>
  <c r="I53" i="17"/>
  <c r="J53" i="17"/>
  <c r="I54" i="17"/>
  <c r="J54" i="17"/>
  <c r="I55" i="17"/>
  <c r="J55" i="17"/>
  <c r="I56" i="17"/>
  <c r="J56" i="17"/>
  <c r="I57" i="17"/>
  <c r="J57" i="17"/>
  <c r="I58" i="17"/>
  <c r="J58" i="17"/>
  <c r="I59" i="17"/>
  <c r="J59" i="17"/>
  <c r="AG51" i="17"/>
  <c r="AH52" i="17" s="1"/>
  <c r="AD51" i="17"/>
  <c r="AE52" i="17" s="1"/>
  <c r="O51" i="17"/>
  <c r="P51" i="17"/>
  <c r="Q51" i="17"/>
  <c r="Q52" i="17" s="1"/>
  <c r="R51" i="17"/>
  <c r="R52" i="17" s="1"/>
  <c r="S51" i="17"/>
  <c r="S52" i="17" s="1"/>
  <c r="T51" i="17"/>
  <c r="T52" i="17" s="1"/>
  <c r="U51" i="17"/>
  <c r="V51" i="17"/>
  <c r="V52" i="17" s="1"/>
  <c r="W51" i="17"/>
  <c r="X51" i="17"/>
  <c r="X52" i="17" s="1"/>
  <c r="Y51" i="17"/>
  <c r="Y52" i="17" s="1"/>
  <c r="Z51" i="17"/>
  <c r="O52" i="17"/>
  <c r="P52" i="17"/>
  <c r="U52" i="17"/>
  <c r="W52" i="17"/>
  <c r="Z52" i="17"/>
  <c r="AI45" i="17"/>
  <c r="AI47" i="17"/>
  <c r="AI48" i="17"/>
  <c r="AF46" i="17"/>
  <c r="AF47" i="17"/>
  <c r="AF48" i="17"/>
  <c r="AH47" i="17"/>
  <c r="AH49" i="17"/>
  <c r="AE44" i="17"/>
  <c r="AE47" i="17"/>
  <c r="AE48" i="17"/>
  <c r="AE49" i="17"/>
  <c r="L44" i="17"/>
  <c r="M44" i="17"/>
  <c r="N44" i="17"/>
  <c r="L45" i="17"/>
  <c r="M45" i="17"/>
  <c r="N45" i="17"/>
  <c r="L46" i="17"/>
  <c r="M46" i="17"/>
  <c r="N46" i="17"/>
  <c r="L47" i="17"/>
  <c r="M47" i="17"/>
  <c r="N47" i="17"/>
  <c r="L48" i="17"/>
  <c r="M48" i="17"/>
  <c r="N48" i="17"/>
  <c r="L49" i="17"/>
  <c r="M49" i="17"/>
  <c r="N49" i="17"/>
  <c r="L50" i="17"/>
  <c r="M50" i="17"/>
  <c r="N50" i="17"/>
  <c r="I44" i="17"/>
  <c r="J44" i="17"/>
  <c r="I45" i="17"/>
  <c r="J45" i="17"/>
  <c r="I46" i="17"/>
  <c r="J46" i="17"/>
  <c r="I47" i="17"/>
  <c r="J47" i="17"/>
  <c r="I48" i="17"/>
  <c r="J48" i="17"/>
  <c r="I49" i="17"/>
  <c r="J49" i="17"/>
  <c r="I50" i="17"/>
  <c r="J50" i="17"/>
  <c r="AG42" i="17"/>
  <c r="AH43" i="17" s="1"/>
  <c r="AD42" i="17"/>
  <c r="AE43" i="17" s="1"/>
  <c r="O42" i="17"/>
  <c r="O43" i="17" s="1"/>
  <c r="P42" i="17"/>
  <c r="P43" i="17" s="1"/>
  <c r="Q42" i="17"/>
  <c r="Q43" i="17" s="1"/>
  <c r="R42" i="17"/>
  <c r="R43" i="17" s="1"/>
  <c r="S42" i="17"/>
  <c r="S43" i="17" s="1"/>
  <c r="T42" i="17"/>
  <c r="T43" i="17" s="1"/>
  <c r="U42" i="17"/>
  <c r="V42" i="17"/>
  <c r="V43" i="17" s="1"/>
  <c r="W42" i="17"/>
  <c r="W43" i="17" s="1"/>
  <c r="X42" i="17"/>
  <c r="X43" i="17" s="1"/>
  <c r="Y42" i="17"/>
  <c r="Y43" i="17" s="1"/>
  <c r="Z42" i="17"/>
  <c r="U43" i="17"/>
  <c r="Z43" i="17"/>
  <c r="AI39" i="17"/>
  <c r="AI40" i="17"/>
  <c r="AF38" i="17"/>
  <c r="AF39" i="17"/>
  <c r="AF40" i="17"/>
  <c r="AH40" i="17"/>
  <c r="AE35" i="17"/>
  <c r="AE37" i="17"/>
  <c r="AE40" i="17"/>
  <c r="AB40" i="17"/>
  <c r="L35" i="17"/>
  <c r="M35" i="17"/>
  <c r="N35" i="17"/>
  <c r="L36" i="17"/>
  <c r="M36" i="17"/>
  <c r="N36" i="17"/>
  <c r="L37" i="17"/>
  <c r="M37" i="17"/>
  <c r="N37" i="17"/>
  <c r="L38" i="17"/>
  <c r="M38" i="17"/>
  <c r="N38" i="17"/>
  <c r="L39" i="17"/>
  <c r="M39" i="17"/>
  <c r="N39" i="17"/>
  <c r="L40" i="17"/>
  <c r="M40" i="17"/>
  <c r="N40" i="17"/>
  <c r="L41" i="17"/>
  <c r="M41" i="17"/>
  <c r="N41" i="17"/>
  <c r="I35" i="17"/>
  <c r="J35" i="17"/>
  <c r="I36" i="17"/>
  <c r="J36" i="17"/>
  <c r="I37" i="17"/>
  <c r="J37" i="17"/>
  <c r="I38" i="17"/>
  <c r="J38" i="17"/>
  <c r="I39" i="17"/>
  <c r="J39" i="17"/>
  <c r="I40" i="17"/>
  <c r="J40" i="17"/>
  <c r="I41" i="17"/>
  <c r="J41" i="17"/>
  <c r="AG32" i="17"/>
  <c r="AD32" i="17"/>
  <c r="O32" i="17"/>
  <c r="P32" i="17"/>
  <c r="Q32" i="17"/>
  <c r="R32" i="17"/>
  <c r="S32" i="17"/>
  <c r="T32" i="17"/>
  <c r="U32" i="17"/>
  <c r="V32" i="17"/>
  <c r="W32" i="17"/>
  <c r="X32" i="17"/>
  <c r="Y32" i="17"/>
  <c r="Z32" i="17"/>
  <c r="AG31" i="17"/>
  <c r="AD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N26" i="17"/>
  <c r="N27" i="17"/>
  <c r="N28" i="17"/>
  <c r="N29" i="17"/>
  <c r="B23" i="17"/>
  <c r="AG16" i="17"/>
  <c r="AG19" i="17"/>
  <c r="AH105" i="17" s="1"/>
  <c r="AG20" i="17"/>
  <c r="AH89" i="17" s="1"/>
  <c r="AD19" i="17"/>
  <c r="AE100" i="17" s="1"/>
  <c r="AD20" i="17"/>
  <c r="AE89" i="17" s="1"/>
  <c r="G19" i="17"/>
  <c r="G20" i="17"/>
  <c r="N19" i="17"/>
  <c r="O19" i="17"/>
  <c r="P19" i="17"/>
  <c r="Q19" i="17"/>
  <c r="R19" i="17"/>
  <c r="S19" i="17"/>
  <c r="T19" i="17"/>
  <c r="U19" i="17"/>
  <c r="V19" i="17"/>
  <c r="W19" i="17"/>
  <c r="X19" i="17"/>
  <c r="Y19" i="17"/>
  <c r="Z19" i="17"/>
  <c r="N20" i="17"/>
  <c r="O20" i="17"/>
  <c r="P20" i="17"/>
  <c r="AA20" i="17" s="1"/>
  <c r="AB89" i="17" s="1"/>
  <c r="Q20" i="17"/>
  <c r="R20" i="17"/>
  <c r="S20" i="17"/>
  <c r="T20" i="17"/>
  <c r="U20" i="17"/>
  <c r="V20" i="17"/>
  <c r="W20" i="17"/>
  <c r="X20" i="17"/>
  <c r="Y20" i="17"/>
  <c r="Z20" i="17"/>
  <c r="B17" i="17"/>
  <c r="B18" i="17"/>
  <c r="B19" i="17"/>
  <c r="O16" i="17"/>
  <c r="P16" i="17"/>
  <c r="Q16" i="17"/>
  <c r="R16" i="17"/>
  <c r="S16" i="17"/>
  <c r="T16" i="17"/>
  <c r="U16" i="17"/>
  <c r="V16" i="17"/>
  <c r="W16" i="17"/>
  <c r="X16" i="17"/>
  <c r="Y16" i="17"/>
  <c r="O17" i="17"/>
  <c r="P17" i="17"/>
  <c r="Q17" i="17"/>
  <c r="R17" i="17"/>
  <c r="S17" i="17"/>
  <c r="T17" i="17"/>
  <c r="U17" i="17"/>
  <c r="V17" i="17"/>
  <c r="W17" i="17"/>
  <c r="X17" i="17"/>
  <c r="Y17" i="17"/>
  <c r="Z17" i="17"/>
  <c r="AA17" i="17" s="1"/>
  <c r="AA11" i="17" s="1"/>
  <c r="AA18" i="17" s="1"/>
  <c r="A14" i="17"/>
  <c r="AG12" i="17"/>
  <c r="AG13" i="17"/>
  <c r="AD12" i="17"/>
  <c r="AD13" i="17"/>
  <c r="B12" i="17"/>
  <c r="B13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O13" i="17"/>
  <c r="P13" i="17"/>
  <c r="Q13" i="17"/>
  <c r="R13" i="17"/>
  <c r="S13" i="17"/>
  <c r="T13" i="17"/>
  <c r="U13" i="17"/>
  <c r="V13" i="17"/>
  <c r="W13" i="17"/>
  <c r="X13" i="17"/>
  <c r="Y13" i="17"/>
  <c r="Z13" i="17"/>
  <c r="AA13" i="17"/>
  <c r="C10" i="17"/>
  <c r="D10" i="17"/>
  <c r="AA16" i="17" s="1"/>
  <c r="C9" i="17"/>
  <c r="C1" i="17"/>
  <c r="C2" i="17"/>
  <c r="C3" i="17"/>
  <c r="C4" i="17"/>
  <c r="C5" i="17"/>
  <c r="C6" i="17"/>
  <c r="C7" i="17"/>
  <c r="C8" i="17"/>
  <c r="E6" i="17"/>
  <c r="E4" i="17"/>
  <c r="B3" i="17"/>
  <c r="AG125" i="16"/>
  <c r="AD125" i="16"/>
  <c r="AD126" i="16"/>
  <c r="O125" i="16"/>
  <c r="P125" i="16"/>
  <c r="Q125" i="16"/>
  <c r="R125" i="16"/>
  <c r="S125" i="16"/>
  <c r="T125" i="16"/>
  <c r="U125" i="16"/>
  <c r="V125" i="16"/>
  <c r="W125" i="16"/>
  <c r="X125" i="16"/>
  <c r="Y125" i="16"/>
  <c r="Z125" i="16"/>
  <c r="P126" i="16"/>
  <c r="Y126" i="16"/>
  <c r="N122" i="16"/>
  <c r="N125" i="16" s="1"/>
  <c r="N123" i="16"/>
  <c r="N126" i="16" s="1"/>
  <c r="AA123" i="16"/>
  <c r="AI123" i="16" s="1"/>
  <c r="I122" i="16"/>
  <c r="AA122" i="16" s="1"/>
  <c r="AI122" i="16" s="1"/>
  <c r="J122" i="16"/>
  <c r="I123" i="16"/>
  <c r="J123" i="16"/>
  <c r="N91" i="16"/>
  <c r="N92" i="16"/>
  <c r="N93" i="16"/>
  <c r="N94" i="16"/>
  <c r="N95" i="16"/>
  <c r="N96" i="16"/>
  <c r="N97" i="16"/>
  <c r="N98" i="16"/>
  <c r="N99" i="16"/>
  <c r="N100" i="16"/>
  <c r="N101" i="16"/>
  <c r="N102" i="16"/>
  <c r="N103" i="16"/>
  <c r="N104" i="16"/>
  <c r="N105" i="16"/>
  <c r="N106" i="16"/>
  <c r="N107" i="16"/>
  <c r="N108" i="16"/>
  <c r="N109" i="16"/>
  <c r="N110" i="16"/>
  <c r="N111" i="16"/>
  <c r="N112" i="16"/>
  <c r="N113" i="16"/>
  <c r="N114" i="16"/>
  <c r="N115" i="16"/>
  <c r="N116" i="16"/>
  <c r="N117" i="16"/>
  <c r="N118" i="16"/>
  <c r="N119" i="16"/>
  <c r="N120" i="16"/>
  <c r="I120" i="16"/>
  <c r="AA120" i="16" s="1"/>
  <c r="J120" i="16"/>
  <c r="B109" i="16"/>
  <c r="B103" i="16"/>
  <c r="B104" i="16"/>
  <c r="B105" i="16"/>
  <c r="A100" i="16"/>
  <c r="AH94" i="16"/>
  <c r="AK95" i="16"/>
  <c r="AI103" i="16"/>
  <c r="AK103" i="16"/>
  <c r="AL104" i="16"/>
  <c r="AH110" i="16"/>
  <c r="AL112" i="16"/>
  <c r="AH114" i="16"/>
  <c r="AL114" i="16"/>
  <c r="AH119" i="16"/>
  <c r="AL120" i="16"/>
  <c r="AF93" i="16"/>
  <c r="AE97" i="16"/>
  <c r="AE100" i="16"/>
  <c r="AE113" i="16"/>
  <c r="AE114" i="16"/>
  <c r="AE115" i="16"/>
  <c r="AE118" i="16"/>
  <c r="AE119" i="16"/>
  <c r="AA93" i="16"/>
  <c r="AI93" i="16" s="1"/>
  <c r="AA109" i="16"/>
  <c r="AI109" i="16" s="1"/>
  <c r="I92" i="16"/>
  <c r="AA92" i="16" s="1"/>
  <c r="J92" i="16"/>
  <c r="K92" i="16" s="1"/>
  <c r="L92" i="16"/>
  <c r="M92" i="16"/>
  <c r="I93" i="16"/>
  <c r="J93" i="16"/>
  <c r="K93" i="16" s="1"/>
  <c r="L93" i="16"/>
  <c r="M93" i="16"/>
  <c r="I94" i="16"/>
  <c r="J94" i="16"/>
  <c r="L94" i="16"/>
  <c r="M94" i="16"/>
  <c r="I95" i="16"/>
  <c r="AA95" i="16" s="1"/>
  <c r="J95" i="16"/>
  <c r="L95" i="16"/>
  <c r="M95" i="16"/>
  <c r="I96" i="16"/>
  <c r="AA96" i="16" s="1"/>
  <c r="J96" i="16"/>
  <c r="L96" i="16"/>
  <c r="M96" i="16"/>
  <c r="I97" i="16"/>
  <c r="J97" i="16"/>
  <c r="L97" i="16"/>
  <c r="M97" i="16"/>
  <c r="I98" i="16"/>
  <c r="AA98" i="16" s="1"/>
  <c r="AF98" i="16" s="1"/>
  <c r="J98" i="16"/>
  <c r="L98" i="16"/>
  <c r="M98" i="16"/>
  <c r="I99" i="16"/>
  <c r="AA99" i="16" s="1"/>
  <c r="J99" i="16"/>
  <c r="L99" i="16"/>
  <c r="M99" i="16"/>
  <c r="I100" i="16"/>
  <c r="AA100" i="16" s="1"/>
  <c r="J100" i="16"/>
  <c r="L100" i="16"/>
  <c r="M100" i="16"/>
  <c r="I101" i="16"/>
  <c r="K101" i="16" s="1"/>
  <c r="J101" i="16"/>
  <c r="L101" i="16"/>
  <c r="M101" i="16"/>
  <c r="I102" i="16"/>
  <c r="K102" i="16" s="1"/>
  <c r="J102" i="16"/>
  <c r="L102" i="16"/>
  <c r="M102" i="16"/>
  <c r="I103" i="16"/>
  <c r="AA103" i="16" s="1"/>
  <c r="J103" i="16"/>
  <c r="K103" i="16"/>
  <c r="L103" i="16"/>
  <c r="M103" i="16"/>
  <c r="I104" i="16"/>
  <c r="AA104" i="16" s="1"/>
  <c r="J104" i="16"/>
  <c r="L104" i="16"/>
  <c r="M104" i="16"/>
  <c r="I105" i="16"/>
  <c r="J105" i="16"/>
  <c r="L105" i="16"/>
  <c r="M105" i="16"/>
  <c r="I106" i="16"/>
  <c r="AA106" i="16" s="1"/>
  <c r="J106" i="16"/>
  <c r="K106" i="16" s="1"/>
  <c r="L106" i="16"/>
  <c r="M106" i="16"/>
  <c r="I107" i="16"/>
  <c r="AA107" i="16" s="1"/>
  <c r="J107" i="16"/>
  <c r="L107" i="16"/>
  <c r="M107" i="16"/>
  <c r="I108" i="16"/>
  <c r="AA108" i="16" s="1"/>
  <c r="J108" i="16"/>
  <c r="K108" i="16" s="1"/>
  <c r="L108" i="16"/>
  <c r="M108" i="16"/>
  <c r="I109" i="16"/>
  <c r="J109" i="16"/>
  <c r="K109" i="16"/>
  <c r="L109" i="16"/>
  <c r="M109" i="16"/>
  <c r="I110" i="16"/>
  <c r="K110" i="16" s="1"/>
  <c r="J110" i="16"/>
  <c r="L110" i="16"/>
  <c r="M110" i="16"/>
  <c r="I111" i="16"/>
  <c r="AA111" i="16" s="1"/>
  <c r="J111" i="16"/>
  <c r="K111" i="16" s="1"/>
  <c r="L111" i="16"/>
  <c r="M111" i="16"/>
  <c r="I112" i="16"/>
  <c r="AA112" i="16" s="1"/>
  <c r="J112" i="16"/>
  <c r="L112" i="16"/>
  <c r="M112" i="16"/>
  <c r="I113" i="16"/>
  <c r="J113" i="16"/>
  <c r="L113" i="16"/>
  <c r="M113" i="16"/>
  <c r="I114" i="16"/>
  <c r="AA114" i="16" s="1"/>
  <c r="AF114" i="16" s="1"/>
  <c r="J114" i="16"/>
  <c r="L114" i="16"/>
  <c r="M114" i="16"/>
  <c r="I115" i="16"/>
  <c r="AA115" i="16" s="1"/>
  <c r="J115" i="16"/>
  <c r="L115" i="16"/>
  <c r="M115" i="16"/>
  <c r="I116" i="16"/>
  <c r="AA116" i="16" s="1"/>
  <c r="J116" i="16"/>
  <c r="L116" i="16"/>
  <c r="M116" i="16"/>
  <c r="I117" i="16"/>
  <c r="K117" i="16" s="1"/>
  <c r="J117" i="16"/>
  <c r="L117" i="16"/>
  <c r="M117" i="16"/>
  <c r="I118" i="16"/>
  <c r="K118" i="16" s="1"/>
  <c r="J118" i="16"/>
  <c r="L118" i="16"/>
  <c r="M118" i="16"/>
  <c r="I119" i="16"/>
  <c r="AA119" i="16" s="1"/>
  <c r="J119" i="16"/>
  <c r="L119" i="16"/>
  <c r="M119" i="16"/>
  <c r="I91" i="16"/>
  <c r="J91" i="16"/>
  <c r="B77" i="16"/>
  <c r="B78" i="16"/>
  <c r="AH76" i="16"/>
  <c r="AL77" i="16"/>
  <c r="AH82" i="16"/>
  <c r="AK86" i="16"/>
  <c r="AL87" i="16"/>
  <c r="AE76" i="16"/>
  <c r="AA79" i="16"/>
  <c r="AF79" i="16" s="1"/>
  <c r="AA83" i="16"/>
  <c r="AF83" i="16" s="1"/>
  <c r="I74" i="16"/>
  <c r="AA74" i="16" s="1"/>
  <c r="AI74" i="16" s="1"/>
  <c r="J74" i="16"/>
  <c r="L74" i="16"/>
  <c r="M74" i="16"/>
  <c r="N74" i="16"/>
  <c r="I75" i="16"/>
  <c r="AA75" i="16" s="1"/>
  <c r="AF75" i="16" s="1"/>
  <c r="J75" i="16"/>
  <c r="K75" i="16"/>
  <c r="L75" i="16"/>
  <c r="M75" i="16"/>
  <c r="N75" i="16"/>
  <c r="I76" i="16"/>
  <c r="AA76" i="16" s="1"/>
  <c r="J76" i="16"/>
  <c r="L76" i="16"/>
  <c r="M76" i="16"/>
  <c r="N76" i="16"/>
  <c r="I77" i="16"/>
  <c r="K77" i="16" s="1"/>
  <c r="J77" i="16"/>
  <c r="L77" i="16"/>
  <c r="M77" i="16"/>
  <c r="N77" i="16"/>
  <c r="I78" i="16"/>
  <c r="AA78" i="16" s="1"/>
  <c r="J78" i="16"/>
  <c r="K78" i="16"/>
  <c r="L78" i="16"/>
  <c r="M78" i="16"/>
  <c r="N78" i="16"/>
  <c r="I79" i="16"/>
  <c r="J79" i="16"/>
  <c r="K79" i="16"/>
  <c r="L79" i="16"/>
  <c r="M79" i="16"/>
  <c r="N79" i="16"/>
  <c r="I80" i="16"/>
  <c r="AA80" i="16" s="1"/>
  <c r="J80" i="16"/>
  <c r="L80" i="16"/>
  <c r="M80" i="16"/>
  <c r="N80" i="16"/>
  <c r="I81" i="16"/>
  <c r="K81" i="16" s="1"/>
  <c r="J81" i="16"/>
  <c r="L81" i="16"/>
  <c r="M81" i="16"/>
  <c r="N81" i="16"/>
  <c r="I82" i="16"/>
  <c r="AA82" i="16" s="1"/>
  <c r="AI82" i="16" s="1"/>
  <c r="J82" i="16"/>
  <c r="K82" i="16"/>
  <c r="L82" i="16"/>
  <c r="M82" i="16"/>
  <c r="N82" i="16"/>
  <c r="I83" i="16"/>
  <c r="J83" i="16"/>
  <c r="K83" i="16"/>
  <c r="L83" i="16"/>
  <c r="M83" i="16"/>
  <c r="N83" i="16"/>
  <c r="I84" i="16"/>
  <c r="AA84" i="16" s="1"/>
  <c r="J84" i="16"/>
  <c r="L84" i="16"/>
  <c r="M84" i="16"/>
  <c r="N84" i="16"/>
  <c r="I85" i="16"/>
  <c r="K85" i="16" s="1"/>
  <c r="J85" i="16"/>
  <c r="L85" i="16"/>
  <c r="M85" i="16"/>
  <c r="N85" i="16"/>
  <c r="I86" i="16"/>
  <c r="AA86" i="16" s="1"/>
  <c r="J86" i="16"/>
  <c r="K86" i="16"/>
  <c r="L86" i="16"/>
  <c r="M86" i="16"/>
  <c r="N86" i="16"/>
  <c r="I87" i="16"/>
  <c r="AA87" i="16" s="1"/>
  <c r="AF87" i="16" s="1"/>
  <c r="J87" i="16"/>
  <c r="L87" i="16"/>
  <c r="M87" i="16"/>
  <c r="N87" i="16"/>
  <c r="I88" i="16"/>
  <c r="AA88" i="16" s="1"/>
  <c r="J88" i="16"/>
  <c r="L88" i="16"/>
  <c r="M88" i="16"/>
  <c r="N88" i="16"/>
  <c r="I89" i="16"/>
  <c r="K89" i="16" s="1"/>
  <c r="J89" i="16"/>
  <c r="L89" i="16"/>
  <c r="M89" i="16"/>
  <c r="N89" i="16"/>
  <c r="B72" i="16"/>
  <c r="B73" i="16"/>
  <c r="B74" i="16"/>
  <c r="N72" i="16"/>
  <c r="N73" i="16"/>
  <c r="I72" i="16"/>
  <c r="J72" i="16"/>
  <c r="I73" i="16"/>
  <c r="J73" i="16"/>
  <c r="AD70" i="16"/>
  <c r="AG70" i="16"/>
  <c r="AG126" i="16" s="1"/>
  <c r="N70" i="16"/>
  <c r="O70" i="16"/>
  <c r="AA70" i="16" s="1"/>
  <c r="P70" i="16"/>
  <c r="Q70" i="16"/>
  <c r="Q126" i="16" s="1"/>
  <c r="R70" i="16"/>
  <c r="R126" i="16" s="1"/>
  <c r="S70" i="16"/>
  <c r="S126" i="16" s="1"/>
  <c r="T70" i="16"/>
  <c r="T126" i="16" s="1"/>
  <c r="U70" i="16"/>
  <c r="U126" i="16" s="1"/>
  <c r="V70" i="16"/>
  <c r="V126" i="16" s="1"/>
  <c r="W70" i="16"/>
  <c r="W126" i="16" s="1"/>
  <c r="X70" i="16"/>
  <c r="X126" i="16" s="1"/>
  <c r="Y70" i="16"/>
  <c r="Z70" i="16"/>
  <c r="Z126" i="16" s="1"/>
  <c r="AH69" i="16"/>
  <c r="AI69" i="16"/>
  <c r="AB60" i="16"/>
  <c r="AB61" i="16"/>
  <c r="AM61" i="16" s="1"/>
  <c r="AB62" i="16"/>
  <c r="AB63" i="16"/>
  <c r="AB64" i="16"/>
  <c r="AB65" i="16"/>
  <c r="AB66" i="16"/>
  <c r="AN66" i="16" s="1"/>
  <c r="AB67" i="16"/>
  <c r="AB68" i="16"/>
  <c r="AN68" i="16" s="1"/>
  <c r="AB69" i="16"/>
  <c r="N58" i="16"/>
  <c r="N59" i="16"/>
  <c r="N60" i="16"/>
  <c r="N61" i="16"/>
  <c r="N62" i="16"/>
  <c r="N63" i="16"/>
  <c r="N64" i="16"/>
  <c r="N65" i="16"/>
  <c r="N66" i="16"/>
  <c r="N67" i="16"/>
  <c r="N68" i="16"/>
  <c r="N69" i="16"/>
  <c r="I69" i="16"/>
  <c r="K69" i="16" s="1"/>
  <c r="J69" i="16"/>
  <c r="I70" i="16"/>
  <c r="J70" i="16"/>
  <c r="K70" i="16"/>
  <c r="A69" i="16"/>
  <c r="AA65" i="16"/>
  <c r="AI65" i="16" s="1"/>
  <c r="AH60" i="16"/>
  <c r="AN60" i="16" s="1"/>
  <c r="AL60" i="16"/>
  <c r="AH61" i="16"/>
  <c r="AH62" i="16"/>
  <c r="AH63" i="16"/>
  <c r="AH64" i="16"/>
  <c r="AH65" i="16"/>
  <c r="AL65" i="16"/>
  <c r="AH66" i="16"/>
  <c r="AL66" i="16"/>
  <c r="AH67" i="16"/>
  <c r="AN67" i="16" s="1"/>
  <c r="AL67" i="16"/>
  <c r="AM67" i="16"/>
  <c r="AH68" i="16"/>
  <c r="AL68" i="16"/>
  <c r="AE60" i="16"/>
  <c r="AE61" i="16"/>
  <c r="AE62" i="16"/>
  <c r="AE63" i="16"/>
  <c r="AE64" i="16"/>
  <c r="AE65" i="16"/>
  <c r="AE66" i="16"/>
  <c r="AM66" i="16" s="1"/>
  <c r="AE67" i="16"/>
  <c r="AE68" i="16"/>
  <c r="AM68" i="16" s="1"/>
  <c r="AE69" i="16"/>
  <c r="AF69" i="16"/>
  <c r="I60" i="16"/>
  <c r="AA60" i="16" s="1"/>
  <c r="AF60" i="16" s="1"/>
  <c r="J60" i="16"/>
  <c r="L60" i="16"/>
  <c r="M60" i="16"/>
  <c r="I61" i="16"/>
  <c r="AA61" i="16" s="1"/>
  <c r="J61" i="16"/>
  <c r="L61" i="16"/>
  <c r="M61" i="16"/>
  <c r="I62" i="16"/>
  <c r="AA62" i="16" s="1"/>
  <c r="AF62" i="16" s="1"/>
  <c r="J62" i="16"/>
  <c r="L62" i="16"/>
  <c r="M62" i="16"/>
  <c r="I63" i="16"/>
  <c r="AA63" i="16" s="1"/>
  <c r="J63" i="16"/>
  <c r="K63" i="16"/>
  <c r="L63" i="16"/>
  <c r="M63" i="16"/>
  <c r="I64" i="16"/>
  <c r="K64" i="16" s="1"/>
  <c r="J64" i="16"/>
  <c r="L64" i="16"/>
  <c r="M64" i="16"/>
  <c r="I65" i="16"/>
  <c r="J65" i="16"/>
  <c r="K65" i="16"/>
  <c r="L65" i="16"/>
  <c r="M65" i="16"/>
  <c r="I66" i="16"/>
  <c r="K66" i="16" s="1"/>
  <c r="J66" i="16"/>
  <c r="L66" i="16"/>
  <c r="M66" i="16"/>
  <c r="I67" i="16"/>
  <c r="K67" i="16" s="1"/>
  <c r="J67" i="16"/>
  <c r="L67" i="16"/>
  <c r="M67" i="16"/>
  <c r="I68" i="16"/>
  <c r="AA68" i="16" s="1"/>
  <c r="AF68" i="16" s="1"/>
  <c r="J68" i="16"/>
  <c r="K68" i="16"/>
  <c r="L68" i="16"/>
  <c r="M68" i="16"/>
  <c r="I58" i="16"/>
  <c r="J58" i="16"/>
  <c r="I59" i="16"/>
  <c r="J59" i="16"/>
  <c r="N33" i="16"/>
  <c r="N34" i="16"/>
  <c r="N35" i="16"/>
  <c r="N36" i="16"/>
  <c r="N37" i="16"/>
  <c r="N38" i="16"/>
  <c r="N39" i="16"/>
  <c r="N40" i="16"/>
  <c r="N41" i="16"/>
  <c r="N42" i="16"/>
  <c r="N43" i="16"/>
  <c r="N44" i="16"/>
  <c r="N45" i="16"/>
  <c r="N46" i="16"/>
  <c r="N47" i="16"/>
  <c r="N48" i="16"/>
  <c r="N49" i="16"/>
  <c r="N50" i="16"/>
  <c r="N51" i="16"/>
  <c r="N52" i="16"/>
  <c r="N53" i="16"/>
  <c r="N54" i="16"/>
  <c r="N55" i="16"/>
  <c r="N56" i="16"/>
  <c r="I56" i="16"/>
  <c r="AA56" i="16" s="1"/>
  <c r="AF56" i="16" s="1"/>
  <c r="J56" i="16"/>
  <c r="AH49" i="16"/>
  <c r="AH51" i="16"/>
  <c r="AL53" i="16"/>
  <c r="AL54" i="16"/>
  <c r="AH55" i="16"/>
  <c r="AK55" i="16"/>
  <c r="AL55" i="16"/>
  <c r="AE51" i="16"/>
  <c r="AE53" i="16"/>
  <c r="AE55" i="16"/>
  <c r="AF55" i="16"/>
  <c r="AA55" i="16"/>
  <c r="AI55" i="16" s="1"/>
  <c r="I49" i="16"/>
  <c r="AA49" i="16" s="1"/>
  <c r="J49" i="16"/>
  <c r="I50" i="16"/>
  <c r="AA50" i="16" s="1"/>
  <c r="J50" i="16"/>
  <c r="I51" i="16"/>
  <c r="AA51" i="16" s="1"/>
  <c r="AI51" i="16" s="1"/>
  <c r="J51" i="16"/>
  <c r="I52" i="16"/>
  <c r="AA52" i="16" s="1"/>
  <c r="AI52" i="16" s="1"/>
  <c r="J52" i="16"/>
  <c r="I53" i="16"/>
  <c r="AA53" i="16" s="1"/>
  <c r="J53" i="16"/>
  <c r="I54" i="16"/>
  <c r="AA54" i="16" s="1"/>
  <c r="J54" i="16"/>
  <c r="AA36" i="16"/>
  <c r="AA38" i="16"/>
  <c r="AA46" i="16"/>
  <c r="AA48" i="16"/>
  <c r="I47" i="16"/>
  <c r="K47" i="16" s="1"/>
  <c r="J47" i="16"/>
  <c r="I48" i="16"/>
  <c r="J48" i="16"/>
  <c r="K48" i="16"/>
  <c r="B44" i="16"/>
  <c r="B45" i="16"/>
  <c r="AH42" i="16"/>
  <c r="AH43" i="16"/>
  <c r="AE41" i="16"/>
  <c r="AE44" i="16"/>
  <c r="AE45" i="16"/>
  <c r="AE46" i="16"/>
  <c r="I41" i="16"/>
  <c r="AA41" i="16" s="1"/>
  <c r="J41" i="16"/>
  <c r="I42" i="16"/>
  <c r="K42" i="16" s="1"/>
  <c r="J42" i="16"/>
  <c r="I43" i="16"/>
  <c r="AA43" i="16" s="1"/>
  <c r="J43" i="16"/>
  <c r="K43" i="16"/>
  <c r="I44" i="16"/>
  <c r="AA44" i="16" s="1"/>
  <c r="J44" i="16"/>
  <c r="I45" i="16"/>
  <c r="K45" i="16" s="1"/>
  <c r="J45" i="16"/>
  <c r="B39" i="16"/>
  <c r="B40" i="16"/>
  <c r="B41" i="16"/>
  <c r="I40" i="16"/>
  <c r="AA40" i="16" s="1"/>
  <c r="J40" i="16"/>
  <c r="A36" i="16"/>
  <c r="AL36" i="16"/>
  <c r="AK38" i="16"/>
  <c r="AL38" i="16"/>
  <c r="AL39" i="16"/>
  <c r="AM40" i="16"/>
  <c r="AN40" i="16"/>
  <c r="AL44" i="16"/>
  <c r="AK46" i="16"/>
  <c r="AL46" i="16"/>
  <c r="AL47" i="16"/>
  <c r="AM48" i="16"/>
  <c r="AN48" i="16"/>
  <c r="AH36" i="16"/>
  <c r="AE35" i="16"/>
  <c r="AE38" i="16"/>
  <c r="AE39" i="16"/>
  <c r="I35" i="16"/>
  <c r="K35" i="16" s="1"/>
  <c r="J35" i="16"/>
  <c r="I36" i="16"/>
  <c r="J36" i="16"/>
  <c r="K36" i="16"/>
  <c r="I37" i="16"/>
  <c r="J37" i="16"/>
  <c r="I38" i="16"/>
  <c r="K38" i="16" s="1"/>
  <c r="J38" i="16"/>
  <c r="I39" i="16"/>
  <c r="AA39" i="16" s="1"/>
  <c r="J39" i="16"/>
  <c r="I33" i="16"/>
  <c r="J33" i="16"/>
  <c r="I34" i="16"/>
  <c r="J34" i="16"/>
  <c r="AK32" i="16"/>
  <c r="AG32" i="16"/>
  <c r="AL32" i="16" s="1"/>
  <c r="AD32" i="16"/>
  <c r="O32" i="16"/>
  <c r="P32" i="16"/>
  <c r="Q32" i="16"/>
  <c r="R32" i="16"/>
  <c r="S32" i="16"/>
  <c r="T32" i="16"/>
  <c r="U32" i="16"/>
  <c r="V32" i="16"/>
  <c r="W32" i="16"/>
  <c r="X32" i="16"/>
  <c r="Y32" i="16"/>
  <c r="Z32" i="16"/>
  <c r="AJ32" i="16" s="1"/>
  <c r="AJ31" i="16"/>
  <c r="AK31" i="16"/>
  <c r="AM31" i="16" s="1"/>
  <c r="AL31" i="16"/>
  <c r="AN31" i="16" s="1"/>
  <c r="AG31" i="16"/>
  <c r="AD31" i="16"/>
  <c r="O31" i="16"/>
  <c r="P31" i="16"/>
  <c r="Q31" i="16"/>
  <c r="R31" i="16"/>
  <c r="S31" i="16"/>
  <c r="T31" i="16"/>
  <c r="U31" i="16"/>
  <c r="V31" i="16"/>
  <c r="W31" i="16"/>
  <c r="X31" i="16"/>
  <c r="Y31" i="16"/>
  <c r="Z31" i="16"/>
  <c r="AA31" i="16"/>
  <c r="N26" i="16"/>
  <c r="N27" i="16"/>
  <c r="N28" i="16"/>
  <c r="N29" i="16"/>
  <c r="B23" i="16"/>
  <c r="AG16" i="16"/>
  <c r="AG19" i="16"/>
  <c r="AH97" i="16" s="1"/>
  <c r="AG20" i="16"/>
  <c r="AL94" i="16" s="1"/>
  <c r="AD19" i="16"/>
  <c r="AE122" i="16" s="1"/>
  <c r="AD20" i="16"/>
  <c r="AK97" i="16" s="1"/>
  <c r="G19" i="16"/>
  <c r="G20" i="16"/>
  <c r="N19" i="16"/>
  <c r="O19" i="16"/>
  <c r="P19" i="16"/>
  <c r="Q19" i="16"/>
  <c r="R19" i="16"/>
  <c r="S19" i="16"/>
  <c r="T19" i="16"/>
  <c r="U19" i="16"/>
  <c r="V19" i="16"/>
  <c r="W19" i="16"/>
  <c r="X19" i="16"/>
  <c r="Y19" i="16"/>
  <c r="Z19" i="16"/>
  <c r="N20" i="16"/>
  <c r="O20" i="16"/>
  <c r="AA20" i="16" s="1"/>
  <c r="AJ96" i="16" s="1"/>
  <c r="P20" i="16"/>
  <c r="Q20" i="16"/>
  <c r="R20" i="16"/>
  <c r="S20" i="16"/>
  <c r="T20" i="16"/>
  <c r="U20" i="16"/>
  <c r="V20" i="16"/>
  <c r="W20" i="16"/>
  <c r="X20" i="16"/>
  <c r="Y20" i="16"/>
  <c r="Z20" i="16"/>
  <c r="B17" i="16"/>
  <c r="B18" i="16"/>
  <c r="B19" i="16"/>
  <c r="O16" i="16"/>
  <c r="P16" i="16"/>
  <c r="Q16" i="16"/>
  <c r="R16" i="16"/>
  <c r="S16" i="16"/>
  <c r="T16" i="16"/>
  <c r="U16" i="16"/>
  <c r="V16" i="16"/>
  <c r="W16" i="16"/>
  <c r="X16" i="16"/>
  <c r="Y16" i="16"/>
  <c r="O17" i="16"/>
  <c r="P17" i="16"/>
  <c r="Q17" i="16"/>
  <c r="R17" i="16"/>
  <c r="S17" i="16"/>
  <c r="T17" i="16"/>
  <c r="U17" i="16"/>
  <c r="V17" i="16"/>
  <c r="W17" i="16"/>
  <c r="X17" i="16"/>
  <c r="Y17" i="16"/>
  <c r="Z17" i="16"/>
  <c r="AA17" i="16" s="1"/>
  <c r="AA11" i="16" s="1"/>
  <c r="A14" i="16"/>
  <c r="AG12" i="16"/>
  <c r="AG13" i="16"/>
  <c r="AD12" i="16"/>
  <c r="AD13" i="16"/>
  <c r="B12" i="16"/>
  <c r="B13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O13" i="16"/>
  <c r="P13" i="16"/>
  <c r="Q13" i="16"/>
  <c r="R13" i="16"/>
  <c r="S13" i="16"/>
  <c r="T13" i="16"/>
  <c r="U13" i="16"/>
  <c r="V13" i="16"/>
  <c r="W13" i="16"/>
  <c r="X13" i="16"/>
  <c r="Y13" i="16"/>
  <c r="Z13" i="16"/>
  <c r="AA13" i="16"/>
  <c r="C10" i="16"/>
  <c r="D10" i="16"/>
  <c r="C9" i="16"/>
  <c r="C1" i="16"/>
  <c r="C2" i="16"/>
  <c r="C3" i="16"/>
  <c r="C4" i="16"/>
  <c r="C5" i="16"/>
  <c r="C6" i="16"/>
  <c r="C7" i="16"/>
  <c r="C8" i="16"/>
  <c r="E6" i="16"/>
  <c r="B51" i="16" s="1"/>
  <c r="E4" i="16"/>
  <c r="B3" i="16"/>
  <c r="AG76" i="7"/>
  <c r="AD76" i="7"/>
  <c r="O76" i="7"/>
  <c r="P76" i="7"/>
  <c r="Q76" i="7"/>
  <c r="R76" i="7"/>
  <c r="S76" i="7"/>
  <c r="T76" i="7"/>
  <c r="U76" i="7"/>
  <c r="V76" i="7"/>
  <c r="W76" i="7"/>
  <c r="X76" i="7"/>
  <c r="Y76" i="7"/>
  <c r="Z76" i="7"/>
  <c r="AI71" i="7"/>
  <c r="AD72" i="7"/>
  <c r="AD73" i="7"/>
  <c r="AD74" i="7"/>
  <c r="AG72" i="7"/>
  <c r="AG73" i="7"/>
  <c r="AG74" i="7"/>
  <c r="O72" i="7"/>
  <c r="P72" i="7"/>
  <c r="Q72" i="7"/>
  <c r="R72" i="7"/>
  <c r="S72" i="7"/>
  <c r="T72" i="7"/>
  <c r="U72" i="7"/>
  <c r="V72" i="7"/>
  <c r="W72" i="7"/>
  <c r="X72" i="7"/>
  <c r="Y72" i="7"/>
  <c r="Z72" i="7"/>
  <c r="O73" i="7"/>
  <c r="P73" i="7"/>
  <c r="Q73" i="7"/>
  <c r="R73" i="7"/>
  <c r="S73" i="7"/>
  <c r="T73" i="7"/>
  <c r="U73" i="7"/>
  <c r="V73" i="7"/>
  <c r="W73" i="7"/>
  <c r="X73" i="7"/>
  <c r="Y73" i="7"/>
  <c r="Z73" i="7"/>
  <c r="O74" i="7"/>
  <c r="P74" i="7"/>
  <c r="Q74" i="7"/>
  <c r="R74" i="7"/>
  <c r="S74" i="7"/>
  <c r="T74" i="7"/>
  <c r="U74" i="7"/>
  <c r="V74" i="7"/>
  <c r="W74" i="7"/>
  <c r="X74" i="7"/>
  <c r="Y74" i="7"/>
  <c r="Z74" i="7"/>
  <c r="AF71" i="7"/>
  <c r="AG65" i="7"/>
  <c r="AG66" i="7"/>
  <c r="AG68" i="7"/>
  <c r="AG69" i="7"/>
  <c r="AG70" i="7"/>
  <c r="AD65" i="7"/>
  <c r="AD66" i="7"/>
  <c r="AD68" i="7"/>
  <c r="AD69" i="7"/>
  <c r="AD70" i="7"/>
  <c r="B65" i="7"/>
  <c r="B66" i="7"/>
  <c r="O65" i="7"/>
  <c r="P65" i="7"/>
  <c r="Q65" i="7"/>
  <c r="R65" i="7"/>
  <c r="S65" i="7"/>
  <c r="T65" i="7"/>
  <c r="U65" i="7"/>
  <c r="V65" i="7"/>
  <c r="W65" i="7"/>
  <c r="X65" i="7"/>
  <c r="Y65" i="7"/>
  <c r="Z65" i="7"/>
  <c r="O66" i="7"/>
  <c r="P66" i="7"/>
  <c r="Q66" i="7"/>
  <c r="R66" i="7"/>
  <c r="S66" i="7"/>
  <c r="T66" i="7"/>
  <c r="U66" i="7"/>
  <c r="V66" i="7"/>
  <c r="W66" i="7"/>
  <c r="X66" i="7"/>
  <c r="Y66" i="7"/>
  <c r="Z66" i="7"/>
  <c r="O68" i="7"/>
  <c r="P68" i="7"/>
  <c r="Q68" i="7"/>
  <c r="R68" i="7"/>
  <c r="S68" i="7"/>
  <c r="T68" i="7"/>
  <c r="U68" i="7"/>
  <c r="V68" i="7"/>
  <c r="W68" i="7"/>
  <c r="X68" i="7"/>
  <c r="Y68" i="7"/>
  <c r="Z68" i="7"/>
  <c r="O69" i="7"/>
  <c r="P69" i="7"/>
  <c r="Q69" i="7"/>
  <c r="R69" i="7"/>
  <c r="S69" i="7"/>
  <c r="T69" i="7"/>
  <c r="U69" i="7"/>
  <c r="V69" i="7"/>
  <c r="W69" i="7"/>
  <c r="X69" i="7"/>
  <c r="Y69" i="7"/>
  <c r="Z69" i="7"/>
  <c r="O70" i="7"/>
  <c r="P70" i="7"/>
  <c r="Q70" i="7"/>
  <c r="R70" i="7"/>
  <c r="S70" i="7"/>
  <c r="T70" i="7"/>
  <c r="U70" i="7"/>
  <c r="V70" i="7"/>
  <c r="W70" i="7"/>
  <c r="X70" i="7"/>
  <c r="Y70" i="7"/>
  <c r="Z70" i="7"/>
  <c r="P63" i="7"/>
  <c r="P67" i="7" s="1"/>
  <c r="Q63" i="7"/>
  <c r="Q67" i="7" s="1"/>
  <c r="X63" i="7"/>
  <c r="X67" i="7" s="1"/>
  <c r="B60" i="7"/>
  <c r="B61" i="7"/>
  <c r="B62" i="7"/>
  <c r="A57" i="7"/>
  <c r="AH55" i="7"/>
  <c r="AH61" i="7"/>
  <c r="AE54" i="7"/>
  <c r="AE55" i="7"/>
  <c r="AE56" i="7"/>
  <c r="AE57" i="7"/>
  <c r="AE59" i="7"/>
  <c r="AE60" i="7"/>
  <c r="AE61" i="7"/>
  <c r="AA61" i="7"/>
  <c r="I54" i="7"/>
  <c r="AA54" i="7" s="1"/>
  <c r="J54" i="7"/>
  <c r="K54" i="7"/>
  <c r="L54" i="7"/>
  <c r="M54" i="7"/>
  <c r="N54" i="7"/>
  <c r="I55" i="7"/>
  <c r="K55" i="7" s="1"/>
  <c r="J55" i="7"/>
  <c r="L55" i="7"/>
  <c r="M55" i="7"/>
  <c r="N55" i="7"/>
  <c r="I56" i="7"/>
  <c r="AA56" i="7" s="1"/>
  <c r="J56" i="7"/>
  <c r="K56" i="7"/>
  <c r="L56" i="7"/>
  <c r="M56" i="7"/>
  <c r="N56" i="7"/>
  <c r="I57" i="7"/>
  <c r="K57" i="7" s="1"/>
  <c r="J57" i="7"/>
  <c r="L57" i="7"/>
  <c r="M57" i="7"/>
  <c r="N57" i="7"/>
  <c r="I58" i="7"/>
  <c r="K58" i="7" s="1"/>
  <c r="J58" i="7"/>
  <c r="L58" i="7"/>
  <c r="M58" i="7"/>
  <c r="N58" i="7"/>
  <c r="I59" i="7"/>
  <c r="AA59" i="7" s="1"/>
  <c r="J59" i="7"/>
  <c r="K59" i="7"/>
  <c r="L59" i="7"/>
  <c r="M59" i="7"/>
  <c r="N59" i="7"/>
  <c r="I60" i="7"/>
  <c r="AA60" i="7" s="1"/>
  <c r="J60" i="7"/>
  <c r="L60" i="7"/>
  <c r="M60" i="7"/>
  <c r="N60" i="7"/>
  <c r="I61" i="7"/>
  <c r="K61" i="7" s="1"/>
  <c r="J61" i="7"/>
  <c r="L61" i="7"/>
  <c r="M61" i="7"/>
  <c r="N61" i="7"/>
  <c r="N53" i="7"/>
  <c r="I53" i="7"/>
  <c r="J53" i="7"/>
  <c r="B53" i="7"/>
  <c r="N50" i="7"/>
  <c r="N51" i="7"/>
  <c r="N76" i="7" s="1"/>
  <c r="I50" i="7"/>
  <c r="AA50" i="7" s="1"/>
  <c r="J50" i="7"/>
  <c r="I51" i="7"/>
  <c r="AA51" i="7" s="1"/>
  <c r="AF51" i="7" s="1"/>
  <c r="J51" i="7"/>
  <c r="B47" i="7"/>
  <c r="B48" i="7"/>
  <c r="B49" i="7"/>
  <c r="AF48" i="7"/>
  <c r="I48" i="7"/>
  <c r="AA48" i="7" s="1"/>
  <c r="J48" i="7"/>
  <c r="AD47" i="7"/>
  <c r="AE47" i="7"/>
  <c r="AG47" i="7"/>
  <c r="O47" i="7"/>
  <c r="P47" i="7"/>
  <c r="Q47" i="7"/>
  <c r="R47" i="7"/>
  <c r="S47" i="7"/>
  <c r="T47" i="7"/>
  <c r="U47" i="7"/>
  <c r="V47" i="7"/>
  <c r="W47" i="7"/>
  <c r="X47" i="7"/>
  <c r="Y47" i="7"/>
  <c r="Z47" i="7"/>
  <c r="A44" i="7"/>
  <c r="AH36" i="7"/>
  <c r="AH37" i="7"/>
  <c r="AE34" i="7"/>
  <c r="AE35" i="7"/>
  <c r="AE36" i="7"/>
  <c r="AE37" i="7"/>
  <c r="AE39" i="7"/>
  <c r="AE40" i="7"/>
  <c r="AE41" i="7"/>
  <c r="AE42" i="7"/>
  <c r="AE43" i="7"/>
  <c r="AE44" i="7"/>
  <c r="AA39" i="7"/>
  <c r="AI39" i="7" s="1"/>
  <c r="AA41" i="7"/>
  <c r="AI41" i="7" s="1"/>
  <c r="I34" i="7"/>
  <c r="K34" i="7" s="1"/>
  <c r="J34" i="7"/>
  <c r="L34" i="7"/>
  <c r="M34" i="7"/>
  <c r="N34" i="7"/>
  <c r="I35" i="7"/>
  <c r="K35" i="7" s="1"/>
  <c r="J35" i="7"/>
  <c r="L35" i="7"/>
  <c r="M35" i="7"/>
  <c r="N35" i="7"/>
  <c r="I36" i="7"/>
  <c r="AA36" i="7" s="1"/>
  <c r="J36" i="7"/>
  <c r="K36" i="7"/>
  <c r="L36" i="7"/>
  <c r="M36" i="7"/>
  <c r="N36" i="7"/>
  <c r="I37" i="7"/>
  <c r="K37" i="7" s="1"/>
  <c r="J37" i="7"/>
  <c r="L37" i="7"/>
  <c r="M37" i="7"/>
  <c r="N37" i="7"/>
  <c r="I38" i="7"/>
  <c r="K38" i="7" s="1"/>
  <c r="J38" i="7"/>
  <c r="L38" i="7"/>
  <c r="M38" i="7"/>
  <c r="N38" i="7"/>
  <c r="I39" i="7"/>
  <c r="J39" i="7"/>
  <c r="K39" i="7"/>
  <c r="L39" i="7"/>
  <c r="M39" i="7"/>
  <c r="N39" i="7"/>
  <c r="I40" i="7"/>
  <c r="AA40" i="7" s="1"/>
  <c r="J40" i="7"/>
  <c r="L40" i="7"/>
  <c r="M40" i="7"/>
  <c r="N40" i="7"/>
  <c r="I41" i="7"/>
  <c r="K41" i="7" s="1"/>
  <c r="J41" i="7"/>
  <c r="L41" i="7"/>
  <c r="M41" i="7"/>
  <c r="N41" i="7"/>
  <c r="I42" i="7"/>
  <c r="K42" i="7" s="1"/>
  <c r="J42" i="7"/>
  <c r="L42" i="7"/>
  <c r="M42" i="7"/>
  <c r="N42" i="7"/>
  <c r="I43" i="7"/>
  <c r="AA43" i="7" s="1"/>
  <c r="J43" i="7"/>
  <c r="L43" i="7"/>
  <c r="M43" i="7"/>
  <c r="N43" i="7"/>
  <c r="I44" i="7"/>
  <c r="AA44" i="7" s="1"/>
  <c r="J44" i="7"/>
  <c r="K44" i="7"/>
  <c r="L44" i="7"/>
  <c r="M44" i="7"/>
  <c r="N44" i="7"/>
  <c r="I45" i="7"/>
  <c r="K45" i="7" s="1"/>
  <c r="J45" i="7"/>
  <c r="L45" i="7"/>
  <c r="M45" i="7"/>
  <c r="N45" i="7"/>
  <c r="N33" i="7"/>
  <c r="I33" i="7"/>
  <c r="J33" i="7"/>
  <c r="AM31" i="7"/>
  <c r="AG32" i="7"/>
  <c r="AM32" i="7" s="1"/>
  <c r="AD32" i="7"/>
  <c r="O32" i="7"/>
  <c r="P32" i="7"/>
  <c r="Q32" i="7"/>
  <c r="R32" i="7"/>
  <c r="S32" i="7"/>
  <c r="T32" i="7"/>
  <c r="U32" i="7"/>
  <c r="V32" i="7"/>
  <c r="W32" i="7"/>
  <c r="X32" i="7"/>
  <c r="Y32" i="7"/>
  <c r="Z32" i="7"/>
  <c r="AJ32" i="7" s="1"/>
  <c r="AJ31" i="7"/>
  <c r="AK31" i="7"/>
  <c r="AK32" i="7"/>
  <c r="AG31" i="7"/>
  <c r="AD31" i="7"/>
  <c r="O31" i="7"/>
  <c r="P31" i="7"/>
  <c r="Q31" i="7"/>
  <c r="R31" i="7"/>
  <c r="S31" i="7"/>
  <c r="T31" i="7"/>
  <c r="U31" i="7"/>
  <c r="V31" i="7"/>
  <c r="W31" i="7"/>
  <c r="X31" i="7"/>
  <c r="Y31" i="7"/>
  <c r="Z31" i="7"/>
  <c r="AA31" i="7"/>
  <c r="N26" i="7"/>
  <c r="N27" i="7"/>
  <c r="N28" i="7"/>
  <c r="N29" i="7"/>
  <c r="B22" i="7"/>
  <c r="B23" i="7"/>
  <c r="AG16" i="7"/>
  <c r="AG19" i="7"/>
  <c r="AH45" i="7" s="1"/>
  <c r="AG20" i="7"/>
  <c r="AH54" i="7" s="1"/>
  <c r="AG21" i="7"/>
  <c r="AG63" i="7" s="1"/>
  <c r="AG67" i="7" s="1"/>
  <c r="AG22" i="7"/>
  <c r="AM50" i="7" s="1"/>
  <c r="AD19" i="7"/>
  <c r="AE48" i="7" s="1"/>
  <c r="AD20" i="7"/>
  <c r="AE58" i="7" s="1"/>
  <c r="AD21" i="7"/>
  <c r="AD63" i="7" s="1"/>
  <c r="AD67" i="7" s="1"/>
  <c r="AD22" i="7"/>
  <c r="AK40" i="7" s="1"/>
  <c r="G19" i="7"/>
  <c r="G20" i="7"/>
  <c r="N19" i="7"/>
  <c r="O19" i="7"/>
  <c r="P19" i="7"/>
  <c r="Q19" i="7"/>
  <c r="R19" i="7"/>
  <c r="S19" i="7"/>
  <c r="T19" i="7"/>
  <c r="U19" i="7"/>
  <c r="V19" i="7"/>
  <c r="W19" i="7"/>
  <c r="X19" i="7"/>
  <c r="Y19" i="7"/>
  <c r="Z19" i="7"/>
  <c r="N20" i="7"/>
  <c r="O20" i="7"/>
  <c r="P20" i="7"/>
  <c r="Q20" i="7"/>
  <c r="R20" i="7"/>
  <c r="S20" i="7"/>
  <c r="T20" i="7"/>
  <c r="U20" i="7"/>
  <c r="V20" i="7"/>
  <c r="W20" i="7"/>
  <c r="X20" i="7"/>
  <c r="Y20" i="7"/>
  <c r="Z20" i="7"/>
  <c r="N21" i="7"/>
  <c r="N63" i="7" s="1"/>
  <c r="O21" i="7"/>
  <c r="O63" i="7" s="1"/>
  <c r="O67" i="7" s="1"/>
  <c r="P21" i="7"/>
  <c r="Q21" i="7"/>
  <c r="R21" i="7"/>
  <c r="R63" i="7" s="1"/>
  <c r="R67" i="7" s="1"/>
  <c r="S21" i="7"/>
  <c r="S63" i="7" s="1"/>
  <c r="S67" i="7" s="1"/>
  <c r="T21" i="7"/>
  <c r="T63" i="7" s="1"/>
  <c r="T67" i="7" s="1"/>
  <c r="U21" i="7"/>
  <c r="U63" i="7" s="1"/>
  <c r="U67" i="7" s="1"/>
  <c r="V21" i="7"/>
  <c r="V63" i="7" s="1"/>
  <c r="V67" i="7" s="1"/>
  <c r="W21" i="7"/>
  <c r="W63" i="7" s="1"/>
  <c r="W67" i="7" s="1"/>
  <c r="X21" i="7"/>
  <c r="Y21" i="7"/>
  <c r="Y63" i="7" s="1"/>
  <c r="Y67" i="7" s="1"/>
  <c r="Z21" i="7"/>
  <c r="Z63" i="7" s="1"/>
  <c r="Z67" i="7" s="1"/>
  <c r="N22" i="7"/>
  <c r="O22" i="7"/>
  <c r="P22" i="7"/>
  <c r="Q22" i="7"/>
  <c r="R22" i="7"/>
  <c r="S22" i="7"/>
  <c r="T22" i="7"/>
  <c r="U22" i="7"/>
  <c r="V22" i="7"/>
  <c r="W22" i="7"/>
  <c r="X22" i="7"/>
  <c r="Y22" i="7"/>
  <c r="Z22" i="7"/>
  <c r="B17" i="7"/>
  <c r="B18" i="7"/>
  <c r="B19" i="7"/>
  <c r="O17" i="7"/>
  <c r="P17" i="7"/>
  <c r="Q17" i="7"/>
  <c r="R17" i="7"/>
  <c r="S17" i="7"/>
  <c r="T17" i="7"/>
  <c r="U17" i="7"/>
  <c r="V17" i="7"/>
  <c r="W17" i="7"/>
  <c r="X17" i="7"/>
  <c r="Y17" i="7"/>
  <c r="Z17" i="7"/>
  <c r="O16" i="7"/>
  <c r="P16" i="7"/>
  <c r="Q16" i="7"/>
  <c r="R16" i="7"/>
  <c r="S16" i="7"/>
  <c r="T16" i="7"/>
  <c r="U16" i="7"/>
  <c r="V16" i="7"/>
  <c r="W16" i="7"/>
  <c r="X16" i="7"/>
  <c r="Y16" i="7"/>
  <c r="AA16" i="7"/>
  <c r="A14" i="7"/>
  <c r="AG12" i="7"/>
  <c r="AG13" i="7"/>
  <c r="AD12" i="7"/>
  <c r="AD13" i="7"/>
  <c r="B12" i="7"/>
  <c r="B13" i="7"/>
  <c r="O12" i="7"/>
  <c r="P12" i="7"/>
  <c r="Q12" i="7"/>
  <c r="R12" i="7"/>
  <c r="S12" i="7"/>
  <c r="T12" i="7"/>
  <c r="U12" i="7"/>
  <c r="V12" i="7"/>
  <c r="W12" i="7"/>
  <c r="X12" i="7"/>
  <c r="Y12" i="7"/>
  <c r="Z12" i="7"/>
  <c r="AA12" i="7"/>
  <c r="O13" i="7"/>
  <c r="P13" i="7"/>
  <c r="Q13" i="7"/>
  <c r="R13" i="7"/>
  <c r="S13" i="7"/>
  <c r="T13" i="7"/>
  <c r="U13" i="7"/>
  <c r="V13" i="7"/>
  <c r="W13" i="7"/>
  <c r="X13" i="7"/>
  <c r="Y13" i="7"/>
  <c r="Z13" i="7"/>
  <c r="AA13" i="7"/>
  <c r="C10" i="7"/>
  <c r="D10" i="7"/>
  <c r="C9" i="7"/>
  <c r="C1" i="7"/>
  <c r="C2" i="7"/>
  <c r="C3" i="7"/>
  <c r="C4" i="7"/>
  <c r="C5" i="7"/>
  <c r="C6" i="7"/>
  <c r="C7" i="7"/>
  <c r="C8" i="7"/>
  <c r="E6" i="7"/>
  <c r="G4" i="7"/>
  <c r="E4" i="7"/>
  <c r="B3" i="7"/>
  <c r="AG154" i="6"/>
  <c r="AH154" i="6"/>
  <c r="AD154" i="6"/>
  <c r="AE154" i="6"/>
  <c r="N154" i="6"/>
  <c r="O154" i="6"/>
  <c r="P154" i="6"/>
  <c r="Q154" i="6"/>
  <c r="R154" i="6"/>
  <c r="S154" i="6"/>
  <c r="T154" i="6"/>
  <c r="U154" i="6"/>
  <c r="V154" i="6"/>
  <c r="W154" i="6"/>
  <c r="X154" i="6"/>
  <c r="Y154" i="6"/>
  <c r="Z154" i="6"/>
  <c r="AD152" i="6"/>
  <c r="AE152" i="6"/>
  <c r="AG152" i="6"/>
  <c r="AH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I152" i="6" s="1"/>
  <c r="AB152" i="6"/>
  <c r="L152" i="6"/>
  <c r="M152" i="6"/>
  <c r="AB119" i="6"/>
  <c r="AB120" i="6"/>
  <c r="AB121" i="6"/>
  <c r="AB122" i="6"/>
  <c r="AB123" i="6"/>
  <c r="AB124" i="6"/>
  <c r="AB125" i="6"/>
  <c r="AB126" i="6"/>
  <c r="AB127" i="6"/>
  <c r="AB128" i="6"/>
  <c r="AB129" i="6"/>
  <c r="AB130" i="6"/>
  <c r="AB131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AA146" i="6"/>
  <c r="AI146" i="6" s="1"/>
  <c r="AH119" i="6"/>
  <c r="AH120" i="6"/>
  <c r="AH121" i="6"/>
  <c r="AH122" i="6"/>
  <c r="AH123" i="6"/>
  <c r="AH124" i="6"/>
  <c r="AH125" i="6"/>
  <c r="AH126" i="6"/>
  <c r="AH127" i="6"/>
  <c r="AH128" i="6"/>
  <c r="AH129" i="6"/>
  <c r="AH130" i="6"/>
  <c r="AH131" i="6"/>
  <c r="AH132" i="6"/>
  <c r="AH133" i="6"/>
  <c r="AH134" i="6"/>
  <c r="AH135" i="6"/>
  <c r="AH136" i="6"/>
  <c r="AH137" i="6"/>
  <c r="AH138" i="6"/>
  <c r="AH139" i="6"/>
  <c r="AH140" i="6"/>
  <c r="AH141" i="6"/>
  <c r="AH142" i="6"/>
  <c r="AH143" i="6"/>
  <c r="AH144" i="6"/>
  <c r="AH145" i="6"/>
  <c r="AH146" i="6"/>
  <c r="AH147" i="6"/>
  <c r="AH148" i="6"/>
  <c r="AH149" i="6"/>
  <c r="AH150" i="6"/>
  <c r="AH151" i="6"/>
  <c r="AI151" i="6"/>
  <c r="AE119" i="6"/>
  <c r="AE120" i="6"/>
  <c r="AE121" i="6"/>
  <c r="AE122" i="6"/>
  <c r="AE123" i="6"/>
  <c r="AE124" i="6"/>
  <c r="AE125" i="6"/>
  <c r="AE126" i="6"/>
  <c r="AE127" i="6"/>
  <c r="AE128" i="6"/>
  <c r="AE129" i="6"/>
  <c r="AE130" i="6"/>
  <c r="AE131" i="6"/>
  <c r="AE132" i="6"/>
  <c r="AE133" i="6"/>
  <c r="AE134" i="6"/>
  <c r="AE135" i="6"/>
  <c r="AE136" i="6"/>
  <c r="AE137" i="6"/>
  <c r="AE138" i="6"/>
  <c r="AE139" i="6"/>
  <c r="AE140" i="6"/>
  <c r="AE141" i="6"/>
  <c r="AE142" i="6"/>
  <c r="AE143" i="6"/>
  <c r="AE144" i="6"/>
  <c r="AE145" i="6"/>
  <c r="AE146" i="6"/>
  <c r="AE147" i="6"/>
  <c r="AE148" i="6"/>
  <c r="AE149" i="6"/>
  <c r="AE150" i="6"/>
  <c r="AE151" i="6"/>
  <c r="AF151" i="6"/>
  <c r="L119" i="6"/>
  <c r="M119" i="6"/>
  <c r="N119" i="6"/>
  <c r="L120" i="6"/>
  <c r="M120" i="6"/>
  <c r="N120" i="6"/>
  <c r="L121" i="6"/>
  <c r="M121" i="6"/>
  <c r="N121" i="6"/>
  <c r="L122" i="6"/>
  <c r="M122" i="6"/>
  <c r="N122" i="6"/>
  <c r="L123" i="6"/>
  <c r="M123" i="6"/>
  <c r="N123" i="6"/>
  <c r="L124" i="6"/>
  <c r="M124" i="6"/>
  <c r="N124" i="6"/>
  <c r="L125" i="6"/>
  <c r="M125" i="6"/>
  <c r="N125" i="6"/>
  <c r="L126" i="6"/>
  <c r="M126" i="6"/>
  <c r="N126" i="6"/>
  <c r="L127" i="6"/>
  <c r="M127" i="6"/>
  <c r="N127" i="6"/>
  <c r="L128" i="6"/>
  <c r="M128" i="6"/>
  <c r="N128" i="6"/>
  <c r="L129" i="6"/>
  <c r="M129" i="6"/>
  <c r="N129" i="6"/>
  <c r="L130" i="6"/>
  <c r="M130" i="6"/>
  <c r="N130" i="6"/>
  <c r="L131" i="6"/>
  <c r="M131" i="6"/>
  <c r="N131" i="6"/>
  <c r="L132" i="6"/>
  <c r="M132" i="6"/>
  <c r="N132" i="6"/>
  <c r="L133" i="6"/>
  <c r="M133" i="6"/>
  <c r="N133" i="6"/>
  <c r="L134" i="6"/>
  <c r="M134" i="6"/>
  <c r="N134" i="6"/>
  <c r="L135" i="6"/>
  <c r="M135" i="6"/>
  <c r="N135" i="6"/>
  <c r="L136" i="6"/>
  <c r="M136" i="6"/>
  <c r="N136" i="6"/>
  <c r="L137" i="6"/>
  <c r="M137" i="6"/>
  <c r="N137" i="6"/>
  <c r="L138" i="6"/>
  <c r="M138" i="6"/>
  <c r="N138" i="6"/>
  <c r="L139" i="6"/>
  <c r="M139" i="6"/>
  <c r="N139" i="6"/>
  <c r="L140" i="6"/>
  <c r="M140" i="6"/>
  <c r="N140" i="6"/>
  <c r="L141" i="6"/>
  <c r="M141" i="6"/>
  <c r="N141" i="6"/>
  <c r="L142" i="6"/>
  <c r="M142" i="6"/>
  <c r="N142" i="6"/>
  <c r="L143" i="6"/>
  <c r="M143" i="6"/>
  <c r="N143" i="6"/>
  <c r="L144" i="6"/>
  <c r="M144" i="6"/>
  <c r="N144" i="6"/>
  <c r="L145" i="6"/>
  <c r="M145" i="6"/>
  <c r="N145" i="6"/>
  <c r="L146" i="6"/>
  <c r="M146" i="6"/>
  <c r="N146" i="6"/>
  <c r="L147" i="6"/>
  <c r="M147" i="6"/>
  <c r="N147" i="6"/>
  <c r="L148" i="6"/>
  <c r="M148" i="6"/>
  <c r="N148" i="6"/>
  <c r="L149" i="6"/>
  <c r="M149" i="6"/>
  <c r="N149" i="6"/>
  <c r="L150" i="6"/>
  <c r="M150" i="6"/>
  <c r="N150" i="6"/>
  <c r="L151" i="6"/>
  <c r="M151" i="6"/>
  <c r="N151" i="6"/>
  <c r="N118" i="6"/>
  <c r="I118" i="6"/>
  <c r="J118" i="6"/>
  <c r="I119" i="6"/>
  <c r="J119" i="6"/>
  <c r="I120" i="6"/>
  <c r="J120" i="6"/>
  <c r="I121" i="6"/>
  <c r="J121" i="6"/>
  <c r="I122" i="6"/>
  <c r="J122" i="6"/>
  <c r="I123" i="6"/>
  <c r="J123" i="6"/>
  <c r="I124" i="6"/>
  <c r="J124" i="6"/>
  <c r="I125" i="6"/>
  <c r="J125" i="6"/>
  <c r="I126" i="6"/>
  <c r="J126" i="6"/>
  <c r="I127" i="6"/>
  <c r="J127" i="6"/>
  <c r="I128" i="6"/>
  <c r="J128" i="6"/>
  <c r="I129" i="6"/>
  <c r="J129" i="6"/>
  <c r="I130" i="6"/>
  <c r="J130" i="6"/>
  <c r="I131" i="6"/>
  <c r="J131" i="6"/>
  <c r="I132" i="6"/>
  <c r="J132" i="6"/>
  <c r="I133" i="6"/>
  <c r="J133" i="6"/>
  <c r="I134" i="6"/>
  <c r="J134" i="6"/>
  <c r="I135" i="6"/>
  <c r="J135" i="6"/>
  <c r="I136" i="6"/>
  <c r="J136" i="6"/>
  <c r="I137" i="6"/>
  <c r="J137" i="6"/>
  <c r="I138" i="6"/>
  <c r="J138" i="6"/>
  <c r="I139" i="6"/>
  <c r="J139" i="6"/>
  <c r="I140" i="6"/>
  <c r="J140" i="6"/>
  <c r="I141" i="6"/>
  <c r="J141" i="6"/>
  <c r="I142" i="6"/>
  <c r="J142" i="6"/>
  <c r="I143" i="6"/>
  <c r="J143" i="6"/>
  <c r="I144" i="6"/>
  <c r="J144" i="6"/>
  <c r="I145" i="6"/>
  <c r="J145" i="6"/>
  <c r="I146" i="6"/>
  <c r="J146" i="6"/>
  <c r="I147" i="6"/>
  <c r="J147" i="6"/>
  <c r="I148" i="6"/>
  <c r="J148" i="6"/>
  <c r="I149" i="6"/>
  <c r="J149" i="6"/>
  <c r="I150" i="6"/>
  <c r="J150" i="6"/>
  <c r="I151" i="6"/>
  <c r="J151" i="6"/>
  <c r="I152" i="6"/>
  <c r="J152" i="6"/>
  <c r="AH74" i="6"/>
  <c r="AH81" i="6"/>
  <c r="AH82" i="6"/>
  <c r="AH90" i="6"/>
  <c r="AH91" i="6"/>
  <c r="AH98" i="6"/>
  <c r="AH100" i="6"/>
  <c r="AI102" i="6"/>
  <c r="AH105" i="6"/>
  <c r="AH108" i="6"/>
  <c r="AI109" i="6"/>
  <c r="AH110" i="6"/>
  <c r="AH112" i="6"/>
  <c r="AI116" i="6"/>
  <c r="AF72" i="6"/>
  <c r="AF77" i="6"/>
  <c r="AE81" i="6"/>
  <c r="AF84" i="6"/>
  <c r="AE91" i="6"/>
  <c r="AE93" i="6"/>
  <c r="AE96" i="6"/>
  <c r="AE100" i="6"/>
  <c r="AE104" i="6"/>
  <c r="AF105" i="6"/>
  <c r="AE108" i="6"/>
  <c r="AE110" i="6"/>
  <c r="AE111" i="6"/>
  <c r="AF111" i="6"/>
  <c r="AE112" i="6"/>
  <c r="AE113" i="6"/>
  <c r="AF113" i="6"/>
  <c r="AE114" i="6"/>
  <c r="AE115" i="6"/>
  <c r="AA72" i="6"/>
  <c r="AI72" i="6" s="1"/>
  <c r="AA73" i="6"/>
  <c r="AI73" i="6" s="1"/>
  <c r="AA74" i="6"/>
  <c r="AF74" i="6" s="1"/>
  <c r="AA75" i="6"/>
  <c r="AI75" i="6" s="1"/>
  <c r="AA76" i="6"/>
  <c r="AI76" i="6" s="1"/>
  <c r="AA77" i="6"/>
  <c r="AI77" i="6" s="1"/>
  <c r="AA78" i="6"/>
  <c r="AF78" i="6" s="1"/>
  <c r="AA79" i="6"/>
  <c r="AI79" i="6" s="1"/>
  <c r="AA80" i="6"/>
  <c r="AF80" i="6" s="1"/>
  <c r="AA81" i="6"/>
  <c r="AB81" i="6" s="1"/>
  <c r="AA82" i="6"/>
  <c r="AF82" i="6" s="1"/>
  <c r="AA83" i="6"/>
  <c r="AI83" i="6" s="1"/>
  <c r="AA84" i="6"/>
  <c r="AI84" i="6" s="1"/>
  <c r="AA85" i="6"/>
  <c r="AI85" i="6" s="1"/>
  <c r="AA86" i="6"/>
  <c r="AF86" i="6" s="1"/>
  <c r="AA87" i="6"/>
  <c r="AI87" i="6" s="1"/>
  <c r="AA88" i="6"/>
  <c r="AF88" i="6" s="1"/>
  <c r="AA89" i="6"/>
  <c r="AF89" i="6" s="1"/>
  <c r="AA90" i="6"/>
  <c r="AF90" i="6" s="1"/>
  <c r="AA91" i="6"/>
  <c r="AI91" i="6" s="1"/>
  <c r="AA92" i="6"/>
  <c r="AA93" i="6"/>
  <c r="AI93" i="6" s="1"/>
  <c r="AA94" i="6"/>
  <c r="AF94" i="6" s="1"/>
  <c r="AA95" i="6"/>
  <c r="AI95" i="6" s="1"/>
  <c r="AA96" i="6"/>
  <c r="AI96" i="6" s="1"/>
  <c r="AA97" i="6"/>
  <c r="AI97" i="6" s="1"/>
  <c r="AA98" i="6"/>
  <c r="AF98" i="6" s="1"/>
  <c r="AB98" i="6"/>
  <c r="AA99" i="6"/>
  <c r="AI99" i="6" s="1"/>
  <c r="AA100" i="6"/>
  <c r="AI100" i="6" s="1"/>
  <c r="AA101" i="6"/>
  <c r="AI101" i="6" s="1"/>
  <c r="AA102" i="6"/>
  <c r="AF102" i="6" s="1"/>
  <c r="AA103" i="6"/>
  <c r="AI103" i="6" s="1"/>
  <c r="AA104" i="6"/>
  <c r="AI104" i="6" s="1"/>
  <c r="AA105" i="6"/>
  <c r="AB154" i="6" s="1"/>
  <c r="AA106" i="6"/>
  <c r="AF106" i="6" s="1"/>
  <c r="AA107" i="6"/>
  <c r="AI107" i="6" s="1"/>
  <c r="AA108" i="6"/>
  <c r="AB108" i="6" s="1"/>
  <c r="AA109" i="6"/>
  <c r="AF109" i="6" s="1"/>
  <c r="AA110" i="6"/>
  <c r="AF110" i="6" s="1"/>
  <c r="AB110" i="6"/>
  <c r="AA111" i="6"/>
  <c r="AI111" i="6" s="1"/>
  <c r="AA112" i="6"/>
  <c r="AI112" i="6" s="1"/>
  <c r="AA113" i="6"/>
  <c r="AI113" i="6" s="1"/>
  <c r="AA114" i="6"/>
  <c r="AF114" i="6" s="1"/>
  <c r="AA115" i="6"/>
  <c r="AI115" i="6" s="1"/>
  <c r="AA116" i="6"/>
  <c r="AF116" i="6" s="1"/>
  <c r="L72" i="6"/>
  <c r="M72" i="6"/>
  <c r="N72" i="6"/>
  <c r="L73" i="6"/>
  <c r="M73" i="6"/>
  <c r="N73" i="6"/>
  <c r="L74" i="6"/>
  <c r="M74" i="6"/>
  <c r="N74" i="6"/>
  <c r="L75" i="6"/>
  <c r="M75" i="6"/>
  <c r="N75" i="6"/>
  <c r="L76" i="6"/>
  <c r="M76" i="6"/>
  <c r="N76" i="6"/>
  <c r="L77" i="6"/>
  <c r="M77" i="6"/>
  <c r="N77" i="6"/>
  <c r="L78" i="6"/>
  <c r="M78" i="6"/>
  <c r="N78" i="6"/>
  <c r="L79" i="6"/>
  <c r="M79" i="6"/>
  <c r="N79" i="6"/>
  <c r="L80" i="6"/>
  <c r="M80" i="6"/>
  <c r="N80" i="6"/>
  <c r="L81" i="6"/>
  <c r="M81" i="6"/>
  <c r="N81" i="6"/>
  <c r="L82" i="6"/>
  <c r="M82" i="6"/>
  <c r="N82" i="6"/>
  <c r="L83" i="6"/>
  <c r="M83" i="6"/>
  <c r="N83" i="6"/>
  <c r="L84" i="6"/>
  <c r="M84" i="6"/>
  <c r="N84" i="6"/>
  <c r="L85" i="6"/>
  <c r="M85" i="6"/>
  <c r="N85" i="6"/>
  <c r="L86" i="6"/>
  <c r="M86" i="6"/>
  <c r="N86" i="6"/>
  <c r="L87" i="6"/>
  <c r="M87" i="6"/>
  <c r="N87" i="6"/>
  <c r="L88" i="6"/>
  <c r="M88" i="6"/>
  <c r="N88" i="6"/>
  <c r="L89" i="6"/>
  <c r="M89" i="6"/>
  <c r="N89" i="6"/>
  <c r="L90" i="6"/>
  <c r="M90" i="6"/>
  <c r="N90" i="6"/>
  <c r="L91" i="6"/>
  <c r="M91" i="6"/>
  <c r="N91" i="6"/>
  <c r="L92" i="6"/>
  <c r="M92" i="6"/>
  <c r="N92" i="6"/>
  <c r="L93" i="6"/>
  <c r="M93" i="6"/>
  <c r="N93" i="6"/>
  <c r="L94" i="6"/>
  <c r="M94" i="6"/>
  <c r="N94" i="6"/>
  <c r="L95" i="6"/>
  <c r="M95" i="6"/>
  <c r="N95" i="6"/>
  <c r="L96" i="6"/>
  <c r="M96" i="6"/>
  <c r="N96" i="6"/>
  <c r="L97" i="6"/>
  <c r="M97" i="6"/>
  <c r="N97" i="6"/>
  <c r="L98" i="6"/>
  <c r="M98" i="6"/>
  <c r="N98" i="6"/>
  <c r="L99" i="6"/>
  <c r="M99" i="6"/>
  <c r="N99" i="6"/>
  <c r="L100" i="6"/>
  <c r="M100" i="6"/>
  <c r="N100" i="6"/>
  <c r="L101" i="6"/>
  <c r="M101" i="6"/>
  <c r="N101" i="6"/>
  <c r="L102" i="6"/>
  <c r="M102" i="6"/>
  <c r="N102" i="6"/>
  <c r="L103" i="6"/>
  <c r="M103" i="6"/>
  <c r="N103" i="6"/>
  <c r="L104" i="6"/>
  <c r="M104" i="6"/>
  <c r="N104" i="6"/>
  <c r="L105" i="6"/>
  <c r="M105" i="6"/>
  <c r="N105" i="6"/>
  <c r="L106" i="6"/>
  <c r="M106" i="6"/>
  <c r="N106" i="6"/>
  <c r="L107" i="6"/>
  <c r="M107" i="6"/>
  <c r="N107" i="6"/>
  <c r="L108" i="6"/>
  <c r="M108" i="6"/>
  <c r="N108" i="6"/>
  <c r="L109" i="6"/>
  <c r="M109" i="6"/>
  <c r="N109" i="6"/>
  <c r="L110" i="6"/>
  <c r="M110" i="6"/>
  <c r="N110" i="6"/>
  <c r="L111" i="6"/>
  <c r="M111" i="6"/>
  <c r="N111" i="6"/>
  <c r="L112" i="6"/>
  <c r="M112" i="6"/>
  <c r="N112" i="6"/>
  <c r="L113" i="6"/>
  <c r="M113" i="6"/>
  <c r="N113" i="6"/>
  <c r="L114" i="6"/>
  <c r="M114" i="6"/>
  <c r="N114" i="6"/>
  <c r="L115" i="6"/>
  <c r="M115" i="6"/>
  <c r="N115" i="6"/>
  <c r="L116" i="6"/>
  <c r="M116" i="6"/>
  <c r="N116" i="6"/>
  <c r="N71" i="6"/>
  <c r="I71" i="6"/>
  <c r="J71" i="6"/>
  <c r="I72" i="6"/>
  <c r="J72" i="6"/>
  <c r="I73" i="6"/>
  <c r="J73" i="6"/>
  <c r="I74" i="6"/>
  <c r="J74" i="6"/>
  <c r="I75" i="6"/>
  <c r="J75" i="6"/>
  <c r="I76" i="6"/>
  <c r="J76" i="6"/>
  <c r="I77" i="6"/>
  <c r="J77" i="6"/>
  <c r="I78" i="6"/>
  <c r="J78" i="6"/>
  <c r="I79" i="6"/>
  <c r="J79" i="6"/>
  <c r="I80" i="6"/>
  <c r="J80" i="6"/>
  <c r="I81" i="6"/>
  <c r="J81" i="6"/>
  <c r="I82" i="6"/>
  <c r="J82" i="6"/>
  <c r="I83" i="6"/>
  <c r="J83" i="6"/>
  <c r="I84" i="6"/>
  <c r="J84" i="6"/>
  <c r="I85" i="6"/>
  <c r="J85" i="6"/>
  <c r="I86" i="6"/>
  <c r="J86" i="6"/>
  <c r="I87" i="6"/>
  <c r="J87" i="6"/>
  <c r="I88" i="6"/>
  <c r="J88" i="6"/>
  <c r="I89" i="6"/>
  <c r="J89" i="6"/>
  <c r="I90" i="6"/>
  <c r="J90" i="6"/>
  <c r="I91" i="6"/>
  <c r="J91" i="6"/>
  <c r="I92" i="6"/>
  <c r="J92" i="6"/>
  <c r="I93" i="6"/>
  <c r="J93" i="6"/>
  <c r="I94" i="6"/>
  <c r="J94" i="6"/>
  <c r="I95" i="6"/>
  <c r="J95" i="6"/>
  <c r="I96" i="6"/>
  <c r="J96" i="6"/>
  <c r="I97" i="6"/>
  <c r="J97" i="6"/>
  <c r="I98" i="6"/>
  <c r="J98" i="6"/>
  <c r="I99" i="6"/>
  <c r="J99" i="6"/>
  <c r="I100" i="6"/>
  <c r="J100" i="6"/>
  <c r="I101" i="6"/>
  <c r="J101" i="6"/>
  <c r="I102" i="6"/>
  <c r="J102" i="6"/>
  <c r="I103" i="6"/>
  <c r="J103" i="6"/>
  <c r="I104" i="6"/>
  <c r="J104" i="6"/>
  <c r="I105" i="6"/>
  <c r="J105" i="6"/>
  <c r="I106" i="6"/>
  <c r="J106" i="6"/>
  <c r="I107" i="6"/>
  <c r="J107" i="6"/>
  <c r="I108" i="6"/>
  <c r="J108" i="6"/>
  <c r="I109" i="6"/>
  <c r="J109" i="6"/>
  <c r="I110" i="6"/>
  <c r="J110" i="6"/>
  <c r="I111" i="6"/>
  <c r="J111" i="6"/>
  <c r="I112" i="6"/>
  <c r="J112" i="6"/>
  <c r="I113" i="6"/>
  <c r="J113" i="6"/>
  <c r="I114" i="6"/>
  <c r="J114" i="6"/>
  <c r="I115" i="6"/>
  <c r="J115" i="6"/>
  <c r="I116" i="6"/>
  <c r="J116" i="6"/>
  <c r="AA54" i="6"/>
  <c r="AA139" i="6" s="1"/>
  <c r="AI139" i="6" s="1"/>
  <c r="AA55" i="6"/>
  <c r="AA140" i="6" s="1"/>
  <c r="AF140" i="6" s="1"/>
  <c r="AA56" i="6"/>
  <c r="AI56" i="6" s="1"/>
  <c r="AA57" i="6"/>
  <c r="AA142" i="6" s="1"/>
  <c r="AA58" i="6"/>
  <c r="AF58" i="6" s="1"/>
  <c r="AA59" i="6"/>
  <c r="AA144" i="6" s="1"/>
  <c r="AA60" i="6"/>
  <c r="AB60" i="6" s="1"/>
  <c r="AA61" i="6"/>
  <c r="AA62" i="6"/>
  <c r="AA147" i="6" s="1"/>
  <c r="AF147" i="6" s="1"/>
  <c r="AA63" i="6"/>
  <c r="AA148" i="6" s="1"/>
  <c r="AF148" i="6" s="1"/>
  <c r="AA64" i="6"/>
  <c r="AF64" i="6" s="1"/>
  <c r="AA65" i="6"/>
  <c r="AA66" i="6"/>
  <c r="AI66" i="6" s="1"/>
  <c r="AB66" i="6"/>
  <c r="AA67" i="6"/>
  <c r="AF67" i="6" s="1"/>
  <c r="AA68" i="6"/>
  <c r="AF68" i="6" s="1"/>
  <c r="AA69" i="6"/>
  <c r="AA154" i="6" s="1"/>
  <c r="AB53" i="6"/>
  <c r="AA34" i="6"/>
  <c r="AA119" i="6" s="1"/>
  <c r="AA35" i="6"/>
  <c r="AA120" i="6" s="1"/>
  <c r="AA36" i="6"/>
  <c r="AA121" i="6" s="1"/>
  <c r="AA37" i="6"/>
  <c r="AA122" i="6" s="1"/>
  <c r="AA38" i="6"/>
  <c r="AA39" i="6"/>
  <c r="AA40" i="6"/>
  <c r="AA41" i="6"/>
  <c r="AA126" i="6" s="1"/>
  <c r="AA42" i="6"/>
  <c r="AA127" i="6" s="1"/>
  <c r="AA43" i="6"/>
  <c r="AB43" i="6" s="1"/>
  <c r="AA44" i="6"/>
  <c r="AF44" i="6" s="1"/>
  <c r="AA45" i="6"/>
  <c r="AA46" i="6"/>
  <c r="AI46" i="6" s="1"/>
  <c r="AA47" i="6"/>
  <c r="AA48" i="6"/>
  <c r="AA49" i="6"/>
  <c r="AA134" i="6" s="1"/>
  <c r="AA50" i="6"/>
  <c r="AI50" i="6" s="1"/>
  <c r="AA51" i="6"/>
  <c r="AA136" i="6" s="1"/>
  <c r="AA52" i="6"/>
  <c r="AA137" i="6" s="1"/>
  <c r="AI34" i="6"/>
  <c r="AI39" i="6"/>
  <c r="AH40" i="6"/>
  <c r="AI42" i="6"/>
  <c r="AH43" i="6"/>
  <c r="AH47" i="6"/>
  <c r="AI47" i="6"/>
  <c r="AI51" i="6"/>
  <c r="AH53" i="6"/>
  <c r="AI53" i="6"/>
  <c r="AI54" i="6"/>
  <c r="AI55" i="6"/>
  <c r="AI57" i="6"/>
  <c r="AH58" i="6"/>
  <c r="AH60" i="6"/>
  <c r="AI61" i="6"/>
  <c r="AH62" i="6"/>
  <c r="AI63" i="6"/>
  <c r="AI65" i="6"/>
  <c r="AI67" i="6"/>
  <c r="AI68" i="6"/>
  <c r="AI69" i="6"/>
  <c r="AF34" i="6"/>
  <c r="AF38" i="6"/>
  <c r="AF39" i="6"/>
  <c r="AF42" i="6"/>
  <c r="AE43" i="6"/>
  <c r="AF47" i="6"/>
  <c r="AF50" i="6"/>
  <c r="AF51" i="6"/>
  <c r="AE53" i="6"/>
  <c r="AF53" i="6"/>
  <c r="AF54" i="6"/>
  <c r="AF55" i="6"/>
  <c r="AF57" i="6"/>
  <c r="AE58" i="6"/>
  <c r="AF60" i="6"/>
  <c r="AF61" i="6"/>
  <c r="AE62" i="6"/>
  <c r="AF63" i="6"/>
  <c r="AF65" i="6"/>
  <c r="AE66" i="6"/>
  <c r="AF69" i="6"/>
  <c r="L34" i="6"/>
  <c r="M34" i="6"/>
  <c r="N34" i="6"/>
  <c r="L35" i="6"/>
  <c r="M35" i="6"/>
  <c r="N35" i="6"/>
  <c r="L36" i="6"/>
  <c r="M36" i="6"/>
  <c r="N36" i="6"/>
  <c r="L37" i="6"/>
  <c r="M37" i="6"/>
  <c r="N37" i="6"/>
  <c r="L38" i="6"/>
  <c r="M38" i="6"/>
  <c r="N38" i="6"/>
  <c r="L39" i="6"/>
  <c r="M39" i="6"/>
  <c r="N39" i="6"/>
  <c r="L40" i="6"/>
  <c r="M40" i="6"/>
  <c r="N40" i="6"/>
  <c r="L41" i="6"/>
  <c r="M41" i="6"/>
  <c r="N41" i="6"/>
  <c r="L42" i="6"/>
  <c r="M42" i="6"/>
  <c r="N42" i="6"/>
  <c r="L43" i="6"/>
  <c r="M43" i="6"/>
  <c r="N43" i="6"/>
  <c r="L44" i="6"/>
  <c r="M44" i="6"/>
  <c r="N44" i="6"/>
  <c r="L45" i="6"/>
  <c r="M45" i="6"/>
  <c r="N45" i="6"/>
  <c r="L46" i="6"/>
  <c r="M46" i="6"/>
  <c r="N46" i="6"/>
  <c r="L47" i="6"/>
  <c r="M47" i="6"/>
  <c r="N47" i="6"/>
  <c r="L48" i="6"/>
  <c r="M48" i="6"/>
  <c r="N48" i="6"/>
  <c r="L49" i="6"/>
  <c r="M49" i="6"/>
  <c r="N49" i="6"/>
  <c r="L50" i="6"/>
  <c r="M50" i="6"/>
  <c r="N50" i="6"/>
  <c r="L51" i="6"/>
  <c r="M51" i="6"/>
  <c r="N51" i="6"/>
  <c r="L52" i="6"/>
  <c r="M52" i="6"/>
  <c r="N52" i="6"/>
  <c r="L53" i="6"/>
  <c r="M53" i="6"/>
  <c r="N53" i="6"/>
  <c r="L54" i="6"/>
  <c r="M54" i="6"/>
  <c r="N54" i="6"/>
  <c r="L55" i="6"/>
  <c r="M55" i="6"/>
  <c r="N55" i="6"/>
  <c r="L56" i="6"/>
  <c r="M56" i="6"/>
  <c r="N56" i="6"/>
  <c r="L57" i="6"/>
  <c r="M57" i="6"/>
  <c r="N57" i="6"/>
  <c r="L58" i="6"/>
  <c r="M58" i="6"/>
  <c r="N58" i="6"/>
  <c r="L59" i="6"/>
  <c r="M59" i="6"/>
  <c r="N59" i="6"/>
  <c r="L60" i="6"/>
  <c r="M60" i="6"/>
  <c r="N60" i="6"/>
  <c r="L61" i="6"/>
  <c r="M61" i="6"/>
  <c r="N61" i="6"/>
  <c r="L62" i="6"/>
  <c r="M62" i="6"/>
  <c r="N62" i="6"/>
  <c r="L63" i="6"/>
  <c r="M63" i="6"/>
  <c r="N63" i="6"/>
  <c r="L64" i="6"/>
  <c r="M64" i="6"/>
  <c r="N64" i="6"/>
  <c r="L65" i="6"/>
  <c r="M65" i="6"/>
  <c r="N65" i="6"/>
  <c r="L66" i="6"/>
  <c r="M66" i="6"/>
  <c r="N66" i="6"/>
  <c r="L67" i="6"/>
  <c r="M67" i="6"/>
  <c r="N67" i="6"/>
  <c r="L68" i="6"/>
  <c r="M68" i="6"/>
  <c r="N68" i="6"/>
  <c r="L69" i="6"/>
  <c r="M69" i="6"/>
  <c r="N69" i="6"/>
  <c r="N33" i="6"/>
  <c r="I33" i="6"/>
  <c r="J33" i="6"/>
  <c r="I34" i="6"/>
  <c r="J34" i="6"/>
  <c r="I35" i="6"/>
  <c r="J35" i="6"/>
  <c r="I36" i="6"/>
  <c r="J36" i="6"/>
  <c r="I37" i="6"/>
  <c r="J37" i="6"/>
  <c r="I38" i="6"/>
  <c r="J38" i="6"/>
  <c r="I39" i="6"/>
  <c r="J39" i="6"/>
  <c r="I40" i="6"/>
  <c r="J40" i="6"/>
  <c r="I41" i="6"/>
  <c r="J41" i="6"/>
  <c r="I42" i="6"/>
  <c r="J42" i="6"/>
  <c r="I43" i="6"/>
  <c r="J43" i="6"/>
  <c r="I44" i="6"/>
  <c r="J44" i="6"/>
  <c r="I45" i="6"/>
  <c r="J45" i="6"/>
  <c r="I46" i="6"/>
  <c r="J46" i="6"/>
  <c r="I47" i="6"/>
  <c r="J47" i="6"/>
  <c r="I48" i="6"/>
  <c r="J48" i="6"/>
  <c r="I49" i="6"/>
  <c r="J49" i="6"/>
  <c r="I50" i="6"/>
  <c r="J50" i="6"/>
  <c r="I51" i="6"/>
  <c r="J51" i="6"/>
  <c r="I52" i="6"/>
  <c r="J52" i="6"/>
  <c r="I53" i="6"/>
  <c r="J53" i="6"/>
  <c r="I54" i="6"/>
  <c r="J54" i="6"/>
  <c r="I55" i="6"/>
  <c r="J55" i="6"/>
  <c r="I56" i="6"/>
  <c r="J56" i="6"/>
  <c r="I57" i="6"/>
  <c r="J57" i="6"/>
  <c r="I58" i="6"/>
  <c r="J58" i="6"/>
  <c r="I59" i="6"/>
  <c r="J59" i="6"/>
  <c r="I60" i="6"/>
  <c r="J60" i="6"/>
  <c r="I61" i="6"/>
  <c r="J61" i="6"/>
  <c r="I62" i="6"/>
  <c r="J62" i="6"/>
  <c r="I63" i="6"/>
  <c r="J63" i="6"/>
  <c r="I64" i="6"/>
  <c r="J64" i="6"/>
  <c r="I65" i="6"/>
  <c r="J65" i="6"/>
  <c r="I66" i="6"/>
  <c r="J66" i="6"/>
  <c r="I67" i="6"/>
  <c r="J67" i="6"/>
  <c r="I68" i="6"/>
  <c r="J68" i="6"/>
  <c r="I69" i="6"/>
  <c r="J69" i="6"/>
  <c r="AG32" i="6"/>
  <c r="AD32" i="6"/>
  <c r="O32" i="6"/>
  <c r="P32" i="6"/>
  <c r="Q32" i="6"/>
  <c r="R32" i="6"/>
  <c r="S32" i="6"/>
  <c r="T32" i="6"/>
  <c r="U32" i="6"/>
  <c r="V32" i="6"/>
  <c r="W32" i="6"/>
  <c r="X32" i="6"/>
  <c r="Y32" i="6"/>
  <c r="Z32" i="6"/>
  <c r="AG31" i="6"/>
  <c r="AD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N26" i="6"/>
  <c r="N27" i="6"/>
  <c r="N28" i="6"/>
  <c r="N29" i="6"/>
  <c r="B23" i="6"/>
  <c r="AG16" i="6"/>
  <c r="AG17" i="6"/>
  <c r="AG18" i="6" s="1"/>
  <c r="AG19" i="6"/>
  <c r="AH36" i="6" s="1"/>
  <c r="AG20" i="6"/>
  <c r="AH75" i="6" s="1"/>
  <c r="AD19" i="6"/>
  <c r="AE35" i="6" s="1"/>
  <c r="AD20" i="6"/>
  <c r="AE105" i="6" s="1"/>
  <c r="G19" i="6"/>
  <c r="G20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B17" i="6"/>
  <c r="B18" i="6"/>
  <c r="B19" i="6"/>
  <c r="AA17" i="6"/>
  <c r="AA18" i="6" s="1"/>
  <c r="O16" i="6"/>
  <c r="P16" i="6"/>
  <c r="Q16" i="6"/>
  <c r="R16" i="6"/>
  <c r="S16" i="6"/>
  <c r="T16" i="6"/>
  <c r="U16" i="6"/>
  <c r="V16" i="6"/>
  <c r="W16" i="6"/>
  <c r="X16" i="6"/>
  <c r="Y16" i="6"/>
  <c r="O17" i="6"/>
  <c r="P17" i="6"/>
  <c r="Q17" i="6"/>
  <c r="R17" i="6"/>
  <c r="S17" i="6"/>
  <c r="T17" i="6"/>
  <c r="U17" i="6"/>
  <c r="V17" i="6"/>
  <c r="W17" i="6"/>
  <c r="X17" i="6"/>
  <c r="Y17" i="6"/>
  <c r="Z17" i="6"/>
  <c r="A14" i="6"/>
  <c r="AG12" i="6"/>
  <c r="AG13" i="6"/>
  <c r="AD12" i="6"/>
  <c r="AD13" i="6"/>
  <c r="B12" i="6"/>
  <c r="B13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C10" i="6"/>
  <c r="D10" i="6"/>
  <c r="Z16" i="6" s="1"/>
  <c r="C9" i="6"/>
  <c r="C1" i="6"/>
  <c r="C2" i="6"/>
  <c r="C3" i="6"/>
  <c r="C4" i="6"/>
  <c r="C5" i="6"/>
  <c r="C6" i="6"/>
  <c r="C7" i="6"/>
  <c r="C8" i="6"/>
  <c r="E6" i="6"/>
  <c r="E4" i="6"/>
  <c r="B3" i="6"/>
  <c r="AG103" i="4"/>
  <c r="AG104" i="4"/>
  <c r="AD103" i="4"/>
  <c r="AD104" i="4"/>
  <c r="O103" i="4"/>
  <c r="P103" i="4"/>
  <c r="Q103" i="4"/>
  <c r="R103" i="4"/>
  <c r="S103" i="4"/>
  <c r="T103" i="4"/>
  <c r="U103" i="4"/>
  <c r="V103" i="4"/>
  <c r="W103" i="4"/>
  <c r="X103" i="4"/>
  <c r="Y103" i="4"/>
  <c r="Z103" i="4"/>
  <c r="O104" i="4"/>
  <c r="P104" i="4"/>
  <c r="Q104" i="4"/>
  <c r="R104" i="4"/>
  <c r="S104" i="4"/>
  <c r="T104" i="4"/>
  <c r="U104" i="4"/>
  <c r="V104" i="4"/>
  <c r="W104" i="4"/>
  <c r="X104" i="4"/>
  <c r="Y104" i="4"/>
  <c r="Z104" i="4"/>
  <c r="N100" i="4"/>
  <c r="N103" i="4" s="1"/>
  <c r="N101" i="4"/>
  <c r="N104" i="4" s="1"/>
  <c r="AH101" i="4"/>
  <c r="AA101" i="4"/>
  <c r="I100" i="4"/>
  <c r="AA100" i="4" s="1"/>
  <c r="AF100" i="4" s="1"/>
  <c r="J100" i="4"/>
  <c r="I101" i="4"/>
  <c r="J10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I98" i="4"/>
  <c r="AA98" i="4" s="1"/>
  <c r="J98" i="4"/>
  <c r="B84" i="4"/>
  <c r="B78" i="4"/>
  <c r="B79" i="4"/>
  <c r="B80" i="4"/>
  <c r="A75" i="4"/>
  <c r="AM73" i="4"/>
  <c r="AH77" i="4"/>
  <c r="AH79" i="4"/>
  <c r="AH86" i="4"/>
  <c r="AH90" i="4"/>
  <c r="AH92" i="4"/>
  <c r="AH94" i="4"/>
  <c r="AH95" i="4"/>
  <c r="AH97" i="4"/>
  <c r="AE74" i="4"/>
  <c r="AE75" i="4"/>
  <c r="AE79" i="4"/>
  <c r="AE87" i="4"/>
  <c r="AE93" i="4"/>
  <c r="AE94" i="4"/>
  <c r="AA73" i="4"/>
  <c r="AI73" i="4" s="1"/>
  <c r="AA77" i="4"/>
  <c r="AA92" i="4"/>
  <c r="AI92" i="4" s="1"/>
  <c r="AA97" i="4"/>
  <c r="I73" i="4"/>
  <c r="J73" i="4"/>
  <c r="L73" i="4"/>
  <c r="M73" i="4"/>
  <c r="I74" i="4"/>
  <c r="AA74" i="4" s="1"/>
  <c r="J74" i="4"/>
  <c r="L74" i="4"/>
  <c r="M74" i="4"/>
  <c r="I75" i="4"/>
  <c r="AA75" i="4" s="1"/>
  <c r="AF75" i="4" s="1"/>
  <c r="J75" i="4"/>
  <c r="L75" i="4"/>
  <c r="M75" i="4"/>
  <c r="I76" i="4"/>
  <c r="AA76" i="4" s="1"/>
  <c r="J76" i="4"/>
  <c r="L76" i="4"/>
  <c r="M76" i="4"/>
  <c r="I77" i="4"/>
  <c r="J77" i="4"/>
  <c r="K77" i="4" s="1"/>
  <c r="L77" i="4"/>
  <c r="M77" i="4"/>
  <c r="I78" i="4"/>
  <c r="AA78" i="4" s="1"/>
  <c r="J78" i="4"/>
  <c r="L78" i="4"/>
  <c r="M78" i="4"/>
  <c r="I79" i="4"/>
  <c r="J79" i="4"/>
  <c r="L79" i="4"/>
  <c r="M79" i="4"/>
  <c r="I80" i="4"/>
  <c r="AA80" i="4" s="1"/>
  <c r="J80" i="4"/>
  <c r="L80" i="4"/>
  <c r="M80" i="4"/>
  <c r="I81" i="4"/>
  <c r="AA81" i="4" s="1"/>
  <c r="J81" i="4"/>
  <c r="K81" i="4"/>
  <c r="L81" i="4"/>
  <c r="M81" i="4"/>
  <c r="I82" i="4"/>
  <c r="AA82" i="4" s="1"/>
  <c r="J82" i="4"/>
  <c r="K82" i="4"/>
  <c r="L82" i="4"/>
  <c r="M82" i="4"/>
  <c r="I83" i="4"/>
  <c r="AA83" i="4" s="1"/>
  <c r="J83" i="4"/>
  <c r="L83" i="4"/>
  <c r="M83" i="4"/>
  <c r="I84" i="4"/>
  <c r="AA84" i="4" s="1"/>
  <c r="J84" i="4"/>
  <c r="L84" i="4"/>
  <c r="M84" i="4"/>
  <c r="I85" i="4"/>
  <c r="K85" i="4" s="1"/>
  <c r="J85" i="4"/>
  <c r="L85" i="4"/>
  <c r="M85" i="4"/>
  <c r="I86" i="4"/>
  <c r="AA86" i="4" s="1"/>
  <c r="AF86" i="4" s="1"/>
  <c r="J86" i="4"/>
  <c r="K86" i="4" s="1"/>
  <c r="L86" i="4"/>
  <c r="M86" i="4"/>
  <c r="I87" i="4"/>
  <c r="J87" i="4"/>
  <c r="L87" i="4"/>
  <c r="M87" i="4"/>
  <c r="I88" i="4"/>
  <c r="J88" i="4"/>
  <c r="L88" i="4"/>
  <c r="M88" i="4"/>
  <c r="I89" i="4"/>
  <c r="AA89" i="4" s="1"/>
  <c r="AI89" i="4" s="1"/>
  <c r="J89" i="4"/>
  <c r="L89" i="4"/>
  <c r="M89" i="4"/>
  <c r="I90" i="4"/>
  <c r="J90" i="4"/>
  <c r="L90" i="4"/>
  <c r="M90" i="4"/>
  <c r="I91" i="4"/>
  <c r="AA91" i="4" s="1"/>
  <c r="AI91" i="4" s="1"/>
  <c r="J91" i="4"/>
  <c r="L91" i="4"/>
  <c r="M91" i="4"/>
  <c r="I92" i="4"/>
  <c r="J92" i="4"/>
  <c r="K92" i="4" s="1"/>
  <c r="L92" i="4"/>
  <c r="M92" i="4"/>
  <c r="I93" i="4"/>
  <c r="AA93" i="4" s="1"/>
  <c r="J93" i="4"/>
  <c r="L93" i="4"/>
  <c r="M93" i="4"/>
  <c r="I94" i="4"/>
  <c r="AA94" i="4" s="1"/>
  <c r="J94" i="4"/>
  <c r="K94" i="4"/>
  <c r="L94" i="4"/>
  <c r="M94" i="4"/>
  <c r="I95" i="4"/>
  <c r="J95" i="4"/>
  <c r="L95" i="4"/>
  <c r="M95" i="4"/>
  <c r="I96" i="4"/>
  <c r="AA96" i="4" s="1"/>
  <c r="J96" i="4"/>
  <c r="K96" i="4" s="1"/>
  <c r="L96" i="4"/>
  <c r="M96" i="4"/>
  <c r="I97" i="4"/>
  <c r="J97" i="4"/>
  <c r="L97" i="4"/>
  <c r="M97" i="4"/>
  <c r="I72" i="4"/>
  <c r="J72" i="4"/>
  <c r="AH59" i="4"/>
  <c r="AH60" i="4"/>
  <c r="AI60" i="4"/>
  <c r="AK61" i="4"/>
  <c r="AH63" i="4"/>
  <c r="AK66" i="4"/>
  <c r="AH69" i="4"/>
  <c r="AE58" i="4"/>
  <c r="AE63" i="4"/>
  <c r="AE66" i="4"/>
  <c r="AF70" i="4"/>
  <c r="AA59" i="4"/>
  <c r="AA67" i="4"/>
  <c r="AF67" i="4" s="1"/>
  <c r="AA70" i="4"/>
  <c r="AI70" i="4" s="1"/>
  <c r="AH55" i="4"/>
  <c r="AH56" i="4"/>
  <c r="AE56" i="4"/>
  <c r="I55" i="4"/>
  <c r="AA55" i="4" s="1"/>
  <c r="J55" i="4"/>
  <c r="K55" i="4"/>
  <c r="L55" i="4"/>
  <c r="M55" i="4"/>
  <c r="N55" i="4"/>
  <c r="I56" i="4"/>
  <c r="AA56" i="4" s="1"/>
  <c r="J56" i="4"/>
  <c r="L56" i="4"/>
  <c r="M56" i="4"/>
  <c r="N56" i="4"/>
  <c r="I57" i="4"/>
  <c r="K57" i="4" s="1"/>
  <c r="J57" i="4"/>
  <c r="L57" i="4"/>
  <c r="M57" i="4"/>
  <c r="N57" i="4"/>
  <c r="I58" i="4"/>
  <c r="AA58" i="4" s="1"/>
  <c r="J58" i="4"/>
  <c r="L58" i="4"/>
  <c r="M58" i="4"/>
  <c r="N58" i="4"/>
  <c r="I59" i="4"/>
  <c r="J59" i="4"/>
  <c r="K59" i="4"/>
  <c r="L59" i="4"/>
  <c r="M59" i="4"/>
  <c r="N59" i="4"/>
  <c r="I60" i="4"/>
  <c r="AA60" i="4" s="1"/>
  <c r="J60" i="4"/>
  <c r="L60" i="4"/>
  <c r="M60" i="4"/>
  <c r="N60" i="4"/>
  <c r="I61" i="4"/>
  <c r="AA61" i="4" s="1"/>
  <c r="J61" i="4"/>
  <c r="K61" i="4"/>
  <c r="L61" i="4"/>
  <c r="M61" i="4"/>
  <c r="N61" i="4"/>
  <c r="I62" i="4"/>
  <c r="AA62" i="4" s="1"/>
  <c r="AF62" i="4" s="1"/>
  <c r="J62" i="4"/>
  <c r="K62" i="4"/>
  <c r="L62" i="4"/>
  <c r="M62" i="4"/>
  <c r="N62" i="4"/>
  <c r="I63" i="4"/>
  <c r="K63" i="4" s="1"/>
  <c r="J63" i="4"/>
  <c r="L63" i="4"/>
  <c r="M63" i="4"/>
  <c r="N63" i="4"/>
  <c r="I64" i="4"/>
  <c r="AA64" i="4" s="1"/>
  <c r="J64" i="4"/>
  <c r="L64" i="4"/>
  <c r="M64" i="4"/>
  <c r="N64" i="4"/>
  <c r="I65" i="4"/>
  <c r="AA65" i="4" s="1"/>
  <c r="AI65" i="4" s="1"/>
  <c r="J65" i="4"/>
  <c r="L65" i="4"/>
  <c r="M65" i="4"/>
  <c r="N65" i="4"/>
  <c r="I66" i="4"/>
  <c r="AA66" i="4" s="1"/>
  <c r="J66" i="4"/>
  <c r="K66" i="4"/>
  <c r="L66" i="4"/>
  <c r="M66" i="4"/>
  <c r="N66" i="4"/>
  <c r="I67" i="4"/>
  <c r="K67" i="4" s="1"/>
  <c r="J67" i="4"/>
  <c r="L67" i="4"/>
  <c r="M67" i="4"/>
  <c r="N67" i="4"/>
  <c r="I68" i="4"/>
  <c r="AA68" i="4" s="1"/>
  <c r="J68" i="4"/>
  <c r="L68" i="4"/>
  <c r="M68" i="4"/>
  <c r="N68" i="4"/>
  <c r="I69" i="4"/>
  <c r="AA69" i="4" s="1"/>
  <c r="J69" i="4"/>
  <c r="K69" i="4"/>
  <c r="L69" i="4"/>
  <c r="M69" i="4"/>
  <c r="N69" i="4"/>
  <c r="I70" i="4"/>
  <c r="K70" i="4" s="1"/>
  <c r="J70" i="4"/>
  <c r="L70" i="4"/>
  <c r="M70" i="4"/>
  <c r="N70" i="4"/>
  <c r="N53" i="4"/>
  <c r="N54" i="4"/>
  <c r="I53" i="4"/>
  <c r="J53" i="4"/>
  <c r="I54" i="4"/>
  <c r="J54" i="4"/>
  <c r="B52" i="4"/>
  <c r="B53" i="4"/>
  <c r="B47" i="4"/>
  <c r="B48" i="4"/>
  <c r="B49" i="4"/>
  <c r="A44" i="4"/>
  <c r="AH36" i="4"/>
  <c r="AH37" i="4"/>
  <c r="AH38" i="4"/>
  <c r="AH41" i="4"/>
  <c r="AH42" i="4"/>
  <c r="AH43" i="4"/>
  <c r="AH44" i="4"/>
  <c r="AH46" i="4"/>
  <c r="AH51" i="4"/>
  <c r="AE35" i="4"/>
  <c r="AE38" i="4"/>
  <c r="AE41" i="4"/>
  <c r="AE43" i="4"/>
  <c r="AE48" i="4"/>
  <c r="AA39" i="4"/>
  <c r="AI39" i="4" s="1"/>
  <c r="AA43" i="4"/>
  <c r="AF43" i="4" s="1"/>
  <c r="I35" i="4"/>
  <c r="AA35" i="4" s="1"/>
  <c r="AI35" i="4" s="1"/>
  <c r="J35" i="4"/>
  <c r="K35" i="4"/>
  <c r="L35" i="4"/>
  <c r="M35" i="4"/>
  <c r="N35" i="4"/>
  <c r="I36" i="4"/>
  <c r="J36" i="4"/>
  <c r="L36" i="4"/>
  <c r="M36" i="4"/>
  <c r="N36" i="4"/>
  <c r="I37" i="4"/>
  <c r="AA37" i="4" s="1"/>
  <c r="J37" i="4"/>
  <c r="K37" i="4"/>
  <c r="L37" i="4"/>
  <c r="M37" i="4"/>
  <c r="N37" i="4"/>
  <c r="I38" i="4"/>
  <c r="AA38" i="4" s="1"/>
  <c r="J38" i="4"/>
  <c r="K38" i="4"/>
  <c r="L38" i="4"/>
  <c r="M38" i="4"/>
  <c r="N38" i="4"/>
  <c r="I39" i="4"/>
  <c r="K39" i="4" s="1"/>
  <c r="J39" i="4"/>
  <c r="L39" i="4"/>
  <c r="M39" i="4"/>
  <c r="N39" i="4"/>
  <c r="I40" i="4"/>
  <c r="J40" i="4"/>
  <c r="L40" i="4"/>
  <c r="M40" i="4"/>
  <c r="N40" i="4"/>
  <c r="I41" i="4"/>
  <c r="AA41" i="4" s="1"/>
  <c r="J41" i="4"/>
  <c r="L41" i="4"/>
  <c r="M41" i="4"/>
  <c r="N41" i="4"/>
  <c r="I42" i="4"/>
  <c r="K42" i="4" s="1"/>
  <c r="J42" i="4"/>
  <c r="L42" i="4"/>
  <c r="M42" i="4"/>
  <c r="N42" i="4"/>
  <c r="I43" i="4"/>
  <c r="K43" i="4" s="1"/>
  <c r="J43" i="4"/>
  <c r="L43" i="4"/>
  <c r="M43" i="4"/>
  <c r="N43" i="4"/>
  <c r="I44" i="4"/>
  <c r="J44" i="4"/>
  <c r="L44" i="4"/>
  <c r="M44" i="4"/>
  <c r="N44" i="4"/>
  <c r="I45" i="4"/>
  <c r="K45" i="4" s="1"/>
  <c r="J45" i="4"/>
  <c r="L45" i="4"/>
  <c r="M45" i="4"/>
  <c r="N45" i="4"/>
  <c r="I46" i="4"/>
  <c r="K46" i="4" s="1"/>
  <c r="J46" i="4"/>
  <c r="L46" i="4"/>
  <c r="M46" i="4"/>
  <c r="N46" i="4"/>
  <c r="I47" i="4"/>
  <c r="AA47" i="4" s="1"/>
  <c r="J47" i="4"/>
  <c r="K47" i="4"/>
  <c r="L47" i="4"/>
  <c r="M47" i="4"/>
  <c r="N47" i="4"/>
  <c r="I48" i="4"/>
  <c r="J48" i="4"/>
  <c r="L48" i="4"/>
  <c r="M48" i="4"/>
  <c r="N48" i="4"/>
  <c r="I49" i="4"/>
  <c r="AA49" i="4" s="1"/>
  <c r="J49" i="4"/>
  <c r="L49" i="4"/>
  <c r="M49" i="4"/>
  <c r="N49" i="4"/>
  <c r="I50" i="4"/>
  <c r="AA50" i="4" s="1"/>
  <c r="J50" i="4"/>
  <c r="K50" i="4"/>
  <c r="L50" i="4"/>
  <c r="M50" i="4"/>
  <c r="N50" i="4"/>
  <c r="I51" i="4"/>
  <c r="AA51" i="4" s="1"/>
  <c r="AI51" i="4" s="1"/>
  <c r="J51" i="4"/>
  <c r="K51" i="4"/>
  <c r="L51" i="4"/>
  <c r="M51" i="4"/>
  <c r="N51" i="4"/>
  <c r="N33" i="4"/>
  <c r="N34" i="4"/>
  <c r="I33" i="4"/>
  <c r="J33" i="4"/>
  <c r="I34" i="4"/>
  <c r="J34" i="4"/>
  <c r="AM31" i="4"/>
  <c r="AG32" i="4"/>
  <c r="AM32" i="4" s="1"/>
  <c r="AD32" i="4"/>
  <c r="O32" i="4"/>
  <c r="P32" i="4"/>
  <c r="Q32" i="4"/>
  <c r="R32" i="4"/>
  <c r="S32" i="4"/>
  <c r="T32" i="4"/>
  <c r="U32" i="4"/>
  <c r="V32" i="4"/>
  <c r="W32" i="4"/>
  <c r="X32" i="4"/>
  <c r="Y32" i="4"/>
  <c r="Z32" i="4"/>
  <c r="AJ32" i="4" s="1"/>
  <c r="AJ31" i="4"/>
  <c r="AK31" i="4"/>
  <c r="AK32" i="4"/>
  <c r="AG31" i="4"/>
  <c r="AD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N26" i="4"/>
  <c r="N27" i="4"/>
  <c r="N28" i="4"/>
  <c r="N29" i="4"/>
  <c r="B22" i="4"/>
  <c r="B23" i="4"/>
  <c r="AG16" i="4"/>
  <c r="AG19" i="4"/>
  <c r="AH75" i="4" s="1"/>
  <c r="AG20" i="4"/>
  <c r="AM100" i="4" s="1"/>
  <c r="AD19" i="4"/>
  <c r="AE64" i="4" s="1"/>
  <c r="AD20" i="4"/>
  <c r="AK79" i="4" s="1"/>
  <c r="N19" i="4"/>
  <c r="O19" i="4"/>
  <c r="AA19" i="4" s="1"/>
  <c r="AB73" i="4" s="1"/>
  <c r="P19" i="4"/>
  <c r="Q19" i="4"/>
  <c r="R19" i="4"/>
  <c r="S19" i="4"/>
  <c r="T19" i="4"/>
  <c r="U19" i="4"/>
  <c r="V19" i="4"/>
  <c r="W19" i="4"/>
  <c r="X19" i="4"/>
  <c r="Y19" i="4"/>
  <c r="Z19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G19" i="4"/>
  <c r="B17" i="4"/>
  <c r="B18" i="4"/>
  <c r="B19" i="4"/>
  <c r="O17" i="4"/>
  <c r="P17" i="4"/>
  <c r="Q17" i="4"/>
  <c r="R17" i="4"/>
  <c r="S17" i="4"/>
  <c r="T17" i="4"/>
  <c r="U17" i="4"/>
  <c r="V17" i="4"/>
  <c r="W17" i="4"/>
  <c r="X17" i="4"/>
  <c r="Y17" i="4"/>
  <c r="Z17" i="4"/>
  <c r="O16" i="4"/>
  <c r="P16" i="4"/>
  <c r="Q16" i="4"/>
  <c r="R16" i="4"/>
  <c r="S16" i="4"/>
  <c r="T16" i="4"/>
  <c r="U16" i="4"/>
  <c r="V16" i="4"/>
  <c r="W16" i="4"/>
  <c r="X16" i="4"/>
  <c r="Y16" i="4"/>
  <c r="AA16" i="4"/>
  <c r="A14" i="4"/>
  <c r="AG12" i="4"/>
  <c r="AG13" i="4"/>
  <c r="AD12" i="4"/>
  <c r="AD13" i="4"/>
  <c r="B12" i="4"/>
  <c r="B13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C10" i="4"/>
  <c r="D10" i="4"/>
  <c r="Z16" i="4" s="1"/>
  <c r="C9" i="4"/>
  <c r="C1" i="4"/>
  <c r="C2" i="4"/>
  <c r="C3" i="4"/>
  <c r="C4" i="4"/>
  <c r="C5" i="4"/>
  <c r="C6" i="4"/>
  <c r="C7" i="4"/>
  <c r="C8" i="4"/>
  <c r="E6" i="4"/>
  <c r="E4" i="4"/>
  <c r="B3" i="4"/>
  <c r="M97" i="37"/>
  <c r="M98" i="37"/>
  <c r="M99" i="37"/>
  <c r="M100" i="37"/>
  <c r="M101" i="37"/>
  <c r="M102" i="37"/>
  <c r="M103" i="37"/>
  <c r="M104" i="37"/>
  <c r="M105" i="37"/>
  <c r="AG98" i="37"/>
  <c r="AH102" i="37"/>
  <c r="AG103" i="37"/>
  <c r="AG105" i="37"/>
  <c r="AE99" i="37"/>
  <c r="AD102" i="37"/>
  <c r="Z97" i="37"/>
  <c r="AH97" i="37" s="1"/>
  <c r="Z98" i="37"/>
  <c r="AE98" i="37" s="1"/>
  <c r="Z99" i="37"/>
  <c r="AH99" i="37" s="1"/>
  <c r="Z100" i="37"/>
  <c r="AE100" i="37" s="1"/>
  <c r="Z101" i="37"/>
  <c r="AH101" i="37" s="1"/>
  <c r="Z102" i="37"/>
  <c r="AE102" i="37" s="1"/>
  <c r="Z103" i="37"/>
  <c r="AH103" i="37" s="1"/>
  <c r="Z104" i="37"/>
  <c r="AH104" i="37" s="1"/>
  <c r="Z105" i="37"/>
  <c r="AH105" i="37" s="1"/>
  <c r="I97" i="37"/>
  <c r="J97" i="37"/>
  <c r="I98" i="37"/>
  <c r="J98" i="37"/>
  <c r="I99" i="37"/>
  <c r="J99" i="37"/>
  <c r="I100" i="37"/>
  <c r="J100" i="37"/>
  <c r="I101" i="37"/>
  <c r="J101" i="37"/>
  <c r="I102" i="37"/>
  <c r="J102" i="37"/>
  <c r="I103" i="37"/>
  <c r="J103" i="37"/>
  <c r="I104" i="37"/>
  <c r="J104" i="37"/>
  <c r="I105" i="37"/>
  <c r="J105" i="37"/>
  <c r="AC94" i="37"/>
  <c r="AC95" i="37" s="1"/>
  <c r="AC71" i="37" s="1"/>
  <c r="AF94" i="37"/>
  <c r="AF95" i="37" s="1"/>
  <c r="AF71" i="37" s="1"/>
  <c r="N94" i="37"/>
  <c r="O94" i="37"/>
  <c r="O95" i="37" s="1"/>
  <c r="O71" i="37" s="1"/>
  <c r="O72" i="37" s="1"/>
  <c r="P94" i="37"/>
  <c r="Q94" i="37"/>
  <c r="Q95" i="37" s="1"/>
  <c r="Q71" i="37" s="1"/>
  <c r="Q72" i="37" s="1"/>
  <c r="R94" i="37"/>
  <c r="R95" i="37" s="1"/>
  <c r="R71" i="37" s="1"/>
  <c r="R72" i="37" s="1"/>
  <c r="S94" i="37"/>
  <c r="S95" i="37" s="1"/>
  <c r="S71" i="37" s="1"/>
  <c r="S72" i="37" s="1"/>
  <c r="T94" i="37"/>
  <c r="T95" i="37" s="1"/>
  <c r="T71" i="37" s="1"/>
  <c r="T72" i="37" s="1"/>
  <c r="U94" i="37"/>
  <c r="U95" i="37" s="1"/>
  <c r="V94" i="37"/>
  <c r="V95" i="37" s="1"/>
  <c r="V71" i="37" s="1"/>
  <c r="V72" i="37" s="1"/>
  <c r="W94" i="37"/>
  <c r="W95" i="37" s="1"/>
  <c r="W71" i="37" s="1"/>
  <c r="W72" i="37" s="1"/>
  <c r="X94" i="37"/>
  <c r="X95" i="37" s="1"/>
  <c r="X71" i="37" s="1"/>
  <c r="X72" i="37" s="1"/>
  <c r="Y94" i="37"/>
  <c r="Y95" i="37" s="1"/>
  <c r="Y71" i="37" s="1"/>
  <c r="Y72" i="37" s="1"/>
  <c r="P95" i="37"/>
  <c r="M93" i="37"/>
  <c r="M94" i="37"/>
  <c r="Z93" i="37"/>
  <c r="AE93" i="37" s="1"/>
  <c r="I93" i="37"/>
  <c r="J93" i="37"/>
  <c r="I94" i="37"/>
  <c r="J94" i="37"/>
  <c r="M82" i="37"/>
  <c r="M83" i="37"/>
  <c r="M84" i="37"/>
  <c r="M86" i="37"/>
  <c r="M87" i="37"/>
  <c r="I87" i="37"/>
  <c r="J87" i="37"/>
  <c r="AD83" i="37"/>
  <c r="AE83" i="37"/>
  <c r="I83" i="37"/>
  <c r="J83" i="37"/>
  <c r="AG83" i="37"/>
  <c r="Z83" i="37"/>
  <c r="AH83" i="37" s="1"/>
  <c r="AA83" i="37"/>
  <c r="AI83" i="37" s="1"/>
  <c r="Z87" i="37"/>
  <c r="AH87" i="37" s="1"/>
  <c r="AC80" i="37"/>
  <c r="AD80" i="37"/>
  <c r="AF80" i="37"/>
  <c r="AG80" i="37" s="1"/>
  <c r="N80" i="37"/>
  <c r="O80" i="37"/>
  <c r="Z80" i="37" s="1"/>
  <c r="P80" i="37"/>
  <c r="Q80" i="37"/>
  <c r="R80" i="37"/>
  <c r="S80" i="37"/>
  <c r="T80" i="37"/>
  <c r="U80" i="37"/>
  <c r="V80" i="37"/>
  <c r="W80" i="37"/>
  <c r="X80" i="37"/>
  <c r="Y80" i="37"/>
  <c r="M74" i="37"/>
  <c r="M76" i="37"/>
  <c r="M80" i="37" s="1"/>
  <c r="M77" i="37"/>
  <c r="M78" i="37"/>
  <c r="M79" i="37"/>
  <c r="AG77" i="37"/>
  <c r="AG79" i="37"/>
  <c r="AD78" i="37"/>
  <c r="AD79" i="37"/>
  <c r="Z77" i="37"/>
  <c r="AH77" i="37" s="1"/>
  <c r="Z78" i="37"/>
  <c r="AE78" i="37" s="1"/>
  <c r="Z79" i="37"/>
  <c r="I76" i="37"/>
  <c r="J76" i="37"/>
  <c r="I77" i="37"/>
  <c r="J77" i="37"/>
  <c r="I78" i="37"/>
  <c r="J78" i="37"/>
  <c r="I79" i="37"/>
  <c r="J79" i="37"/>
  <c r="P72" i="37"/>
  <c r="P71" i="37"/>
  <c r="U71" i="37"/>
  <c r="U72" i="37" s="1"/>
  <c r="M66" i="37"/>
  <c r="M72" i="37" s="1"/>
  <c r="M67" i="37"/>
  <c r="M68" i="37"/>
  <c r="M69" i="37"/>
  <c r="M70" i="37"/>
  <c r="AG67" i="37"/>
  <c r="AG70" i="37"/>
  <c r="AE67" i="37"/>
  <c r="AD69" i="37"/>
  <c r="Z67" i="37"/>
  <c r="AA67" i="37" s="1"/>
  <c r="Z68" i="37"/>
  <c r="AE68" i="37" s="1"/>
  <c r="Z69" i="37"/>
  <c r="AH69" i="37" s="1"/>
  <c r="Z70" i="37"/>
  <c r="AH70" i="37" s="1"/>
  <c r="I66" i="37"/>
  <c r="J66" i="37"/>
  <c r="I67" i="37"/>
  <c r="J67" i="37"/>
  <c r="I68" i="37"/>
  <c r="J68" i="37"/>
  <c r="I69" i="37"/>
  <c r="J69" i="37"/>
  <c r="I70" i="37"/>
  <c r="J70" i="37"/>
  <c r="M64" i="37"/>
  <c r="M53" i="37"/>
  <c r="M59" i="37" s="1"/>
  <c r="M54" i="37"/>
  <c r="M55" i="37"/>
  <c r="M56" i="37"/>
  <c r="M57" i="37"/>
  <c r="M58" i="37"/>
  <c r="M61" i="37"/>
  <c r="M63" i="37"/>
  <c r="I63" i="37"/>
  <c r="J63" i="37"/>
  <c r="AC60" i="37"/>
  <c r="AD60" i="37" s="1"/>
  <c r="AC59" i="37"/>
  <c r="AF59" i="37"/>
  <c r="AF60" i="37" s="1"/>
  <c r="AG60" i="37" s="1"/>
  <c r="N59" i="37"/>
  <c r="N60" i="37" s="1"/>
  <c r="O59" i="37"/>
  <c r="P59" i="37"/>
  <c r="P60" i="37" s="1"/>
  <c r="Q59" i="37"/>
  <c r="Q60" i="37" s="1"/>
  <c r="R59" i="37"/>
  <c r="S59" i="37"/>
  <c r="S60" i="37" s="1"/>
  <c r="T59" i="37"/>
  <c r="U59" i="37"/>
  <c r="V59" i="37"/>
  <c r="V60" i="37" s="1"/>
  <c r="W59" i="37"/>
  <c r="X59" i="37"/>
  <c r="X60" i="37" s="1"/>
  <c r="Y59" i="37"/>
  <c r="Y60" i="37" s="1"/>
  <c r="O60" i="37"/>
  <c r="R60" i="37"/>
  <c r="T60" i="37"/>
  <c r="U60" i="37"/>
  <c r="W60" i="37"/>
  <c r="AH55" i="37"/>
  <c r="AG56" i="37"/>
  <c r="AH57" i="37"/>
  <c r="AG58" i="37"/>
  <c r="AE54" i="37"/>
  <c r="AD57" i="37"/>
  <c r="AE57" i="37"/>
  <c r="AE58" i="37"/>
  <c r="Z54" i="37"/>
  <c r="AH54" i="37" s="1"/>
  <c r="Z55" i="37"/>
  <c r="AE55" i="37" s="1"/>
  <c r="Z56" i="37"/>
  <c r="AH56" i="37" s="1"/>
  <c r="Z57" i="37"/>
  <c r="Z58" i="37"/>
  <c r="AH58" i="37" s="1"/>
  <c r="Z63" i="37"/>
  <c r="AE63" i="37" s="1"/>
  <c r="I53" i="37"/>
  <c r="J53" i="37"/>
  <c r="I54" i="37"/>
  <c r="J54" i="37"/>
  <c r="I55" i="37"/>
  <c r="J55" i="37"/>
  <c r="I56" i="37"/>
  <c r="J56" i="37"/>
  <c r="I57" i="37"/>
  <c r="J57" i="37"/>
  <c r="I58" i="37"/>
  <c r="J58" i="37"/>
  <c r="B53" i="37"/>
  <c r="AC49" i="37"/>
  <c r="AF49" i="37"/>
  <c r="AF51" i="37" s="1"/>
  <c r="N49" i="37"/>
  <c r="N50" i="37" s="1"/>
  <c r="O49" i="37"/>
  <c r="O50" i="37" s="1"/>
  <c r="P49" i="37"/>
  <c r="P50" i="37" s="1"/>
  <c r="Q49" i="37"/>
  <c r="Q50" i="37" s="1"/>
  <c r="R49" i="37"/>
  <c r="R50" i="37" s="1"/>
  <c r="S49" i="37"/>
  <c r="T49" i="37"/>
  <c r="T50" i="37" s="1"/>
  <c r="U49" i="37"/>
  <c r="U50" i="37" s="1"/>
  <c r="V49" i="37"/>
  <c r="V50" i="37" s="1"/>
  <c r="W49" i="37"/>
  <c r="W50" i="37" s="1"/>
  <c r="X49" i="37"/>
  <c r="X50" i="37" s="1"/>
  <c r="Y49" i="37"/>
  <c r="Y50" i="37" s="1"/>
  <c r="S50" i="37"/>
  <c r="R51" i="37"/>
  <c r="R52" i="37" s="1"/>
  <c r="M33" i="37"/>
  <c r="M34" i="37"/>
  <c r="M35" i="37"/>
  <c r="M36" i="37"/>
  <c r="M37" i="37"/>
  <c r="M38" i="37"/>
  <c r="M43" i="37" s="1"/>
  <c r="M39" i="37"/>
  <c r="M40" i="37"/>
  <c r="M41" i="37"/>
  <c r="M42" i="37"/>
  <c r="M45" i="37"/>
  <c r="M46" i="37"/>
  <c r="M47" i="37"/>
  <c r="M48" i="37"/>
  <c r="M49" i="37"/>
  <c r="B47" i="37"/>
  <c r="B48" i="37"/>
  <c r="B49" i="37"/>
  <c r="AG46" i="37"/>
  <c r="AG47" i="37"/>
  <c r="AG48" i="37"/>
  <c r="AD46" i="37"/>
  <c r="AE46" i="37"/>
  <c r="AD47" i="37"/>
  <c r="AD48" i="37"/>
  <c r="Z46" i="37"/>
  <c r="Z47" i="37"/>
  <c r="AH47" i="37" s="1"/>
  <c r="Z48" i="37"/>
  <c r="AA48" i="37" s="1"/>
  <c r="AI48" i="37" s="1"/>
  <c r="I45" i="37"/>
  <c r="J45" i="37"/>
  <c r="I46" i="37"/>
  <c r="J46" i="37"/>
  <c r="I47" i="37"/>
  <c r="J47" i="37"/>
  <c r="I48" i="37"/>
  <c r="J48" i="37"/>
  <c r="AF44" i="37"/>
  <c r="AG44" i="37" s="1"/>
  <c r="A44" i="37"/>
  <c r="AC43" i="37"/>
  <c r="AD100" i="37" s="1"/>
  <c r="AD43" i="37"/>
  <c r="AF43" i="37"/>
  <c r="AG100" i="37" s="1"/>
  <c r="N43" i="37"/>
  <c r="AA102" i="37" s="1"/>
  <c r="O43" i="37"/>
  <c r="P43" i="37"/>
  <c r="Q43" i="37"/>
  <c r="Q51" i="37" s="1"/>
  <c r="Q52" i="37" s="1"/>
  <c r="R43" i="37"/>
  <c r="R61" i="37" s="1"/>
  <c r="S43" i="37"/>
  <c r="S51" i="37" s="1"/>
  <c r="S52" i="37" s="1"/>
  <c r="T43" i="37"/>
  <c r="T51" i="37" s="1"/>
  <c r="T52" i="37" s="1"/>
  <c r="U43" i="37"/>
  <c r="V43" i="37"/>
  <c r="W43" i="37"/>
  <c r="X43" i="37"/>
  <c r="Y43" i="37"/>
  <c r="Y51" i="37" s="1"/>
  <c r="Y52" i="37" s="1"/>
  <c r="O44" i="37"/>
  <c r="R44" i="37"/>
  <c r="W44" i="37"/>
  <c r="AG42" i="37"/>
  <c r="AD40" i="37"/>
  <c r="Z39" i="37"/>
  <c r="AE39" i="37" s="1"/>
  <c r="Z40" i="37"/>
  <c r="AH40" i="37" s="1"/>
  <c r="Z41" i="37"/>
  <c r="AI41" i="37" s="1"/>
  <c r="Z42" i="37"/>
  <c r="AH42" i="37" s="1"/>
  <c r="AE33" i="37"/>
  <c r="AE34" i="37"/>
  <c r="Z33" i="37"/>
  <c r="AH33" i="37" s="1"/>
  <c r="Z34" i="37"/>
  <c r="Z35" i="37" s="1"/>
  <c r="I33" i="37"/>
  <c r="J33" i="37"/>
  <c r="I34" i="37"/>
  <c r="J34" i="37"/>
  <c r="I35" i="37"/>
  <c r="J35" i="37"/>
  <c r="I36" i="37"/>
  <c r="J36" i="37"/>
  <c r="I37" i="37"/>
  <c r="J37" i="37"/>
  <c r="I38" i="37"/>
  <c r="J38" i="37"/>
  <c r="I39" i="37"/>
  <c r="J39" i="37"/>
  <c r="I40" i="37"/>
  <c r="J40" i="37"/>
  <c r="I41" i="37"/>
  <c r="J41" i="37"/>
  <c r="I42" i="37"/>
  <c r="J42" i="37"/>
  <c r="AF32" i="37"/>
  <c r="AC32" i="37"/>
  <c r="N32" i="37"/>
  <c r="O32" i="37"/>
  <c r="P32" i="37"/>
  <c r="Q32" i="37"/>
  <c r="R32" i="37"/>
  <c r="S32" i="37"/>
  <c r="T32" i="37"/>
  <c r="U32" i="37"/>
  <c r="V32" i="37"/>
  <c r="W32" i="37"/>
  <c r="X32" i="37"/>
  <c r="Y32" i="37"/>
  <c r="AK31" i="37"/>
  <c r="AI31" i="37"/>
  <c r="AF31" i="37"/>
  <c r="AC31" i="37"/>
  <c r="N31" i="37"/>
  <c r="O31" i="37"/>
  <c r="P31" i="37"/>
  <c r="Q31" i="37"/>
  <c r="R31" i="37"/>
  <c r="S31" i="37"/>
  <c r="T31" i="37"/>
  <c r="U31" i="37"/>
  <c r="V31" i="37"/>
  <c r="W31" i="37"/>
  <c r="X31" i="37"/>
  <c r="Y31" i="37"/>
  <c r="Z31" i="37"/>
  <c r="M26" i="37"/>
  <c r="M27" i="37"/>
  <c r="M28" i="37"/>
  <c r="M29" i="37"/>
  <c r="B23" i="37"/>
  <c r="AF16" i="37"/>
  <c r="AF19" i="37"/>
  <c r="AG41" i="37" s="1"/>
  <c r="AC16" i="37"/>
  <c r="AC19" i="37"/>
  <c r="AD41" i="37" s="1"/>
  <c r="M19" i="37"/>
  <c r="N19" i="37"/>
  <c r="O19" i="37"/>
  <c r="P19" i="37"/>
  <c r="Q19" i="37"/>
  <c r="R19" i="37"/>
  <c r="S19" i="37"/>
  <c r="T19" i="37"/>
  <c r="U19" i="37"/>
  <c r="V19" i="37"/>
  <c r="W19" i="37"/>
  <c r="X19" i="37"/>
  <c r="Y19" i="37"/>
  <c r="B17" i="37"/>
  <c r="B18" i="37"/>
  <c r="B19" i="37"/>
  <c r="N17" i="37"/>
  <c r="O17" i="37"/>
  <c r="P17" i="37"/>
  <c r="Q17" i="37"/>
  <c r="R17" i="37"/>
  <c r="S17" i="37"/>
  <c r="T17" i="37"/>
  <c r="U17" i="37"/>
  <c r="V17" i="37"/>
  <c r="W17" i="37"/>
  <c r="X17" i="37"/>
  <c r="Y17" i="37"/>
  <c r="N16" i="37"/>
  <c r="O16" i="37"/>
  <c r="P16" i="37"/>
  <c r="Q16" i="37"/>
  <c r="R16" i="37"/>
  <c r="S16" i="37"/>
  <c r="T16" i="37"/>
  <c r="U16" i="37"/>
  <c r="V16" i="37"/>
  <c r="W16" i="37"/>
  <c r="X16" i="37"/>
  <c r="A14" i="37"/>
  <c r="AF12" i="37"/>
  <c r="AF13" i="37"/>
  <c r="AC12" i="37"/>
  <c r="AC13" i="37"/>
  <c r="B12" i="37"/>
  <c r="B13" i="37"/>
  <c r="N12" i="37"/>
  <c r="O12" i="37"/>
  <c r="P12" i="37"/>
  <c r="Q12" i="37"/>
  <c r="R12" i="37"/>
  <c r="S12" i="37"/>
  <c r="T12" i="37"/>
  <c r="U12" i="37"/>
  <c r="V12" i="37"/>
  <c r="W12" i="37"/>
  <c r="X12" i="37"/>
  <c r="Y12" i="37"/>
  <c r="Z12" i="37"/>
  <c r="N13" i="37"/>
  <c r="O13" i="37"/>
  <c r="P13" i="37"/>
  <c r="Q13" i="37"/>
  <c r="R13" i="37"/>
  <c r="S13" i="37"/>
  <c r="T13" i="37"/>
  <c r="U13" i="37"/>
  <c r="V13" i="37"/>
  <c r="W13" i="37"/>
  <c r="X13" i="37"/>
  <c r="Y13" i="37"/>
  <c r="Z13" i="37"/>
  <c r="C10" i="37"/>
  <c r="D10" i="37"/>
  <c r="Y16" i="37" s="1"/>
  <c r="C9" i="37"/>
  <c r="C1" i="37"/>
  <c r="C2" i="37"/>
  <c r="C3" i="37"/>
  <c r="C4" i="37"/>
  <c r="C5" i="37"/>
  <c r="C6" i="37"/>
  <c r="C7" i="37"/>
  <c r="C8" i="37"/>
  <c r="E6" i="37"/>
  <c r="E4" i="37"/>
  <c r="B3" i="37"/>
  <c r="T27" i="5"/>
  <c r="I27" i="5" s="1"/>
  <c r="T28" i="5"/>
  <c r="T29" i="5"/>
  <c r="I29" i="5" s="1"/>
  <c r="T30" i="5"/>
  <c r="I30" i="5" s="1"/>
  <c r="T31" i="5"/>
  <c r="T32" i="5"/>
  <c r="T33" i="5"/>
  <c r="T34" i="5"/>
  <c r="T35" i="5"/>
  <c r="I35" i="5" s="1"/>
  <c r="T36" i="5"/>
  <c r="T37" i="5"/>
  <c r="I37" i="5" s="1"/>
  <c r="T38" i="5"/>
  <c r="I38" i="5" s="1"/>
  <c r="T39" i="5"/>
  <c r="I39" i="5" s="1"/>
  <c r="T40" i="5"/>
  <c r="I40" i="5" s="1"/>
  <c r="T41" i="5"/>
  <c r="T42" i="5"/>
  <c r="T43" i="5"/>
  <c r="I43" i="5" s="1"/>
  <c r="T44" i="5"/>
  <c r="T45" i="5"/>
  <c r="I45" i="5" s="1"/>
  <c r="I28" i="5"/>
  <c r="I31" i="5"/>
  <c r="I32" i="5"/>
  <c r="I33" i="5"/>
  <c r="I34" i="5"/>
  <c r="I36" i="5"/>
  <c r="I41" i="5"/>
  <c r="I42" i="5"/>
  <c r="I44" i="5"/>
  <c r="K23" i="5"/>
  <c r="I23" i="5"/>
  <c r="E23" i="5"/>
  <c r="C12" i="5"/>
  <c r="D9" i="5"/>
  <c r="J6" i="5"/>
  <c r="AG17" i="16" s="1"/>
  <c r="AG18" i="16" s="1"/>
  <c r="J7" i="5"/>
  <c r="G6" i="5"/>
  <c r="AD17" i="4" s="1"/>
  <c r="AD18" i="4" s="1"/>
  <c r="G7" i="5"/>
  <c r="AD16" i="9" s="1"/>
  <c r="D6" i="5"/>
  <c r="B4" i="37" s="1"/>
  <c r="D7" i="5"/>
  <c r="B10" i="37" s="1"/>
  <c r="Q6" i="5"/>
  <c r="F1" i="5"/>
  <c r="C1" i="5"/>
  <c r="D1" i="5" s="1"/>
  <c r="AI47" i="4" l="1"/>
  <c r="AF47" i="4"/>
  <c r="AB80" i="4"/>
  <c r="AF80" i="4"/>
  <c r="AI127" i="6"/>
  <c r="AF127" i="6"/>
  <c r="AF81" i="4"/>
  <c r="AI81" i="4"/>
  <c r="AI74" i="4"/>
  <c r="AF74" i="4"/>
  <c r="AF119" i="6"/>
  <c r="AI119" i="6"/>
  <c r="AB37" i="4"/>
  <c r="AI37" i="4"/>
  <c r="AI96" i="4"/>
  <c r="AF96" i="4"/>
  <c r="AF122" i="6"/>
  <c r="AI122" i="6"/>
  <c r="AB106" i="16"/>
  <c r="AF106" i="16"/>
  <c r="AI98" i="4"/>
  <c r="AF98" i="4"/>
  <c r="AI137" i="6"/>
  <c r="AF137" i="6"/>
  <c r="AI121" i="6"/>
  <c r="AF121" i="6"/>
  <c r="AJ70" i="16"/>
  <c r="AF136" i="6"/>
  <c r="AI136" i="6"/>
  <c r="AF120" i="6"/>
  <c r="AI120" i="6"/>
  <c r="AI142" i="6"/>
  <c r="AF142" i="6"/>
  <c r="AI43" i="16"/>
  <c r="AF43" i="16"/>
  <c r="AA46" i="4"/>
  <c r="AB64" i="4"/>
  <c r="AB97" i="4"/>
  <c r="AB77" i="4"/>
  <c r="AF91" i="4"/>
  <c r="AJ101" i="4"/>
  <c r="AF81" i="6"/>
  <c r="AI42" i="37"/>
  <c r="AK42" i="37"/>
  <c r="AA20" i="4"/>
  <c r="AJ83" i="4" s="1"/>
  <c r="P51" i="37"/>
  <c r="P52" i="37" s="1"/>
  <c r="Z19" i="37"/>
  <c r="AA39" i="37" s="1"/>
  <c r="Z37" i="37"/>
  <c r="AE37" i="37" s="1"/>
  <c r="AH39" i="37"/>
  <c r="V61" i="37"/>
  <c r="AE48" i="37"/>
  <c r="AD55" i="37"/>
  <c r="AG63" i="37"/>
  <c r="AH67" i="37"/>
  <c r="AD77" i="37"/>
  <c r="AD104" i="37"/>
  <c r="AD98" i="37"/>
  <c r="AG101" i="37"/>
  <c r="AD16" i="4"/>
  <c r="AK49" i="4"/>
  <c r="AK44" i="4"/>
  <c r="AK39" i="4"/>
  <c r="AA63" i="4"/>
  <c r="AI63" i="4" s="1"/>
  <c r="AI67" i="4"/>
  <c r="K93" i="4"/>
  <c r="K80" i="4"/>
  <c r="K73" i="4"/>
  <c r="AA85" i="4"/>
  <c r="AE84" i="4"/>
  <c r="AH89" i="4"/>
  <c r="AH76" i="4"/>
  <c r="AA19" i="6"/>
  <c r="AE68" i="6"/>
  <c r="AE44" i="6"/>
  <c r="AF35" i="6"/>
  <c r="AH66" i="6"/>
  <c r="AH50" i="6"/>
  <c r="AI35" i="6"/>
  <c r="AF108" i="6"/>
  <c r="AF97" i="6"/>
  <c r="AF85" i="6"/>
  <c r="AE76" i="6"/>
  <c r="AH113" i="6"/>
  <c r="AI106" i="6"/>
  <c r="AH93" i="6"/>
  <c r="AH48" i="7"/>
  <c r="AA47" i="16"/>
  <c r="AB47" i="16" s="1"/>
  <c r="AM62" i="16"/>
  <c r="AH83" i="16"/>
  <c r="K100" i="16"/>
  <c r="K98" i="16"/>
  <c r="AA101" i="16"/>
  <c r="AH102" i="16"/>
  <c r="AF37" i="17"/>
  <c r="AF65" i="17"/>
  <c r="AF76" i="17"/>
  <c r="AF94" i="17"/>
  <c r="Z129" i="17"/>
  <c r="AK105" i="9"/>
  <c r="AK46" i="9"/>
  <c r="AK55" i="9"/>
  <c r="AK93" i="9"/>
  <c r="AK64" i="9"/>
  <c r="AK99" i="9"/>
  <c r="AK40" i="9"/>
  <c r="AK54" i="9"/>
  <c r="AK39" i="9"/>
  <c r="AA67" i="9"/>
  <c r="K67" i="9"/>
  <c r="AA94" i="9"/>
  <c r="AA20" i="51"/>
  <c r="AA51" i="51"/>
  <c r="K51" i="51"/>
  <c r="AA70" i="51"/>
  <c r="K70" i="51"/>
  <c r="AA39" i="52"/>
  <c r="K39" i="52"/>
  <c r="AF17" i="37"/>
  <c r="AF18" i="37" s="1"/>
  <c r="Z16" i="37"/>
  <c r="AE42" i="37"/>
  <c r="U61" i="37"/>
  <c r="AG43" i="37"/>
  <c r="AC44" i="37"/>
  <c r="AD44" i="37" s="1"/>
  <c r="AE70" i="37"/>
  <c r="AH93" i="37"/>
  <c r="AE103" i="37"/>
  <c r="AE97" i="37"/>
  <c r="AH100" i="37"/>
  <c r="AE51" i="4"/>
  <c r="AF39" i="4"/>
  <c r="AH49" i="4"/>
  <c r="AH39" i="4"/>
  <c r="AE55" i="4"/>
  <c r="AE60" i="4"/>
  <c r="AH67" i="4"/>
  <c r="AK62" i="4"/>
  <c r="AK58" i="4"/>
  <c r="AF73" i="4"/>
  <c r="AK93" i="4"/>
  <c r="AH88" i="4"/>
  <c r="AH81" i="4"/>
  <c r="AI75" i="4"/>
  <c r="AE67" i="6"/>
  <c r="AF43" i="6"/>
  <c r="AH59" i="6"/>
  <c r="AH54" i="6"/>
  <c r="AH48" i="6"/>
  <c r="AH35" i="6"/>
  <c r="AF75" i="6"/>
  <c r="AH106" i="6"/>
  <c r="AI98" i="6"/>
  <c r="AH85" i="6"/>
  <c r="AH77" i="6"/>
  <c r="AA135" i="6"/>
  <c r="AI135" i="6" s="1"/>
  <c r="AH47" i="7"/>
  <c r="AA55" i="7"/>
  <c r="B10" i="16"/>
  <c r="AI73" i="17"/>
  <c r="AB73" i="17"/>
  <c r="AI49" i="39"/>
  <c r="AA52" i="39"/>
  <c r="AF49" i="39"/>
  <c r="AI38" i="39"/>
  <c r="AF38" i="39"/>
  <c r="AF134" i="39"/>
  <c r="AI134" i="39"/>
  <c r="AI68" i="51"/>
  <c r="AF68" i="51"/>
  <c r="AF86" i="51"/>
  <c r="AI86" i="51"/>
  <c r="AF35" i="55"/>
  <c r="AI35" i="55"/>
  <c r="AB109" i="55"/>
  <c r="AF109" i="55"/>
  <c r="AI109" i="55"/>
  <c r="AA66" i="52"/>
  <c r="K66" i="52"/>
  <c r="AK41" i="37"/>
  <c r="AH48" i="37"/>
  <c r="Z94" i="37"/>
  <c r="AE94" i="37" s="1"/>
  <c r="AE41" i="37"/>
  <c r="U44" i="37"/>
  <c r="AE47" i="37"/>
  <c r="AD54" i="37"/>
  <c r="AD59" i="37"/>
  <c r="AD70" i="37"/>
  <c r="AG78" i="37"/>
  <c r="AA100" i="37"/>
  <c r="AD103" i="37"/>
  <c r="AD97" i="37"/>
  <c r="AG99" i="37"/>
  <c r="AE50" i="4"/>
  <c r="AE39" i="4"/>
  <c r="AK48" i="4"/>
  <c r="AM43" i="4"/>
  <c r="AK38" i="4"/>
  <c r="AB60" i="4"/>
  <c r="AB59" i="4"/>
  <c r="AF59" i="4"/>
  <c r="AM66" i="4"/>
  <c r="AH62" i="4"/>
  <c r="AH58" i="4"/>
  <c r="K91" i="4"/>
  <c r="K89" i="4"/>
  <c r="K76" i="4"/>
  <c r="AF92" i="4"/>
  <c r="AH98" i="4"/>
  <c r="AH93" i="4"/>
  <c r="AH87" i="4"/>
  <c r="AH80" i="4"/>
  <c r="AH74" i="4"/>
  <c r="AF66" i="6"/>
  <c r="AE59" i="6"/>
  <c r="AF52" i="6"/>
  <c r="AI64" i="6"/>
  <c r="AI58" i="6"/>
  <c r="AH42" i="6"/>
  <c r="AB104" i="6"/>
  <c r="AF107" i="6"/>
  <c r="AF93" i="6"/>
  <c r="AE84" i="6"/>
  <c r="AF73" i="6"/>
  <c r="AI110" i="6"/>
  <c r="AI105" i="6"/>
  <c r="AI90" i="6"/>
  <c r="AI82" i="6"/>
  <c r="AI74" i="6"/>
  <c r="AA129" i="6"/>
  <c r="AI129" i="6" s="1"/>
  <c r="AA38" i="7"/>
  <c r="AF38" i="7" s="1"/>
  <c r="AH59" i="7"/>
  <c r="AH39" i="16"/>
  <c r="AA45" i="16"/>
  <c r="AF45" i="16" s="1"/>
  <c r="AK53" i="16"/>
  <c r="AH81" i="16"/>
  <c r="K94" i="16"/>
  <c r="AF109" i="16"/>
  <c r="AH100" i="16"/>
  <c r="AK123" i="16"/>
  <c r="O126" i="16"/>
  <c r="AH46" i="17"/>
  <c r="AF63" i="17"/>
  <c r="AB76" i="17"/>
  <c r="AH119" i="17"/>
  <c r="Y129" i="17"/>
  <c r="Q129" i="17"/>
  <c r="AK48" i="9"/>
  <c r="AK38" i="9"/>
  <c r="AL65" i="9"/>
  <c r="AL97" i="9"/>
  <c r="AI120" i="9"/>
  <c r="AF120" i="9"/>
  <c r="AA16" i="39"/>
  <c r="AI87" i="55"/>
  <c r="AA88" i="55"/>
  <c r="AI88" i="55" s="1"/>
  <c r="AA94" i="55"/>
  <c r="AF94" i="55" s="1"/>
  <c r="AB51" i="55"/>
  <c r="AI76" i="55"/>
  <c r="AF76" i="55"/>
  <c r="AB76" i="55"/>
  <c r="AB66" i="55"/>
  <c r="AF66" i="55"/>
  <c r="AI66" i="55"/>
  <c r="AI55" i="55"/>
  <c r="AF55" i="55"/>
  <c r="AI88" i="52"/>
  <c r="AB88" i="52"/>
  <c r="AM88" i="52" s="1"/>
  <c r="Z16" i="7"/>
  <c r="K43" i="7"/>
  <c r="K40" i="7"/>
  <c r="AA37" i="7"/>
  <c r="AK43" i="7"/>
  <c r="AA76" i="7"/>
  <c r="K60" i="7"/>
  <c r="AH58" i="7"/>
  <c r="K39" i="16"/>
  <c r="AK44" i="16"/>
  <c r="K44" i="16"/>
  <c r="AH47" i="16"/>
  <c r="AB55" i="16"/>
  <c r="AN55" i="16" s="1"/>
  <c r="AE49" i="16"/>
  <c r="AH52" i="16"/>
  <c r="K62" i="16"/>
  <c r="AM60" i="16"/>
  <c r="AA67" i="16"/>
  <c r="AF67" i="16" s="1"/>
  <c r="AL70" i="16"/>
  <c r="AL79" i="16"/>
  <c r="AH118" i="16"/>
  <c r="AH108" i="16"/>
  <c r="AL98" i="16"/>
  <c r="AH38" i="17"/>
  <c r="AE56" i="17"/>
  <c r="AF112" i="17"/>
  <c r="AH109" i="17"/>
  <c r="AH128" i="17"/>
  <c r="AF148" i="17"/>
  <c r="AA46" i="9"/>
  <c r="AM70" i="9"/>
  <c r="AM62" i="9"/>
  <c r="K77" i="9"/>
  <c r="AF81" i="9"/>
  <c r="AA104" i="9"/>
  <c r="AI104" i="9" s="1"/>
  <c r="AK97" i="9"/>
  <c r="AF58" i="39"/>
  <c r="AA122" i="39"/>
  <c r="AF78" i="51"/>
  <c r="AA128" i="6"/>
  <c r="AD39" i="37"/>
  <c r="U51" i="37"/>
  <c r="U52" i="37" s="1"/>
  <c r="AD58" i="37"/>
  <c r="AD68" i="37"/>
  <c r="AD101" i="37"/>
  <c r="AG104" i="37"/>
  <c r="B10" i="4"/>
  <c r="AA45" i="4"/>
  <c r="AJ45" i="4" s="1"/>
  <c r="AE36" i="4"/>
  <c r="AH47" i="4"/>
  <c r="AK42" i="4"/>
  <c r="AJ68" i="4"/>
  <c r="K65" i="4"/>
  <c r="K58" i="4"/>
  <c r="AK56" i="4"/>
  <c r="AH66" i="4"/>
  <c r="AH61" i="4"/>
  <c r="K74" i="4"/>
  <c r="AE90" i="4"/>
  <c r="AE78" i="4"/>
  <c r="AH96" i="4"/>
  <c r="AH85" i="4"/>
  <c r="AH78" i="4"/>
  <c r="AH73" i="4"/>
  <c r="AE101" i="4"/>
  <c r="AH68" i="6"/>
  <c r="AH63" i="6"/>
  <c r="AI52" i="6"/>
  <c r="AH46" i="6"/>
  <c r="AF104" i="6"/>
  <c r="AH97" i="6"/>
  <c r="AI89" i="6"/>
  <c r="AI81" i="6"/>
  <c r="AA145" i="6"/>
  <c r="AI145" i="6" s="1"/>
  <c r="AA34" i="7"/>
  <c r="AH40" i="7"/>
  <c r="AI51" i="7"/>
  <c r="AH57" i="7"/>
  <c r="AA19" i="16"/>
  <c r="AB46" i="16" s="1"/>
  <c r="AM46" i="16" s="1"/>
  <c r="AH35" i="16"/>
  <c r="AL41" i="16"/>
  <c r="AH44" i="16"/>
  <c r="AL56" i="16"/>
  <c r="K60" i="16"/>
  <c r="AA66" i="16"/>
  <c r="K87" i="16"/>
  <c r="K74" i="16"/>
  <c r="AH89" i="16"/>
  <c r="AK78" i="16"/>
  <c r="K116" i="16"/>
  <c r="K114" i="16"/>
  <c r="K95" i="16"/>
  <c r="AA117" i="16"/>
  <c r="AL106" i="16"/>
  <c r="AL96" i="16"/>
  <c r="AE117" i="17"/>
  <c r="AE87" i="17"/>
  <c r="AE116" i="17"/>
  <c r="AE109" i="17"/>
  <c r="AE102" i="17"/>
  <c r="AH35" i="17"/>
  <c r="AE53" i="17"/>
  <c r="AH66" i="17"/>
  <c r="AE75" i="17"/>
  <c r="AE111" i="17"/>
  <c r="AF120" i="17"/>
  <c r="AI117" i="17"/>
  <c r="AA126" i="17"/>
  <c r="AE125" i="17"/>
  <c r="AA42" i="9"/>
  <c r="AF42" i="9" s="1"/>
  <c r="AK47" i="9"/>
  <c r="AL41" i="9"/>
  <c r="AM67" i="9"/>
  <c r="AA87" i="9"/>
  <c r="AF87" i="9" s="1"/>
  <c r="K100" i="9"/>
  <c r="K98" i="9"/>
  <c r="AA103" i="9"/>
  <c r="AE105" i="51"/>
  <c r="AE103" i="51"/>
  <c r="AE92" i="51"/>
  <c r="AE95" i="51"/>
  <c r="AE96" i="51"/>
  <c r="AE99" i="51"/>
  <c r="AA37" i="51"/>
  <c r="AI37" i="51" s="1"/>
  <c r="K37" i="51"/>
  <c r="AE67" i="4"/>
  <c r="AH70" i="4"/>
  <c r="AK65" i="4"/>
  <c r="AE88" i="4"/>
  <c r="AE76" i="4"/>
  <c r="AK95" i="4"/>
  <c r="AM90" i="4"/>
  <c r="AH84" i="4"/>
  <c r="AM77" i="4"/>
  <c r="AE100" i="4"/>
  <c r="B10" i="6"/>
  <c r="AF56" i="6"/>
  <c r="AE48" i="6"/>
  <c r="AH52" i="6"/>
  <c r="AI44" i="6"/>
  <c r="AH38" i="6"/>
  <c r="AF79" i="6"/>
  <c r="AI114" i="6"/>
  <c r="AH109" i="6"/>
  <c r="AH102" i="6"/>
  <c r="AI94" i="6"/>
  <c r="AH89" i="6"/>
  <c r="AH73" i="6"/>
  <c r="AA143" i="6"/>
  <c r="AA19" i="7"/>
  <c r="AB48" i="7" s="1"/>
  <c r="AE45" i="7"/>
  <c r="AE38" i="7"/>
  <c r="AM47" i="7"/>
  <c r="AB51" i="16"/>
  <c r="AH50" i="16"/>
  <c r="AM65" i="16"/>
  <c r="AH116" i="16"/>
  <c r="AD16" i="17"/>
  <c r="AI36" i="17"/>
  <c r="AI101" i="17"/>
  <c r="AF101" i="17"/>
  <c r="AG129" i="17"/>
  <c r="AH129" i="17" s="1"/>
  <c r="Z16" i="9"/>
  <c r="AA45" i="9"/>
  <c r="K45" i="9"/>
  <c r="AA38" i="9"/>
  <c r="AK72" i="9"/>
  <c r="K83" i="9"/>
  <c r="AA83" i="9"/>
  <c r="K102" i="9"/>
  <c r="AA102" i="9"/>
  <c r="AF102" i="9" s="1"/>
  <c r="AF91" i="39"/>
  <c r="AI91" i="39"/>
  <c r="W126" i="39"/>
  <c r="W127" i="39" s="1"/>
  <c r="O126" i="39"/>
  <c r="AI136" i="39"/>
  <c r="AF136" i="39"/>
  <c r="AA53" i="51"/>
  <c r="AF53" i="51" s="1"/>
  <c r="K53" i="51"/>
  <c r="AE100" i="51"/>
  <c r="AI64" i="4"/>
  <c r="AK82" i="4"/>
  <c r="B4" i="6"/>
  <c r="AA20" i="6"/>
  <c r="AF36" i="6"/>
  <c r="AH67" i="6"/>
  <c r="AH56" i="6"/>
  <c r="AH44" i="6"/>
  <c r="AI36" i="6"/>
  <c r="AE116" i="6"/>
  <c r="AF101" i="6"/>
  <c r="AH114" i="6"/>
  <c r="AI108" i="6"/>
  <c r="AH94" i="6"/>
  <c r="AI86" i="6"/>
  <c r="AI78" i="6"/>
  <c r="AA20" i="7"/>
  <c r="AN61" i="16"/>
  <c r="AI82" i="17"/>
  <c r="AF100" i="17"/>
  <c r="AI100" i="17"/>
  <c r="AI121" i="17"/>
  <c r="AF121" i="17"/>
  <c r="AE124" i="17"/>
  <c r="AD129" i="17"/>
  <c r="AE129" i="17" s="1"/>
  <c r="AF149" i="17"/>
  <c r="AI149" i="17"/>
  <c r="K54" i="9"/>
  <c r="AA54" i="9"/>
  <c r="AF82" i="9"/>
  <c r="AI82" i="9"/>
  <c r="AA53" i="39"/>
  <c r="AA54" i="39" s="1"/>
  <c r="G53" i="39" s="1"/>
  <c r="B62" i="51"/>
  <c r="B29" i="51"/>
  <c r="AA44" i="51"/>
  <c r="K44" i="51"/>
  <c r="AA63" i="51"/>
  <c r="AF63" i="51" s="1"/>
  <c r="K63" i="51"/>
  <c r="X51" i="37"/>
  <c r="X52" i="37" s="1"/>
  <c r="AK45" i="4"/>
  <c r="AH41" i="37"/>
  <c r="W61" i="37"/>
  <c r="O61" i="37"/>
  <c r="AK40" i="37"/>
  <c r="AA46" i="37"/>
  <c r="AC61" i="37"/>
  <c r="AC62" i="37" s="1"/>
  <c r="AD62" i="37" s="1"/>
  <c r="AD56" i="37"/>
  <c r="AG54" i="37"/>
  <c r="AD63" i="37"/>
  <c r="AG68" i="37"/>
  <c r="AE77" i="37"/>
  <c r="AD87" i="37"/>
  <c r="AD105" i="37"/>
  <c r="AD99" i="37"/>
  <c r="AG102" i="37"/>
  <c r="AE42" i="4"/>
  <c r="AH50" i="4"/>
  <c r="AH45" i="4"/>
  <c r="AM39" i="4"/>
  <c r="AH35" i="4"/>
  <c r="AH68" i="4"/>
  <c r="AH64" i="4"/>
  <c r="AK59" i="4"/>
  <c r="K97" i="4"/>
  <c r="K90" i="4"/>
  <c r="K88" i="4"/>
  <c r="K75" i="4"/>
  <c r="AM94" i="4"/>
  <c r="AK89" i="4"/>
  <c r="AH82" i="4"/>
  <c r="AK76" i="4"/>
  <c r="AH100" i="4"/>
  <c r="AA16" i="6"/>
  <c r="AE36" i="6"/>
  <c r="AI60" i="6"/>
  <c r="AI43" i="6"/>
  <c r="AE88" i="6"/>
  <c r="AE77" i="6"/>
  <c r="AH101" i="6"/>
  <c r="AH86" i="6"/>
  <c r="AH78" i="6"/>
  <c r="AF139" i="6"/>
  <c r="AI140" i="6"/>
  <c r="AM34" i="7"/>
  <c r="Z16" i="16"/>
  <c r="AM63" i="16"/>
  <c r="AL85" i="16"/>
  <c r="AH75" i="16"/>
  <c r="AJ104" i="16"/>
  <c r="AH93" i="16"/>
  <c r="Z16" i="17"/>
  <c r="AH81" i="17"/>
  <c r="AH116" i="17"/>
  <c r="AH100" i="17"/>
  <c r="AH80" i="17"/>
  <c r="AH48" i="17"/>
  <c r="AH39" i="17"/>
  <c r="AH108" i="17"/>
  <c r="AH82" i="17"/>
  <c r="AA78" i="17"/>
  <c r="P129" i="17"/>
  <c r="AH123" i="17"/>
  <c r="AF133" i="17"/>
  <c r="AI133" i="17"/>
  <c r="AI137" i="17"/>
  <c r="AF137" i="17"/>
  <c r="AK56" i="9"/>
  <c r="AL86" i="9"/>
  <c r="K111" i="9"/>
  <c r="AA111" i="9"/>
  <c r="AF111" i="9" s="1"/>
  <c r="AK112" i="9"/>
  <c r="AA35" i="51"/>
  <c r="AI35" i="51" s="1"/>
  <c r="K35" i="51"/>
  <c r="AI82" i="51"/>
  <c r="AF82" i="51"/>
  <c r="K36" i="52"/>
  <c r="AA36" i="52"/>
  <c r="AA19" i="56"/>
  <c r="AB98" i="56"/>
  <c r="AI98" i="56"/>
  <c r="AF98" i="56"/>
  <c r="AB116" i="56"/>
  <c r="AI116" i="56"/>
  <c r="AF116" i="56"/>
  <c r="AE122" i="56"/>
  <c r="AD126" i="56"/>
  <c r="AE126" i="56" s="1"/>
  <c r="AE128" i="17"/>
  <c r="AA58" i="9"/>
  <c r="AF58" i="9" s="1"/>
  <c r="AE35" i="9"/>
  <c r="K95" i="9"/>
  <c r="AH110" i="9"/>
  <c r="AA19" i="39"/>
  <c r="AB56" i="39" s="1"/>
  <c r="AF65" i="39"/>
  <c r="AE75" i="39"/>
  <c r="AF76" i="39"/>
  <c r="AF83" i="39"/>
  <c r="AE99" i="39"/>
  <c r="AE107" i="39"/>
  <c r="K47" i="51"/>
  <c r="K40" i="51"/>
  <c r="AK55" i="51"/>
  <c r="AH47" i="51"/>
  <c r="AK39" i="51"/>
  <c r="K65" i="51"/>
  <c r="AK70" i="51"/>
  <c r="AM68" i="51"/>
  <c r="K85" i="51"/>
  <c r="K78" i="51"/>
  <c r="AK86" i="51"/>
  <c r="AK80" i="51"/>
  <c r="AK77" i="51"/>
  <c r="AK101" i="51"/>
  <c r="AK98" i="51"/>
  <c r="AK93" i="51"/>
  <c r="AL106" i="51"/>
  <c r="AA19" i="55"/>
  <c r="AB35" i="55" s="1"/>
  <c r="AB75" i="55"/>
  <c r="AF75" i="55"/>
  <c r="AF86" i="55"/>
  <c r="Z126" i="55"/>
  <c r="Z127" i="55" s="1"/>
  <c r="R126" i="55"/>
  <c r="R127" i="55" s="1"/>
  <c r="K37" i="52"/>
  <c r="AK64" i="52"/>
  <c r="AM70" i="52"/>
  <c r="AM62" i="52"/>
  <c r="K83" i="52"/>
  <c r="AB51" i="56"/>
  <c r="AF51" i="56"/>
  <c r="AI51" i="56"/>
  <c r="AI103" i="56"/>
  <c r="AF103" i="56"/>
  <c r="AA38" i="53"/>
  <c r="AF38" i="53" s="1"/>
  <c r="K38" i="53"/>
  <c r="AF108" i="17"/>
  <c r="AF151" i="17"/>
  <c r="AE46" i="9"/>
  <c r="AN63" i="9"/>
  <c r="AH89" i="9"/>
  <c r="K110" i="9"/>
  <c r="K106" i="9"/>
  <c r="AE111" i="9"/>
  <c r="AH120" i="9"/>
  <c r="AI92" i="39"/>
  <c r="AE117" i="39"/>
  <c r="AE122" i="39"/>
  <c r="AL46" i="51"/>
  <c r="AK36" i="51"/>
  <c r="AM63" i="51"/>
  <c r="K89" i="51"/>
  <c r="AL79" i="51"/>
  <c r="K101" i="51"/>
  <c r="AL92" i="51"/>
  <c r="AK105" i="51"/>
  <c r="AI51" i="55"/>
  <c r="AF61" i="55"/>
  <c r="AI61" i="55"/>
  <c r="AF107" i="55"/>
  <c r="T126" i="55"/>
  <c r="T127" i="55" s="1"/>
  <c r="AF80" i="56"/>
  <c r="AA82" i="56"/>
  <c r="AI106" i="56"/>
  <c r="AF106" i="56"/>
  <c r="AK46" i="51"/>
  <c r="AK85" i="51"/>
  <c r="AK79" i="51"/>
  <c r="AK92" i="51"/>
  <c r="Z16" i="55"/>
  <c r="AK83" i="52"/>
  <c r="AK78" i="52"/>
  <c r="AK40" i="52"/>
  <c r="AK50" i="52"/>
  <c r="AK58" i="52"/>
  <c r="AK88" i="52"/>
  <c r="AK44" i="52"/>
  <c r="AK49" i="52"/>
  <c r="AK57" i="52"/>
  <c r="AA69" i="52"/>
  <c r="K69" i="52"/>
  <c r="AK68" i="52"/>
  <c r="AA76" i="52"/>
  <c r="K76" i="52"/>
  <c r="AA52" i="56"/>
  <c r="AF49" i="56"/>
  <c r="AI49" i="56"/>
  <c r="AB49" i="56"/>
  <c r="K62" i="53"/>
  <c r="AA62" i="53"/>
  <c r="AF62" i="53" s="1"/>
  <c r="AB77" i="53"/>
  <c r="AI77" i="53"/>
  <c r="AK63" i="51"/>
  <c r="K83" i="51"/>
  <c r="AL89" i="51"/>
  <c r="AH85" i="51"/>
  <c r="K95" i="51"/>
  <c r="K93" i="51"/>
  <c r="AK100" i="51"/>
  <c r="AH97" i="51"/>
  <c r="AA20" i="55"/>
  <c r="AB87" i="55" s="1"/>
  <c r="AA143" i="55"/>
  <c r="AI39" i="55"/>
  <c r="AF39" i="55"/>
  <c r="AF119" i="55"/>
  <c r="X126" i="55"/>
  <c r="X127" i="55" s="1"/>
  <c r="AA81" i="56"/>
  <c r="AF110" i="56"/>
  <c r="AI85" i="53"/>
  <c r="AA90" i="53"/>
  <c r="AF85" i="53"/>
  <c r="AB87" i="53"/>
  <c r="AM87" i="53" s="1"/>
  <c r="AI87" i="53"/>
  <c r="AI70" i="54"/>
  <c r="AF70" i="54"/>
  <c r="AI66" i="54"/>
  <c r="AE38" i="39"/>
  <c r="AE49" i="39"/>
  <c r="AE68" i="39"/>
  <c r="AE103" i="39"/>
  <c r="AL56" i="51"/>
  <c r="AL53" i="51"/>
  <c r="AL48" i="51"/>
  <c r="AL45" i="51"/>
  <c r="AH35" i="51"/>
  <c r="AM64" i="51"/>
  <c r="AK88" i="51"/>
  <c r="AH84" i="51"/>
  <c r="AL78" i="51"/>
  <c r="AI100" i="55"/>
  <c r="V126" i="55"/>
  <c r="V127" i="55" s="1"/>
  <c r="AF136" i="55"/>
  <c r="AL84" i="52"/>
  <c r="AL45" i="52"/>
  <c r="AL69" i="52"/>
  <c r="AL53" i="52"/>
  <c r="AA35" i="52"/>
  <c r="K35" i="52"/>
  <c r="AK56" i="52"/>
  <c r="AN66" i="52"/>
  <c r="AM66" i="52"/>
  <c r="AE121" i="39"/>
  <c r="AE37" i="39"/>
  <c r="AE45" i="39"/>
  <c r="AE67" i="39"/>
  <c r="AA121" i="39"/>
  <c r="AF121" i="39" s="1"/>
  <c r="AK56" i="51"/>
  <c r="AK53" i="51"/>
  <c r="AK48" i="51"/>
  <c r="AK45" i="51"/>
  <c r="AK68" i="51"/>
  <c r="AL87" i="51"/>
  <c r="AK78" i="51"/>
  <c r="AH103" i="51"/>
  <c r="AL99" i="51"/>
  <c r="AE122" i="55"/>
  <c r="AE45" i="55"/>
  <c r="AE49" i="55"/>
  <c r="AF100" i="55"/>
  <c r="AF110" i="55"/>
  <c r="AI110" i="55"/>
  <c r="AF60" i="56"/>
  <c r="K54" i="53"/>
  <c r="AA54" i="53"/>
  <c r="AI54" i="53" s="1"/>
  <c r="S129" i="17"/>
  <c r="AA156" i="17"/>
  <c r="AE39" i="9"/>
  <c r="AE36" i="39"/>
  <c r="AE77" i="39"/>
  <c r="AE100" i="39"/>
  <c r="AE110" i="39"/>
  <c r="X126" i="39"/>
  <c r="X127" i="39" s="1"/>
  <c r="V126" i="39"/>
  <c r="V127" i="39" s="1"/>
  <c r="AA146" i="39"/>
  <c r="AL47" i="51"/>
  <c r="AK40" i="51"/>
  <c r="AK37" i="51"/>
  <c r="AL64" i="51"/>
  <c r="AL62" i="51"/>
  <c r="AK87" i="51"/>
  <c r="AH82" i="51"/>
  <c r="K100" i="51"/>
  <c r="AL102" i="51"/>
  <c r="AK99" i="51"/>
  <c r="AL94" i="51"/>
  <c r="AI99" i="55"/>
  <c r="AA51" i="52"/>
  <c r="K51" i="52"/>
  <c r="AA45" i="52"/>
  <c r="K45" i="52"/>
  <c r="AK48" i="52"/>
  <c r="AK41" i="52"/>
  <c r="AK65" i="52"/>
  <c r="AF99" i="56"/>
  <c r="AI117" i="56"/>
  <c r="AF117" i="56"/>
  <c r="AA20" i="53"/>
  <c r="AM70" i="53"/>
  <c r="AN70" i="53"/>
  <c r="AA143" i="57"/>
  <c r="AF98" i="57"/>
  <c r="Z126" i="57"/>
  <c r="Z127" i="57" s="1"/>
  <c r="R126" i="57"/>
  <c r="R127" i="57" s="1"/>
  <c r="AE120" i="54"/>
  <c r="AE54" i="54"/>
  <c r="AJ62" i="54"/>
  <c r="AI62" i="54"/>
  <c r="AI43" i="11"/>
  <c r="AF43" i="11"/>
  <c r="AL98" i="13"/>
  <c r="AL39" i="13"/>
  <c r="AL50" i="13"/>
  <c r="AL66" i="13"/>
  <c r="AL63" i="13"/>
  <c r="AL47" i="13"/>
  <c r="AL55" i="13"/>
  <c r="AF81" i="60"/>
  <c r="AI81" i="60"/>
  <c r="AA126" i="60"/>
  <c r="AA73" i="55"/>
  <c r="AA74" i="55" s="1"/>
  <c r="G73" i="55" s="1"/>
  <c r="AN70" i="52"/>
  <c r="AB83" i="56"/>
  <c r="Z126" i="56"/>
  <c r="Z127" i="56" s="1"/>
  <c r="R126" i="56"/>
  <c r="R127" i="56" s="1"/>
  <c r="K52" i="53"/>
  <c r="K36" i="53"/>
  <c r="AL44" i="53"/>
  <c r="K65" i="53"/>
  <c r="AL69" i="53"/>
  <c r="Z16" i="57"/>
  <c r="AF55" i="57"/>
  <c r="AI66" i="57"/>
  <c r="AI98" i="57"/>
  <c r="AF109" i="57"/>
  <c r="Y126" i="57"/>
  <c r="Y127" i="57" s="1"/>
  <c r="Q126" i="57"/>
  <c r="Q127" i="57" s="1"/>
  <c r="X126" i="57"/>
  <c r="X127" i="57" s="1"/>
  <c r="P126" i="57"/>
  <c r="P127" i="57" s="1"/>
  <c r="AD126" i="57"/>
  <c r="AI136" i="57"/>
  <c r="AL95" i="54"/>
  <c r="AL48" i="54"/>
  <c r="AL56" i="54"/>
  <c r="K43" i="54"/>
  <c r="AL40" i="54"/>
  <c r="AM66" i="54"/>
  <c r="AN71" i="54"/>
  <c r="K109" i="54"/>
  <c r="AI45" i="58"/>
  <c r="AB45" i="58"/>
  <c r="AF45" i="58"/>
  <c r="AF106" i="58"/>
  <c r="AF39" i="11"/>
  <c r="AI49" i="13"/>
  <c r="AF49" i="13"/>
  <c r="AA43" i="13"/>
  <c r="K43" i="13"/>
  <c r="AA75" i="13"/>
  <c r="K75" i="13"/>
  <c r="AF118" i="60"/>
  <c r="AI118" i="60"/>
  <c r="AI47" i="22"/>
  <c r="AF47" i="22"/>
  <c r="AA19" i="52"/>
  <c r="AM65" i="52"/>
  <c r="AM68" i="52"/>
  <c r="AA16" i="56"/>
  <c r="AB69" i="56"/>
  <c r="AI69" i="56"/>
  <c r="AA94" i="56"/>
  <c r="S126" i="56"/>
  <c r="S127" i="56" s="1"/>
  <c r="Y126" i="56"/>
  <c r="Y127" i="56" s="1"/>
  <c r="Q126" i="56"/>
  <c r="Q127" i="56" s="1"/>
  <c r="K46" i="53"/>
  <c r="AL55" i="53"/>
  <c r="AA68" i="53"/>
  <c r="AJ68" i="53" s="1"/>
  <c r="AA20" i="57"/>
  <c r="AF38" i="57"/>
  <c r="AB49" i="57"/>
  <c r="AF46" i="57"/>
  <c r="AI61" i="57"/>
  <c r="AA82" i="57"/>
  <c r="AA123" i="57"/>
  <c r="AF132" i="57"/>
  <c r="K53" i="54"/>
  <c r="K46" i="54"/>
  <c r="AA46" i="54"/>
  <c r="AA42" i="54"/>
  <c r="AH40" i="54"/>
  <c r="K70" i="54"/>
  <c r="AM71" i="54"/>
  <c r="AM65" i="54"/>
  <c r="K72" i="54"/>
  <c r="AA72" i="54"/>
  <c r="AN62" i="54"/>
  <c r="AI75" i="58"/>
  <c r="AF75" i="58"/>
  <c r="AB75" i="58"/>
  <c r="AF91" i="58"/>
  <c r="AI91" i="58"/>
  <c r="Q126" i="58"/>
  <c r="Q127" i="58" s="1"/>
  <c r="K37" i="11"/>
  <c r="AA37" i="11"/>
  <c r="AF37" i="11" s="1"/>
  <c r="AH121" i="59"/>
  <c r="AG126" i="59"/>
  <c r="AF136" i="59"/>
  <c r="AI136" i="59"/>
  <c r="AH109" i="60"/>
  <c r="AH117" i="60"/>
  <c r="AH48" i="60"/>
  <c r="AH49" i="60"/>
  <c r="AH35" i="60"/>
  <c r="K39" i="15"/>
  <c r="AA39" i="15"/>
  <c r="AA20" i="56"/>
  <c r="AA121" i="56"/>
  <c r="AA50" i="53"/>
  <c r="AF50" i="53" s="1"/>
  <c r="AL43" i="53"/>
  <c r="AL37" i="53"/>
  <c r="AJ65" i="53"/>
  <c r="AA66" i="53"/>
  <c r="AM67" i="53"/>
  <c r="AA72" i="53"/>
  <c r="AB72" i="53" s="1"/>
  <c r="AB38" i="57"/>
  <c r="AB51" i="57"/>
  <c r="AA124" i="57"/>
  <c r="AA19" i="54"/>
  <c r="AF50" i="54"/>
  <c r="AA95" i="54"/>
  <c r="AB95" i="54" s="1"/>
  <c r="K95" i="54"/>
  <c r="AB105" i="54"/>
  <c r="AM105" i="54" s="1"/>
  <c r="AA144" i="58"/>
  <c r="AF51" i="58"/>
  <c r="AI51" i="58"/>
  <c r="AB51" i="58"/>
  <c r="AB118" i="58"/>
  <c r="AF118" i="58"/>
  <c r="AI118" i="58"/>
  <c r="AI132" i="58"/>
  <c r="AF132" i="58"/>
  <c r="AI136" i="58"/>
  <c r="AF136" i="58"/>
  <c r="AA141" i="56"/>
  <c r="AI140" i="56"/>
  <c r="AA19" i="53"/>
  <c r="AB50" i="53" s="1"/>
  <c r="AB59" i="57"/>
  <c r="AI59" i="57"/>
  <c r="AF70" i="57"/>
  <c r="AI76" i="57"/>
  <c r="AF87" i="57"/>
  <c r="AB100" i="57"/>
  <c r="V126" i="57"/>
  <c r="V127" i="57" s="1"/>
  <c r="AG126" i="57"/>
  <c r="AH126" i="57" s="1"/>
  <c r="K57" i="54"/>
  <c r="AE58" i="54"/>
  <c r="K68" i="54"/>
  <c r="AA68" i="54"/>
  <c r="AI68" i="54" s="1"/>
  <c r="K66" i="54"/>
  <c r="AM68" i="54"/>
  <c r="K77" i="54"/>
  <c r="AA20" i="58"/>
  <c r="AB87" i="58" s="1"/>
  <c r="AA19" i="58"/>
  <c r="AI83" i="58"/>
  <c r="AF83" i="58"/>
  <c r="AI70" i="58"/>
  <c r="AF70" i="58"/>
  <c r="K41" i="11"/>
  <c r="K71" i="11"/>
  <c r="AI40" i="59"/>
  <c r="AI92" i="56"/>
  <c r="W126" i="56"/>
  <c r="W127" i="56" s="1"/>
  <c r="AA122" i="56"/>
  <c r="AL47" i="53"/>
  <c r="AI42" i="53"/>
  <c r="AL67" i="53"/>
  <c r="AB46" i="57"/>
  <c r="AF59" i="57"/>
  <c r="AB78" i="57"/>
  <c r="AF81" i="57"/>
  <c r="AI75" i="57"/>
  <c r="AA53" i="57"/>
  <c r="AA144" i="57"/>
  <c r="AF86" i="57"/>
  <c r="AB111" i="57"/>
  <c r="AA125" i="57"/>
  <c r="AI125" i="57" s="1"/>
  <c r="U126" i="57"/>
  <c r="U127" i="57" s="1"/>
  <c r="T126" i="57"/>
  <c r="T127" i="57" s="1"/>
  <c r="AA20" i="54"/>
  <c r="AJ66" i="54" s="1"/>
  <c r="AA41" i="54"/>
  <c r="K41" i="54"/>
  <c r="AF38" i="54"/>
  <c r="AN67" i="54"/>
  <c r="AI76" i="54"/>
  <c r="AB76" i="54"/>
  <c r="AM76" i="54" s="1"/>
  <c r="AA20" i="11"/>
  <c r="AA141" i="59"/>
  <c r="AF85" i="59"/>
  <c r="AB71" i="59"/>
  <c r="AF71" i="59"/>
  <c r="AI71" i="59"/>
  <c r="AA52" i="59"/>
  <c r="AA54" i="59" s="1"/>
  <c r="G53" i="59" s="1"/>
  <c r="AA53" i="59"/>
  <c r="AI49" i="59"/>
  <c r="AF49" i="59"/>
  <c r="AF38" i="59"/>
  <c r="AI38" i="59"/>
  <c r="AA124" i="59"/>
  <c r="AI124" i="59" s="1"/>
  <c r="AB45" i="13"/>
  <c r="AI45" i="13"/>
  <c r="AF45" i="13"/>
  <c r="AI93" i="60"/>
  <c r="AF93" i="60"/>
  <c r="AG39" i="24"/>
  <c r="AG36" i="24"/>
  <c r="AA124" i="56"/>
  <c r="U126" i="56"/>
  <c r="U127" i="56" s="1"/>
  <c r="AN64" i="53"/>
  <c r="AA63" i="57"/>
  <c r="AF111" i="57"/>
  <c r="AI58" i="54"/>
  <c r="AF58" i="54"/>
  <c r="AF99" i="58"/>
  <c r="AB99" i="58"/>
  <c r="AI99" i="58"/>
  <c r="AB47" i="11"/>
  <c r="AM47" i="11" s="1"/>
  <c r="AN56" i="11"/>
  <c r="AM56" i="11"/>
  <c r="AA19" i="59"/>
  <c r="AF51" i="59"/>
  <c r="AI59" i="59"/>
  <c r="AA63" i="59"/>
  <c r="AA125" i="59"/>
  <c r="AK65" i="13"/>
  <c r="AK49" i="13"/>
  <c r="AK41" i="13"/>
  <c r="AK62" i="13"/>
  <c r="AK46" i="13"/>
  <c r="AK38" i="13"/>
  <c r="AK54" i="13"/>
  <c r="AA98" i="13"/>
  <c r="K98" i="13"/>
  <c r="AA63" i="60"/>
  <c r="AB61" i="60"/>
  <c r="AI61" i="60"/>
  <c r="AF61" i="60"/>
  <c r="AF50" i="60"/>
  <c r="AI50" i="60"/>
  <c r="AA145" i="60"/>
  <c r="AF39" i="60"/>
  <c r="AI39" i="60"/>
  <c r="AH121" i="60"/>
  <c r="W128" i="60"/>
  <c r="W129" i="60" s="1"/>
  <c r="O128" i="60"/>
  <c r="O129" i="60" s="1"/>
  <c r="AA93" i="55"/>
  <c r="AI103" i="55"/>
  <c r="AA44" i="52"/>
  <c r="AB79" i="56"/>
  <c r="AF79" i="56"/>
  <c r="AA125" i="56"/>
  <c r="V126" i="56"/>
  <c r="V127" i="56" s="1"/>
  <c r="AA16" i="53"/>
  <c r="K48" i="53"/>
  <c r="AL66" i="53"/>
  <c r="AA19" i="57"/>
  <c r="AI56" i="57"/>
  <c r="AA42" i="57"/>
  <c r="S126" i="57"/>
  <c r="S127" i="57" s="1"/>
  <c r="K55" i="54"/>
  <c r="AA39" i="54"/>
  <c r="K39" i="54"/>
  <c r="AA54" i="54"/>
  <c r="AF67" i="54"/>
  <c r="AA64" i="54"/>
  <c r="AF64" i="54" s="1"/>
  <c r="AA106" i="54"/>
  <c r="AI106" i="54" s="1"/>
  <c r="K106" i="54"/>
  <c r="AA124" i="58"/>
  <c r="AF124" i="58" s="1"/>
  <c r="AE83" i="11"/>
  <c r="AE35" i="11"/>
  <c r="AE43" i="11"/>
  <c r="AE50" i="11"/>
  <c r="AE51" i="11"/>
  <c r="AE36" i="11"/>
  <c r="AE38" i="11"/>
  <c r="AE47" i="11"/>
  <c r="AE40" i="11"/>
  <c r="AB85" i="11"/>
  <c r="AF85" i="11"/>
  <c r="AI85" i="11"/>
  <c r="AF80" i="59"/>
  <c r="AB80" i="59"/>
  <c r="AB69" i="59"/>
  <c r="AI69" i="59"/>
  <c r="T126" i="59"/>
  <c r="T127" i="59" s="1"/>
  <c r="AF37" i="13"/>
  <c r="AI37" i="13"/>
  <c r="AL42" i="13"/>
  <c r="AA61" i="13"/>
  <c r="AI61" i="13" s="1"/>
  <c r="K61" i="13"/>
  <c r="AI71" i="60"/>
  <c r="AB71" i="60"/>
  <c r="AI102" i="60"/>
  <c r="AF102" i="60"/>
  <c r="AA124" i="60"/>
  <c r="AF124" i="60" s="1"/>
  <c r="K100" i="54"/>
  <c r="AH35" i="58"/>
  <c r="AF35" i="58"/>
  <c r="AE47" i="58"/>
  <c r="AA52" i="58"/>
  <c r="AE107" i="58"/>
  <c r="X126" i="58"/>
  <c r="X127" i="58" s="1"/>
  <c r="P126" i="58"/>
  <c r="P127" i="58" s="1"/>
  <c r="U126" i="58"/>
  <c r="U127" i="58" s="1"/>
  <c r="AD126" i="58"/>
  <c r="AE126" i="58" s="1"/>
  <c r="AA146" i="58"/>
  <c r="AK47" i="11"/>
  <c r="AK39" i="11"/>
  <c r="AK57" i="11"/>
  <c r="AM55" i="11"/>
  <c r="K87" i="11"/>
  <c r="K83" i="11"/>
  <c r="K81" i="11"/>
  <c r="AA143" i="59"/>
  <c r="AD126" i="59"/>
  <c r="AA73" i="60"/>
  <c r="AA62" i="60"/>
  <c r="AF116" i="60"/>
  <c r="AF37" i="15"/>
  <c r="AI37" i="15"/>
  <c r="AL51" i="15"/>
  <c r="AG77" i="15"/>
  <c r="AH51" i="15"/>
  <c r="Z53" i="24"/>
  <c r="AE53" i="24" s="1"/>
  <c r="AI50" i="19"/>
  <c r="AF50" i="19"/>
  <c r="AF62" i="26"/>
  <c r="AI62" i="26"/>
  <c r="AJ73" i="26"/>
  <c r="AF73" i="26"/>
  <c r="AM63" i="54"/>
  <c r="AM64" i="54"/>
  <c r="K114" i="54"/>
  <c r="K110" i="54"/>
  <c r="K103" i="54"/>
  <c r="K96" i="54"/>
  <c r="K94" i="54"/>
  <c r="Z16" i="58"/>
  <c r="AI38" i="58"/>
  <c r="AB48" i="58"/>
  <c r="AE69" i="58"/>
  <c r="AB76" i="58"/>
  <c r="AF76" i="58"/>
  <c r="AA73" i="58"/>
  <c r="AA143" i="58"/>
  <c r="AE103" i="58"/>
  <c r="S126" i="58"/>
  <c r="S127" i="58" s="1"/>
  <c r="AE124" i="58"/>
  <c r="AE122" i="58"/>
  <c r="AL49" i="11"/>
  <c r="AL46" i="11"/>
  <c r="AL38" i="11"/>
  <c r="AN60" i="11"/>
  <c r="AA74" i="11"/>
  <c r="AF74" i="11" s="1"/>
  <c r="AA20" i="59"/>
  <c r="AB106" i="59"/>
  <c r="AI110" i="59"/>
  <c r="AF119" i="59"/>
  <c r="AI117" i="59"/>
  <c r="AF41" i="13"/>
  <c r="AF59" i="60"/>
  <c r="AB79" i="60"/>
  <c r="AI79" i="60"/>
  <c r="AA52" i="60"/>
  <c r="AA95" i="60"/>
  <c r="AF95" i="60" s="1"/>
  <c r="AI91" i="60"/>
  <c r="AA127" i="60"/>
  <c r="U128" i="60"/>
  <c r="U129" i="60" s="1"/>
  <c r="AD128" i="60"/>
  <c r="AE128" i="60" s="1"/>
  <c r="AL47" i="24"/>
  <c r="AM47" i="24"/>
  <c r="Q58" i="24"/>
  <c r="AI74" i="21"/>
  <c r="AB74" i="21"/>
  <c r="AM74" i="21" s="1"/>
  <c r="AF42" i="26"/>
  <c r="AI42" i="26"/>
  <c r="AE68" i="58"/>
  <c r="AE111" i="58"/>
  <c r="AK49" i="11"/>
  <c r="AK46" i="11"/>
  <c r="AK41" i="11"/>
  <c r="AK38" i="11"/>
  <c r="AK56" i="11"/>
  <c r="AB47" i="59"/>
  <c r="AA121" i="59"/>
  <c r="AI121" i="59" s="1"/>
  <c r="AA146" i="59"/>
  <c r="AH51" i="13"/>
  <c r="AH46" i="13"/>
  <c r="AH35" i="13"/>
  <c r="AA123" i="60"/>
  <c r="AF50" i="21"/>
  <c r="AI50" i="21"/>
  <c r="AB46" i="58"/>
  <c r="AF58" i="58"/>
  <c r="AE67" i="58"/>
  <c r="AF110" i="58"/>
  <c r="AA122" i="58"/>
  <c r="AA19" i="11"/>
  <c r="AB39" i="11" s="1"/>
  <c r="AF51" i="11"/>
  <c r="AK62" i="11"/>
  <c r="K73" i="11"/>
  <c r="AE111" i="59"/>
  <c r="AF117" i="59"/>
  <c r="X126" i="59"/>
  <c r="X127" i="59" s="1"/>
  <c r="AA122" i="59"/>
  <c r="AF130" i="59"/>
  <c r="Z16" i="13"/>
  <c r="AA16" i="13"/>
  <c r="K49" i="13"/>
  <c r="AA53" i="13"/>
  <c r="AM65" i="13"/>
  <c r="K77" i="13"/>
  <c r="K101" i="13"/>
  <c r="AA16" i="60"/>
  <c r="AI75" i="60"/>
  <c r="AF120" i="60"/>
  <c r="S128" i="60"/>
  <c r="S129" i="60" s="1"/>
  <c r="K60" i="15"/>
  <c r="AA60" i="15"/>
  <c r="AI60" i="15" s="1"/>
  <c r="AH63" i="15"/>
  <c r="AM67" i="54"/>
  <c r="K108" i="54"/>
  <c r="K92" i="54"/>
  <c r="AE66" i="58"/>
  <c r="AB36" i="58"/>
  <c r="Z16" i="11"/>
  <c r="AF35" i="11"/>
  <c r="AK48" i="11"/>
  <c r="AK45" i="11"/>
  <c r="AK40" i="11"/>
  <c r="AK37" i="11"/>
  <c r="AK58" i="11"/>
  <c r="AM58" i="11"/>
  <c r="AI70" i="59"/>
  <c r="AF83" i="59"/>
  <c r="AB110" i="59"/>
  <c r="V126" i="59"/>
  <c r="V127" i="59" s="1"/>
  <c r="AI134" i="59"/>
  <c r="K65" i="13"/>
  <c r="AN67" i="13"/>
  <c r="K87" i="13"/>
  <c r="AA96" i="60"/>
  <c r="AF92" i="60"/>
  <c r="AF104" i="60"/>
  <c r="AG128" i="60"/>
  <c r="AI132" i="60"/>
  <c r="AL71" i="15"/>
  <c r="AL47" i="15"/>
  <c r="AL39" i="15"/>
  <c r="AL73" i="15"/>
  <c r="AL61" i="15"/>
  <c r="AI79" i="54"/>
  <c r="K115" i="54"/>
  <c r="AE49" i="58"/>
  <c r="AE65" i="58"/>
  <c r="AA125" i="58"/>
  <c r="AA123" i="58"/>
  <c r="AI123" i="58" s="1"/>
  <c r="W126" i="58"/>
  <c r="W127" i="58" s="1"/>
  <c r="AA121" i="58"/>
  <c r="AH124" i="58"/>
  <c r="AN57" i="11"/>
  <c r="K77" i="11"/>
  <c r="K67" i="11"/>
  <c r="AI83" i="59"/>
  <c r="AF115" i="59"/>
  <c r="W126" i="59"/>
  <c r="W127" i="59" s="1"/>
  <c r="O126" i="59"/>
  <c r="U126" i="59"/>
  <c r="U127" i="59" s="1"/>
  <c r="AA20" i="13"/>
  <c r="B29" i="13"/>
  <c r="AM66" i="13"/>
  <c r="K81" i="13"/>
  <c r="K102" i="13"/>
  <c r="K91" i="13"/>
  <c r="AF55" i="60"/>
  <c r="AF87" i="60"/>
  <c r="AI100" i="60"/>
  <c r="AH59" i="15"/>
  <c r="AH66" i="15"/>
  <c r="AH39" i="15"/>
  <c r="AH58" i="15"/>
  <c r="AH62" i="15"/>
  <c r="AH65" i="15"/>
  <c r="Z39" i="24"/>
  <c r="K39" i="24"/>
  <c r="K35" i="24"/>
  <c r="AD36" i="24"/>
  <c r="AK54" i="24"/>
  <c r="AF39" i="21"/>
  <c r="AB39" i="21"/>
  <c r="AM39" i="21" s="1"/>
  <c r="AF38" i="25"/>
  <c r="AI38" i="25"/>
  <c r="AA84" i="13"/>
  <c r="AI84" i="13" s="1"/>
  <c r="AE124" i="60"/>
  <c r="AB51" i="60"/>
  <c r="AA146" i="60"/>
  <c r="AA94" i="60"/>
  <c r="AF94" i="60" s="1"/>
  <c r="Y128" i="60"/>
  <c r="Y129" i="60" s="1"/>
  <c r="AA125" i="60"/>
  <c r="X128" i="60"/>
  <c r="X129" i="60" s="1"/>
  <c r="P128" i="60"/>
  <c r="P129" i="60" s="1"/>
  <c r="AI134" i="60"/>
  <c r="AF134" i="60"/>
  <c r="Z20" i="24"/>
  <c r="AI43" i="24" s="1"/>
  <c r="AH43" i="24"/>
  <c r="AA43" i="24"/>
  <c r="AL43" i="24" s="1"/>
  <c r="AF43" i="18"/>
  <c r="AI43" i="18"/>
  <c r="AI38" i="22"/>
  <c r="AF38" i="22"/>
  <c r="Z128" i="60"/>
  <c r="Z129" i="60" s="1"/>
  <c r="R128" i="60"/>
  <c r="R129" i="60" s="1"/>
  <c r="AA20" i="15"/>
  <c r="AJ37" i="15" s="1"/>
  <c r="AA41" i="15"/>
  <c r="AF41" i="15" s="1"/>
  <c r="AE36" i="15"/>
  <c r="AA51" i="15"/>
  <c r="AM46" i="15"/>
  <c r="K63" i="15"/>
  <c r="AE65" i="15"/>
  <c r="K69" i="15"/>
  <c r="AE73" i="15"/>
  <c r="V62" i="24"/>
  <c r="N62" i="24"/>
  <c r="AK46" i="24"/>
  <c r="Z56" i="24"/>
  <c r="Z52" i="24"/>
  <c r="U58" i="24"/>
  <c r="X62" i="24"/>
  <c r="P62" i="24"/>
  <c r="AA44" i="18"/>
  <c r="AF44" i="18" s="1"/>
  <c r="AL41" i="19"/>
  <c r="AN49" i="19"/>
  <c r="AL48" i="19"/>
  <c r="AF57" i="19"/>
  <c r="AA62" i="19"/>
  <c r="AF34" i="20"/>
  <c r="K53" i="20"/>
  <c r="AE52" i="20"/>
  <c r="AL54" i="20"/>
  <c r="K63" i="20"/>
  <c r="AA62" i="20"/>
  <c r="AF62" i="20" s="1"/>
  <c r="AK65" i="20"/>
  <c r="AA16" i="21"/>
  <c r="K39" i="21"/>
  <c r="AN39" i="21"/>
  <c r="K50" i="21"/>
  <c r="AM49" i="21"/>
  <c r="AM51" i="21"/>
  <c r="AA66" i="21"/>
  <c r="AF66" i="21" s="1"/>
  <c r="K38" i="22"/>
  <c r="K54" i="22"/>
  <c r="K47" i="22"/>
  <c r="AL54" i="22"/>
  <c r="AL46" i="22"/>
  <c r="AM48" i="22"/>
  <c r="AB72" i="22"/>
  <c r="AM72" i="22" s="1"/>
  <c r="K69" i="23"/>
  <c r="K66" i="23"/>
  <c r="AM67" i="23"/>
  <c r="AF67" i="23"/>
  <c r="AA90" i="23"/>
  <c r="AF90" i="23" s="1"/>
  <c r="T96" i="23"/>
  <c r="T100" i="23" s="1"/>
  <c r="AL88" i="23"/>
  <c r="AH88" i="23"/>
  <c r="K38" i="25"/>
  <c r="AK42" i="27"/>
  <c r="AK34" i="27"/>
  <c r="AK36" i="27"/>
  <c r="AF38" i="29"/>
  <c r="AI38" i="29"/>
  <c r="K71" i="29"/>
  <c r="AA71" i="29"/>
  <c r="AI71" i="29" s="1"/>
  <c r="AI54" i="29"/>
  <c r="AF54" i="29"/>
  <c r="AF50" i="29"/>
  <c r="AI50" i="29"/>
  <c r="AA52" i="30"/>
  <c r="AB52" i="30" s="1"/>
  <c r="K52" i="30"/>
  <c r="AF59" i="36"/>
  <c r="AI59" i="36"/>
  <c r="K43" i="18"/>
  <c r="K56" i="18"/>
  <c r="AA52" i="18"/>
  <c r="AF52" i="18" s="1"/>
  <c r="K60" i="18"/>
  <c r="K41" i="19"/>
  <c r="K38" i="19"/>
  <c r="AI48" i="19"/>
  <c r="K50" i="19"/>
  <c r="AA51" i="19"/>
  <c r="AI51" i="19" s="1"/>
  <c r="AE34" i="20"/>
  <c r="AI65" i="21"/>
  <c r="AK70" i="21"/>
  <c r="AA20" i="22"/>
  <c r="AJ41" i="22" s="1"/>
  <c r="AL49" i="22"/>
  <c r="AN73" i="23"/>
  <c r="AM73" i="23"/>
  <c r="AL92" i="23"/>
  <c r="AH92" i="23"/>
  <c r="AA50" i="25"/>
  <c r="K50" i="25"/>
  <c r="AA58" i="26"/>
  <c r="AF58" i="26" s="1"/>
  <c r="AA16" i="27"/>
  <c r="Z16" i="27"/>
  <c r="AF35" i="27"/>
  <c r="K66" i="15"/>
  <c r="AK45" i="24"/>
  <c r="Z49" i="24"/>
  <c r="AK49" i="24"/>
  <c r="Z55" i="24"/>
  <c r="AE55" i="24" s="1"/>
  <c r="AA38" i="18"/>
  <c r="AF38" i="18" s="1"/>
  <c r="AA37" i="20"/>
  <c r="AH53" i="20"/>
  <c r="AB63" i="20"/>
  <c r="AK54" i="21"/>
  <c r="AA58" i="21"/>
  <c r="AN54" i="22"/>
  <c r="AN46" i="22"/>
  <c r="AF72" i="22"/>
  <c r="R96" i="23"/>
  <c r="R100" i="23" s="1"/>
  <c r="AD96" i="23"/>
  <c r="AE78" i="23"/>
  <c r="AA19" i="30"/>
  <c r="K61" i="20"/>
  <c r="AI63" i="20"/>
  <c r="AH69" i="20"/>
  <c r="AA20" i="21"/>
  <c r="AL74" i="21"/>
  <c r="AA19" i="22"/>
  <c r="K43" i="22"/>
  <c r="AI42" i="22"/>
  <c r="K50" i="22"/>
  <c r="AL48" i="22"/>
  <c r="AA56" i="22"/>
  <c r="AA44" i="23"/>
  <c r="K44" i="23"/>
  <c r="AI59" i="23"/>
  <c r="AF59" i="23"/>
  <c r="AM65" i="23"/>
  <c r="AK82" i="23"/>
  <c r="AE82" i="23"/>
  <c r="AA48" i="25"/>
  <c r="K48" i="25"/>
  <c r="K36" i="25"/>
  <c r="K47" i="26"/>
  <c r="AA50" i="26"/>
  <c r="K50" i="26"/>
  <c r="AA56" i="26"/>
  <c r="AF56" i="26" s="1"/>
  <c r="AL45" i="27"/>
  <c r="AF58" i="28"/>
  <c r="AI58" i="28"/>
  <c r="AA62" i="28"/>
  <c r="AI62" i="28" s="1"/>
  <c r="AA37" i="29"/>
  <c r="K37" i="29"/>
  <c r="AI36" i="31"/>
  <c r="AF36" i="31"/>
  <c r="AF43" i="33"/>
  <c r="AI43" i="33"/>
  <c r="Z16" i="15"/>
  <c r="AN50" i="15"/>
  <c r="AE51" i="15"/>
  <c r="K64" i="15"/>
  <c r="K58" i="15"/>
  <c r="AK39" i="24"/>
  <c r="R62" i="24"/>
  <c r="AK48" i="24"/>
  <c r="AK44" i="24"/>
  <c r="Z54" i="24"/>
  <c r="AK56" i="24"/>
  <c r="AF58" i="24"/>
  <c r="T62" i="24"/>
  <c r="AF62" i="24"/>
  <c r="B29" i="18"/>
  <c r="K39" i="18"/>
  <c r="K54" i="18"/>
  <c r="K36" i="19"/>
  <c r="AA39" i="19"/>
  <c r="AL43" i="19"/>
  <c r="AL49" i="19"/>
  <c r="AL59" i="19"/>
  <c r="AF38" i="20"/>
  <c r="AH57" i="20"/>
  <c r="AK50" i="20"/>
  <c r="AE65" i="20"/>
  <c r="AK62" i="20"/>
  <c r="K34" i="21"/>
  <c r="AK37" i="21"/>
  <c r="AN56" i="21"/>
  <c r="AL53" i="21"/>
  <c r="AM55" i="21"/>
  <c r="AM47" i="21"/>
  <c r="AA34" i="22"/>
  <c r="AL37" i="22"/>
  <c r="AN52" i="22"/>
  <c r="K61" i="22"/>
  <c r="AA67" i="22"/>
  <c r="K47" i="23"/>
  <c r="AA47" i="23"/>
  <c r="AI51" i="23"/>
  <c r="AF51" i="23"/>
  <c r="AI39" i="23"/>
  <c r="AA71" i="23"/>
  <c r="AA81" i="23"/>
  <c r="AK91" i="23"/>
  <c r="AK86" i="23"/>
  <c r="AE86" i="23"/>
  <c r="AE52" i="25"/>
  <c r="AA19" i="26"/>
  <c r="K67" i="26"/>
  <c r="K62" i="26"/>
  <c r="K53" i="26"/>
  <c r="AA20" i="27"/>
  <c r="AJ39" i="27" s="1"/>
  <c r="K53" i="29"/>
  <c r="AA53" i="29"/>
  <c r="AF53" i="29" s="1"/>
  <c r="AF63" i="29"/>
  <c r="K70" i="30"/>
  <c r="AA70" i="30"/>
  <c r="AF35" i="33"/>
  <c r="AI35" i="33"/>
  <c r="AB35" i="33"/>
  <c r="AM35" i="33" s="1"/>
  <c r="AA19" i="15"/>
  <c r="AM49" i="15"/>
  <c r="K59" i="15"/>
  <c r="AA64" i="15"/>
  <c r="AF64" i="15" s="1"/>
  <c r="S58" i="24"/>
  <c r="X58" i="24"/>
  <c r="P58" i="24"/>
  <c r="AJ56" i="24"/>
  <c r="AJ54" i="24"/>
  <c r="AC58" i="24"/>
  <c r="S62" i="24"/>
  <c r="AA19" i="18"/>
  <c r="AF63" i="18"/>
  <c r="AA55" i="19"/>
  <c r="AL63" i="19"/>
  <c r="AL67" i="19"/>
  <c r="AE38" i="20"/>
  <c r="K42" i="20"/>
  <c r="K49" i="20"/>
  <c r="AA54" i="20"/>
  <c r="AK56" i="20"/>
  <c r="AH62" i="20"/>
  <c r="AA19" i="21"/>
  <c r="AA56" i="21"/>
  <c r="AF56" i="21" s="1"/>
  <c r="AL58" i="21"/>
  <c r="AK73" i="21"/>
  <c r="AL55" i="22"/>
  <c r="AM51" i="22"/>
  <c r="AA19" i="23"/>
  <c r="AF35" i="23"/>
  <c r="AA61" i="23"/>
  <c r="K61" i="23"/>
  <c r="AM63" i="23"/>
  <c r="AM69" i="23"/>
  <c r="AK90" i="23"/>
  <c r="AE90" i="23"/>
  <c r="AL39" i="25"/>
  <c r="AL41" i="25"/>
  <c r="AA41" i="26"/>
  <c r="K41" i="26"/>
  <c r="AJ37" i="26"/>
  <c r="AF64" i="30"/>
  <c r="AI64" i="30"/>
  <c r="Z19" i="24"/>
  <c r="W58" i="24"/>
  <c r="O58" i="24"/>
  <c r="AK53" i="24"/>
  <c r="Z60" i="24"/>
  <c r="AH60" i="24" s="1"/>
  <c r="AA20" i="19"/>
  <c r="AJ42" i="19" s="1"/>
  <c r="AA34" i="19"/>
  <c r="AN48" i="19"/>
  <c r="AL35" i="20"/>
  <c r="AA50" i="20"/>
  <c r="AH56" i="20"/>
  <c r="AE61" i="20"/>
  <c r="AM48" i="21"/>
  <c r="AK58" i="21"/>
  <c r="AL36" i="22"/>
  <c r="AL47" i="22"/>
  <c r="AA74" i="23"/>
  <c r="K74" i="23"/>
  <c r="AA63" i="23"/>
  <c r="AN57" i="23"/>
  <c r="AM57" i="23"/>
  <c r="AK94" i="23"/>
  <c r="AE94" i="23"/>
  <c r="AL80" i="23"/>
  <c r="AH80" i="23"/>
  <c r="K47" i="29"/>
  <c r="AA47" i="29"/>
  <c r="AA78" i="29" s="1"/>
  <c r="AA62" i="29"/>
  <c r="AF62" i="29" s="1"/>
  <c r="K62" i="29"/>
  <c r="AF59" i="33"/>
  <c r="AI59" i="33"/>
  <c r="AK38" i="15"/>
  <c r="K62" i="15"/>
  <c r="AA56" i="15"/>
  <c r="AF56" i="15" s="1"/>
  <c r="Z16" i="24"/>
  <c r="AK37" i="24"/>
  <c r="Y62" i="24"/>
  <c r="Q62" i="24"/>
  <c r="K37" i="18"/>
  <c r="AI59" i="18"/>
  <c r="AL36" i="19"/>
  <c r="K48" i="19"/>
  <c r="AL51" i="19"/>
  <c r="AL57" i="19"/>
  <c r="AL62" i="19"/>
  <c r="AL66" i="19"/>
  <c r="AK34" i="20"/>
  <c r="AE56" i="20"/>
  <c r="AH55" i="20"/>
  <c r="AK48" i="20"/>
  <c r="AL66" i="20"/>
  <c r="AK60" i="20"/>
  <c r="AM50" i="21"/>
  <c r="AL52" i="21"/>
  <c r="AA48" i="21"/>
  <c r="AJ48" i="21" s="1"/>
  <c r="K69" i="21"/>
  <c r="AL71" i="21"/>
  <c r="Z16" i="22"/>
  <c r="K41" i="22"/>
  <c r="AL39" i="22"/>
  <c r="AN55" i="22"/>
  <c r="AN47" i="22"/>
  <c r="Z16" i="23"/>
  <c r="AK98" i="23"/>
  <c r="AK46" i="23"/>
  <c r="K52" i="23"/>
  <c r="AN74" i="23"/>
  <c r="AA91" i="23"/>
  <c r="AA87" i="23"/>
  <c r="AJ87" i="23" s="1"/>
  <c r="AA83" i="23"/>
  <c r="AA79" i="23"/>
  <c r="AL84" i="23"/>
  <c r="AH84" i="23"/>
  <c r="AA34" i="25"/>
  <c r="AF34" i="25" s="1"/>
  <c r="K34" i="25"/>
  <c r="AE76" i="26"/>
  <c r="AE46" i="26"/>
  <c r="K36" i="26"/>
  <c r="AF36" i="26"/>
  <c r="K68" i="26"/>
  <c r="K63" i="26"/>
  <c r="AA44" i="27"/>
  <c r="K44" i="27"/>
  <c r="AA43" i="27"/>
  <c r="AA48" i="28"/>
  <c r="K48" i="28"/>
  <c r="AA51" i="28"/>
  <c r="AA19" i="29"/>
  <c r="AB38" i="29" s="1"/>
  <c r="AF38" i="30"/>
  <c r="AI38" i="30"/>
  <c r="W67" i="28"/>
  <c r="O67" i="28"/>
  <c r="AK51" i="28"/>
  <c r="AA42" i="29"/>
  <c r="AI42" i="29" s="1"/>
  <c r="AL47" i="29"/>
  <c r="AL42" i="29"/>
  <c r="AH38" i="29"/>
  <c r="AF73" i="29"/>
  <c r="AL72" i="29"/>
  <c r="AE39" i="30"/>
  <c r="AE63" i="30"/>
  <c r="AA19" i="32"/>
  <c r="AA38" i="32"/>
  <c r="K56" i="33"/>
  <c r="K42" i="33"/>
  <c r="K35" i="33"/>
  <c r="AA35" i="36"/>
  <c r="AA20" i="23"/>
  <c r="AA89" i="23"/>
  <c r="AF89" i="23" s="1"/>
  <c r="AK92" i="23"/>
  <c r="AK88" i="23"/>
  <c r="AK84" i="23"/>
  <c r="AH46" i="27"/>
  <c r="AL60" i="28"/>
  <c r="AA39" i="29"/>
  <c r="AF39" i="29" s="1"/>
  <c r="AH47" i="29"/>
  <c r="AL41" i="29"/>
  <c r="K58" i="29"/>
  <c r="AH71" i="29"/>
  <c r="K45" i="30"/>
  <c r="K42" i="30"/>
  <c r="K59" i="30"/>
  <c r="AA65" i="30"/>
  <c r="AA20" i="31"/>
  <c r="AJ36" i="31" s="1"/>
  <c r="AA34" i="31"/>
  <c r="AF34" i="31" s="1"/>
  <c r="K34" i="32"/>
  <c r="K61" i="33"/>
  <c r="K47" i="33"/>
  <c r="K40" i="33"/>
  <c r="AL44" i="34"/>
  <c r="Y53" i="34"/>
  <c r="Y60" i="34" s="1"/>
  <c r="AK57" i="35"/>
  <c r="K38" i="36"/>
  <c r="AE39" i="36"/>
  <c r="AA44" i="36"/>
  <c r="AI44" i="36" s="1"/>
  <c r="K61" i="36"/>
  <c r="AA37" i="31"/>
  <c r="AG46" i="34"/>
  <c r="AG53" i="34" s="1"/>
  <c r="AH53" i="34" s="1"/>
  <c r="AK34" i="35"/>
  <c r="AK39" i="35"/>
  <c r="AA62" i="35"/>
  <c r="AE38" i="36"/>
  <c r="K49" i="36"/>
  <c r="AE46" i="36"/>
  <c r="K55" i="36"/>
  <c r="AL62" i="36"/>
  <c r="AA41" i="28"/>
  <c r="AE54" i="28"/>
  <c r="AH46" i="29"/>
  <c r="AL40" i="29"/>
  <c r="AL35" i="29"/>
  <c r="AE35" i="30"/>
  <c r="AA60" i="30"/>
  <c r="AL36" i="31"/>
  <c r="AA20" i="32"/>
  <c r="AA37" i="34"/>
  <c r="AA38" i="35"/>
  <c r="AB38" i="35" s="1"/>
  <c r="AL50" i="35"/>
  <c r="AK61" i="36"/>
  <c r="AM59" i="23"/>
  <c r="Z96" i="23"/>
  <c r="Z100" i="23" s="1"/>
  <c r="V96" i="23"/>
  <c r="V100" i="23" s="1"/>
  <c r="AA20" i="25"/>
  <c r="AJ47" i="25" s="1"/>
  <c r="AE37" i="25"/>
  <c r="AA19" i="27"/>
  <c r="AB35" i="27" s="1"/>
  <c r="AH43" i="27"/>
  <c r="Z16" i="28"/>
  <c r="AA39" i="28"/>
  <c r="AL44" i="28"/>
  <c r="AK54" i="28"/>
  <c r="AA59" i="28"/>
  <c r="AA20" i="29"/>
  <c r="K45" i="29"/>
  <c r="AE44" i="29"/>
  <c r="AH45" i="29"/>
  <c r="AH35" i="29"/>
  <c r="K54" i="29"/>
  <c r="AL63" i="29"/>
  <c r="AK45" i="30"/>
  <c r="K71" i="30"/>
  <c r="AI55" i="30"/>
  <c r="AF76" i="30"/>
  <c r="AL35" i="31"/>
  <c r="AL37" i="31"/>
  <c r="AA16" i="32"/>
  <c r="AA36" i="32"/>
  <c r="AA19" i="33"/>
  <c r="AL39" i="34"/>
  <c r="AL43" i="34"/>
  <c r="AA63" i="34"/>
  <c r="K34" i="35"/>
  <c r="K40" i="35"/>
  <c r="AL38" i="35"/>
  <c r="AL46" i="35"/>
  <c r="AA16" i="36"/>
  <c r="AA40" i="36"/>
  <c r="AL38" i="36"/>
  <c r="AE50" i="28"/>
  <c r="AL62" i="28"/>
  <c r="AH44" i="29"/>
  <c r="AL39" i="29"/>
  <c r="K70" i="29"/>
  <c r="K50" i="29"/>
  <c r="AH59" i="29"/>
  <c r="Z16" i="30"/>
  <c r="K37" i="30"/>
  <c r="AE45" i="30"/>
  <c r="AK42" i="30"/>
  <c r="K69" i="30"/>
  <c r="K51" i="30"/>
  <c r="AA54" i="30"/>
  <c r="AE37" i="31"/>
  <c r="AA16" i="33"/>
  <c r="K53" i="33"/>
  <c r="K34" i="33"/>
  <c r="AI51" i="33"/>
  <c r="AH41" i="33"/>
  <c r="AK37" i="36"/>
  <c r="K47" i="36"/>
  <c r="AL49" i="36"/>
  <c r="K53" i="36"/>
  <c r="AL43" i="29"/>
  <c r="AB72" i="29"/>
  <c r="AL57" i="29"/>
  <c r="AE43" i="30"/>
  <c r="AJ49" i="30"/>
  <c r="AA19" i="31"/>
  <c r="AB36" i="31" s="1"/>
  <c r="K39" i="33"/>
  <c r="AL38" i="34"/>
  <c r="AL42" i="34"/>
  <c r="AA36" i="36"/>
  <c r="AK48" i="36"/>
  <c r="AH58" i="36"/>
  <c r="AL52" i="28"/>
  <c r="AH43" i="29"/>
  <c r="AH53" i="29"/>
  <c r="AE41" i="30"/>
  <c r="AE69" i="30"/>
  <c r="AL49" i="34"/>
  <c r="AL56" i="34"/>
  <c r="AI56" i="4"/>
  <c r="AB56" i="4"/>
  <c r="AF56" i="4"/>
  <c r="AJ56" i="4"/>
  <c r="W64" i="37"/>
  <c r="W74" i="37" s="1"/>
  <c r="W62" i="37"/>
  <c r="O62" i="37"/>
  <c r="O64" i="37"/>
  <c r="O74" i="37" s="1"/>
  <c r="AK46" i="37"/>
  <c r="AI46" i="37"/>
  <c r="AD61" i="37"/>
  <c r="V64" i="37"/>
  <c r="V74" i="37" s="1"/>
  <c r="V62" i="37"/>
  <c r="AD71" i="37"/>
  <c r="AC72" i="37"/>
  <c r="AD72" i="37" s="1"/>
  <c r="AI66" i="4"/>
  <c r="AJ66" i="4"/>
  <c r="AB66" i="4"/>
  <c r="AF66" i="4"/>
  <c r="AB82" i="4"/>
  <c r="AI82" i="4"/>
  <c r="AF82" i="4"/>
  <c r="AJ82" i="4"/>
  <c r="AB58" i="6"/>
  <c r="AB67" i="6"/>
  <c r="AB41" i="6"/>
  <c r="AB52" i="6"/>
  <c r="AB42" i="6"/>
  <c r="AB69" i="6"/>
  <c r="AB55" i="6"/>
  <c r="AB44" i="6"/>
  <c r="AB50" i="6"/>
  <c r="AB65" i="6"/>
  <c r="AB34" i="6"/>
  <c r="AB45" i="6"/>
  <c r="AB61" i="6"/>
  <c r="AB35" i="6"/>
  <c r="AB57" i="6"/>
  <c r="AB37" i="6"/>
  <c r="AB51" i="6"/>
  <c r="AB36" i="6"/>
  <c r="AB92" i="6"/>
  <c r="AI126" i="17"/>
  <c r="AF126" i="17"/>
  <c r="AI49" i="4"/>
  <c r="AJ49" i="4"/>
  <c r="AB49" i="4"/>
  <c r="AF49" i="4"/>
  <c r="AJ93" i="4"/>
  <c r="AB93" i="4"/>
  <c r="AI93" i="4"/>
  <c r="AF93" i="4"/>
  <c r="AI78" i="4"/>
  <c r="AB78" i="4"/>
  <c r="AJ78" i="4"/>
  <c r="AF78" i="4"/>
  <c r="U64" i="37"/>
  <c r="U74" i="37" s="1"/>
  <c r="U62" i="37"/>
  <c r="AL101" i="4"/>
  <c r="AI59" i="7"/>
  <c r="AF59" i="7"/>
  <c r="AB59" i="7"/>
  <c r="AA69" i="7"/>
  <c r="R64" i="37"/>
  <c r="R74" i="37" s="1"/>
  <c r="R62" i="37"/>
  <c r="AL45" i="4"/>
  <c r="AI76" i="4"/>
  <c r="AJ76" i="4"/>
  <c r="AB76" i="4"/>
  <c r="AF76" i="4"/>
  <c r="AB88" i="6"/>
  <c r="AB43" i="16"/>
  <c r="AB45" i="16"/>
  <c r="AB109" i="16"/>
  <c r="AB92" i="16"/>
  <c r="AB101" i="16"/>
  <c r="AB104" i="16"/>
  <c r="AB74" i="16"/>
  <c r="AB93" i="16"/>
  <c r="AB86" i="16"/>
  <c r="AB44" i="16"/>
  <c r="AB122" i="16"/>
  <c r="AB96" i="16"/>
  <c r="AB108" i="16"/>
  <c r="AB117" i="16"/>
  <c r="AB78" i="16"/>
  <c r="AB123" i="16"/>
  <c r="AB120" i="16"/>
  <c r="AB56" i="16"/>
  <c r="AE80" i="37"/>
  <c r="AH80" i="37"/>
  <c r="AF144" i="6"/>
  <c r="AI144" i="6"/>
  <c r="AA73" i="7"/>
  <c r="AF50" i="7"/>
  <c r="AI50" i="7"/>
  <c r="AJ57" i="4"/>
  <c r="AJ96" i="4"/>
  <c r="AJ91" i="4"/>
  <c r="AJ73" i="4"/>
  <c r="AJ46" i="4"/>
  <c r="AJ35" i="4"/>
  <c r="AJ39" i="4"/>
  <c r="AJ81" i="4"/>
  <c r="AJ47" i="4"/>
  <c r="AJ80" i="4"/>
  <c r="AJ97" i="4"/>
  <c r="AJ50" i="4"/>
  <c r="AB50" i="4"/>
  <c r="AF50" i="4"/>
  <c r="AI50" i="4"/>
  <c r="AF61" i="4"/>
  <c r="AI61" i="4"/>
  <c r="AJ61" i="4"/>
  <c r="AB61" i="4"/>
  <c r="AJ70" i="4"/>
  <c r="AI94" i="4"/>
  <c r="AJ94" i="4"/>
  <c r="AB94" i="4"/>
  <c r="AF94" i="4"/>
  <c r="AK35" i="37"/>
  <c r="AI35" i="37"/>
  <c r="AE35" i="37"/>
  <c r="AH35" i="37"/>
  <c r="AG51" i="37"/>
  <c r="AF52" i="37"/>
  <c r="AG52" i="37" s="1"/>
  <c r="AI41" i="4"/>
  <c r="AB41" i="4"/>
  <c r="AF41" i="4"/>
  <c r="AJ41" i="4"/>
  <c r="AI58" i="4"/>
  <c r="AB58" i="4"/>
  <c r="AF58" i="4"/>
  <c r="AJ58" i="4"/>
  <c r="AB78" i="6"/>
  <c r="AB87" i="6"/>
  <c r="AB96" i="6"/>
  <c r="AB74" i="6"/>
  <c r="AB106" i="6"/>
  <c r="AB95" i="6"/>
  <c r="AB102" i="6"/>
  <c r="AB75" i="6"/>
  <c r="AB107" i="6"/>
  <c r="AB116" i="6"/>
  <c r="AB84" i="6"/>
  <c r="AB94" i="6"/>
  <c r="AB72" i="6"/>
  <c r="AB90" i="6"/>
  <c r="AB82" i="6"/>
  <c r="AB114" i="6"/>
  <c r="AB86" i="6"/>
  <c r="AI134" i="6"/>
  <c r="AF134" i="6"/>
  <c r="AI126" i="6"/>
  <c r="AF126" i="6"/>
  <c r="AF72" i="37"/>
  <c r="AG72" i="37" s="1"/>
  <c r="AG71" i="37"/>
  <c r="AI38" i="4"/>
  <c r="AB38" i="4"/>
  <c r="AJ38" i="4"/>
  <c r="AF38" i="4"/>
  <c r="AJ69" i="4"/>
  <c r="AB69" i="4"/>
  <c r="AF69" i="4"/>
  <c r="AI69" i="4"/>
  <c r="AB55" i="4"/>
  <c r="AI55" i="4"/>
  <c r="AF55" i="4"/>
  <c r="AJ55" i="4"/>
  <c r="AI84" i="4"/>
  <c r="AJ84" i="4"/>
  <c r="AB84" i="4"/>
  <c r="AF84" i="4"/>
  <c r="AB54" i="7"/>
  <c r="AI54" i="7"/>
  <c r="AF54" i="7"/>
  <c r="B9" i="36"/>
  <c r="B9" i="35"/>
  <c r="B9" i="34"/>
  <c r="B9" i="33"/>
  <c r="B9" i="32"/>
  <c r="B9" i="31"/>
  <c r="B9" i="30"/>
  <c r="B9" i="29"/>
  <c r="B9" i="28"/>
  <c r="B9" i="27"/>
  <c r="B9" i="25"/>
  <c r="B9" i="26"/>
  <c r="B9" i="23"/>
  <c r="B9" i="20"/>
  <c r="B9" i="22"/>
  <c r="B9" i="21"/>
  <c r="B9" i="60"/>
  <c r="B9" i="15"/>
  <c r="B9" i="19"/>
  <c r="B9" i="24"/>
  <c r="B9" i="18"/>
  <c r="B9" i="13"/>
  <c r="B9" i="59"/>
  <c r="B9" i="11"/>
  <c r="B9" i="58"/>
  <c r="B9" i="54"/>
  <c r="B9" i="57"/>
  <c r="B9" i="53"/>
  <c r="B9" i="56"/>
  <c r="B9" i="52"/>
  <c r="B9" i="51"/>
  <c r="B9" i="55"/>
  <c r="B9" i="39"/>
  <c r="B9" i="9"/>
  <c r="B9" i="17"/>
  <c r="B9" i="7"/>
  <c r="B9" i="16"/>
  <c r="B9" i="37"/>
  <c r="AI37" i="37"/>
  <c r="AH79" i="37"/>
  <c r="AE79" i="37"/>
  <c r="AI61" i="7"/>
  <c r="AF61" i="7"/>
  <c r="AB61" i="7"/>
  <c r="AK34" i="37"/>
  <c r="X44" i="37"/>
  <c r="P44" i="37"/>
  <c r="AA97" i="37"/>
  <c r="AA101" i="37"/>
  <c r="AA105" i="37"/>
  <c r="Z59" i="37"/>
  <c r="N61" i="37"/>
  <c r="AI34" i="37"/>
  <c r="AG40" i="37"/>
  <c r="AH46" i="37"/>
  <c r="W51" i="37"/>
  <c r="W52" i="37" s="1"/>
  <c r="O51" i="37"/>
  <c r="O52" i="37" s="1"/>
  <c r="AG17" i="35"/>
  <c r="AG18" i="35" s="1"/>
  <c r="AG17" i="36"/>
  <c r="AG18" i="36" s="1"/>
  <c r="AG17" i="33"/>
  <c r="AG18" i="33" s="1"/>
  <c r="AG17" i="32"/>
  <c r="AG18" i="32" s="1"/>
  <c r="AG17" i="31"/>
  <c r="AG18" i="31" s="1"/>
  <c r="AG17" i="34"/>
  <c r="AG18" i="34" s="1"/>
  <c r="AG17" i="30"/>
  <c r="AG18" i="30" s="1"/>
  <c r="AG17" i="28"/>
  <c r="AG18" i="28" s="1"/>
  <c r="AG17" i="29"/>
  <c r="AG18" i="29" s="1"/>
  <c r="AG17" i="27"/>
  <c r="AG18" i="27" s="1"/>
  <c r="AG17" i="26"/>
  <c r="AG18" i="26" s="1"/>
  <c r="AG17" i="25"/>
  <c r="AG18" i="25" s="1"/>
  <c r="AG17" i="23"/>
  <c r="AG18" i="23" s="1"/>
  <c r="AG17" i="20"/>
  <c r="AG18" i="20" s="1"/>
  <c r="AG17" i="22"/>
  <c r="AG18" i="22" s="1"/>
  <c r="AG17" i="21"/>
  <c r="AG18" i="21" s="1"/>
  <c r="AG17" i="19"/>
  <c r="AG18" i="19" s="1"/>
  <c r="AG17" i="15"/>
  <c r="AG18" i="15" s="1"/>
  <c r="AG17" i="18"/>
  <c r="AG18" i="18" s="1"/>
  <c r="AF17" i="24"/>
  <c r="AF18" i="24" s="1"/>
  <c r="AG17" i="60"/>
  <c r="AG18" i="60" s="1"/>
  <c r="AG17" i="13"/>
  <c r="AG18" i="13" s="1"/>
  <c r="AG17" i="59"/>
  <c r="AG18" i="59" s="1"/>
  <c r="AG17" i="58"/>
  <c r="AG18" i="58" s="1"/>
  <c r="AG17" i="11"/>
  <c r="AG18" i="11" s="1"/>
  <c r="AG17" i="54"/>
  <c r="AG18" i="54" s="1"/>
  <c r="AG17" i="57"/>
  <c r="AG18" i="57" s="1"/>
  <c r="AG17" i="56"/>
  <c r="AG18" i="56" s="1"/>
  <c r="AG17" i="52"/>
  <c r="AG18" i="52" s="1"/>
  <c r="AG17" i="53"/>
  <c r="AG18" i="53" s="1"/>
  <c r="AG17" i="51"/>
  <c r="AG18" i="51" s="1"/>
  <c r="AG17" i="55"/>
  <c r="AG18" i="55" s="1"/>
  <c r="AG17" i="39"/>
  <c r="AG18" i="39" s="1"/>
  <c r="AG17" i="9"/>
  <c r="AG18" i="9" s="1"/>
  <c r="AG17" i="17"/>
  <c r="AG18" i="17" s="1"/>
  <c r="AG17" i="7"/>
  <c r="AG18" i="7" s="1"/>
  <c r="AH34" i="37"/>
  <c r="AD42" i="37"/>
  <c r="AI39" i="37"/>
  <c r="V44" i="37"/>
  <c r="N44" i="37"/>
  <c r="V51" i="37"/>
  <c r="V52" i="37" s="1"/>
  <c r="N51" i="37"/>
  <c r="Z49" i="37"/>
  <c r="AG49" i="37"/>
  <c r="AC50" i="37"/>
  <c r="AD50" i="37" s="1"/>
  <c r="T61" i="37"/>
  <c r="AF61" i="37"/>
  <c r="AE69" i="37"/>
  <c r="AH68" i="37"/>
  <c r="AA79" i="37"/>
  <c r="AH78" i="37"/>
  <c r="AK83" i="37"/>
  <c r="AH94" i="37"/>
  <c r="AA98" i="37"/>
  <c r="AE73" i="4"/>
  <c r="AE77" i="4"/>
  <c r="AE81" i="4"/>
  <c r="AE85" i="4"/>
  <c r="AE89" i="4"/>
  <c r="AE97" i="4"/>
  <c r="AE61" i="4"/>
  <c r="AE65" i="4"/>
  <c r="AE69" i="4"/>
  <c r="AE37" i="4"/>
  <c r="AE45" i="4"/>
  <c r="AE49" i="4"/>
  <c r="AB43" i="4"/>
  <c r="AF51" i="4"/>
  <c r="AE47" i="4"/>
  <c r="AM51" i="4"/>
  <c r="AK50" i="4"/>
  <c r="AM47" i="4"/>
  <c r="AK46" i="4"/>
  <c r="AI45" i="4"/>
  <c r="AJ37" i="4"/>
  <c r="AK57" i="4"/>
  <c r="AK55" i="4"/>
  <c r="AJ67" i="4"/>
  <c r="AB62" i="4"/>
  <c r="AE62" i="4"/>
  <c r="AK69" i="4"/>
  <c r="AI68" i="4"/>
  <c r="AJ64" i="4"/>
  <c r="AM61" i="4"/>
  <c r="AJ60" i="4"/>
  <c r="AB91" i="4"/>
  <c r="AB86" i="4"/>
  <c r="AE86" i="4"/>
  <c r="AM98" i="4"/>
  <c r="AK97" i="4"/>
  <c r="AJ92" i="4"/>
  <c r="AM85" i="4"/>
  <c r="AK84" i="4"/>
  <c r="AI83" i="4"/>
  <c r="AM81" i="4"/>
  <c r="AK80" i="4"/>
  <c r="AJ75" i="4"/>
  <c r="AF101" i="4"/>
  <c r="AI101" i="4"/>
  <c r="AA103" i="4"/>
  <c r="AE64" i="6"/>
  <c r="AF59" i="6"/>
  <c r="AE55" i="6"/>
  <c r="AE51" i="6"/>
  <c r="AE39" i="6"/>
  <c r="AE34" i="6"/>
  <c r="AA132" i="6"/>
  <c r="AB47" i="6"/>
  <c r="AA124" i="6"/>
  <c r="AB39" i="6"/>
  <c r="AB62" i="6"/>
  <c r="AB105" i="6"/>
  <c r="AB100" i="6"/>
  <c r="AB91" i="6"/>
  <c r="AB73" i="6"/>
  <c r="AE109" i="6"/>
  <c r="AF103" i="6"/>
  <c r="AF96" i="6"/>
  <c r="AE72" i="6"/>
  <c r="AI88" i="6"/>
  <c r="AF146" i="6"/>
  <c r="AI147" i="6"/>
  <c r="AA22" i="7"/>
  <c r="AA45" i="7"/>
  <c r="AJ37" i="7"/>
  <c r="AF37" i="7"/>
  <c r="AB37" i="7"/>
  <c r="AH44" i="7"/>
  <c r="AM41" i="7"/>
  <c r="AK39" i="7"/>
  <c r="AI37" i="7"/>
  <c r="AA47" i="7"/>
  <c r="AI48" i="7"/>
  <c r="AJ51" i="7"/>
  <c r="AJ41" i="16"/>
  <c r="AJ44" i="16"/>
  <c r="AF44" i="16"/>
  <c r="AI44" i="16"/>
  <c r="AJ52" i="16"/>
  <c r="AF84" i="16"/>
  <c r="AB84" i="16"/>
  <c r="AJ84" i="16"/>
  <c r="AJ74" i="16"/>
  <c r="AF82" i="16"/>
  <c r="AI84" i="16"/>
  <c r="AF103" i="16"/>
  <c r="AB103" i="16"/>
  <c r="AJ103" i="16"/>
  <c r="AB98" i="16"/>
  <c r="AK105" i="16"/>
  <c r="AF35" i="17"/>
  <c r="AI35" i="17"/>
  <c r="AA48" i="9"/>
  <c r="K48" i="9"/>
  <c r="AF45" i="9"/>
  <c r="AI45" i="9"/>
  <c r="AB46" i="9"/>
  <c r="AF95" i="9"/>
  <c r="AI95" i="9"/>
  <c r="AA94" i="39"/>
  <c r="AB51" i="39"/>
  <c r="AF87" i="39"/>
  <c r="AA93" i="39"/>
  <c r="AI87" i="39"/>
  <c r="AB41" i="39"/>
  <c r="AB55" i="39"/>
  <c r="AF55" i="39"/>
  <c r="AI55" i="39"/>
  <c r="AI47" i="51"/>
  <c r="AF47" i="51"/>
  <c r="S61" i="37"/>
  <c r="B9" i="4"/>
  <c r="AB47" i="4"/>
  <c r="AB109" i="6"/>
  <c r="AB77" i="6"/>
  <c r="AF43" i="7"/>
  <c r="AB43" i="7"/>
  <c r="AI43" i="7"/>
  <c r="AJ43" i="7"/>
  <c r="AA35" i="7"/>
  <c r="AJ93" i="16"/>
  <c r="AJ101" i="16"/>
  <c r="AJ109" i="16"/>
  <c r="AJ117" i="16"/>
  <c r="AJ48" i="16"/>
  <c r="AF52" i="16"/>
  <c r="AJ63" i="16"/>
  <c r="AF63" i="16"/>
  <c r="AJ83" i="16"/>
  <c r="AJ75" i="16"/>
  <c r="AJ116" i="16"/>
  <c r="AF116" i="16"/>
  <c r="AI116" i="16"/>
  <c r="AF112" i="16"/>
  <c r="AI112" i="16"/>
  <c r="AI99" i="16"/>
  <c r="AF99" i="16"/>
  <c r="AJ99" i="16"/>
  <c r="AB99" i="16"/>
  <c r="K97" i="16"/>
  <c r="AA97" i="16"/>
  <c r="AC17" i="37"/>
  <c r="AC18" i="37" s="1"/>
  <c r="AH37" i="37"/>
  <c r="Z36" i="37"/>
  <c r="AG39" i="37"/>
  <c r="T44" i="37"/>
  <c r="Z43" i="37"/>
  <c r="AA69" i="37" s="1"/>
  <c r="AK39" i="37"/>
  <c r="AF50" i="37"/>
  <c r="AG50" i="37" s="1"/>
  <c r="AC51" i="37"/>
  <c r="AG57" i="37"/>
  <c r="AG55" i="37"/>
  <c r="AG59" i="37"/>
  <c r="AA68" i="37"/>
  <c r="AK67" i="37"/>
  <c r="AA78" i="37"/>
  <c r="M91" i="37"/>
  <c r="AE101" i="37"/>
  <c r="AG97" i="37"/>
  <c r="AB51" i="4"/>
  <c r="AE46" i="4"/>
  <c r="AF37" i="4"/>
  <c r="AJ51" i="4"/>
  <c r="AM48" i="4"/>
  <c r="AK47" i="4"/>
  <c r="AI46" i="4"/>
  <c r="AM35" i="4"/>
  <c r="K68" i="4"/>
  <c r="K64" i="4"/>
  <c r="K60" i="4"/>
  <c r="K56" i="4"/>
  <c r="AM56" i="4"/>
  <c r="AB70" i="4"/>
  <c r="AE70" i="4"/>
  <c r="AF65" i="4"/>
  <c r="AF60" i="4"/>
  <c r="AK70" i="4"/>
  <c r="AJ65" i="4"/>
  <c r="AM58" i="4"/>
  <c r="K84" i="4"/>
  <c r="AA90" i="4"/>
  <c r="AE98" i="4"/>
  <c r="AF89" i="4"/>
  <c r="AE80" i="4"/>
  <c r="AK98" i="4"/>
  <c r="AI97" i="4"/>
  <c r="AJ89" i="4"/>
  <c r="AM86" i="4"/>
  <c r="AK85" i="4"/>
  <c r="AM82" i="4"/>
  <c r="AK81" i="4"/>
  <c r="AI80" i="4"/>
  <c r="AA104" i="4"/>
  <c r="AH37" i="6"/>
  <c r="AH41" i="6"/>
  <c r="AH45" i="6"/>
  <c r="AH49" i="6"/>
  <c r="AH57" i="6"/>
  <c r="AH61" i="6"/>
  <c r="AH65" i="6"/>
  <c r="AH69" i="6"/>
  <c r="AE63" i="6"/>
  <c r="AE54" i="6"/>
  <c r="AE50" i="6"/>
  <c r="AE38" i="6"/>
  <c r="AH64" i="6"/>
  <c r="AI59" i="6"/>
  <c r="AH55" i="6"/>
  <c r="AH51" i="6"/>
  <c r="AH39" i="6"/>
  <c r="AH34" i="6"/>
  <c r="AI45" i="6"/>
  <c r="AF45" i="6"/>
  <c r="AI37" i="6"/>
  <c r="AF37" i="6"/>
  <c r="AB49" i="6"/>
  <c r="AB113" i="6"/>
  <c r="AB99" i="6"/>
  <c r="AB76" i="6"/>
  <c r="AF112" i="6"/>
  <c r="AE101" i="6"/>
  <c r="AF95" i="6"/>
  <c r="AE89" i="6"/>
  <c r="AF83" i="6"/>
  <c r="AF76" i="6"/>
  <c r="AI92" i="6"/>
  <c r="AI80" i="6"/>
  <c r="AF145" i="6"/>
  <c r="AA21" i="7"/>
  <c r="AA63" i="7" s="1"/>
  <c r="AA67" i="7" s="1"/>
  <c r="AM43" i="7"/>
  <c r="AK41" i="7"/>
  <c r="AA16" i="16"/>
  <c r="AK36" i="16"/>
  <c r="AB38" i="16"/>
  <c r="AI38" i="16"/>
  <c r="AJ38" i="16"/>
  <c r="AF38" i="16"/>
  <c r="AF51" i="16"/>
  <c r="AI56" i="16"/>
  <c r="AJ56" i="16"/>
  <c r="AI61" i="16"/>
  <c r="AJ61" i="16"/>
  <c r="AF61" i="16"/>
  <c r="AJ66" i="16"/>
  <c r="AI63" i="16"/>
  <c r="AI88" i="16"/>
  <c r="AJ88" i="16"/>
  <c r="AF88" i="16"/>
  <c r="AB88" i="16"/>
  <c r="AI78" i="16"/>
  <c r="AJ78" i="16"/>
  <c r="AF78" i="16"/>
  <c r="K119" i="16"/>
  <c r="AF95" i="16"/>
  <c r="AB95" i="16"/>
  <c r="AJ95" i="16"/>
  <c r="AK113" i="16"/>
  <c r="AI95" i="16"/>
  <c r="AA19" i="17"/>
  <c r="AB62" i="17" s="1"/>
  <c r="AF62" i="17"/>
  <c r="AI62" i="17"/>
  <c r="AF49" i="17"/>
  <c r="AI49" i="17"/>
  <c r="AB49" i="17"/>
  <c r="AA50" i="17"/>
  <c r="AF41" i="17"/>
  <c r="AI41" i="17"/>
  <c r="AF111" i="17"/>
  <c r="AI111" i="17"/>
  <c r="AA128" i="17"/>
  <c r="AA40" i="9"/>
  <c r="K40" i="9"/>
  <c r="AF37" i="9"/>
  <c r="AI37" i="9"/>
  <c r="AF38" i="9"/>
  <c r="AI38" i="9"/>
  <c r="AA109" i="9"/>
  <c r="K109" i="9"/>
  <c r="AF103" i="9"/>
  <c r="AI103" i="9"/>
  <c r="K67" i="51"/>
  <c r="AA67" i="51"/>
  <c r="AF62" i="51"/>
  <c r="AI62" i="51"/>
  <c r="AB81" i="4"/>
  <c r="AA123" i="6"/>
  <c r="AB38" i="6"/>
  <c r="B10" i="35"/>
  <c r="B10" i="36"/>
  <c r="B10" i="34"/>
  <c r="B10" i="33"/>
  <c r="B10" i="32"/>
  <c r="B10" i="31"/>
  <c r="B10" i="30"/>
  <c r="B10" i="29"/>
  <c r="B10" i="27"/>
  <c r="B10" i="28"/>
  <c r="B10" i="26"/>
  <c r="B10" i="25"/>
  <c r="B10" i="23"/>
  <c r="B10" i="19"/>
  <c r="B10" i="20"/>
  <c r="B10" i="22"/>
  <c r="B10" i="21"/>
  <c r="B10" i="24"/>
  <c r="B10" i="18"/>
  <c r="B10" i="15"/>
  <c r="B10" i="60"/>
  <c r="B10" i="13"/>
  <c r="B10" i="59"/>
  <c r="B10" i="11"/>
  <c r="B10" i="58"/>
  <c r="B10" i="54"/>
  <c r="B10" i="57"/>
  <c r="B10" i="52"/>
  <c r="B10" i="53"/>
  <c r="B10" i="56"/>
  <c r="B10" i="55"/>
  <c r="B10" i="39"/>
  <c r="B10" i="9"/>
  <c r="B10" i="17"/>
  <c r="B10" i="51"/>
  <c r="AK37" i="37"/>
  <c r="AE40" i="37"/>
  <c r="S44" i="37"/>
  <c r="AA47" i="37"/>
  <c r="AD49" i="37"/>
  <c r="Y61" i="37"/>
  <c r="Q61" i="37"/>
  <c r="AH63" i="37"/>
  <c r="AE105" i="37"/>
  <c r="AA36" i="4"/>
  <c r="K36" i="4"/>
  <c r="AA42" i="4"/>
  <c r="AF45" i="4"/>
  <c r="AM44" i="4"/>
  <c r="AJ43" i="4"/>
  <c r="AM40" i="4"/>
  <c r="AB65" i="4"/>
  <c r="AF64" i="4"/>
  <c r="AM67" i="4"/>
  <c r="AM63" i="4"/>
  <c r="AB98" i="4"/>
  <c r="AB89" i="4"/>
  <c r="AJ85" i="4"/>
  <c r="AF97" i="4"/>
  <c r="AJ98" i="4"/>
  <c r="AM95" i="4"/>
  <c r="AM91" i="4"/>
  <c r="AK90" i="4"/>
  <c r="AI85" i="4"/>
  <c r="AM78" i="4"/>
  <c r="AK77" i="4"/>
  <c r="AM74" i="4"/>
  <c r="AK73" i="4"/>
  <c r="AF62" i="6"/>
  <c r="AI38" i="6"/>
  <c r="AB56" i="6"/>
  <c r="AB112" i="6"/>
  <c r="AB103" i="6"/>
  <c r="AB85" i="6"/>
  <c r="AB80" i="6"/>
  <c r="AF100" i="6"/>
  <c r="AF135" i="6"/>
  <c r="AA150" i="6"/>
  <c r="AF152" i="6"/>
  <c r="AM40" i="7"/>
  <c r="AM51" i="7"/>
  <c r="AM39" i="7"/>
  <c r="AM48" i="7"/>
  <c r="AM38" i="7"/>
  <c r="AM36" i="7"/>
  <c r="AM44" i="7"/>
  <c r="AI36" i="7"/>
  <c r="AJ36" i="7"/>
  <c r="AF36" i="7"/>
  <c r="AB36" i="7"/>
  <c r="AA42" i="7"/>
  <c r="AM45" i="7"/>
  <c r="AJ34" i="7"/>
  <c r="AA74" i="7"/>
  <c r="AJ39" i="16"/>
  <c r="AI39" i="16"/>
  <c r="AF39" i="16"/>
  <c r="AB36" i="16"/>
  <c r="AF36" i="16"/>
  <c r="AJ36" i="16"/>
  <c r="AI36" i="16"/>
  <c r="AJ51" i="16"/>
  <c r="AB52" i="16"/>
  <c r="AJ108" i="16"/>
  <c r="AF108" i="16"/>
  <c r="AI108" i="16"/>
  <c r="AF104" i="16"/>
  <c r="AI104" i="16"/>
  <c r="AB116" i="16"/>
  <c r="AF58" i="17"/>
  <c r="AI58" i="17"/>
  <c r="AA59" i="17"/>
  <c r="AB58" i="17"/>
  <c r="AA127" i="17"/>
  <c r="AM80" i="4"/>
  <c r="AM88" i="4"/>
  <c r="AM96" i="4"/>
  <c r="AM62" i="4"/>
  <c r="AM70" i="4"/>
  <c r="AM37" i="4"/>
  <c r="AM45" i="4"/>
  <c r="AN45" i="4" s="1"/>
  <c r="AI43" i="4"/>
  <c r="AM36" i="4"/>
  <c r="AM59" i="4"/>
  <c r="AM87" i="4"/>
  <c r="AJ86" i="4"/>
  <c r="AM83" i="4"/>
  <c r="AJ100" i="4"/>
  <c r="AA70" i="7"/>
  <c r="AF40" i="7"/>
  <c r="AB40" i="7"/>
  <c r="AI40" i="7"/>
  <c r="AI56" i="7"/>
  <c r="AF56" i="7"/>
  <c r="AB56" i="7"/>
  <c r="AA58" i="7"/>
  <c r="AJ54" i="16"/>
  <c r="AI67" i="16"/>
  <c r="AJ67" i="16"/>
  <c r="AJ82" i="16"/>
  <c r="AF76" i="16"/>
  <c r="AB76" i="16"/>
  <c r="AJ76" i="16"/>
  <c r="AF119" i="16"/>
  <c r="AB119" i="16"/>
  <c r="AJ119" i="16"/>
  <c r="AB114" i="16"/>
  <c r="AJ120" i="16"/>
  <c r="AJ112" i="16"/>
  <c r="AI67" i="9"/>
  <c r="AF67" i="9"/>
  <c r="AF78" i="9"/>
  <c r="AI78" i="9"/>
  <c r="AF101" i="51"/>
  <c r="AB101" i="51"/>
  <c r="AI101" i="51"/>
  <c r="AJ77" i="4"/>
  <c r="AA131" i="6"/>
  <c r="AB46" i="6"/>
  <c r="AA138" i="6"/>
  <c r="B4" i="35"/>
  <c r="B4" i="36"/>
  <c r="B4" i="34"/>
  <c r="B4" i="33"/>
  <c r="B4" i="32"/>
  <c r="B4" i="31"/>
  <c r="B4" i="30"/>
  <c r="B4" i="29"/>
  <c r="B4" i="27"/>
  <c r="B4" i="28"/>
  <c r="B4" i="26"/>
  <c r="B4" i="25"/>
  <c r="B4" i="23"/>
  <c r="B4" i="19"/>
  <c r="B4" i="20"/>
  <c r="B4" i="22"/>
  <c r="B4" i="21"/>
  <c r="B4" i="24"/>
  <c r="B4" i="18"/>
  <c r="B4" i="15"/>
  <c r="B4" i="60"/>
  <c r="B4" i="13"/>
  <c r="B4" i="59"/>
  <c r="B4" i="11"/>
  <c r="B4" i="58"/>
  <c r="B4" i="54"/>
  <c r="B4" i="57"/>
  <c r="B4" i="52"/>
  <c r="B4" i="53"/>
  <c r="B4" i="56"/>
  <c r="B4" i="55"/>
  <c r="B4" i="39"/>
  <c r="B4" i="9"/>
  <c r="B4" i="17"/>
  <c r="B4" i="51"/>
  <c r="B4" i="7"/>
  <c r="I21" i="7" s="1"/>
  <c r="X61" i="37"/>
  <c r="P61" i="37"/>
  <c r="B4" i="4"/>
  <c r="AA40" i="4"/>
  <c r="K40" i="4"/>
  <c r="AM49" i="4"/>
  <c r="AF68" i="4"/>
  <c r="AJ62" i="4"/>
  <c r="AA79" i="4"/>
  <c r="K79" i="4"/>
  <c r="AB75" i="4"/>
  <c r="AF83" i="4"/>
  <c r="AI77" i="4"/>
  <c r="AJ41" i="7"/>
  <c r="AF41" i="7"/>
  <c r="AB41" i="7"/>
  <c r="AM51" i="16"/>
  <c r="AN51" i="16"/>
  <c r="AD16" i="36"/>
  <c r="AD16" i="33"/>
  <c r="AD16" i="34"/>
  <c r="AD16" i="35"/>
  <c r="AD16" i="32"/>
  <c r="AD16" i="31"/>
  <c r="AD16" i="30"/>
  <c r="AD16" i="29"/>
  <c r="AD16" i="28"/>
  <c r="AD16" i="27"/>
  <c r="AD16" i="26"/>
  <c r="AD16" i="23"/>
  <c r="AD16" i="25"/>
  <c r="AD16" i="20"/>
  <c r="AD16" i="22"/>
  <c r="AD16" i="21"/>
  <c r="AD16" i="18"/>
  <c r="AC16" i="24"/>
  <c r="AD16" i="19"/>
  <c r="AD16" i="15"/>
  <c r="AD16" i="60"/>
  <c r="AD16" i="13"/>
  <c r="AD16" i="59"/>
  <c r="AD16" i="58"/>
  <c r="AD16" i="11"/>
  <c r="AD16" i="57"/>
  <c r="AD16" i="54"/>
  <c r="AD16" i="52"/>
  <c r="AD16" i="53"/>
  <c r="AD16" i="56"/>
  <c r="AD16" i="55"/>
  <c r="AD16" i="39"/>
  <c r="AD16" i="51"/>
  <c r="AD16" i="7"/>
  <c r="AD16" i="16"/>
  <c r="AD16" i="6"/>
  <c r="AI40" i="37"/>
  <c r="Y44" i="37"/>
  <c r="Q44" i="37"/>
  <c r="AK48" i="37"/>
  <c r="AA63" i="37"/>
  <c r="AE56" i="37"/>
  <c r="AD67" i="37"/>
  <c r="AI67" i="37" s="1"/>
  <c r="AG69" i="37"/>
  <c r="AG87" i="37"/>
  <c r="N95" i="37"/>
  <c r="AA104" i="37"/>
  <c r="AE104" i="37"/>
  <c r="AA44" i="4"/>
  <c r="K44" i="4"/>
  <c r="K41" i="4"/>
  <c r="AB45" i="4"/>
  <c r="AE44" i="4"/>
  <c r="AE40" i="4"/>
  <c r="AF35" i="4"/>
  <c r="AM41" i="4"/>
  <c r="AK40" i="4"/>
  <c r="AK36" i="4"/>
  <c r="AE68" i="4"/>
  <c r="AE59" i="4"/>
  <c r="AM68" i="4"/>
  <c r="AN68" i="4" s="1"/>
  <c r="AK67" i="4"/>
  <c r="AM64" i="4"/>
  <c r="AK63" i="4"/>
  <c r="AI62" i="4"/>
  <c r="AA87" i="4"/>
  <c r="K87" i="4"/>
  <c r="AB74" i="4"/>
  <c r="AE96" i="4"/>
  <c r="AE92" i="4"/>
  <c r="AE83" i="4"/>
  <c r="AM92" i="4"/>
  <c r="AK91" i="4"/>
  <c r="AK87" i="4"/>
  <c r="AI86" i="4"/>
  <c r="AM79" i="4"/>
  <c r="AM75" i="4"/>
  <c r="AK74" i="4"/>
  <c r="AB101" i="4"/>
  <c r="AM101" i="4"/>
  <c r="AN101" i="4" s="1"/>
  <c r="AK100" i="4"/>
  <c r="AE47" i="6"/>
  <c r="AE42" i="6"/>
  <c r="AI62" i="6"/>
  <c r="AB64" i="6"/>
  <c r="AB59" i="6"/>
  <c r="AB111" i="6"/>
  <c r="AB93" i="6"/>
  <c r="AB79" i="6"/>
  <c r="AF115" i="6"/>
  <c r="AF99" i="6"/>
  <c r="AF92" i="6"/>
  <c r="AF87" i="6"/>
  <c r="AH56" i="7"/>
  <c r="AH60" i="7"/>
  <c r="AI44" i="7"/>
  <c r="AJ44" i="7"/>
  <c r="AF44" i="7"/>
  <c r="AB44" i="7"/>
  <c r="AF39" i="7"/>
  <c r="AB39" i="7"/>
  <c r="AM42" i="7"/>
  <c r="AK47" i="7"/>
  <c r="AI60" i="7"/>
  <c r="AF60" i="7"/>
  <c r="AB60" i="7"/>
  <c r="AA57" i="7"/>
  <c r="B4" i="16"/>
  <c r="AJ43" i="16"/>
  <c r="AB39" i="16"/>
  <c r="K41" i="16"/>
  <c r="AJ47" i="16"/>
  <c r="AF54" i="16"/>
  <c r="AB54" i="16"/>
  <c r="AI54" i="16"/>
  <c r="AJ50" i="16"/>
  <c r="AF50" i="16"/>
  <c r="AB50" i="16"/>
  <c r="AI50" i="16"/>
  <c r="AK67" i="16"/>
  <c r="AK65" i="16"/>
  <c r="AF74" i="16"/>
  <c r="AI115" i="16"/>
  <c r="AF115" i="16"/>
  <c r="AJ115" i="16"/>
  <c r="AB115" i="16"/>
  <c r="K113" i="16"/>
  <c r="AA113" i="16"/>
  <c r="AJ100" i="16"/>
  <c r="AF100" i="16"/>
  <c r="AI100" i="16"/>
  <c r="AF96" i="16"/>
  <c r="AI96" i="16"/>
  <c r="AK119" i="16"/>
  <c r="AK111" i="16"/>
  <c r="AF120" i="16"/>
  <c r="AI120" i="16"/>
  <c r="AK122" i="16"/>
  <c r="AI87" i="17"/>
  <c r="AA90" i="17"/>
  <c r="AF87" i="17"/>
  <c r="R129" i="17"/>
  <c r="AI142" i="17"/>
  <c r="AF142" i="17"/>
  <c r="AF146" i="17"/>
  <c r="AI146" i="17"/>
  <c r="AM69" i="9"/>
  <c r="AN69" i="9"/>
  <c r="AF119" i="9"/>
  <c r="AI119" i="9"/>
  <c r="AB89" i="6"/>
  <c r="AA72" i="7"/>
  <c r="AN62" i="16"/>
  <c r="AD17" i="36"/>
  <c r="AD18" i="36" s="1"/>
  <c r="AD17" i="35"/>
  <c r="AD18" i="35" s="1"/>
  <c r="AD17" i="33"/>
  <c r="AD18" i="33" s="1"/>
  <c r="AD17" i="34"/>
  <c r="AD18" i="34" s="1"/>
  <c r="AD17" i="32"/>
  <c r="AD18" i="32" s="1"/>
  <c r="AD17" i="31"/>
  <c r="AD18" i="31" s="1"/>
  <c r="AD17" i="30"/>
  <c r="AD18" i="30" s="1"/>
  <c r="AD17" i="29"/>
  <c r="AD18" i="29" s="1"/>
  <c r="AD17" i="28"/>
  <c r="AD18" i="28" s="1"/>
  <c r="AD17" i="27"/>
  <c r="AD18" i="27" s="1"/>
  <c r="AD17" i="26"/>
  <c r="AD18" i="26" s="1"/>
  <c r="AD17" i="25"/>
  <c r="AD18" i="25" s="1"/>
  <c r="AD17" i="23"/>
  <c r="AD18" i="23" s="1"/>
  <c r="AD17" i="19"/>
  <c r="AD18" i="19" s="1"/>
  <c r="AD17" i="20"/>
  <c r="AD18" i="20" s="1"/>
  <c r="AD17" i="22"/>
  <c r="AD18" i="22" s="1"/>
  <c r="AD17" i="21"/>
  <c r="AD18" i="21" s="1"/>
  <c r="AD17" i="18"/>
  <c r="AD18" i="18" s="1"/>
  <c r="AC17" i="24"/>
  <c r="AC18" i="24" s="1"/>
  <c r="AD17" i="60"/>
  <c r="AD18" i="60" s="1"/>
  <c r="AD17" i="15"/>
  <c r="AD18" i="15" s="1"/>
  <c r="AD17" i="13"/>
  <c r="AD18" i="13" s="1"/>
  <c r="AD17" i="59"/>
  <c r="AD18" i="59" s="1"/>
  <c r="AD17" i="11"/>
  <c r="AD18" i="11" s="1"/>
  <c r="AD17" i="58"/>
  <c r="AD18" i="58" s="1"/>
  <c r="AD17" i="54"/>
  <c r="AD18" i="54" s="1"/>
  <c r="AD17" i="57"/>
  <c r="AD18" i="57" s="1"/>
  <c r="AD17" i="52"/>
  <c r="AD18" i="52" s="1"/>
  <c r="AD17" i="53"/>
  <c r="AD18" i="53" s="1"/>
  <c r="AD17" i="56"/>
  <c r="AD18" i="56" s="1"/>
  <c r="AD17" i="51"/>
  <c r="AD18" i="51" s="1"/>
  <c r="AD17" i="55"/>
  <c r="AD18" i="55" s="1"/>
  <c r="AD17" i="39"/>
  <c r="AD18" i="39" s="1"/>
  <c r="AD17" i="9"/>
  <c r="AD18" i="9" s="1"/>
  <c r="AD17" i="7"/>
  <c r="AD18" i="7" s="1"/>
  <c r="AD17" i="16"/>
  <c r="AD18" i="16" s="1"/>
  <c r="AD17" i="6"/>
  <c r="AD18" i="6" s="1"/>
  <c r="AD17" i="17"/>
  <c r="AD18" i="17" s="1"/>
  <c r="AA99" i="37"/>
  <c r="AA48" i="4"/>
  <c r="K48" i="4"/>
  <c r="AB35" i="4"/>
  <c r="AM50" i="4"/>
  <c r="AM46" i="4"/>
  <c r="AM57" i="4"/>
  <c r="AB68" i="4"/>
  <c r="AJ59" i="4"/>
  <c r="AM60" i="4"/>
  <c r="AA95" i="4"/>
  <c r="K95" i="4"/>
  <c r="AB92" i="4"/>
  <c r="AA88" i="4"/>
  <c r="AB83" i="4"/>
  <c r="AM97" i="4"/>
  <c r="AK96" i="4"/>
  <c r="AM84" i="4"/>
  <c r="AK83" i="4"/>
  <c r="AJ74" i="4"/>
  <c r="AI100" i="4"/>
  <c r="B9" i="6"/>
  <c r="AE74" i="6"/>
  <c r="AE78" i="6"/>
  <c r="AE82" i="6"/>
  <c r="AE86" i="6"/>
  <c r="AE90" i="6"/>
  <c r="AE94" i="6"/>
  <c r="AE98" i="6"/>
  <c r="AE102" i="6"/>
  <c r="AE106" i="6"/>
  <c r="AE75" i="6"/>
  <c r="AE79" i="6"/>
  <c r="AE83" i="6"/>
  <c r="AE87" i="6"/>
  <c r="AE95" i="6"/>
  <c r="AE99" i="6"/>
  <c r="AE103" i="6"/>
  <c r="AE107" i="6"/>
  <c r="AE56" i="6"/>
  <c r="AE52" i="6"/>
  <c r="AF46" i="6"/>
  <c r="AE40" i="6"/>
  <c r="AI49" i="6"/>
  <c r="AF49" i="6"/>
  <c r="AI41" i="6"/>
  <c r="AF41" i="6"/>
  <c r="AB68" i="6"/>
  <c r="AB63" i="6"/>
  <c r="AB54" i="6"/>
  <c r="AB115" i="6"/>
  <c r="AB97" i="6"/>
  <c r="AB83" i="6"/>
  <c r="AE92" i="6"/>
  <c r="AE80" i="6"/>
  <c r="AE73" i="6"/>
  <c r="AF129" i="6"/>
  <c r="AI148" i="6"/>
  <c r="AA130" i="6"/>
  <c r="AH35" i="7"/>
  <c r="AH43" i="7"/>
  <c r="AH34" i="7"/>
  <c r="AH42" i="7"/>
  <c r="AH41" i="7"/>
  <c r="AH39" i="7"/>
  <c r="AJ40" i="7"/>
  <c r="AH38" i="7"/>
  <c r="AM35" i="7"/>
  <c r="AI55" i="7"/>
  <c r="AF55" i="7"/>
  <c r="AB55" i="7"/>
  <c r="AF46" i="16"/>
  <c r="AI46" i="16"/>
  <c r="AJ46" i="16"/>
  <c r="AJ62" i="16"/>
  <c r="AI62" i="16"/>
  <c r="AF65" i="16"/>
  <c r="AJ65" i="16"/>
  <c r="AA126" i="16"/>
  <c r="AF70" i="16"/>
  <c r="AI70" i="16"/>
  <c r="AB70" i="16"/>
  <c r="AI86" i="16"/>
  <c r="AJ86" i="16"/>
  <c r="AI80" i="16"/>
  <c r="AJ80" i="16"/>
  <c r="AF80" i="16"/>
  <c r="AB80" i="16"/>
  <c r="AB82" i="16"/>
  <c r="AF86" i="16"/>
  <c r="AK76" i="16"/>
  <c r="AF111" i="16"/>
  <c r="AB111" i="16"/>
  <c r="AJ111" i="16"/>
  <c r="AB112" i="16"/>
  <c r="AI119" i="16"/>
  <c r="AI111" i="16"/>
  <c r="AI54" i="9"/>
  <c r="AF54" i="9"/>
  <c r="AI63" i="9"/>
  <c r="AF63" i="9"/>
  <c r="AE87" i="37"/>
  <c r="AA103" i="37"/>
  <c r="AH98" i="37"/>
  <c r="AK101" i="4"/>
  <c r="AK78" i="4"/>
  <c r="AK86" i="4"/>
  <c r="AK94" i="4"/>
  <c r="AK60" i="4"/>
  <c r="AK68" i="4"/>
  <c r="AL68" i="4" s="1"/>
  <c r="AK35" i="4"/>
  <c r="AK43" i="4"/>
  <c r="AK51" i="4"/>
  <c r="AG17" i="4"/>
  <c r="AG18" i="4" s="1"/>
  <c r="K49" i="4"/>
  <c r="AB39" i="4"/>
  <c r="AM42" i="4"/>
  <c r="AK41" i="4"/>
  <c r="AM38" i="4"/>
  <c r="AK37" i="4"/>
  <c r="AM55" i="4"/>
  <c r="AB67" i="4"/>
  <c r="AM69" i="4"/>
  <c r="AM65" i="4"/>
  <c r="AK64" i="4"/>
  <c r="AI59" i="4"/>
  <c r="K83" i="4"/>
  <c r="K78" i="4"/>
  <c r="AB96" i="4"/>
  <c r="AE95" i="4"/>
  <c r="AE91" i="4"/>
  <c r="AE82" i="4"/>
  <c r="AF77" i="4"/>
  <c r="AM93" i="4"/>
  <c r="AK92" i="4"/>
  <c r="AM89" i="4"/>
  <c r="AK88" i="4"/>
  <c r="AM76" i="4"/>
  <c r="AK75" i="4"/>
  <c r="AB100" i="4"/>
  <c r="AE37" i="6"/>
  <c r="AE41" i="6"/>
  <c r="AE45" i="6"/>
  <c r="AE49" i="6"/>
  <c r="AE57" i="6"/>
  <c r="AE61" i="6"/>
  <c r="AE65" i="6"/>
  <c r="AE69" i="6"/>
  <c r="AE60" i="6"/>
  <c r="AE46" i="6"/>
  <c r="AI48" i="6"/>
  <c r="AF48" i="6"/>
  <c r="AA133" i="6"/>
  <c r="AB48" i="6"/>
  <c r="AI40" i="6"/>
  <c r="AF40" i="6"/>
  <c r="AA125" i="6"/>
  <c r="AB40" i="6"/>
  <c r="AB101" i="6"/>
  <c r="AE97" i="6"/>
  <c r="AF91" i="6"/>
  <c r="AE85" i="6"/>
  <c r="B10" i="7"/>
  <c r="AK48" i="7"/>
  <c r="AK38" i="7"/>
  <c r="AK50" i="7"/>
  <c r="AK37" i="7"/>
  <c r="AK45" i="7"/>
  <c r="AK36" i="7"/>
  <c r="AK44" i="7"/>
  <c r="AK34" i="7"/>
  <c r="AK42" i="7"/>
  <c r="AA68" i="7"/>
  <c r="AM37" i="7"/>
  <c r="AK35" i="7"/>
  <c r="AK51" i="7"/>
  <c r="AK93" i="16"/>
  <c r="AK101" i="16"/>
  <c r="AK109" i="16"/>
  <c r="AK117" i="16"/>
  <c r="AK74" i="16"/>
  <c r="AK82" i="16"/>
  <c r="AK63" i="16"/>
  <c r="AK51" i="16"/>
  <c r="AK40" i="16"/>
  <c r="AK48" i="16"/>
  <c r="AK100" i="16"/>
  <c r="AK108" i="16"/>
  <c r="AK116" i="16"/>
  <c r="AK81" i="16"/>
  <c r="AK89" i="16"/>
  <c r="AK62" i="16"/>
  <c r="AK50" i="16"/>
  <c r="AK37" i="16"/>
  <c r="AK45" i="16"/>
  <c r="AK92" i="16"/>
  <c r="AK99" i="16"/>
  <c r="AK107" i="16"/>
  <c r="AK115" i="16"/>
  <c r="AK80" i="16"/>
  <c r="AK88" i="16"/>
  <c r="AK61" i="16"/>
  <c r="AK49" i="16"/>
  <c r="AK42" i="16"/>
  <c r="AK98" i="16"/>
  <c r="AK106" i="16"/>
  <c r="AK114" i="16"/>
  <c r="AK79" i="16"/>
  <c r="AK87" i="16"/>
  <c r="AK60" i="16"/>
  <c r="AK68" i="16"/>
  <c r="AK56" i="16"/>
  <c r="AK39" i="16"/>
  <c r="AK47" i="16"/>
  <c r="AK96" i="16"/>
  <c r="AK104" i="16"/>
  <c r="AK112" i="16"/>
  <c r="AK120" i="16"/>
  <c r="AK77" i="16"/>
  <c r="AK85" i="16"/>
  <c r="AK66" i="16"/>
  <c r="AK54" i="16"/>
  <c r="AK41" i="16"/>
  <c r="AK94" i="16"/>
  <c r="AK102" i="16"/>
  <c r="AK110" i="16"/>
  <c r="AK118" i="16"/>
  <c r="AK75" i="16"/>
  <c r="AK83" i="16"/>
  <c r="AK64" i="16"/>
  <c r="AK52" i="16"/>
  <c r="AK35" i="16"/>
  <c r="AK43" i="16"/>
  <c r="K37" i="16"/>
  <c r="AA37" i="16"/>
  <c r="AJ40" i="16"/>
  <c r="AB41" i="16"/>
  <c r="AI41" i="16"/>
  <c r="AF41" i="16"/>
  <c r="AJ45" i="16"/>
  <c r="AF53" i="16"/>
  <c r="AB53" i="16"/>
  <c r="AJ53" i="16"/>
  <c r="AI49" i="16"/>
  <c r="AF49" i="16"/>
  <c r="AB49" i="16"/>
  <c r="AJ49" i="16"/>
  <c r="AM55" i="16"/>
  <c r="AI53" i="16"/>
  <c r="AM64" i="16"/>
  <c r="AN64" i="16"/>
  <c r="AK70" i="16"/>
  <c r="AE70" i="16"/>
  <c r="AK84" i="16"/>
  <c r="AI76" i="16"/>
  <c r="AI107" i="16"/>
  <c r="AF107" i="16"/>
  <c r="AJ107" i="16"/>
  <c r="AB107" i="16"/>
  <c r="K105" i="16"/>
  <c r="AA105" i="16"/>
  <c r="AI92" i="16"/>
  <c r="AJ92" i="16"/>
  <c r="AF92" i="16"/>
  <c r="AB100" i="16"/>
  <c r="AF122" i="16"/>
  <c r="AJ122" i="16"/>
  <c r="AF95" i="17"/>
  <c r="AI95" i="17"/>
  <c r="AI50" i="9"/>
  <c r="AF50" i="9"/>
  <c r="AE87" i="16"/>
  <c r="AE83" i="16"/>
  <c r="AE79" i="16"/>
  <c r="AE75" i="16"/>
  <c r="AH88" i="16"/>
  <c r="AL84" i="16"/>
  <c r="AH80" i="16"/>
  <c r="AL76" i="16"/>
  <c r="AA118" i="16"/>
  <c r="AA110" i="16"/>
  <c r="AA102" i="16"/>
  <c r="AA94" i="16"/>
  <c r="AE111" i="16"/>
  <c r="AE107" i="16"/>
  <c r="AE103" i="16"/>
  <c r="AE99" i="16"/>
  <c r="AE95" i="16"/>
  <c r="AL119" i="16"/>
  <c r="AH115" i="16"/>
  <c r="AL111" i="16"/>
  <c r="AH107" i="16"/>
  <c r="AL103" i="16"/>
  <c r="AH99" i="16"/>
  <c r="AL95" i="16"/>
  <c r="AL122" i="16"/>
  <c r="U129" i="17"/>
  <c r="AA36" i="9"/>
  <c r="K36" i="9"/>
  <c r="AF69" i="9"/>
  <c r="AI69" i="9"/>
  <c r="AB83" i="9"/>
  <c r="AF83" i="9"/>
  <c r="AM69" i="51"/>
  <c r="AN69" i="51"/>
  <c r="AI103" i="51"/>
  <c r="AF103" i="51"/>
  <c r="AI47" i="16"/>
  <c r="AE56" i="16"/>
  <c r="AE52" i="16"/>
  <c r="AE86" i="16"/>
  <c r="AE82" i="16"/>
  <c r="AE78" i="16"/>
  <c r="AE74" i="16"/>
  <c r="AL86" i="16"/>
  <c r="AI83" i="16"/>
  <c r="AL78" i="16"/>
  <c r="AI75" i="16"/>
  <c r="AH74" i="16"/>
  <c r="AE110" i="16"/>
  <c r="AE106" i="16"/>
  <c r="AM106" i="16" s="1"/>
  <c r="AE102" i="16"/>
  <c r="AE98" i="16"/>
  <c r="AE94" i="16"/>
  <c r="AH117" i="16"/>
  <c r="AL113" i="16"/>
  <c r="AH109" i="16"/>
  <c r="AL105" i="16"/>
  <c r="AH101" i="16"/>
  <c r="AL97" i="16"/>
  <c r="AL123" i="16"/>
  <c r="G42" i="17"/>
  <c r="T129" i="17"/>
  <c r="AI57" i="9"/>
  <c r="AF57" i="9"/>
  <c r="AA72" i="9"/>
  <c r="AF94" i="9"/>
  <c r="AI94" i="9"/>
  <c r="AI45" i="39"/>
  <c r="AF45" i="39"/>
  <c r="AB45" i="39"/>
  <c r="AI43" i="51"/>
  <c r="AF43" i="51"/>
  <c r="AN55" i="51"/>
  <c r="AM55" i="51"/>
  <c r="AB48" i="55"/>
  <c r="AB49" i="55"/>
  <c r="AB103" i="55"/>
  <c r="AB99" i="55"/>
  <c r="AB45" i="55"/>
  <c r="AB46" i="55"/>
  <c r="AB39" i="55"/>
  <c r="AB47" i="55"/>
  <c r="AH116" i="6"/>
  <c r="AH104" i="6"/>
  <c r="AH96" i="6"/>
  <c r="AH92" i="6"/>
  <c r="AH88" i="6"/>
  <c r="AH84" i="6"/>
  <c r="AH80" i="6"/>
  <c r="AH76" i="6"/>
  <c r="AH72" i="6"/>
  <c r="AA149" i="6"/>
  <c r="AA141" i="6"/>
  <c r="AL42" i="16"/>
  <c r="AA35" i="16"/>
  <c r="AJ55" i="16"/>
  <c r="AH53" i="16"/>
  <c r="AL49" i="16"/>
  <c r="AN63" i="16"/>
  <c r="AL61" i="16"/>
  <c r="AA64" i="16"/>
  <c r="K88" i="16"/>
  <c r="K84" i="16"/>
  <c r="K80" i="16"/>
  <c r="K76" i="16"/>
  <c r="AA89" i="16"/>
  <c r="AA85" i="16"/>
  <c r="AA81" i="16"/>
  <c r="AA77" i="16"/>
  <c r="AE89" i="16"/>
  <c r="AE85" i="16"/>
  <c r="AE81" i="16"/>
  <c r="AE77" i="16"/>
  <c r="AL88" i="16"/>
  <c r="AH84" i="16"/>
  <c r="AL80" i="16"/>
  <c r="K112" i="16"/>
  <c r="K104" i="16"/>
  <c r="K96" i="16"/>
  <c r="AE117" i="16"/>
  <c r="AE109" i="16"/>
  <c r="AE105" i="16"/>
  <c r="AE101" i="16"/>
  <c r="AE93" i="16"/>
  <c r="AL115" i="16"/>
  <c r="AH111" i="16"/>
  <c r="AL107" i="16"/>
  <c r="AH103" i="16"/>
  <c r="AL99" i="16"/>
  <c r="AH95" i="16"/>
  <c r="AL92" i="16"/>
  <c r="AJ123" i="16"/>
  <c r="AH122" i="16"/>
  <c r="AF67" i="17"/>
  <c r="AI67" i="17"/>
  <c r="AA60" i="17"/>
  <c r="AI57" i="17"/>
  <c r="AA154" i="17"/>
  <c r="AA155" i="17"/>
  <c r="AF73" i="17"/>
  <c r="AF84" i="17"/>
  <c r="AB118" i="17"/>
  <c r="AI118" i="17"/>
  <c r="AL120" i="9"/>
  <c r="AL96" i="9"/>
  <c r="AL104" i="9"/>
  <c r="AL112" i="9"/>
  <c r="AL82" i="9"/>
  <c r="AL90" i="9"/>
  <c r="AL119" i="9"/>
  <c r="AL95" i="9"/>
  <c r="AL103" i="9"/>
  <c r="AL111" i="9"/>
  <c r="AL81" i="9"/>
  <c r="AL89" i="9"/>
  <c r="AL93" i="9"/>
  <c r="AL101" i="9"/>
  <c r="AL109" i="9"/>
  <c r="AL117" i="9"/>
  <c r="AL79" i="9"/>
  <c r="AL87" i="9"/>
  <c r="AL99" i="9"/>
  <c r="AL107" i="9"/>
  <c r="AL115" i="9"/>
  <c r="AL77" i="9"/>
  <c r="AL102" i="9"/>
  <c r="AL108" i="9"/>
  <c r="AL62" i="9"/>
  <c r="AL70" i="9"/>
  <c r="AL38" i="9"/>
  <c r="AL46" i="9"/>
  <c r="AL54" i="9"/>
  <c r="AL94" i="9"/>
  <c r="AL98" i="9"/>
  <c r="AL100" i="9"/>
  <c r="AL83" i="9"/>
  <c r="AL85" i="9"/>
  <c r="AL69" i="9"/>
  <c r="AL37" i="9"/>
  <c r="AL45" i="9"/>
  <c r="AL53" i="9"/>
  <c r="AL68" i="9"/>
  <c r="AL36" i="9"/>
  <c r="AL44" i="9"/>
  <c r="AL52" i="9"/>
  <c r="AL113" i="9"/>
  <c r="AL80" i="9"/>
  <c r="AL67" i="9"/>
  <c r="AL35" i="9"/>
  <c r="AL43" i="9"/>
  <c r="AL51" i="9"/>
  <c r="AL105" i="9"/>
  <c r="AL76" i="9"/>
  <c r="AL78" i="9"/>
  <c r="AL66" i="9"/>
  <c r="AL42" i="9"/>
  <c r="AL50" i="9"/>
  <c r="AL58" i="9"/>
  <c r="AL106" i="9"/>
  <c r="AL110" i="9"/>
  <c r="AL63" i="9"/>
  <c r="AL39" i="9"/>
  <c r="AL47" i="9"/>
  <c r="AL55" i="9"/>
  <c r="AA52" i="9"/>
  <c r="K52" i="9"/>
  <c r="AI49" i="9"/>
  <c r="AF49" i="9"/>
  <c r="AL57" i="9"/>
  <c r="AA68" i="9"/>
  <c r="K68" i="9"/>
  <c r="AL64" i="9"/>
  <c r="AM68" i="9"/>
  <c r="AN68" i="9"/>
  <c r="AA80" i="9"/>
  <c r="K80" i="9"/>
  <c r="AF90" i="9"/>
  <c r="AA122" i="9"/>
  <c r="AI102" i="9"/>
  <c r="AM77" i="51"/>
  <c r="AN77" i="51"/>
  <c r="AE37" i="16"/>
  <c r="AH38" i="16"/>
  <c r="AL45" i="16"/>
  <c r="AL37" i="16"/>
  <c r="AE47" i="16"/>
  <c r="AE43" i="16"/>
  <c r="AH46" i="16"/>
  <c r="AA42" i="16"/>
  <c r="AH54" i="16"/>
  <c r="AL50" i="16"/>
  <c r="K61" i="16"/>
  <c r="AJ68" i="16"/>
  <c r="AL62" i="16"/>
  <c r="AJ60" i="16"/>
  <c r="AH70" i="16"/>
  <c r="AL89" i="16"/>
  <c r="AJ87" i="16"/>
  <c r="AH85" i="16"/>
  <c r="AL81" i="16"/>
  <c r="AJ79" i="16"/>
  <c r="AH77" i="16"/>
  <c r="K115" i="16"/>
  <c r="K107" i="16"/>
  <c r="K99" i="16"/>
  <c r="AH120" i="16"/>
  <c r="AL116" i="16"/>
  <c r="AJ114" i="16"/>
  <c r="AH112" i="16"/>
  <c r="AL108" i="16"/>
  <c r="AJ106" i="16"/>
  <c r="AH104" i="16"/>
  <c r="AL100" i="16"/>
  <c r="AJ98" i="16"/>
  <c r="AH96" i="16"/>
  <c r="AF123" i="16"/>
  <c r="AA68" i="17"/>
  <c r="AI66" i="17"/>
  <c r="AA69" i="17"/>
  <c r="AI80" i="17"/>
  <c r="AI104" i="17"/>
  <c r="W129" i="17"/>
  <c r="AA123" i="17"/>
  <c r="O129" i="17"/>
  <c r="AA19" i="9"/>
  <c r="AB49" i="9" s="1"/>
  <c r="AA89" i="9"/>
  <c r="K89" i="9"/>
  <c r="AI111" i="9"/>
  <c r="AI102" i="39"/>
  <c r="AB102" i="39"/>
  <c r="AF102" i="39"/>
  <c r="AA125" i="39"/>
  <c r="P126" i="39"/>
  <c r="P127" i="39" s="1"/>
  <c r="AH48" i="4"/>
  <c r="AH40" i="4"/>
  <c r="AH65" i="4"/>
  <c r="AH91" i="4"/>
  <c r="AH83" i="4"/>
  <c r="AH115" i="6"/>
  <c r="AH111" i="6"/>
  <c r="AH107" i="6"/>
  <c r="AH103" i="6"/>
  <c r="AH99" i="6"/>
  <c r="AH95" i="6"/>
  <c r="AH87" i="6"/>
  <c r="AH83" i="6"/>
  <c r="AH79" i="6"/>
  <c r="AL48" i="16"/>
  <c r="AL40" i="16"/>
  <c r="AI45" i="16"/>
  <c r="AE54" i="16"/>
  <c r="AE50" i="16"/>
  <c r="AL51" i="16"/>
  <c r="AI68" i="16"/>
  <c r="AN65" i="16"/>
  <c r="AL63" i="16"/>
  <c r="AI60" i="16"/>
  <c r="AE88" i="16"/>
  <c r="AE84" i="16"/>
  <c r="AE80" i="16"/>
  <c r="AI87" i="16"/>
  <c r="AH86" i="16"/>
  <c r="AL82" i="16"/>
  <c r="AI79" i="16"/>
  <c r="AH78" i="16"/>
  <c r="AL74" i="16"/>
  <c r="AE120" i="16"/>
  <c r="AE116" i="16"/>
  <c r="AE112" i="16"/>
  <c r="AE108" i="16"/>
  <c r="AE104" i="16"/>
  <c r="AE96" i="16"/>
  <c r="AE92" i="16"/>
  <c r="AL117" i="16"/>
  <c r="AI114" i="16"/>
  <c r="AH113" i="16"/>
  <c r="AL109" i="16"/>
  <c r="AI106" i="16"/>
  <c r="AH105" i="16"/>
  <c r="AL101" i="16"/>
  <c r="AI98" i="16"/>
  <c r="AL93" i="16"/>
  <c r="AE123" i="16"/>
  <c r="AA77" i="17"/>
  <c r="AF75" i="17"/>
  <c r="AI81" i="17"/>
  <c r="AF93" i="17"/>
  <c r="AI93" i="17"/>
  <c r="AA124" i="17"/>
  <c r="V129" i="17"/>
  <c r="AA44" i="9"/>
  <c r="K44" i="9"/>
  <c r="AI41" i="9"/>
  <c r="AF41" i="9"/>
  <c r="AA65" i="9"/>
  <c r="AL84" i="9"/>
  <c r="AA93" i="9"/>
  <c r="K93" i="9"/>
  <c r="AF110" i="9"/>
  <c r="AF101" i="39"/>
  <c r="AI101" i="39"/>
  <c r="AB101" i="39"/>
  <c r="AI109" i="39"/>
  <c r="AB109" i="39"/>
  <c r="AF109" i="39"/>
  <c r="AF119" i="39"/>
  <c r="AI119" i="39"/>
  <c r="AB119" i="39"/>
  <c r="AH123" i="16"/>
  <c r="AH92" i="16"/>
  <c r="AE36" i="16"/>
  <c r="AH37" i="16"/>
  <c r="AL43" i="16"/>
  <c r="AL35" i="16"/>
  <c r="AE42" i="16"/>
  <c r="AH45" i="16"/>
  <c r="AH41" i="16"/>
  <c r="AH56" i="16"/>
  <c r="AL52" i="16"/>
  <c r="AL64" i="16"/>
  <c r="AB87" i="16"/>
  <c r="AB83" i="16"/>
  <c r="AB79" i="16"/>
  <c r="AB75" i="16"/>
  <c r="AH87" i="16"/>
  <c r="AL83" i="16"/>
  <c r="AH79" i="16"/>
  <c r="AL75" i="16"/>
  <c r="AL118" i="16"/>
  <c r="AL110" i="16"/>
  <c r="AH106" i="16"/>
  <c r="AN106" i="16" s="1"/>
  <c r="AL102" i="16"/>
  <c r="AH98" i="16"/>
  <c r="AF74" i="17"/>
  <c r="AB74" i="17"/>
  <c r="AI74" i="17"/>
  <c r="AF54" i="17"/>
  <c r="AI96" i="17"/>
  <c r="AA125" i="17"/>
  <c r="AA20" i="9"/>
  <c r="AJ103" i="9" s="1"/>
  <c r="AA56" i="9"/>
  <c r="K56" i="9"/>
  <c r="AF53" i="9"/>
  <c r="AB53" i="9"/>
  <c r="AI58" i="9"/>
  <c r="AI42" i="9"/>
  <c r="AF64" i="9"/>
  <c r="AI64" i="9"/>
  <c r="AL88" i="9"/>
  <c r="AI83" i="9"/>
  <c r="AL116" i="9"/>
  <c r="AG109" i="51"/>
  <c r="AL72" i="51"/>
  <c r="AH72" i="51"/>
  <c r="AI87" i="51"/>
  <c r="AF87" i="51"/>
  <c r="AI94" i="51"/>
  <c r="AJ94" i="51"/>
  <c r="AF94" i="51"/>
  <c r="AB94" i="51"/>
  <c r="K92" i="51"/>
  <c r="AA92" i="51"/>
  <c r="AA55" i="9"/>
  <c r="AA51" i="9"/>
  <c r="AA47" i="9"/>
  <c r="AA43" i="9"/>
  <c r="AA39" i="9"/>
  <c r="AA35" i="9"/>
  <c r="AK70" i="9"/>
  <c r="AK62" i="9"/>
  <c r="AA76" i="9"/>
  <c r="K76" i="9"/>
  <c r="AE81" i="9"/>
  <c r="AK90" i="9"/>
  <c r="AK79" i="9"/>
  <c r="AK77" i="9"/>
  <c r="AI112" i="9"/>
  <c r="AF112" i="9"/>
  <c r="AI96" i="9"/>
  <c r="AF96" i="9"/>
  <c r="AE113" i="9"/>
  <c r="AE105" i="9"/>
  <c r="AE97" i="9"/>
  <c r="AK104" i="9"/>
  <c r="AB65" i="39"/>
  <c r="AF77" i="39"/>
  <c r="AI77" i="39"/>
  <c r="AB77" i="39"/>
  <c r="AI47" i="39"/>
  <c r="AF47" i="39"/>
  <c r="AB36" i="39"/>
  <c r="AI57" i="51"/>
  <c r="AF57" i="51"/>
  <c r="AI39" i="51"/>
  <c r="AJ39" i="51"/>
  <c r="AF69" i="51"/>
  <c r="AI69" i="51"/>
  <c r="AI83" i="51"/>
  <c r="AB83" i="51"/>
  <c r="AF98" i="51"/>
  <c r="AI98" i="51"/>
  <c r="AJ35" i="52"/>
  <c r="AE39" i="17"/>
  <c r="AH37" i="17"/>
  <c r="AE46" i="17"/>
  <c r="AH45" i="17"/>
  <c r="AI44" i="17"/>
  <c r="AE55" i="17"/>
  <c r="AI53" i="17"/>
  <c r="AE64" i="17"/>
  <c r="AH63" i="17"/>
  <c r="AE73" i="17"/>
  <c r="AE105" i="17"/>
  <c r="AE101" i="17"/>
  <c r="AH103" i="17"/>
  <c r="AE112" i="17"/>
  <c r="AE108" i="17"/>
  <c r="AE119" i="17"/>
  <c r="AH121" i="17"/>
  <c r="AH117" i="17"/>
  <c r="AE126" i="17"/>
  <c r="AI140" i="17"/>
  <c r="AH100" i="9"/>
  <c r="AH86" i="9"/>
  <c r="AH115" i="9"/>
  <c r="AH77" i="9"/>
  <c r="AH85" i="9"/>
  <c r="AH119" i="9"/>
  <c r="AH103" i="9"/>
  <c r="AH111" i="9"/>
  <c r="AH81" i="9"/>
  <c r="AK57" i="9"/>
  <c r="AK49" i="9"/>
  <c r="AK41" i="9"/>
  <c r="K69" i="9"/>
  <c r="AF66" i="9"/>
  <c r="AK65" i="9"/>
  <c r="K81" i="9"/>
  <c r="AE85" i="9"/>
  <c r="AH90" i="9"/>
  <c r="AH88" i="9"/>
  <c r="AK84" i="9"/>
  <c r="K112" i="9"/>
  <c r="AA105" i="9"/>
  <c r="K105" i="9"/>
  <c r="K101" i="9"/>
  <c r="K96" i="9"/>
  <c r="AM116" i="9"/>
  <c r="AH114" i="9"/>
  <c r="AK101" i="9"/>
  <c r="AB47" i="39"/>
  <c r="AA88" i="39"/>
  <c r="AA145" i="39" s="1"/>
  <c r="AI85" i="39"/>
  <c r="AB85" i="39"/>
  <c r="AB71" i="39"/>
  <c r="AI71" i="39"/>
  <c r="AF71" i="39"/>
  <c r="AB61" i="39"/>
  <c r="AA144" i="39"/>
  <c r="AA62" i="39"/>
  <c r="AF85" i="39"/>
  <c r="AF108" i="39"/>
  <c r="AI108" i="39"/>
  <c r="AB108" i="39"/>
  <c r="O127" i="39"/>
  <c r="AF37" i="51"/>
  <c r="AB37" i="51"/>
  <c r="AF77" i="51"/>
  <c r="AI77" i="51"/>
  <c r="AA100" i="51"/>
  <c r="AF105" i="51"/>
  <c r="AI105" i="51"/>
  <c r="G43" i="55"/>
  <c r="AE38" i="17"/>
  <c r="AH36" i="17"/>
  <c r="AE45" i="17"/>
  <c r="AH44" i="17"/>
  <c r="AE54" i="17"/>
  <c r="AH53" i="17"/>
  <c r="AE63" i="17"/>
  <c r="AH62" i="17"/>
  <c r="AE72" i="17"/>
  <c r="AE82" i="17"/>
  <c r="AB120" i="17"/>
  <c r="AH124" i="17"/>
  <c r="AF140" i="17"/>
  <c r="AA152" i="17"/>
  <c r="AE57" i="9"/>
  <c r="AE49" i="9"/>
  <c r="AE45" i="9"/>
  <c r="AE37" i="9"/>
  <c r="AK58" i="9"/>
  <c r="AK50" i="9"/>
  <c r="AK42" i="9"/>
  <c r="AK66" i="9"/>
  <c r="AA70" i="9"/>
  <c r="AA62" i="9"/>
  <c r="AA84" i="9"/>
  <c r="K84" i="9"/>
  <c r="AE90" i="9"/>
  <c r="AF77" i="9"/>
  <c r="AK82" i="9"/>
  <c r="AI116" i="9"/>
  <c r="AF116" i="9"/>
  <c r="AI108" i="9"/>
  <c r="AF108" i="9"/>
  <c r="AI100" i="9"/>
  <c r="AF100" i="9"/>
  <c r="AE117" i="9"/>
  <c r="AE109" i="9"/>
  <c r="AE101" i="9"/>
  <c r="AK109" i="9"/>
  <c r="AK107" i="9"/>
  <c r="U126" i="39"/>
  <c r="U127" i="39" s="1"/>
  <c r="AG126" i="39"/>
  <c r="AA19" i="51"/>
  <c r="AB79" i="51" s="1"/>
  <c r="AI55" i="51"/>
  <c r="AI41" i="51"/>
  <c r="AF41" i="51"/>
  <c r="AF55" i="51"/>
  <c r="AF35" i="51"/>
  <c r="AI51" i="51"/>
  <c r="AF70" i="51"/>
  <c r="AI70" i="51"/>
  <c r="AI63" i="51"/>
  <c r="AI81" i="51"/>
  <c r="AF81" i="51"/>
  <c r="AF97" i="51"/>
  <c r="AB97" i="51"/>
  <c r="AF99" i="51"/>
  <c r="AB99" i="51"/>
  <c r="AI93" i="55"/>
  <c r="AF93" i="55"/>
  <c r="AK119" i="9"/>
  <c r="AK95" i="9"/>
  <c r="AK103" i="9"/>
  <c r="AK111" i="9"/>
  <c r="AK81" i="9"/>
  <c r="AK89" i="9"/>
  <c r="AK94" i="9"/>
  <c r="AK102" i="9"/>
  <c r="AK110" i="9"/>
  <c r="AK80" i="9"/>
  <c r="AK88" i="9"/>
  <c r="AK100" i="9"/>
  <c r="AK108" i="9"/>
  <c r="AK116" i="9"/>
  <c r="AK78" i="9"/>
  <c r="AK86" i="9"/>
  <c r="AK98" i="9"/>
  <c r="AK106" i="9"/>
  <c r="AK114" i="9"/>
  <c r="AK76" i="9"/>
  <c r="AK51" i="9"/>
  <c r="AK43" i="9"/>
  <c r="AK35" i="9"/>
  <c r="AN70" i="9"/>
  <c r="AK67" i="9"/>
  <c r="AN62" i="9"/>
  <c r="K85" i="9"/>
  <c r="AI87" i="9"/>
  <c r="AE77" i="9"/>
  <c r="AH84" i="9"/>
  <c r="AH76" i="9"/>
  <c r="AI101" i="9"/>
  <c r="AB101" i="9"/>
  <c r="AF115" i="9"/>
  <c r="AF107" i="9"/>
  <c r="AF99" i="9"/>
  <c r="AE108" i="9"/>
  <c r="AK113" i="9"/>
  <c r="AH109" i="9"/>
  <c r="AI107" i="9"/>
  <c r="AK120" i="9"/>
  <c r="AB66" i="39"/>
  <c r="AB57" i="39"/>
  <c r="AB48" i="39"/>
  <c r="AB67" i="39"/>
  <c r="AB58" i="39"/>
  <c r="AB49" i="39"/>
  <c r="AB117" i="39"/>
  <c r="AB106" i="39"/>
  <c r="AB99" i="39"/>
  <c r="AB103" i="39"/>
  <c r="AB59" i="39"/>
  <c r="AB35" i="39"/>
  <c r="AB114" i="39"/>
  <c r="AB107" i="39"/>
  <c r="AB111" i="39"/>
  <c r="AB100" i="39"/>
  <c r="AB75" i="39"/>
  <c r="AB46" i="39"/>
  <c r="AA72" i="39"/>
  <c r="AA73" i="39"/>
  <c r="AB69" i="39"/>
  <c r="AI69" i="39"/>
  <c r="AF69" i="39"/>
  <c r="AA143" i="39"/>
  <c r="AI39" i="39"/>
  <c r="AF39" i="39"/>
  <c r="AA42" i="39"/>
  <c r="AA43" i="39"/>
  <c r="AB39" i="39"/>
  <c r="AI98" i="39"/>
  <c r="AB98" i="39"/>
  <c r="AF98" i="39"/>
  <c r="T126" i="39"/>
  <c r="T127" i="39" s="1"/>
  <c r="AF45" i="51"/>
  <c r="AB45" i="51"/>
  <c r="AM39" i="51"/>
  <c r="AI65" i="51"/>
  <c r="AF65" i="51"/>
  <c r="AF85" i="51"/>
  <c r="AI85" i="51"/>
  <c r="AF93" i="51"/>
  <c r="AI93" i="51"/>
  <c r="AI96" i="51"/>
  <c r="AF96" i="51"/>
  <c r="AB96" i="51"/>
  <c r="AB107" i="55"/>
  <c r="AE36" i="17"/>
  <c r="AE81" i="17"/>
  <c r="AB112" i="17"/>
  <c r="AE94" i="9"/>
  <c r="AE98" i="9"/>
  <c r="AE102" i="9"/>
  <c r="AE106" i="9"/>
  <c r="AE110" i="9"/>
  <c r="AE114" i="9"/>
  <c r="AE79" i="9"/>
  <c r="AE83" i="9"/>
  <c r="AE87" i="9"/>
  <c r="AE119" i="9"/>
  <c r="AE76" i="9"/>
  <c r="AE80" i="9"/>
  <c r="AE84" i="9"/>
  <c r="AE88" i="9"/>
  <c r="AE120" i="9"/>
  <c r="AE52" i="9"/>
  <c r="AE44" i="9"/>
  <c r="AE40" i="9"/>
  <c r="AE36" i="9"/>
  <c r="AK52" i="9"/>
  <c r="AK44" i="9"/>
  <c r="AK36" i="9"/>
  <c r="AK68" i="9"/>
  <c r="AG123" i="9"/>
  <c r="AH72" i="9"/>
  <c r="AA88" i="9"/>
  <c r="K88" i="9"/>
  <c r="AE89" i="9"/>
  <c r="AE82" i="9"/>
  <c r="AK87" i="9"/>
  <c r="AF114" i="9"/>
  <c r="AI114" i="9"/>
  <c r="AF106" i="9"/>
  <c r="AI106" i="9"/>
  <c r="AF98" i="9"/>
  <c r="AI98" i="9"/>
  <c r="AB98" i="9"/>
  <c r="AE107" i="9"/>
  <c r="AE99" i="9"/>
  <c r="AK117" i="9"/>
  <c r="AK115" i="9"/>
  <c r="AK96" i="9"/>
  <c r="AB76" i="39"/>
  <c r="AB79" i="39"/>
  <c r="AA81" i="39"/>
  <c r="AA82" i="39"/>
  <c r="AF79" i="39"/>
  <c r="AI79" i="39"/>
  <c r="AB68" i="39"/>
  <c r="AI116" i="39"/>
  <c r="AB116" i="39"/>
  <c r="AF116" i="39"/>
  <c r="AF124" i="39"/>
  <c r="AB124" i="39"/>
  <c r="AI124" i="39"/>
  <c r="AI122" i="39"/>
  <c r="AF122" i="39"/>
  <c r="AB122" i="39"/>
  <c r="S126" i="39"/>
  <c r="S127" i="39" s="1"/>
  <c r="AI49" i="51"/>
  <c r="AF49" i="51"/>
  <c r="AA108" i="51"/>
  <c r="AI89" i="51"/>
  <c r="AF89" i="51"/>
  <c r="AF83" i="51"/>
  <c r="AI102" i="51"/>
  <c r="AF102" i="51"/>
  <c r="K98" i="51"/>
  <c r="AI95" i="51"/>
  <c r="AF95" i="51"/>
  <c r="AB95" i="51"/>
  <c r="AE103" i="17"/>
  <c r="AE110" i="17"/>
  <c r="AE121" i="17"/>
  <c r="AK53" i="9"/>
  <c r="AK45" i="9"/>
  <c r="AK37" i="9"/>
  <c r="AK69" i="9"/>
  <c r="AE72" i="9"/>
  <c r="AD123" i="9"/>
  <c r="AF86" i="9"/>
  <c r="AI86" i="9"/>
  <c r="AI79" i="9"/>
  <c r="AK85" i="9"/>
  <c r="AK83" i="9"/>
  <c r="AA113" i="9"/>
  <c r="K113" i="9"/>
  <c r="AA97" i="9"/>
  <c r="K97" i="9"/>
  <c r="AA20" i="39"/>
  <c r="AB87" i="39" s="1"/>
  <c r="AB37" i="39"/>
  <c r="AF115" i="39"/>
  <c r="AI115" i="39"/>
  <c r="AB115" i="39"/>
  <c r="Z126" i="39"/>
  <c r="Z127" i="39" s="1"/>
  <c r="R126" i="39"/>
  <c r="R127" i="39" s="1"/>
  <c r="AA123" i="39"/>
  <c r="AE125" i="39"/>
  <c r="AD126" i="39"/>
  <c r="AF39" i="51"/>
  <c r="AI45" i="51"/>
  <c r="K72" i="51"/>
  <c r="AA72" i="51"/>
  <c r="AI79" i="51"/>
  <c r="AF72" i="55"/>
  <c r="AI72" i="55"/>
  <c r="AF92" i="55"/>
  <c r="AI94" i="55"/>
  <c r="AJ47" i="52"/>
  <c r="AF47" i="52"/>
  <c r="AB47" i="52"/>
  <c r="AI47" i="52"/>
  <c r="AI36" i="52"/>
  <c r="AF36" i="52"/>
  <c r="AB36" i="52"/>
  <c r="AI79" i="52"/>
  <c r="AJ79" i="52"/>
  <c r="AF79" i="52"/>
  <c r="AB79" i="52"/>
  <c r="AF121" i="56"/>
  <c r="AB121" i="56"/>
  <c r="AI121" i="56"/>
  <c r="AI52" i="53"/>
  <c r="AJ52" i="53"/>
  <c r="AF52" i="53"/>
  <c r="AB52" i="53"/>
  <c r="AJ49" i="53"/>
  <c r="AF49" i="53"/>
  <c r="AB49" i="53"/>
  <c r="AI49" i="53"/>
  <c r="AJ36" i="53"/>
  <c r="AI36" i="53"/>
  <c r="AF36" i="53"/>
  <c r="AB36" i="53"/>
  <c r="AN72" i="53"/>
  <c r="AM72" i="53"/>
  <c r="AF88" i="53"/>
  <c r="AI88" i="53"/>
  <c r="AJ88" i="53"/>
  <c r="AB88" i="53"/>
  <c r="AE47" i="51"/>
  <c r="AE43" i="51"/>
  <c r="AI52" i="51"/>
  <c r="AI44" i="51"/>
  <c r="AI36" i="51"/>
  <c r="AE87" i="51"/>
  <c r="AL88" i="51"/>
  <c r="AL80" i="51"/>
  <c r="AL101" i="51"/>
  <c r="AL93" i="51"/>
  <c r="AL105" i="51"/>
  <c r="AH49" i="55"/>
  <c r="AB111" i="55"/>
  <c r="AB114" i="55"/>
  <c r="AA121" i="55"/>
  <c r="S126" i="55"/>
  <c r="S127" i="55" s="1"/>
  <c r="AI57" i="52"/>
  <c r="AF57" i="52"/>
  <c r="AB57" i="52"/>
  <c r="AA54" i="52"/>
  <c r="K54" i="52"/>
  <c r="AI41" i="52"/>
  <c r="AF41" i="52"/>
  <c r="AB41" i="52"/>
  <c r="AA38" i="52"/>
  <c r="K38" i="52"/>
  <c r="AJ70" i="52"/>
  <c r="AI141" i="56"/>
  <c r="AF141" i="56"/>
  <c r="AI43" i="53"/>
  <c r="AF43" i="53"/>
  <c r="AB43" i="53"/>
  <c r="AJ43" i="53"/>
  <c r="AI80" i="55"/>
  <c r="AA82" i="55"/>
  <c r="AA52" i="55"/>
  <c r="AB118" i="55"/>
  <c r="AF114" i="55"/>
  <c r="AI51" i="52"/>
  <c r="AF51" i="52"/>
  <c r="AB51" i="52"/>
  <c r="AI35" i="52"/>
  <c r="AF35" i="52"/>
  <c r="AB35" i="52"/>
  <c r="AI68" i="52"/>
  <c r="AF68" i="52"/>
  <c r="AI42" i="56"/>
  <c r="AF42" i="56"/>
  <c r="AF122" i="56"/>
  <c r="AB122" i="56"/>
  <c r="AI122" i="56"/>
  <c r="AI56" i="53"/>
  <c r="AJ56" i="53"/>
  <c r="AF56" i="53"/>
  <c r="AB56" i="53"/>
  <c r="AF53" i="53"/>
  <c r="AB53" i="53"/>
  <c r="AI53" i="53"/>
  <c r="AJ53" i="53"/>
  <c r="AI40" i="53"/>
  <c r="AJ40" i="53"/>
  <c r="AF40" i="53"/>
  <c r="AB40" i="53"/>
  <c r="AI37" i="53"/>
  <c r="AF37" i="53"/>
  <c r="AB37" i="53"/>
  <c r="AJ37" i="53"/>
  <c r="AF80" i="39"/>
  <c r="AA141" i="39"/>
  <c r="AA58" i="51"/>
  <c r="AA54" i="51"/>
  <c r="AA50" i="51"/>
  <c r="AA46" i="51"/>
  <c r="AA42" i="51"/>
  <c r="AA38" i="51"/>
  <c r="AE58" i="51"/>
  <c r="AE54" i="51"/>
  <c r="AL57" i="51"/>
  <c r="AL49" i="51"/>
  <c r="AL41" i="51"/>
  <c r="AL65" i="51"/>
  <c r="AA64" i="51"/>
  <c r="AA88" i="51"/>
  <c r="AA84" i="51"/>
  <c r="AA80" i="51"/>
  <c r="AA76" i="51"/>
  <c r="AE86" i="51"/>
  <c r="AE82" i="51"/>
  <c r="AK89" i="51"/>
  <c r="AH86" i="51"/>
  <c r="AL82" i="51"/>
  <c r="AK81" i="51"/>
  <c r="AL103" i="51"/>
  <c r="AK102" i="51"/>
  <c r="AH99" i="51"/>
  <c r="AL95" i="51"/>
  <c r="AK94" i="51"/>
  <c r="AK106" i="51"/>
  <c r="AH115" i="55"/>
  <c r="AH119" i="55"/>
  <c r="AH99" i="55"/>
  <c r="AH103" i="55"/>
  <c r="AH39" i="55"/>
  <c r="AH47" i="55"/>
  <c r="AI125" i="55"/>
  <c r="AB125" i="55"/>
  <c r="AF125" i="55"/>
  <c r="Y126" i="55"/>
  <c r="Y127" i="55" s="1"/>
  <c r="Q126" i="55"/>
  <c r="Q127" i="55" s="1"/>
  <c r="AH122" i="55"/>
  <c r="AA58" i="52"/>
  <c r="K58" i="52"/>
  <c r="AI45" i="52"/>
  <c r="AF45" i="52"/>
  <c r="AB45" i="52"/>
  <c r="AA42" i="52"/>
  <c r="K42" i="52"/>
  <c r="AF56" i="52"/>
  <c r="AB56" i="52"/>
  <c r="AI56" i="52"/>
  <c r="AF66" i="52"/>
  <c r="AA64" i="52"/>
  <c r="K64" i="52"/>
  <c r="AJ62" i="52"/>
  <c r="AM64" i="52"/>
  <c r="AN64" i="52"/>
  <c r="AF77" i="52"/>
  <c r="AI77" i="52"/>
  <c r="AB77" i="52"/>
  <c r="AF93" i="56"/>
  <c r="AI93" i="56"/>
  <c r="AI124" i="56"/>
  <c r="AF124" i="56"/>
  <c r="AB124" i="56"/>
  <c r="AI47" i="53"/>
  <c r="AJ47" i="53"/>
  <c r="AF47" i="53"/>
  <c r="AB47" i="53"/>
  <c r="AE48" i="39"/>
  <c r="AE57" i="39"/>
  <c r="AE66" i="39"/>
  <c r="AF68" i="39"/>
  <c r="AI68" i="39"/>
  <c r="AI78" i="39"/>
  <c r="AE102" i="39"/>
  <c r="AE98" i="39"/>
  <c r="AE109" i="39"/>
  <c r="AE116" i="39"/>
  <c r="AI140" i="39"/>
  <c r="AL58" i="51"/>
  <c r="AK57" i="51"/>
  <c r="AH54" i="51"/>
  <c r="AL50" i="51"/>
  <c r="AK49" i="51"/>
  <c r="AL42" i="51"/>
  <c r="AK41" i="51"/>
  <c r="K69" i="51"/>
  <c r="AF66" i="51"/>
  <c r="AN68" i="51"/>
  <c r="AL66" i="51"/>
  <c r="AK65" i="51"/>
  <c r="AE72" i="51"/>
  <c r="AH87" i="51"/>
  <c r="AL83" i="51"/>
  <c r="AK82" i="51"/>
  <c r="K102" i="51"/>
  <c r="K94" i="51"/>
  <c r="AE98" i="51"/>
  <c r="AE94" i="51"/>
  <c r="AK103" i="51"/>
  <c r="AL96" i="51"/>
  <c r="AK95" i="51"/>
  <c r="AF106" i="51"/>
  <c r="AD109" i="51"/>
  <c r="AE48" i="55"/>
  <c r="AH46" i="55"/>
  <c r="AB83" i="55"/>
  <c r="AA81" i="55"/>
  <c r="AF88" i="55"/>
  <c r="AF111" i="55"/>
  <c r="AI111" i="55"/>
  <c r="AH107" i="55"/>
  <c r="AF118" i="55"/>
  <c r="AA122" i="55"/>
  <c r="AA20" i="52"/>
  <c r="AJ68" i="52" s="1"/>
  <c r="AF55" i="52"/>
  <c r="AB55" i="52"/>
  <c r="AI55" i="52"/>
  <c r="AJ39" i="52"/>
  <c r="AF39" i="52"/>
  <c r="AB39" i="52"/>
  <c r="AI39" i="52"/>
  <c r="AI52" i="52"/>
  <c r="AF52" i="52"/>
  <c r="AB52" i="52"/>
  <c r="G63" i="56"/>
  <c r="AF125" i="56"/>
  <c r="AI125" i="56"/>
  <c r="AB125" i="56"/>
  <c r="AJ57" i="53"/>
  <c r="AF57" i="53"/>
  <c r="AB57" i="53"/>
  <c r="AI57" i="53"/>
  <c r="AI44" i="53"/>
  <c r="AJ44" i="53"/>
  <c r="AF44" i="53"/>
  <c r="AB44" i="53"/>
  <c r="AF41" i="53"/>
  <c r="AI41" i="53"/>
  <c r="AJ41" i="53"/>
  <c r="AJ64" i="53"/>
  <c r="AF40" i="39"/>
  <c r="AE47" i="39"/>
  <c r="AE56" i="39"/>
  <c r="AE65" i="39"/>
  <c r="AE79" i="39"/>
  <c r="AF138" i="39"/>
  <c r="AF130" i="39"/>
  <c r="AE57" i="51"/>
  <c r="AE49" i="51"/>
  <c r="AK58" i="51"/>
  <c r="AI56" i="51"/>
  <c r="AL51" i="51"/>
  <c r="AK50" i="51"/>
  <c r="AI48" i="51"/>
  <c r="AL43" i="51"/>
  <c r="AK42" i="51"/>
  <c r="AI40" i="51"/>
  <c r="AL35" i="51"/>
  <c r="AL67" i="51"/>
  <c r="AK66" i="51"/>
  <c r="AE89" i="51"/>
  <c r="AE85" i="51"/>
  <c r="AE81" i="51"/>
  <c r="AH88" i="51"/>
  <c r="AL84" i="51"/>
  <c r="AK83" i="51"/>
  <c r="AH80" i="51"/>
  <c r="AL76" i="51"/>
  <c r="K97" i="51"/>
  <c r="AL97" i="51"/>
  <c r="AK96" i="51"/>
  <c r="AH93" i="51"/>
  <c r="AE106" i="51"/>
  <c r="AH105" i="51"/>
  <c r="AE47" i="55"/>
  <c r="AH45" i="55"/>
  <c r="AF67" i="55"/>
  <c r="AI67" i="55"/>
  <c r="AF83" i="55"/>
  <c r="AA62" i="55"/>
  <c r="AA63" i="55"/>
  <c r="AA144" i="55"/>
  <c r="AH111" i="55"/>
  <c r="W126" i="55"/>
  <c r="W127" i="55" s="1"/>
  <c r="O126" i="55"/>
  <c r="AD126" i="55"/>
  <c r="AA141" i="55"/>
  <c r="AF140" i="55"/>
  <c r="AI140" i="55"/>
  <c r="AA146" i="55"/>
  <c r="AI49" i="52"/>
  <c r="AJ49" i="52"/>
  <c r="AF49" i="52"/>
  <c r="AB49" i="52"/>
  <c r="AA46" i="52"/>
  <c r="K46" i="52"/>
  <c r="AF48" i="52"/>
  <c r="AB48" i="52"/>
  <c r="AI48" i="52"/>
  <c r="AJ48" i="52"/>
  <c r="AM83" i="52"/>
  <c r="AN83" i="52"/>
  <c r="AI52" i="56"/>
  <c r="AF52" i="56"/>
  <c r="AJ85" i="53"/>
  <c r="AJ42" i="53"/>
  <c r="AJ50" i="53"/>
  <c r="AJ58" i="53"/>
  <c r="AI51" i="53"/>
  <c r="AF51" i="53"/>
  <c r="AB51" i="53"/>
  <c r="AJ51" i="53"/>
  <c r="AI35" i="53"/>
  <c r="AJ35" i="53"/>
  <c r="AF35" i="53"/>
  <c r="AB35" i="53"/>
  <c r="AE39" i="39"/>
  <c r="AE46" i="39"/>
  <c r="AF48" i="39"/>
  <c r="AE55" i="39"/>
  <c r="AE78" i="39"/>
  <c r="AE101" i="39"/>
  <c r="AE108" i="39"/>
  <c r="AE119" i="39"/>
  <c r="AE115" i="39"/>
  <c r="AB56" i="51"/>
  <c r="AB52" i="51"/>
  <c r="AB48" i="51"/>
  <c r="AB44" i="51"/>
  <c r="AB40" i="51"/>
  <c r="AB36" i="51"/>
  <c r="AL52" i="51"/>
  <c r="AK51" i="51"/>
  <c r="AH48" i="51"/>
  <c r="AL44" i="51"/>
  <c r="AK43" i="51"/>
  <c r="AH40" i="51"/>
  <c r="AL36" i="51"/>
  <c r="AK35" i="51"/>
  <c r="AL68" i="51"/>
  <c r="AK67" i="51"/>
  <c r="AB82" i="51"/>
  <c r="AH89" i="51"/>
  <c r="AL85" i="51"/>
  <c r="AK84" i="51"/>
  <c r="AH81" i="51"/>
  <c r="AL77" i="51"/>
  <c r="AK76" i="51"/>
  <c r="AE101" i="51"/>
  <c r="AE93" i="51"/>
  <c r="AE99" i="55"/>
  <c r="AE103" i="55"/>
  <c r="AE107" i="55"/>
  <c r="AE111" i="55"/>
  <c r="AE115" i="55"/>
  <c r="AE119" i="55"/>
  <c r="AE46" i="55"/>
  <c r="AH85" i="55"/>
  <c r="AA123" i="55"/>
  <c r="AI43" i="52"/>
  <c r="AF43" i="52"/>
  <c r="AB43" i="52"/>
  <c r="AI44" i="52"/>
  <c r="AJ44" i="52"/>
  <c r="AF44" i="52"/>
  <c r="AB44" i="52"/>
  <c r="AI69" i="52"/>
  <c r="AF69" i="52"/>
  <c r="AF67" i="52"/>
  <c r="AI67" i="52"/>
  <c r="AI66" i="52"/>
  <c r="AM69" i="52"/>
  <c r="AA74" i="56"/>
  <c r="G73" i="56" s="1"/>
  <c r="AI72" i="56"/>
  <c r="AF72" i="56"/>
  <c r="AI48" i="53"/>
  <c r="AJ48" i="53"/>
  <c r="AF48" i="53"/>
  <c r="AB48" i="53"/>
  <c r="AF45" i="53"/>
  <c r="AB45" i="53"/>
  <c r="AI45" i="53"/>
  <c r="AJ45" i="53"/>
  <c r="AI69" i="53"/>
  <c r="AF69" i="53"/>
  <c r="AJ69" i="53"/>
  <c r="AE40" i="51"/>
  <c r="AE36" i="51"/>
  <c r="AE88" i="51"/>
  <c r="AE84" i="51"/>
  <c r="AE80" i="51"/>
  <c r="AH35" i="55"/>
  <c r="AH83" i="55"/>
  <c r="AB85" i="55"/>
  <c r="AI91" i="55"/>
  <c r="AF91" i="55"/>
  <c r="AA124" i="55"/>
  <c r="AI53" i="52"/>
  <c r="AJ53" i="52"/>
  <c r="AF53" i="52"/>
  <c r="AB53" i="52"/>
  <c r="AA50" i="52"/>
  <c r="K50" i="52"/>
  <c r="AI37" i="52"/>
  <c r="AF37" i="52"/>
  <c r="AB37" i="52"/>
  <c r="AF40" i="52"/>
  <c r="AB40" i="52"/>
  <c r="AI40" i="52"/>
  <c r="AJ40" i="52"/>
  <c r="AI65" i="52"/>
  <c r="AF65" i="52"/>
  <c r="AB84" i="52"/>
  <c r="AI84" i="52"/>
  <c r="AF84" i="52"/>
  <c r="AJ84" i="52"/>
  <c r="AF94" i="56"/>
  <c r="AI94" i="56"/>
  <c r="AI55" i="53"/>
  <c r="AJ55" i="53"/>
  <c r="AF55" i="53"/>
  <c r="AB55" i="53"/>
  <c r="AJ39" i="53"/>
  <c r="AI39" i="53"/>
  <c r="AF39" i="53"/>
  <c r="AB39" i="53"/>
  <c r="AF67" i="53"/>
  <c r="AI67" i="53"/>
  <c r="AJ67" i="53"/>
  <c r="AA145" i="55"/>
  <c r="AL58" i="52"/>
  <c r="AL50" i="52"/>
  <c r="AL42" i="52"/>
  <c r="B62" i="52"/>
  <c r="AL66" i="52"/>
  <c r="AA63" i="52"/>
  <c r="AF80" i="52"/>
  <c r="AF76" i="52"/>
  <c r="AL76" i="52"/>
  <c r="AF85" i="52"/>
  <c r="AL85" i="52"/>
  <c r="AK84" i="52"/>
  <c r="AN88" i="52"/>
  <c r="AA90" i="52"/>
  <c r="AG91" i="52"/>
  <c r="AI138" i="56"/>
  <c r="AI130" i="56"/>
  <c r="AA143" i="56"/>
  <c r="AK88" i="53"/>
  <c r="AK78" i="53"/>
  <c r="AK87" i="53"/>
  <c r="AK77" i="53"/>
  <c r="AK83" i="53"/>
  <c r="AK64" i="53"/>
  <c r="AK40" i="53"/>
  <c r="AK63" i="53"/>
  <c r="AK39" i="53"/>
  <c r="AK51" i="53"/>
  <c r="AK43" i="53"/>
  <c r="AK37" i="53"/>
  <c r="AK69" i="53"/>
  <c r="AI68" i="53"/>
  <c r="AJ77" i="53"/>
  <c r="AF77" i="53"/>
  <c r="AL85" i="53"/>
  <c r="AF124" i="57"/>
  <c r="AB124" i="57"/>
  <c r="AI124" i="57"/>
  <c r="AB103" i="54"/>
  <c r="AB94" i="54"/>
  <c r="AB99" i="54"/>
  <c r="AB110" i="54"/>
  <c r="AB115" i="54"/>
  <c r="AB87" i="54"/>
  <c r="AB107" i="54"/>
  <c r="AB118" i="54"/>
  <c r="AB38" i="54"/>
  <c r="AB42" i="54"/>
  <c r="AB50" i="54"/>
  <c r="AB54" i="54"/>
  <c r="AB58" i="54"/>
  <c r="AI43" i="54"/>
  <c r="AF43" i="54"/>
  <c r="AB43" i="54"/>
  <c r="AJ43" i="54"/>
  <c r="AJ77" i="54"/>
  <c r="AB77" i="54"/>
  <c r="AI77" i="54"/>
  <c r="AF77" i="54"/>
  <c r="AB109" i="54"/>
  <c r="AI109" i="54"/>
  <c r="AJ109" i="54"/>
  <c r="AF109" i="54"/>
  <c r="AL51" i="52"/>
  <c r="AL43" i="52"/>
  <c r="AK42" i="52"/>
  <c r="AL35" i="52"/>
  <c r="AL67" i="52"/>
  <c r="AK66" i="52"/>
  <c r="AA72" i="52"/>
  <c r="AL72" i="52"/>
  <c r="K79" i="52"/>
  <c r="AL77" i="52"/>
  <c r="AK76" i="52"/>
  <c r="AK85" i="52"/>
  <c r="AI83" i="52"/>
  <c r="AL87" i="52"/>
  <c r="AF38" i="56"/>
  <c r="AI38" i="56"/>
  <c r="AF65" i="56"/>
  <c r="AI65" i="56"/>
  <c r="AF76" i="56"/>
  <c r="AI75" i="56"/>
  <c r="AA88" i="56"/>
  <c r="AF86" i="56"/>
  <c r="AF100" i="56"/>
  <c r="AF111" i="56"/>
  <c r="AF107" i="56"/>
  <c r="AF118" i="56"/>
  <c r="AF114" i="56"/>
  <c r="AF136" i="56"/>
  <c r="AA146" i="56"/>
  <c r="K55" i="53"/>
  <c r="K51" i="53"/>
  <c r="K47" i="53"/>
  <c r="K43" i="53"/>
  <c r="K39" i="53"/>
  <c r="K35" i="53"/>
  <c r="AI58" i="53"/>
  <c r="AL53" i="53"/>
  <c r="AK52" i="53"/>
  <c r="AI50" i="53"/>
  <c r="AL45" i="53"/>
  <c r="AK44" i="53"/>
  <c r="AF65" i="53"/>
  <c r="AK66" i="53"/>
  <c r="AL63" i="53"/>
  <c r="AA70" i="53"/>
  <c r="AA78" i="53"/>
  <c r="K78" i="53"/>
  <c r="AL80" i="53"/>
  <c r="AL76" i="53"/>
  <c r="AK85" i="53"/>
  <c r="AI93" i="57"/>
  <c r="AF93" i="57"/>
  <c r="AJ53" i="54"/>
  <c r="AF53" i="54"/>
  <c r="AB53" i="54"/>
  <c r="AI53" i="54"/>
  <c r="AJ37" i="54"/>
  <c r="AF37" i="54"/>
  <c r="AB37" i="54"/>
  <c r="AI37" i="54"/>
  <c r="AF87" i="55"/>
  <c r="AL52" i="52"/>
  <c r="AK51" i="52"/>
  <c r="AL44" i="52"/>
  <c r="AK43" i="52"/>
  <c r="AL36" i="52"/>
  <c r="AK35" i="52"/>
  <c r="K67" i="52"/>
  <c r="AL68" i="52"/>
  <c r="AK67" i="52"/>
  <c r="AK72" i="52"/>
  <c r="AB78" i="52"/>
  <c r="AL78" i="52"/>
  <c r="AK77" i="52"/>
  <c r="K84" i="52"/>
  <c r="AB85" i="52"/>
  <c r="AJ85" i="52"/>
  <c r="AB87" i="52"/>
  <c r="AL88" i="52"/>
  <c r="AK87" i="52"/>
  <c r="AB41" i="56"/>
  <c r="AF46" i="56"/>
  <c r="AB78" i="56"/>
  <c r="AF75" i="56"/>
  <c r="AF85" i="56"/>
  <c r="AB123" i="56"/>
  <c r="AG126" i="56"/>
  <c r="AL54" i="53"/>
  <c r="AK53" i="53"/>
  <c r="AL46" i="53"/>
  <c r="AK45" i="53"/>
  <c r="AK41" i="53"/>
  <c r="AL38" i="53"/>
  <c r="B62" i="53"/>
  <c r="K69" i="53"/>
  <c r="K64" i="53"/>
  <c r="AL70" i="53"/>
  <c r="AK80" i="53"/>
  <c r="AK76" i="53"/>
  <c r="AA84" i="53"/>
  <c r="G73" i="57"/>
  <c r="AJ107" i="54"/>
  <c r="AJ67" i="54"/>
  <c r="AJ42" i="54"/>
  <c r="AJ50" i="54"/>
  <c r="AJ58" i="54"/>
  <c r="AJ118" i="54"/>
  <c r="AJ63" i="54"/>
  <c r="AJ71" i="54"/>
  <c r="AJ38" i="54"/>
  <c r="AJ46" i="54"/>
  <c r="AJ54" i="54"/>
  <c r="AF47" i="54"/>
  <c r="AB47" i="54"/>
  <c r="AI47" i="54"/>
  <c r="AJ47" i="54"/>
  <c r="AI84" i="54"/>
  <c r="AF84" i="54"/>
  <c r="AJ84" i="54"/>
  <c r="AB84" i="54"/>
  <c r="AI81" i="54"/>
  <c r="AB81" i="54"/>
  <c r="AF81" i="54"/>
  <c r="AJ81" i="54"/>
  <c r="AL79" i="52"/>
  <c r="AF123" i="56"/>
  <c r="AF134" i="56"/>
  <c r="AA144" i="56"/>
  <c r="AK54" i="53"/>
  <c r="AK46" i="53"/>
  <c r="AK38" i="53"/>
  <c r="AK70" i="53"/>
  <c r="AK72" i="53"/>
  <c r="AD91" i="53"/>
  <c r="AN87" i="53"/>
  <c r="AI57" i="54"/>
  <c r="AJ57" i="54"/>
  <c r="AF57" i="54"/>
  <c r="AB57" i="54"/>
  <c r="AI41" i="54"/>
  <c r="AJ41" i="54"/>
  <c r="AF41" i="54"/>
  <c r="AB41" i="54"/>
  <c r="AF101" i="54"/>
  <c r="AI101" i="54"/>
  <c r="AJ101" i="54"/>
  <c r="AB101" i="54"/>
  <c r="AF120" i="54"/>
  <c r="AI120" i="54"/>
  <c r="AJ120" i="54"/>
  <c r="AB120" i="54"/>
  <c r="AF85" i="55"/>
  <c r="AG126" i="55"/>
  <c r="AA16" i="52"/>
  <c r="AL54" i="52"/>
  <c r="AK53" i="52"/>
  <c r="AL46" i="52"/>
  <c r="AK45" i="52"/>
  <c r="AL38" i="52"/>
  <c r="AK37" i="52"/>
  <c r="K65" i="52"/>
  <c r="AL70" i="52"/>
  <c r="AK69" i="52"/>
  <c r="AL62" i="52"/>
  <c r="AF78" i="52"/>
  <c r="AL80" i="52"/>
  <c r="AK79" i="52"/>
  <c r="AJ78" i="52"/>
  <c r="AF83" i="52"/>
  <c r="AF88" i="52"/>
  <c r="AJ88" i="52"/>
  <c r="AI87" i="52"/>
  <c r="AF35" i="56"/>
  <c r="AF70" i="56"/>
  <c r="AF81" i="56"/>
  <c r="AA53" i="56"/>
  <c r="AA54" i="56" s="1"/>
  <c r="G53" i="56" s="1"/>
  <c r="AI91" i="56"/>
  <c r="O126" i="56"/>
  <c r="AB58" i="53"/>
  <c r="AB54" i="53"/>
  <c r="AB46" i="53"/>
  <c r="AB42" i="53"/>
  <c r="AB38" i="53"/>
  <c r="AF54" i="53"/>
  <c r="AF46" i="53"/>
  <c r="AL56" i="53"/>
  <c r="AK55" i="53"/>
  <c r="AJ54" i="53"/>
  <c r="AL48" i="53"/>
  <c r="AK47" i="53"/>
  <c r="AJ46" i="53"/>
  <c r="AK35" i="53"/>
  <c r="K67" i="53"/>
  <c r="AF68" i="53"/>
  <c r="AK67" i="53"/>
  <c r="AN62" i="53"/>
  <c r="K76" i="53"/>
  <c r="AA76" i="53"/>
  <c r="AN79" i="53"/>
  <c r="AK84" i="53"/>
  <c r="AJ87" i="53"/>
  <c r="AI42" i="57"/>
  <c r="AF42" i="57"/>
  <c r="AI51" i="54"/>
  <c r="AF51" i="54"/>
  <c r="AB51" i="54"/>
  <c r="AJ51" i="54"/>
  <c r="AI35" i="54"/>
  <c r="AF35" i="54"/>
  <c r="AB35" i="54"/>
  <c r="AJ35" i="54"/>
  <c r="AI69" i="54"/>
  <c r="AJ69" i="54"/>
  <c r="AF69" i="54"/>
  <c r="AF88" i="54"/>
  <c r="AI88" i="54"/>
  <c r="AJ88" i="54"/>
  <c r="AB88" i="54"/>
  <c r="AJ85" i="54"/>
  <c r="AB85" i="54"/>
  <c r="AI85" i="54"/>
  <c r="AF85" i="54"/>
  <c r="AB101" i="55"/>
  <c r="AB108" i="55"/>
  <c r="AB119" i="55"/>
  <c r="AB115" i="55"/>
  <c r="P126" i="55"/>
  <c r="P127" i="55" s="1"/>
  <c r="AL55" i="52"/>
  <c r="AK54" i="52"/>
  <c r="AL47" i="52"/>
  <c r="AK46" i="52"/>
  <c r="AL39" i="52"/>
  <c r="AK38" i="52"/>
  <c r="AK70" i="52"/>
  <c r="AL63" i="52"/>
  <c r="AK62" i="52"/>
  <c r="K77" i="52"/>
  <c r="AK80" i="52"/>
  <c r="AB100" i="56"/>
  <c r="AB111" i="56"/>
  <c r="AB107" i="56"/>
  <c r="AB118" i="56"/>
  <c r="AB114" i="56"/>
  <c r="AF132" i="56"/>
  <c r="AL79" i="53"/>
  <c r="AL88" i="53"/>
  <c r="AL78" i="53"/>
  <c r="AL84" i="53"/>
  <c r="AL65" i="53"/>
  <c r="AL41" i="53"/>
  <c r="AL83" i="53"/>
  <c r="AL64" i="53"/>
  <c r="AL40" i="53"/>
  <c r="K57" i="53"/>
  <c r="K53" i="53"/>
  <c r="K49" i="53"/>
  <c r="K45" i="53"/>
  <c r="K41" i="53"/>
  <c r="K37" i="53"/>
  <c r="AI38" i="53"/>
  <c r="AJ38" i="53"/>
  <c r="AL57" i="53"/>
  <c r="AK56" i="53"/>
  <c r="AL49" i="53"/>
  <c r="AK48" i="53"/>
  <c r="AK42" i="53"/>
  <c r="AL39" i="53"/>
  <c r="AL36" i="53"/>
  <c r="AL68" i="53"/>
  <c r="AN65" i="53"/>
  <c r="AK79" i="53"/>
  <c r="AI62" i="57"/>
  <c r="AF62" i="57"/>
  <c r="AA64" i="57"/>
  <c r="G63" i="57" s="1"/>
  <c r="AJ45" i="54"/>
  <c r="AF45" i="54"/>
  <c r="AB45" i="54"/>
  <c r="AI45" i="54"/>
  <c r="AJ117" i="54"/>
  <c r="AF117" i="54"/>
  <c r="AB117" i="54"/>
  <c r="AI117" i="54"/>
  <c r="AL56" i="52"/>
  <c r="AK55" i="52"/>
  <c r="AL48" i="52"/>
  <c r="AK47" i="52"/>
  <c r="AL40" i="52"/>
  <c r="AK39" i="52"/>
  <c r="AL64" i="52"/>
  <c r="AK63" i="52"/>
  <c r="AB80" i="52"/>
  <c r="AJ80" i="52"/>
  <c r="AL83" i="52"/>
  <c r="AI78" i="56"/>
  <c r="AA43" i="56"/>
  <c r="AA44" i="56" s="1"/>
  <c r="G43" i="56" s="1"/>
  <c r="AL58" i="53"/>
  <c r="AK57" i="53"/>
  <c r="AL50" i="53"/>
  <c r="AK49" i="53"/>
  <c r="AK36" i="53"/>
  <c r="AK68" i="53"/>
  <c r="AK65" i="53"/>
  <c r="AL62" i="53"/>
  <c r="AA63" i="53"/>
  <c r="AN67" i="53"/>
  <c r="AL72" i="53"/>
  <c r="K80" i="53"/>
  <c r="AA80" i="53"/>
  <c r="AF79" i="53"/>
  <c r="AI79" i="53"/>
  <c r="AJ79" i="53"/>
  <c r="AL77" i="53"/>
  <c r="AA83" i="53"/>
  <c r="K83" i="53"/>
  <c r="AL87" i="53"/>
  <c r="AI72" i="57"/>
  <c r="AF72" i="57"/>
  <c r="AA74" i="57"/>
  <c r="AD127" i="57"/>
  <c r="AE126" i="57"/>
  <c r="AF55" i="54"/>
  <c r="AB55" i="54"/>
  <c r="AI55" i="54"/>
  <c r="AJ55" i="54"/>
  <c r="AF39" i="54"/>
  <c r="AB39" i="54"/>
  <c r="AI39" i="54"/>
  <c r="AJ39" i="54"/>
  <c r="AF65" i="54"/>
  <c r="AI65" i="54"/>
  <c r="AJ65" i="54"/>
  <c r="AB82" i="54"/>
  <c r="AJ111" i="54"/>
  <c r="AF111" i="54"/>
  <c r="AB111" i="54"/>
  <c r="AI111" i="54"/>
  <c r="AB93" i="54"/>
  <c r="AL57" i="52"/>
  <c r="AL49" i="52"/>
  <c r="AL41" i="52"/>
  <c r="AL65" i="52"/>
  <c r="AB103" i="56"/>
  <c r="AB99" i="56"/>
  <c r="AB110" i="56"/>
  <c r="AB106" i="56"/>
  <c r="AB117" i="56"/>
  <c r="AK58" i="53"/>
  <c r="AK50" i="53"/>
  <c r="AK62" i="53"/>
  <c r="AI62" i="53"/>
  <c r="AJ62" i="53"/>
  <c r="AM66" i="53"/>
  <c r="AN66" i="53"/>
  <c r="AJ72" i="53"/>
  <c r="AA91" i="53"/>
  <c r="AF72" i="53"/>
  <c r="AI72" i="53"/>
  <c r="AF123" i="57"/>
  <c r="AB123" i="57"/>
  <c r="AI123" i="57"/>
  <c r="AI49" i="54"/>
  <c r="AJ49" i="54"/>
  <c r="AF49" i="54"/>
  <c r="AB49" i="54"/>
  <c r="AI86" i="54"/>
  <c r="AJ86" i="54"/>
  <c r="AB86" i="54"/>
  <c r="AF86" i="54"/>
  <c r="AK55" i="54"/>
  <c r="AK47" i="54"/>
  <c r="AK39" i="54"/>
  <c r="AK64" i="54"/>
  <c r="AA124" i="54"/>
  <c r="AL72" i="54"/>
  <c r="AB79" i="54"/>
  <c r="AE88" i="54"/>
  <c r="AF82" i="54"/>
  <c r="AH89" i="54"/>
  <c r="AK87" i="54"/>
  <c r="AH86" i="54"/>
  <c r="AK84" i="54"/>
  <c r="AK81" i="54"/>
  <c r="AN76" i="54"/>
  <c r="AJ114" i="54"/>
  <c r="K112" i="54"/>
  <c r="K97" i="54"/>
  <c r="AA108" i="54"/>
  <c r="AJ103" i="54"/>
  <c r="AF103" i="54"/>
  <c r="AA92" i="54"/>
  <c r="AF114" i="54"/>
  <c r="AE110" i="54"/>
  <c r="AF105" i="54"/>
  <c r="AF100" i="54"/>
  <c r="AE96" i="54"/>
  <c r="AL118" i="54"/>
  <c r="AI114" i="54"/>
  <c r="AK111" i="54"/>
  <c r="AJ105" i="54"/>
  <c r="AJ102" i="54"/>
  <c r="AM100" i="54"/>
  <c r="AI99" i="54"/>
  <c r="AK97" i="54"/>
  <c r="AH92" i="54"/>
  <c r="AB121" i="54"/>
  <c r="AB66" i="58"/>
  <c r="AB117" i="58"/>
  <c r="AB106" i="58"/>
  <c r="AB103" i="58"/>
  <c r="AB35" i="58"/>
  <c r="AB83" i="58"/>
  <c r="AB114" i="58"/>
  <c r="AB111" i="58"/>
  <c r="AB37" i="58"/>
  <c r="AB38" i="58"/>
  <c r="AB65" i="58"/>
  <c r="AI38" i="11"/>
  <c r="AF38" i="11"/>
  <c r="AJ38" i="11"/>
  <c r="AB38" i="11"/>
  <c r="AJ55" i="11"/>
  <c r="AF55" i="11"/>
  <c r="AI55" i="11"/>
  <c r="AB37" i="57"/>
  <c r="AF69" i="57"/>
  <c r="AI69" i="57"/>
  <c r="AA84" i="57"/>
  <c r="G82" i="57" s="1"/>
  <c r="AA52" i="57"/>
  <c r="AA121" i="57"/>
  <c r="AF122" i="57"/>
  <c r="AA141" i="57"/>
  <c r="AL120" i="54"/>
  <c r="AL97" i="54"/>
  <c r="AL105" i="54"/>
  <c r="AL113" i="54"/>
  <c r="AL76" i="54"/>
  <c r="AL84" i="54"/>
  <c r="AL94" i="54"/>
  <c r="AL92" i="54"/>
  <c r="AL100" i="54"/>
  <c r="AL108" i="54"/>
  <c r="AL116" i="54"/>
  <c r="AL79" i="54"/>
  <c r="AL87" i="54"/>
  <c r="AL57" i="54"/>
  <c r="AK56" i="54"/>
  <c r="AL49" i="54"/>
  <c r="AK48" i="54"/>
  <c r="AL41" i="54"/>
  <c r="AK40" i="54"/>
  <c r="AN68" i="54"/>
  <c r="AL66" i="54"/>
  <c r="AK65" i="54"/>
  <c r="AK72" i="54"/>
  <c r="AA89" i="54"/>
  <c r="AE87" i="54"/>
  <c r="AE82" i="54"/>
  <c r="AJ87" i="54"/>
  <c r="AA113" i="54"/>
  <c r="AB102" i="54"/>
  <c r="AA97" i="54"/>
  <c r="AE95" i="54"/>
  <c r="AK118" i="54"/>
  <c r="AL115" i="54"/>
  <c r="AH114" i="54"/>
  <c r="AL112" i="54"/>
  <c r="AL109" i="54"/>
  <c r="AL106" i="54"/>
  <c r="AH105" i="54"/>
  <c r="AN105" i="54" s="1"/>
  <c r="AL103" i="54"/>
  <c r="AH102" i="54"/>
  <c r="AK100" i="54"/>
  <c r="AK95" i="54"/>
  <c r="AL93" i="54"/>
  <c r="AF48" i="11"/>
  <c r="AI48" i="11"/>
  <c r="AB48" i="11"/>
  <c r="AJ48" i="11"/>
  <c r="AI60" i="11"/>
  <c r="AJ60" i="11"/>
  <c r="AF60" i="11"/>
  <c r="AN85" i="53"/>
  <c r="AF87" i="53"/>
  <c r="AB36" i="57"/>
  <c r="AF41" i="57"/>
  <c r="AI41" i="57"/>
  <c r="AB69" i="57"/>
  <c r="AF68" i="57"/>
  <c r="AI68" i="57"/>
  <c r="AF79" i="57"/>
  <c r="AA43" i="57"/>
  <c r="AA44" i="57" s="1"/>
  <c r="G43" i="57" s="1"/>
  <c r="AI85" i="57"/>
  <c r="AI140" i="57"/>
  <c r="AH93" i="54"/>
  <c r="AH101" i="54"/>
  <c r="AH109" i="54"/>
  <c r="AH80" i="54"/>
  <c r="AH88" i="54"/>
  <c r="AH121" i="54"/>
  <c r="AH98" i="54"/>
  <c r="AH96" i="54"/>
  <c r="AH104" i="54"/>
  <c r="AH83" i="54"/>
  <c r="AL58" i="54"/>
  <c r="AK57" i="54"/>
  <c r="AH54" i="54"/>
  <c r="AL50" i="54"/>
  <c r="AK49" i="54"/>
  <c r="AL42" i="54"/>
  <c r="AK41" i="54"/>
  <c r="AH38" i="54"/>
  <c r="K69" i="54"/>
  <c r="AF66" i="54"/>
  <c r="AL67" i="54"/>
  <c r="AK66" i="54"/>
  <c r="AI64" i="54"/>
  <c r="AJ72" i="54"/>
  <c r="K85" i="54"/>
  <c r="K81" i="54"/>
  <c r="AB83" i="54"/>
  <c r="AA78" i="54"/>
  <c r="AF76" i="54"/>
  <c r="AL88" i="54"/>
  <c r="AI87" i="54"/>
  <c r="AL85" i="54"/>
  <c r="AH84" i="54"/>
  <c r="AL82" i="54"/>
  <c r="AH81" i="54"/>
  <c r="AK79" i="54"/>
  <c r="AK76" i="54"/>
  <c r="K105" i="54"/>
  <c r="AA112" i="54"/>
  <c r="AA96" i="54"/>
  <c r="AE118" i="54"/>
  <c r="AE99" i="54"/>
  <c r="AF94" i="54"/>
  <c r="AJ115" i="54"/>
  <c r="AH111" i="54"/>
  <c r="AK109" i="54"/>
  <c r="AH108" i="54"/>
  <c r="AK106" i="54"/>
  <c r="AK103" i="54"/>
  <c r="AJ100" i="54"/>
  <c r="AH97" i="54"/>
  <c r="AJ93" i="54"/>
  <c r="AB68" i="58"/>
  <c r="AI42" i="11"/>
  <c r="AJ42" i="11"/>
  <c r="AF42" i="11"/>
  <c r="AB42" i="11"/>
  <c r="AI58" i="11"/>
  <c r="AJ58" i="11"/>
  <c r="AF58" i="11"/>
  <c r="AJ72" i="11"/>
  <c r="AB72" i="11"/>
  <c r="AI72" i="11"/>
  <c r="AF72" i="11"/>
  <c r="AF40" i="57"/>
  <c r="AF49" i="57"/>
  <c r="AI49" i="57"/>
  <c r="AB71" i="57"/>
  <c r="AI77" i="57"/>
  <c r="AF92" i="57"/>
  <c r="AB103" i="57"/>
  <c r="AB99" i="57"/>
  <c r="AF101" i="57"/>
  <c r="AI103" i="57"/>
  <c r="AI99" i="57"/>
  <c r="AB110" i="57"/>
  <c r="AB106" i="57"/>
  <c r="AF108" i="57"/>
  <c r="AI110" i="57"/>
  <c r="AI106" i="57"/>
  <c r="AB117" i="57"/>
  <c r="AF119" i="57"/>
  <c r="AF115" i="57"/>
  <c r="AI117" i="57"/>
  <c r="AE57" i="54"/>
  <c r="AE49" i="54"/>
  <c r="AE45" i="54"/>
  <c r="AK58" i="54"/>
  <c r="AH55" i="54"/>
  <c r="AL51" i="54"/>
  <c r="AK50" i="54"/>
  <c r="AH47" i="54"/>
  <c r="AL43" i="54"/>
  <c r="AK42" i="54"/>
  <c r="AL35" i="54"/>
  <c r="AL68" i="54"/>
  <c r="AK67" i="54"/>
  <c r="AI72" i="54"/>
  <c r="AE86" i="54"/>
  <c r="AK88" i="54"/>
  <c r="AH87" i="54"/>
  <c r="AK85" i="54"/>
  <c r="AK82" i="54"/>
  <c r="AJ79" i="54"/>
  <c r="AJ76" i="54"/>
  <c r="K111" i="54"/>
  <c r="K101" i="54"/>
  <c r="AB106" i="54"/>
  <c r="AE104" i="54"/>
  <c r="AE94" i="54"/>
  <c r="AH118" i="54"/>
  <c r="AI115" i="54"/>
  <c r="AI103" i="54"/>
  <c r="AL101" i="54"/>
  <c r="AI100" i="54"/>
  <c r="AL98" i="54"/>
  <c r="AH95" i="54"/>
  <c r="AI93" i="54"/>
  <c r="AE121" i="54"/>
  <c r="AB67" i="58"/>
  <c r="AI122" i="58"/>
  <c r="AF122" i="58"/>
  <c r="AB122" i="58"/>
  <c r="AB89" i="11"/>
  <c r="AB91" i="11"/>
  <c r="AB71" i="11"/>
  <c r="AJ36" i="11"/>
  <c r="AF36" i="11"/>
  <c r="AB36" i="11"/>
  <c r="AI36" i="11"/>
  <c r="AM68" i="11"/>
  <c r="AN68" i="11"/>
  <c r="AF77" i="57"/>
  <c r="AA73" i="57"/>
  <c r="AK96" i="54"/>
  <c r="AK104" i="54"/>
  <c r="AK112" i="54"/>
  <c r="AK83" i="54"/>
  <c r="AK93" i="54"/>
  <c r="AK99" i="54"/>
  <c r="AK107" i="54"/>
  <c r="AK115" i="54"/>
  <c r="AK78" i="54"/>
  <c r="AK86" i="54"/>
  <c r="AK51" i="54"/>
  <c r="AK43" i="54"/>
  <c r="AL36" i="54"/>
  <c r="AK35" i="54"/>
  <c r="AL69" i="54"/>
  <c r="AK68" i="54"/>
  <c r="AH72" i="54"/>
  <c r="AJ82" i="54"/>
  <c r="AE80" i="54"/>
  <c r="AI82" i="54"/>
  <c r="AL80" i="54"/>
  <c r="AL77" i="54"/>
  <c r="AJ98" i="54"/>
  <c r="AB116" i="54"/>
  <c r="AE98" i="54"/>
  <c r="AK116" i="54"/>
  <c r="AH115" i="54"/>
  <c r="AK113" i="54"/>
  <c r="AL110" i="54"/>
  <c r="AL107" i="54"/>
  <c r="AH106" i="54"/>
  <c r="AL104" i="54"/>
  <c r="AH103" i="54"/>
  <c r="AK101" i="54"/>
  <c r="AH100" i="54"/>
  <c r="AN100" i="54" s="1"/>
  <c r="AK98" i="54"/>
  <c r="AL96" i="54"/>
  <c r="AI46" i="11"/>
  <c r="AF46" i="11"/>
  <c r="AJ46" i="11"/>
  <c r="AB46" i="11"/>
  <c r="AN47" i="11"/>
  <c r="AJ61" i="11"/>
  <c r="AF61" i="11"/>
  <c r="AI61" i="11"/>
  <c r="AF65" i="57"/>
  <c r="AI65" i="57"/>
  <c r="AA88" i="57"/>
  <c r="AA94" i="57"/>
  <c r="AI122" i="57"/>
  <c r="AA146" i="57"/>
  <c r="AE93" i="54"/>
  <c r="AE101" i="54"/>
  <c r="AE81" i="54"/>
  <c r="AE85" i="54"/>
  <c r="AE89" i="54"/>
  <c r="AA56" i="54"/>
  <c r="AA52" i="54"/>
  <c r="AA48" i="54"/>
  <c r="AA44" i="54"/>
  <c r="AA40" i="54"/>
  <c r="AA36" i="54"/>
  <c r="AE40" i="54"/>
  <c r="AE36" i="54"/>
  <c r="AL53" i="54"/>
  <c r="AK52" i="54"/>
  <c r="AL45" i="54"/>
  <c r="AK44" i="54"/>
  <c r="AL37" i="54"/>
  <c r="AK36" i="54"/>
  <c r="AL70" i="54"/>
  <c r="AK69" i="54"/>
  <c r="AJ68" i="54"/>
  <c r="AN64" i="54"/>
  <c r="AL62" i="54"/>
  <c r="AE79" i="54"/>
  <c r="AL89" i="54"/>
  <c r="AL86" i="54"/>
  <c r="AH85" i="54"/>
  <c r="AL83" i="54"/>
  <c r="AH82" i="54"/>
  <c r="AK80" i="54"/>
  <c r="AH79" i="54"/>
  <c r="AK77" i="54"/>
  <c r="AF116" i="54"/>
  <c r="AE107" i="54"/>
  <c r="AL117" i="54"/>
  <c r="AJ116" i="54"/>
  <c r="AK110" i="54"/>
  <c r="AI98" i="54"/>
  <c r="AK94" i="54"/>
  <c r="AJ121" i="54"/>
  <c r="AF121" i="54"/>
  <c r="AH120" i="54"/>
  <c r="AI94" i="58"/>
  <c r="AF94" i="58"/>
  <c r="AB125" i="58"/>
  <c r="AF125" i="58"/>
  <c r="AI125" i="58"/>
  <c r="AF121" i="58"/>
  <c r="AB121" i="58"/>
  <c r="AI121" i="58"/>
  <c r="AF40" i="11"/>
  <c r="AI40" i="11"/>
  <c r="AB40" i="11"/>
  <c r="AJ40" i="11"/>
  <c r="AB41" i="57"/>
  <c r="AF37" i="57"/>
  <c r="AF85" i="57"/>
  <c r="AA16" i="54"/>
  <c r="AL54" i="54"/>
  <c r="AK53" i="54"/>
  <c r="AL46" i="54"/>
  <c r="AK45" i="54"/>
  <c r="AL38" i="54"/>
  <c r="AK37" i="54"/>
  <c r="K65" i="54"/>
  <c r="AF68" i="54"/>
  <c r="AL71" i="54"/>
  <c r="AK70" i="54"/>
  <c r="AL63" i="54"/>
  <c r="AK62" i="54"/>
  <c r="AF72" i="54"/>
  <c r="K87" i="54"/>
  <c r="K83" i="54"/>
  <c r="AE84" i="54"/>
  <c r="AK89" i="54"/>
  <c r="AJ83" i="54"/>
  <c r="AJ106" i="54"/>
  <c r="K104" i="54"/>
  <c r="K102" i="54"/>
  <c r="AA104" i="54"/>
  <c r="AF106" i="54"/>
  <c r="AK117" i="54"/>
  <c r="AI116" i="54"/>
  <c r="AL114" i="54"/>
  <c r="AJ110" i="54"/>
  <c r="AI107" i="54"/>
  <c r="AL102" i="54"/>
  <c r="AL99" i="54"/>
  <c r="AJ94" i="54"/>
  <c r="AK92" i="54"/>
  <c r="AL121" i="54"/>
  <c r="AJ89" i="11"/>
  <c r="AJ62" i="11"/>
  <c r="AJ37" i="11"/>
  <c r="AJ45" i="11"/>
  <c r="AI50" i="11"/>
  <c r="AJ50" i="11"/>
  <c r="AF50" i="11"/>
  <c r="AB50" i="11"/>
  <c r="AB82" i="11"/>
  <c r="AF36" i="57"/>
  <c r="AF45" i="57"/>
  <c r="AF71" i="57"/>
  <c r="AB101" i="57"/>
  <c r="AB108" i="57"/>
  <c r="AB119" i="57"/>
  <c r="AB115" i="57"/>
  <c r="AE47" i="54"/>
  <c r="AE43" i="54"/>
  <c r="AE35" i="54"/>
  <c r="AL55" i="54"/>
  <c r="AK54" i="54"/>
  <c r="AL47" i="54"/>
  <c r="AK46" i="54"/>
  <c r="AL39" i="54"/>
  <c r="AK38" i="54"/>
  <c r="AH35" i="54"/>
  <c r="AK71" i="54"/>
  <c r="AL64" i="54"/>
  <c r="AK63" i="54"/>
  <c r="AB72" i="54"/>
  <c r="AE72" i="54"/>
  <c r="AA80" i="54"/>
  <c r="AI83" i="54"/>
  <c r="AL81" i="54"/>
  <c r="AL78" i="54"/>
  <c r="AB114" i="54"/>
  <c r="AB98" i="54"/>
  <c r="AF110" i="54"/>
  <c r="AE106" i="54"/>
  <c r="AH116" i="54"/>
  <c r="AK114" i="54"/>
  <c r="AL111" i="54"/>
  <c r="AK108" i="54"/>
  <c r="AH107" i="54"/>
  <c r="AK105" i="54"/>
  <c r="AK102" i="54"/>
  <c r="AJ99" i="54"/>
  <c r="AH94" i="54"/>
  <c r="AK121" i="54"/>
  <c r="AA74" i="58"/>
  <c r="G73" i="58" s="1"/>
  <c r="AI72" i="58"/>
  <c r="AF72" i="58"/>
  <c r="AJ44" i="11"/>
  <c r="AF44" i="11"/>
  <c r="AB44" i="11"/>
  <c r="AI44" i="11"/>
  <c r="AI67" i="11"/>
  <c r="AB67" i="11"/>
  <c r="AJ67" i="11"/>
  <c r="AF67" i="11"/>
  <c r="AJ92" i="11"/>
  <c r="AF92" i="11"/>
  <c r="AI92" i="11"/>
  <c r="AB92" i="11"/>
  <c r="AH126" i="58"/>
  <c r="AK76" i="11"/>
  <c r="AL73" i="11"/>
  <c r="AA87" i="11"/>
  <c r="AE86" i="11"/>
  <c r="AJ88" i="11"/>
  <c r="AK82" i="11"/>
  <c r="AH92" i="11"/>
  <c r="AF47" i="13"/>
  <c r="AI47" i="13"/>
  <c r="AJ47" i="13"/>
  <c r="AB47" i="13"/>
  <c r="AI75" i="13"/>
  <c r="AJ75" i="13"/>
  <c r="AB75" i="13"/>
  <c r="AF75" i="13"/>
  <c r="AI98" i="13"/>
  <c r="AJ98" i="13"/>
  <c r="AF98" i="13"/>
  <c r="AB98" i="13"/>
  <c r="AF96" i="13"/>
  <c r="AI96" i="13"/>
  <c r="AJ96" i="13"/>
  <c r="AB39" i="58"/>
  <c r="AH67" i="58"/>
  <c r="AF71" i="58"/>
  <c r="AI71" i="58"/>
  <c r="AB77" i="58"/>
  <c r="AB85" i="58"/>
  <c r="AA62" i="58"/>
  <c r="AI92" i="58"/>
  <c r="AB101" i="58"/>
  <c r="AI101" i="58"/>
  <c r="AB108" i="58"/>
  <c r="AI108" i="58"/>
  <c r="AB119" i="58"/>
  <c r="AB115" i="58"/>
  <c r="AI119" i="58"/>
  <c r="AI115" i="58"/>
  <c r="AL86" i="11"/>
  <c r="AL70" i="11"/>
  <c r="AL78" i="11"/>
  <c r="AL56" i="11"/>
  <c r="AL87" i="11"/>
  <c r="AL71" i="11"/>
  <c r="K50" i="11"/>
  <c r="K46" i="11"/>
  <c r="K42" i="11"/>
  <c r="K38" i="11"/>
  <c r="AL48" i="11"/>
  <c r="AI45" i="11"/>
  <c r="AL40" i="11"/>
  <c r="AI37" i="11"/>
  <c r="K55" i="11"/>
  <c r="AL57" i="11"/>
  <c r="AJ56" i="11"/>
  <c r="AF69" i="11"/>
  <c r="AB69" i="11"/>
  <c r="AJ69" i="11"/>
  <c r="AA76" i="11"/>
  <c r="AE78" i="11"/>
  <c r="AE72" i="11"/>
  <c r="AK73" i="11"/>
  <c r="AK67" i="11"/>
  <c r="AB86" i="11"/>
  <c r="AB81" i="11"/>
  <c r="AL89" i="11"/>
  <c r="AI88" i="11"/>
  <c r="AL83" i="11"/>
  <c r="AJ82" i="11"/>
  <c r="AE92" i="11"/>
  <c r="AB54" i="13"/>
  <c r="AI54" i="13"/>
  <c r="AJ54" i="13"/>
  <c r="AF54" i="13"/>
  <c r="AI38" i="13"/>
  <c r="AJ38" i="13"/>
  <c r="AF38" i="13"/>
  <c r="AI66" i="13"/>
  <c r="AF66" i="13"/>
  <c r="AJ66" i="13"/>
  <c r="AJ85" i="13"/>
  <c r="AF85" i="13"/>
  <c r="AI85" i="13"/>
  <c r="AH66" i="58"/>
  <c r="AI80" i="58"/>
  <c r="AI87" i="58"/>
  <c r="AH101" i="58"/>
  <c r="AH119" i="58"/>
  <c r="O126" i="58"/>
  <c r="AH121" i="58"/>
  <c r="AB49" i="11"/>
  <c r="AB45" i="11"/>
  <c r="AB41" i="11"/>
  <c r="AB37" i="11"/>
  <c r="AJ47" i="11"/>
  <c r="AL41" i="11"/>
  <c r="AJ39" i="11"/>
  <c r="AF59" i="11"/>
  <c r="AL58" i="11"/>
  <c r="AK63" i="11"/>
  <c r="AD95" i="11"/>
  <c r="AF73" i="11"/>
  <c r="AB73" i="11"/>
  <c r="AB75" i="11"/>
  <c r="AF71" i="11"/>
  <c r="AL77" i="11"/>
  <c r="AL74" i="11"/>
  <c r="AJ73" i="11"/>
  <c r="AE84" i="11"/>
  <c r="AM84" i="11" s="1"/>
  <c r="AK89" i="11"/>
  <c r="AJ86" i="11"/>
  <c r="AK83" i="11"/>
  <c r="AI82" i="11"/>
  <c r="AB121" i="59"/>
  <c r="AJ51" i="13"/>
  <c r="AF51" i="13"/>
  <c r="AB51" i="13"/>
  <c r="AI51" i="13"/>
  <c r="AJ35" i="13"/>
  <c r="AF35" i="13"/>
  <c r="AI35" i="13"/>
  <c r="AB79" i="13"/>
  <c r="AI79" i="13"/>
  <c r="AJ79" i="13"/>
  <c r="AF79" i="13"/>
  <c r="AI92" i="13"/>
  <c r="AF92" i="13"/>
  <c r="AJ92" i="13"/>
  <c r="AJ90" i="13"/>
  <c r="AH39" i="58"/>
  <c r="AH65" i="58"/>
  <c r="AI79" i="58"/>
  <c r="AF102" i="58"/>
  <c r="AF98" i="58"/>
  <c r="AF109" i="58"/>
  <c r="AF116" i="58"/>
  <c r="AI124" i="58"/>
  <c r="AA141" i="58"/>
  <c r="AI47" i="11"/>
  <c r="AI39" i="11"/>
  <c r="AL59" i="11"/>
  <c r="AJ57" i="11"/>
  <c r="AF77" i="11"/>
  <c r="AB77" i="11"/>
  <c r="AJ77" i="11"/>
  <c r="AA70" i="11"/>
  <c r="AE76" i="11"/>
  <c r="AE71" i="11"/>
  <c r="AI77" i="11"/>
  <c r="AK74" i="11"/>
  <c r="AL68" i="11"/>
  <c r="AE91" i="11"/>
  <c r="AL91" i="11"/>
  <c r="AF122" i="59"/>
  <c r="AB122" i="59"/>
  <c r="AI122" i="59"/>
  <c r="AI42" i="13"/>
  <c r="AJ42" i="13"/>
  <c r="AF42" i="13"/>
  <c r="AF62" i="13"/>
  <c r="AI62" i="13"/>
  <c r="AJ62" i="13"/>
  <c r="AH38" i="58"/>
  <c r="AB69" i="58"/>
  <c r="AF68" i="58"/>
  <c r="AI68" i="58"/>
  <c r="AF79" i="58"/>
  <c r="AI78" i="58"/>
  <c r="AA43" i="58"/>
  <c r="AI85" i="58"/>
  <c r="AA93" i="58"/>
  <c r="AE109" i="58"/>
  <c r="AH111" i="58"/>
  <c r="AH114" i="58"/>
  <c r="AI140" i="58"/>
  <c r="AK92" i="11"/>
  <c r="AK85" i="11"/>
  <c r="AK69" i="11"/>
  <c r="AK77" i="11"/>
  <c r="AK55" i="11"/>
  <c r="AK86" i="11"/>
  <c r="AK70" i="11"/>
  <c r="AK78" i="11"/>
  <c r="AF49" i="11"/>
  <c r="AF41" i="11"/>
  <c r="AL51" i="11"/>
  <c r="AK50" i="11"/>
  <c r="AJ49" i="11"/>
  <c r="AL43" i="11"/>
  <c r="AK42" i="11"/>
  <c r="AJ41" i="11"/>
  <c r="AL35" i="11"/>
  <c r="AN62" i="11"/>
  <c r="AL60" i="11"/>
  <c r="AK59" i="11"/>
  <c r="AI57" i="11"/>
  <c r="AN55" i="11"/>
  <c r="AA63" i="11"/>
  <c r="AL63" i="11"/>
  <c r="AB74" i="11"/>
  <c r="AF75" i="11"/>
  <c r="AL75" i="11"/>
  <c r="AJ74" i="11"/>
  <c r="AJ71" i="11"/>
  <c r="AK68" i="11"/>
  <c r="K86" i="11"/>
  <c r="AJ85" i="11"/>
  <c r="AE88" i="11"/>
  <c r="AK87" i="11"/>
  <c r="AL84" i="11"/>
  <c r="AL81" i="11"/>
  <c r="AK91" i="11"/>
  <c r="AF55" i="13"/>
  <c r="AI55" i="13"/>
  <c r="AJ55" i="13"/>
  <c r="AF39" i="13"/>
  <c r="AI39" i="13"/>
  <c r="AJ39" i="13"/>
  <c r="AB39" i="13"/>
  <c r="AI83" i="13"/>
  <c r="AJ83" i="13"/>
  <c r="AB83" i="13"/>
  <c r="AF83" i="13"/>
  <c r="AI97" i="13"/>
  <c r="AF97" i="13"/>
  <c r="AJ97" i="13"/>
  <c r="AB97" i="13"/>
  <c r="AH37" i="58"/>
  <c r="AF40" i="58"/>
  <c r="AB71" i="58"/>
  <c r="AI77" i="58"/>
  <c r="AH85" i="58"/>
  <c r="AA82" i="58"/>
  <c r="AA42" i="58"/>
  <c r="AF138" i="58"/>
  <c r="AF130" i="58"/>
  <c r="AE81" i="11"/>
  <c r="AE85" i="11"/>
  <c r="AM85" i="11" s="1"/>
  <c r="AE89" i="11"/>
  <c r="AE73" i="11"/>
  <c r="AE77" i="11"/>
  <c r="K48" i="11"/>
  <c r="K44" i="11"/>
  <c r="K40" i="11"/>
  <c r="K36" i="11"/>
  <c r="AE45" i="11"/>
  <c r="AE41" i="11"/>
  <c r="AE37" i="11"/>
  <c r="AK51" i="11"/>
  <c r="AL44" i="11"/>
  <c r="AK43" i="11"/>
  <c r="AL36" i="11"/>
  <c r="AK35" i="11"/>
  <c r="K59" i="11"/>
  <c r="AL61" i="11"/>
  <c r="AK60" i="11"/>
  <c r="AJ59" i="11"/>
  <c r="AJ68" i="11"/>
  <c r="AI68" i="11"/>
  <c r="AE75" i="11"/>
  <c r="AE70" i="11"/>
  <c r="AK75" i="11"/>
  <c r="AI74" i="11"/>
  <c r="AL72" i="11"/>
  <c r="AF82" i="11"/>
  <c r="AH89" i="11"/>
  <c r="AN85" i="11"/>
  <c r="AK84" i="11"/>
  <c r="AK81" i="11"/>
  <c r="AJ91" i="11"/>
  <c r="AI91" i="11"/>
  <c r="AH91" i="11"/>
  <c r="O127" i="59"/>
  <c r="AA126" i="59"/>
  <c r="AA127" i="59" s="1"/>
  <c r="AJ41" i="13"/>
  <c r="AJ49" i="13"/>
  <c r="AJ91" i="13"/>
  <c r="AJ69" i="13"/>
  <c r="AJ37" i="13"/>
  <c r="AJ45" i="13"/>
  <c r="AJ53" i="13"/>
  <c r="AB46" i="13"/>
  <c r="AI46" i="13"/>
  <c r="AJ46" i="13"/>
  <c r="AF46" i="13"/>
  <c r="AJ67" i="13"/>
  <c r="AF67" i="13"/>
  <c r="AI67" i="13"/>
  <c r="AJ77" i="13"/>
  <c r="AF77" i="13"/>
  <c r="AB77" i="13"/>
  <c r="AI77" i="13"/>
  <c r="AJ99" i="13"/>
  <c r="AE39" i="58"/>
  <c r="AH36" i="58"/>
  <c r="AF39" i="58"/>
  <c r="AI39" i="58"/>
  <c r="AE46" i="58"/>
  <c r="AF48" i="58"/>
  <c r="AF66" i="58"/>
  <c r="AA81" i="58"/>
  <c r="AF87" i="58"/>
  <c r="AE101" i="58"/>
  <c r="AH103" i="58"/>
  <c r="AH106" i="58"/>
  <c r="AE119" i="58"/>
  <c r="AH117" i="58"/>
  <c r="AB51" i="11"/>
  <c r="AB43" i="11"/>
  <c r="AB35" i="11"/>
  <c r="AJ51" i="11"/>
  <c r="AL45" i="11"/>
  <c r="AK44" i="11"/>
  <c r="AJ43" i="11"/>
  <c r="AL37" i="11"/>
  <c r="AK36" i="11"/>
  <c r="AJ35" i="11"/>
  <c r="AL62" i="11"/>
  <c r="AK61" i="11"/>
  <c r="AL55" i="11"/>
  <c r="AH63" i="11"/>
  <c r="K72" i="11"/>
  <c r="AJ75" i="11"/>
  <c r="AK72" i="11"/>
  <c r="AL69" i="11"/>
  <c r="AJ84" i="11"/>
  <c r="AI84" i="11"/>
  <c r="AF84" i="11"/>
  <c r="AA83" i="11"/>
  <c r="AE87" i="11"/>
  <c r="AE82" i="11"/>
  <c r="AL88" i="11"/>
  <c r="AJ81" i="11"/>
  <c r="AL92" i="11"/>
  <c r="AB36" i="59"/>
  <c r="AB85" i="59"/>
  <c r="AB45" i="59"/>
  <c r="AB38" i="59"/>
  <c r="AB55" i="59"/>
  <c r="AB46" i="59"/>
  <c r="AB39" i="59"/>
  <c r="AB56" i="59"/>
  <c r="AB57" i="59"/>
  <c r="AB48" i="59"/>
  <c r="AB99" i="59"/>
  <c r="AB103" i="59"/>
  <c r="AB58" i="59"/>
  <c r="AB49" i="59"/>
  <c r="AB59" i="59"/>
  <c r="AB35" i="59"/>
  <c r="AI141" i="59"/>
  <c r="AF141" i="59"/>
  <c r="AI62" i="59"/>
  <c r="AF62" i="59"/>
  <c r="AA64" i="59"/>
  <c r="G63" i="59" s="1"/>
  <c r="AI125" i="59"/>
  <c r="AB125" i="59"/>
  <c r="AF125" i="59"/>
  <c r="AJ43" i="13"/>
  <c r="AF43" i="13"/>
  <c r="AI43" i="13"/>
  <c r="AI65" i="13"/>
  <c r="AJ65" i="13"/>
  <c r="AF65" i="13"/>
  <c r="AA108" i="13"/>
  <c r="AI87" i="13"/>
  <c r="AJ87" i="13"/>
  <c r="AF87" i="13"/>
  <c r="AF47" i="58"/>
  <c r="AH69" i="58"/>
  <c r="AA88" i="58"/>
  <c r="AA145" i="58" s="1"/>
  <c r="AB102" i="58"/>
  <c r="AB98" i="58"/>
  <c r="AB109" i="58"/>
  <c r="AB116" i="58"/>
  <c r="R126" i="58"/>
  <c r="R127" i="58" s="1"/>
  <c r="AB124" i="58"/>
  <c r="AA78" i="11"/>
  <c r="AE74" i="11"/>
  <c r="AF68" i="11"/>
  <c r="AL76" i="11"/>
  <c r="AI69" i="11"/>
  <c r="AB88" i="11"/>
  <c r="AF81" i="11"/>
  <c r="AK88" i="11"/>
  <c r="AL85" i="11"/>
  <c r="AL82" i="11"/>
  <c r="AD127" i="59"/>
  <c r="AE126" i="59"/>
  <c r="AI50" i="13"/>
  <c r="AJ50" i="13"/>
  <c r="AF50" i="13"/>
  <c r="AF81" i="13"/>
  <c r="AI81" i="13"/>
  <c r="AJ81" i="13"/>
  <c r="AI102" i="13"/>
  <c r="AJ102" i="13"/>
  <c r="AF102" i="13"/>
  <c r="AI100" i="13"/>
  <c r="AF100" i="13"/>
  <c r="AB100" i="13"/>
  <c r="AJ100" i="13"/>
  <c r="Z16" i="59"/>
  <c r="AE47" i="59"/>
  <c r="AE56" i="59"/>
  <c r="AF58" i="59"/>
  <c r="AF78" i="59"/>
  <c r="AB87" i="59"/>
  <c r="AA43" i="59"/>
  <c r="AI85" i="59"/>
  <c r="AA93" i="59"/>
  <c r="AE98" i="59"/>
  <c r="AE116" i="59"/>
  <c r="AE122" i="59"/>
  <c r="AI132" i="59"/>
  <c r="AA19" i="13"/>
  <c r="AB81" i="13" s="1"/>
  <c r="AK106" i="13"/>
  <c r="AK94" i="13"/>
  <c r="AK102" i="13"/>
  <c r="AL54" i="13"/>
  <c r="AK53" i="13"/>
  <c r="AH50" i="13"/>
  <c r="AL46" i="13"/>
  <c r="AK45" i="13"/>
  <c r="AL38" i="13"/>
  <c r="AK37" i="13"/>
  <c r="K66" i="13"/>
  <c r="AK69" i="13"/>
  <c r="AJ68" i="13"/>
  <c r="AN64" i="13"/>
  <c r="AM63" i="13"/>
  <c r="AL62" i="13"/>
  <c r="AK61" i="13"/>
  <c r="AJ60" i="13"/>
  <c r="AA64" i="13"/>
  <c r="AA86" i="13"/>
  <c r="AA82" i="13"/>
  <c r="AA78" i="13"/>
  <c r="AA74" i="13"/>
  <c r="AE84" i="13"/>
  <c r="AE80" i="13"/>
  <c r="AK87" i="13"/>
  <c r="AL80" i="13"/>
  <c r="AK79" i="13"/>
  <c r="AB99" i="13"/>
  <c r="AB95" i="13"/>
  <c r="AE100" i="13"/>
  <c r="AF95" i="13"/>
  <c r="AE91" i="13"/>
  <c r="AH103" i="13"/>
  <c r="AK100" i="13"/>
  <c r="AI99" i="13"/>
  <c r="AL96" i="13"/>
  <c r="AJ95" i="13"/>
  <c r="AK91" i="13"/>
  <c r="AK105" i="13"/>
  <c r="AA19" i="60"/>
  <c r="AB37" i="60" s="1"/>
  <c r="AF46" i="15"/>
  <c r="AI46" i="15"/>
  <c r="AB51" i="15"/>
  <c r="AF51" i="15"/>
  <c r="AA77" i="15"/>
  <c r="AI51" i="15"/>
  <c r="AA46" i="24"/>
  <c r="AH46" i="24"/>
  <c r="AI46" i="24"/>
  <c r="AE46" i="24"/>
  <c r="AI56" i="24"/>
  <c r="AA56" i="24"/>
  <c r="AE56" i="24"/>
  <c r="AH56" i="24"/>
  <c r="AE52" i="24"/>
  <c r="AA52" i="24"/>
  <c r="AH52" i="24"/>
  <c r="AI52" i="24"/>
  <c r="AI55" i="18"/>
  <c r="AF55" i="18"/>
  <c r="AE39" i="59"/>
  <c r="AF39" i="59"/>
  <c r="AI39" i="59"/>
  <c r="AE46" i="59"/>
  <c r="AE55" i="59"/>
  <c r="AB61" i="59"/>
  <c r="AA82" i="59"/>
  <c r="AA42" i="59"/>
  <c r="AA56" i="13"/>
  <c r="AA52" i="13"/>
  <c r="AA48" i="13"/>
  <c r="AA44" i="13"/>
  <c r="AA40" i="13"/>
  <c r="AA36" i="13"/>
  <c r="AE50" i="13"/>
  <c r="AE46" i="13"/>
  <c r="AE42" i="13"/>
  <c r="AI68" i="13"/>
  <c r="AI60" i="13"/>
  <c r="AA63" i="13"/>
  <c r="AE70" i="13"/>
  <c r="AM70" i="13" s="1"/>
  <c r="AH85" i="13"/>
  <c r="AL81" i="13"/>
  <c r="AK80" i="13"/>
  <c r="AH77" i="13"/>
  <c r="AB90" i="13"/>
  <c r="AF99" i="13"/>
  <c r="AE95" i="13"/>
  <c r="AF90" i="13"/>
  <c r="AL101" i="13"/>
  <c r="AK96" i="13"/>
  <c r="AL92" i="13"/>
  <c r="AI90" i="13"/>
  <c r="AL106" i="13"/>
  <c r="AI52" i="60"/>
  <c r="AF52" i="60"/>
  <c r="AF125" i="60"/>
  <c r="AI125" i="60"/>
  <c r="AI36" i="15"/>
  <c r="AB36" i="15"/>
  <c r="AF36" i="15"/>
  <c r="AI57" i="15"/>
  <c r="AF57" i="15"/>
  <c r="AB57" i="15"/>
  <c r="AI39" i="24"/>
  <c r="AE39" i="24"/>
  <c r="AA39" i="24"/>
  <c r="AH39" i="24"/>
  <c r="AH40" i="24"/>
  <c r="AI40" i="24"/>
  <c r="AA40" i="24"/>
  <c r="AE40" i="24"/>
  <c r="AF37" i="18"/>
  <c r="AI37" i="18"/>
  <c r="AB37" i="18"/>
  <c r="AE38" i="59"/>
  <c r="AE45" i="59"/>
  <c r="AB51" i="59"/>
  <c r="AF47" i="59"/>
  <c r="AI47" i="59"/>
  <c r="AB79" i="59"/>
  <c r="AA81" i="59"/>
  <c r="AA73" i="59"/>
  <c r="AF87" i="59"/>
  <c r="AE108" i="59"/>
  <c r="AE119" i="59"/>
  <c r="AE115" i="59"/>
  <c r="AE121" i="59"/>
  <c r="AI130" i="59"/>
  <c r="AL56" i="13"/>
  <c r="AK55" i="13"/>
  <c r="AH52" i="13"/>
  <c r="AL48" i="13"/>
  <c r="AK47" i="13"/>
  <c r="AL40" i="13"/>
  <c r="AK39" i="13"/>
  <c r="AH36" i="13"/>
  <c r="AL64" i="13"/>
  <c r="AK63" i="13"/>
  <c r="AA70" i="13"/>
  <c r="AL70" i="13"/>
  <c r="AE87" i="13"/>
  <c r="AE83" i="13"/>
  <c r="AH86" i="13"/>
  <c r="AL82" i="13"/>
  <c r="AK81" i="13"/>
  <c r="AJ80" i="13"/>
  <c r="AL74" i="13"/>
  <c r="K97" i="13"/>
  <c r="AF103" i="13"/>
  <c r="AE99" i="13"/>
  <c r="AF94" i="13"/>
  <c r="AE90" i="13"/>
  <c r="AK101" i="13"/>
  <c r="AL97" i="13"/>
  <c r="AK92" i="13"/>
  <c r="AI91" i="13"/>
  <c r="AJ106" i="13"/>
  <c r="AH105" i="13"/>
  <c r="AA20" i="60"/>
  <c r="AB87" i="60" s="1"/>
  <c r="AF63" i="15"/>
  <c r="AB63" i="15"/>
  <c r="AI63" i="15"/>
  <c r="AH49" i="24"/>
  <c r="AI49" i="24"/>
  <c r="AA49" i="24"/>
  <c r="AE49" i="24"/>
  <c r="AJ44" i="19"/>
  <c r="AB44" i="19"/>
  <c r="AI44" i="19"/>
  <c r="AF44" i="19"/>
  <c r="AN64" i="19"/>
  <c r="AM64" i="19"/>
  <c r="AE37" i="59"/>
  <c r="AB41" i="59"/>
  <c r="AF37" i="59"/>
  <c r="AF46" i="59"/>
  <c r="AF55" i="59"/>
  <c r="AB78" i="59"/>
  <c r="AA88" i="59"/>
  <c r="AA145" i="59" s="1"/>
  <c r="AA72" i="59"/>
  <c r="AF86" i="59"/>
  <c r="AA94" i="59"/>
  <c r="AB102" i="59"/>
  <c r="AB98" i="59"/>
  <c r="AF100" i="59"/>
  <c r="AI102" i="59"/>
  <c r="AI98" i="59"/>
  <c r="AB109" i="59"/>
  <c r="AF111" i="59"/>
  <c r="AF107" i="59"/>
  <c r="AI109" i="59"/>
  <c r="AB116" i="59"/>
  <c r="AF118" i="59"/>
  <c r="AF114" i="59"/>
  <c r="AI116" i="59"/>
  <c r="AB124" i="59"/>
  <c r="AF124" i="59"/>
  <c r="K54" i="13"/>
  <c r="K50" i="13"/>
  <c r="K46" i="13"/>
  <c r="K42" i="13"/>
  <c r="K38" i="13"/>
  <c r="AE37" i="13"/>
  <c r="AK56" i="13"/>
  <c r="AH53" i="13"/>
  <c r="AL49" i="13"/>
  <c r="AK48" i="13"/>
  <c r="AL41" i="13"/>
  <c r="AK40" i="13"/>
  <c r="AH37" i="13"/>
  <c r="K67" i="13"/>
  <c r="AL65" i="13"/>
  <c r="AK64" i="13"/>
  <c r="AK70" i="13"/>
  <c r="AB84" i="13"/>
  <c r="AB76" i="13"/>
  <c r="AH87" i="13"/>
  <c r="AL83" i="13"/>
  <c r="AK82" i="13"/>
  <c r="AI80" i="13"/>
  <c r="AH79" i="13"/>
  <c r="AL75" i="13"/>
  <c r="AK74" i="13"/>
  <c r="K100" i="13"/>
  <c r="K92" i="13"/>
  <c r="AE103" i="13"/>
  <c r="AE94" i="13"/>
  <c r="AM94" i="13" s="1"/>
  <c r="AL102" i="13"/>
  <c r="AK97" i="13"/>
  <c r="AL93" i="13"/>
  <c r="AF106" i="13"/>
  <c r="AI126" i="60"/>
  <c r="AF126" i="60"/>
  <c r="AB126" i="60"/>
  <c r="AB40" i="15"/>
  <c r="AI40" i="15"/>
  <c r="AF40" i="15"/>
  <c r="AH38" i="24"/>
  <c r="AI38" i="24"/>
  <c r="AA38" i="24"/>
  <c r="AE38" i="24"/>
  <c r="AE35" i="24"/>
  <c r="AH35" i="24"/>
  <c r="AI35" i="24"/>
  <c r="AA35" i="24"/>
  <c r="Z58" i="24"/>
  <c r="AF53" i="18"/>
  <c r="AI53" i="18"/>
  <c r="AF60" i="18"/>
  <c r="AI60" i="18"/>
  <c r="AB60" i="18"/>
  <c r="AE86" i="13"/>
  <c r="AE82" i="13"/>
  <c r="AL84" i="13"/>
  <c r="AK83" i="13"/>
  <c r="AH80" i="13"/>
  <c r="AL76" i="13"/>
  <c r="AK75" i="13"/>
  <c r="AJ93" i="13"/>
  <c r="AE98" i="13"/>
  <c r="AF93" i="13"/>
  <c r="AH101" i="13"/>
  <c r="AK93" i="13"/>
  <c r="AH92" i="13"/>
  <c r="AE106" i="13"/>
  <c r="AH106" i="13"/>
  <c r="AI96" i="60"/>
  <c r="AF96" i="60"/>
  <c r="AI127" i="60"/>
  <c r="AB127" i="60"/>
  <c r="AF127" i="60"/>
  <c r="AI45" i="15"/>
  <c r="AF45" i="15"/>
  <c r="AF61" i="15"/>
  <c r="AB61" i="15"/>
  <c r="AI61" i="15"/>
  <c r="AF55" i="15"/>
  <c r="AB55" i="15"/>
  <c r="AI55" i="15"/>
  <c r="AI48" i="24"/>
  <c r="AE48" i="24"/>
  <c r="AA48" i="24"/>
  <c r="AH48" i="24"/>
  <c r="AE44" i="24"/>
  <c r="AH44" i="24"/>
  <c r="AI44" i="24"/>
  <c r="AA44" i="24"/>
  <c r="AH54" i="24"/>
  <c r="AI54" i="24"/>
  <c r="AA54" i="24"/>
  <c r="AE54" i="24"/>
  <c r="AK58" i="24"/>
  <c r="AG58" i="24"/>
  <c r="AI35" i="18"/>
  <c r="AB35" i="18"/>
  <c r="AF35" i="18"/>
  <c r="AE35" i="59"/>
  <c r="AE59" i="59"/>
  <c r="AF61" i="59"/>
  <c r="AI61" i="59"/>
  <c r="AB101" i="59"/>
  <c r="AF103" i="59"/>
  <c r="AB108" i="59"/>
  <c r="AB119" i="59"/>
  <c r="AB115" i="59"/>
  <c r="P126" i="59"/>
  <c r="P127" i="59" s="1"/>
  <c r="AA123" i="59"/>
  <c r="AA144" i="59"/>
  <c r="AL95" i="13"/>
  <c r="AL103" i="13"/>
  <c r="AE56" i="13"/>
  <c r="AE52" i="13"/>
  <c r="AE48" i="13"/>
  <c r="AE44" i="13"/>
  <c r="AE40" i="13"/>
  <c r="AE36" i="13"/>
  <c r="AH55" i="13"/>
  <c r="AL51" i="13"/>
  <c r="AK50" i="13"/>
  <c r="AL43" i="13"/>
  <c r="AK42" i="13"/>
  <c r="AL35" i="13"/>
  <c r="AL67" i="13"/>
  <c r="AK66" i="13"/>
  <c r="AL85" i="13"/>
  <c r="AK84" i="13"/>
  <c r="AH81" i="13"/>
  <c r="AL77" i="13"/>
  <c r="AK76" i="13"/>
  <c r="AA101" i="13"/>
  <c r="AE93" i="13"/>
  <c r="AK103" i="13"/>
  <c r="AL99" i="13"/>
  <c r="AK98" i="13"/>
  <c r="AL94" i="13"/>
  <c r="AI93" i="13"/>
  <c r="AB123" i="60"/>
  <c r="AI123" i="60"/>
  <c r="AF123" i="60"/>
  <c r="AB35" i="15"/>
  <c r="AB39" i="15"/>
  <c r="AB70" i="15"/>
  <c r="AI70" i="15"/>
  <c r="AF70" i="15"/>
  <c r="AJ70" i="15"/>
  <c r="AA34" i="24"/>
  <c r="AH34" i="24"/>
  <c r="AI34" i="24"/>
  <c r="AE34" i="24"/>
  <c r="AD58" i="24"/>
  <c r="AJ58" i="24"/>
  <c r="AI46" i="18"/>
  <c r="AF46" i="18"/>
  <c r="AE49" i="59"/>
  <c r="AE58" i="59"/>
  <c r="AI79" i="59"/>
  <c r="AE103" i="59"/>
  <c r="AE99" i="59"/>
  <c r="AE106" i="59"/>
  <c r="AE123" i="59"/>
  <c r="AH56" i="13"/>
  <c r="AL52" i="13"/>
  <c r="AK51" i="13"/>
  <c r="AH48" i="13"/>
  <c r="AL44" i="13"/>
  <c r="AK43" i="13"/>
  <c r="AH40" i="13"/>
  <c r="AL36" i="13"/>
  <c r="AK35" i="13"/>
  <c r="AL68" i="13"/>
  <c r="AK67" i="13"/>
  <c r="AL60" i="13"/>
  <c r="AH70" i="13"/>
  <c r="AN70" i="13" s="1"/>
  <c r="AE85" i="13"/>
  <c r="AE81" i="13"/>
  <c r="AE77" i="13"/>
  <c r="AL86" i="13"/>
  <c r="AK85" i="13"/>
  <c r="AJ84" i="13"/>
  <c r="AH82" i="13"/>
  <c r="AL78" i="13"/>
  <c r="AK77" i="13"/>
  <c r="AJ76" i="13"/>
  <c r="AE97" i="13"/>
  <c r="AE92" i="13"/>
  <c r="AJ103" i="13"/>
  <c r="AK99" i="13"/>
  <c r="AJ94" i="13"/>
  <c r="AL90" i="13"/>
  <c r="AE105" i="13"/>
  <c r="AJ73" i="15"/>
  <c r="AB73" i="15"/>
  <c r="AF73" i="15"/>
  <c r="AI73" i="15"/>
  <c r="AE60" i="24"/>
  <c r="AI39" i="18"/>
  <c r="AB39" i="18"/>
  <c r="AF39" i="18"/>
  <c r="AI36" i="18"/>
  <c r="AB36" i="18"/>
  <c r="AF36" i="18"/>
  <c r="AJ48" i="19"/>
  <c r="AJ57" i="19"/>
  <c r="AJ64" i="19"/>
  <c r="AJ34" i="19"/>
  <c r="AJ49" i="19"/>
  <c r="AJ36" i="19"/>
  <c r="AB36" i="19"/>
  <c r="AF36" i="19"/>
  <c r="AI36" i="19"/>
  <c r="AF41" i="59"/>
  <c r="AE48" i="59"/>
  <c r="AF50" i="59"/>
  <c r="AE57" i="59"/>
  <c r="AF59" i="59"/>
  <c r="AB100" i="59"/>
  <c r="AB111" i="59"/>
  <c r="AB107" i="59"/>
  <c r="AB118" i="59"/>
  <c r="AB114" i="59"/>
  <c r="AE55" i="13"/>
  <c r="AE51" i="13"/>
  <c r="AE43" i="13"/>
  <c r="AL53" i="13"/>
  <c r="AK52" i="13"/>
  <c r="AL45" i="13"/>
  <c r="AK44" i="13"/>
  <c r="AL37" i="13"/>
  <c r="AK36" i="13"/>
  <c r="AL69" i="13"/>
  <c r="AK68" i="13"/>
  <c r="AL61" i="13"/>
  <c r="AK60" i="13"/>
  <c r="AF84" i="13"/>
  <c r="AF76" i="13"/>
  <c r="AL87" i="13"/>
  <c r="AK86" i="13"/>
  <c r="AL79" i="13"/>
  <c r="AK78" i="13"/>
  <c r="K96" i="13"/>
  <c r="AB91" i="13"/>
  <c r="AL100" i="13"/>
  <c r="AK95" i="13"/>
  <c r="AI94" i="13"/>
  <c r="AL91" i="13"/>
  <c r="AK90" i="13"/>
  <c r="AJ105" i="13"/>
  <c r="AL105" i="13"/>
  <c r="AA64" i="60"/>
  <c r="G63" i="60" s="1"/>
  <c r="AH128" i="60"/>
  <c r="AG129" i="60"/>
  <c r="AF48" i="15"/>
  <c r="AI48" i="15"/>
  <c r="AI65" i="15"/>
  <c r="AF65" i="15"/>
  <c r="AB65" i="15"/>
  <c r="AI59" i="15"/>
  <c r="AF59" i="15"/>
  <c r="AB59" i="15"/>
  <c r="AB74" i="15"/>
  <c r="AI42" i="18"/>
  <c r="AF42" i="18"/>
  <c r="AF41" i="60"/>
  <c r="AI41" i="60"/>
  <c r="AE48" i="60"/>
  <c r="AH46" i="60"/>
  <c r="AE57" i="60"/>
  <c r="AH55" i="60"/>
  <c r="AB69" i="60"/>
  <c r="AI78" i="60"/>
  <c r="AA43" i="60"/>
  <c r="AI85" i="60"/>
  <c r="AF103" i="60"/>
  <c r="AI105" i="60"/>
  <c r="AI101" i="60"/>
  <c r="AB112" i="60"/>
  <c r="AF110" i="60"/>
  <c r="AI112" i="60"/>
  <c r="AI108" i="60"/>
  <c r="AB119" i="60"/>
  <c r="AF121" i="60"/>
  <c r="AF117" i="60"/>
  <c r="AI119" i="60"/>
  <c r="T128" i="60"/>
  <c r="T129" i="60" s="1"/>
  <c r="K40" i="15"/>
  <c r="K36" i="15"/>
  <c r="AA38" i="15"/>
  <c r="AE41" i="15"/>
  <c r="AK41" i="15"/>
  <c r="AI39" i="15"/>
  <c r="AH38" i="15"/>
  <c r="K45" i="15"/>
  <c r="AM50" i="15"/>
  <c r="AL49" i="15"/>
  <c r="AK48" i="15"/>
  <c r="AK51" i="15"/>
  <c r="AL64" i="15"/>
  <c r="AK63" i="15"/>
  <c r="AH60" i="15"/>
  <c r="AL56" i="15"/>
  <c r="AK55" i="15"/>
  <c r="AK71" i="15"/>
  <c r="AI69" i="15"/>
  <c r="AF74" i="15"/>
  <c r="K34" i="24"/>
  <c r="Z37" i="24"/>
  <c r="AD39" i="24"/>
  <c r="AK34" i="24"/>
  <c r="AG40" i="24"/>
  <c r="AK43" i="24"/>
  <c r="AG49" i="24"/>
  <c r="AE57" i="24"/>
  <c r="AK55" i="24"/>
  <c r="AI53" i="24"/>
  <c r="AD52" i="24"/>
  <c r="AG60" i="24"/>
  <c r="K36" i="18"/>
  <c r="AI44" i="18"/>
  <c r="AA45" i="18"/>
  <c r="K44" i="19"/>
  <c r="K37" i="19"/>
  <c r="AA40" i="19"/>
  <c r="AK40" i="19"/>
  <c r="AK34" i="19"/>
  <c r="AM47" i="19"/>
  <c r="AA56" i="19"/>
  <c r="K56" i="19"/>
  <c r="K63" i="19"/>
  <c r="AF37" i="20"/>
  <c r="AB37" i="20"/>
  <c r="AI37" i="20"/>
  <c r="AF68" i="20"/>
  <c r="AI68" i="20"/>
  <c r="AB68" i="20"/>
  <c r="AF52" i="21"/>
  <c r="AI52" i="21"/>
  <c r="AJ52" i="21"/>
  <c r="AF37" i="22"/>
  <c r="AI37" i="22"/>
  <c r="AJ37" i="22"/>
  <c r="AB37" i="22"/>
  <c r="AF51" i="22"/>
  <c r="AI51" i="22"/>
  <c r="AE47" i="60"/>
  <c r="AH45" i="60"/>
  <c r="AF49" i="60"/>
  <c r="AI49" i="60"/>
  <c r="AE56" i="60"/>
  <c r="AF78" i="60"/>
  <c r="AH85" i="60"/>
  <c r="AA82" i="60"/>
  <c r="AA84" i="60" s="1"/>
  <c r="G82" i="60" s="1"/>
  <c r="AA42" i="60"/>
  <c r="AI95" i="60"/>
  <c r="AH105" i="60"/>
  <c r="AH101" i="60"/>
  <c r="AE110" i="60"/>
  <c r="AE121" i="60"/>
  <c r="AE117" i="60"/>
  <c r="AE123" i="60"/>
  <c r="AH125" i="60"/>
  <c r="AA16" i="15"/>
  <c r="AB41" i="15"/>
  <c r="AB37" i="15"/>
  <c r="AL35" i="15"/>
  <c r="K48" i="15"/>
  <c r="AL50" i="15"/>
  <c r="AK49" i="15"/>
  <c r="K65" i="15"/>
  <c r="K61" i="15"/>
  <c r="K57" i="15"/>
  <c r="AA66" i="15"/>
  <c r="AA62" i="15"/>
  <c r="AA58" i="15"/>
  <c r="AE66" i="15"/>
  <c r="AE62" i="15"/>
  <c r="AE58" i="15"/>
  <c r="AL65" i="15"/>
  <c r="AK64" i="15"/>
  <c r="AH61" i="15"/>
  <c r="AL57" i="15"/>
  <c r="AK56" i="15"/>
  <c r="K70" i="15"/>
  <c r="AB71" i="15"/>
  <c r="AE74" i="15"/>
  <c r="AI74" i="15"/>
  <c r="AH73" i="15"/>
  <c r="AA36" i="24"/>
  <c r="AJ34" i="24"/>
  <c r="AA45" i="24"/>
  <c r="AE47" i="24"/>
  <c r="AE43" i="24"/>
  <c r="AJ43" i="24"/>
  <c r="AA57" i="24"/>
  <c r="AA53" i="24"/>
  <c r="AD57" i="24"/>
  <c r="AG56" i="24"/>
  <c r="AJ55" i="24"/>
  <c r="AH53" i="24"/>
  <c r="AK52" i="24"/>
  <c r="AB38" i="18"/>
  <c r="AB34" i="18"/>
  <c r="AI38" i="18"/>
  <c r="AI34" i="18"/>
  <c r="AF54" i="18"/>
  <c r="AB61" i="18"/>
  <c r="AD67" i="18"/>
  <c r="AK64" i="19"/>
  <c r="AK55" i="19"/>
  <c r="AK37" i="19"/>
  <c r="AK67" i="19"/>
  <c r="AK63" i="19"/>
  <c r="AK36" i="19"/>
  <c r="AK44" i="19"/>
  <c r="AK59" i="19"/>
  <c r="AK48" i="19"/>
  <c r="AK41" i="19"/>
  <c r="AK57" i="19"/>
  <c r="AK39" i="19"/>
  <c r="AF39" i="19"/>
  <c r="AI39" i="19"/>
  <c r="AB39" i="19"/>
  <c r="AK47" i="19"/>
  <c r="AB51" i="19"/>
  <c r="AM63" i="19"/>
  <c r="AN63" i="19"/>
  <c r="AJ67" i="19"/>
  <c r="AF67" i="19"/>
  <c r="AB67" i="19"/>
  <c r="AI35" i="20"/>
  <c r="AB35" i="20"/>
  <c r="AF35" i="20"/>
  <c r="AI64" i="20"/>
  <c r="AB64" i="20"/>
  <c r="AF64" i="20"/>
  <c r="AF41" i="22"/>
  <c r="AB41" i="22"/>
  <c r="AI41" i="22"/>
  <c r="AE39" i="60"/>
  <c r="AE46" i="60"/>
  <c r="AE55" i="60"/>
  <c r="AI124" i="60"/>
  <c r="AA148" i="60"/>
  <c r="AI41" i="15"/>
  <c r="AK35" i="15"/>
  <c r="AK50" i="15"/>
  <c r="AA49" i="15"/>
  <c r="AL66" i="15"/>
  <c r="AK65" i="15"/>
  <c r="AL58" i="15"/>
  <c r="AK57" i="15"/>
  <c r="AI71" i="15"/>
  <c r="AJ35" i="24"/>
  <c r="AJ44" i="24"/>
  <c r="AJ52" i="24"/>
  <c r="U62" i="24"/>
  <c r="B29" i="19"/>
  <c r="AF37" i="19"/>
  <c r="AI37" i="19"/>
  <c r="AB38" i="19"/>
  <c r="AJ38" i="19"/>
  <c r="AF38" i="19"/>
  <c r="AJ51" i="19"/>
  <c r="AA70" i="19"/>
  <c r="AF51" i="19"/>
  <c r="AG70" i="19"/>
  <c r="AH51" i="19"/>
  <c r="AF55" i="19"/>
  <c r="AB55" i="19"/>
  <c r="AI55" i="19"/>
  <c r="AJ55" i="19"/>
  <c r="AJ63" i="19"/>
  <c r="AI62" i="19"/>
  <c r="AJ62" i="19"/>
  <c r="AB62" i="19"/>
  <c r="K56" i="20"/>
  <c r="AA56" i="20"/>
  <c r="AI53" i="20"/>
  <c r="AB53" i="20"/>
  <c r="AF53" i="20"/>
  <c r="AI66" i="20"/>
  <c r="AB66" i="20"/>
  <c r="AI36" i="21"/>
  <c r="AJ36" i="21"/>
  <c r="AB36" i="21"/>
  <c r="AF36" i="21"/>
  <c r="AI55" i="21"/>
  <c r="AJ55" i="21"/>
  <c r="AF55" i="21"/>
  <c r="AA77" i="21"/>
  <c r="AB58" i="21"/>
  <c r="AF58" i="21"/>
  <c r="AI58" i="21"/>
  <c r="AJ58" i="21"/>
  <c r="AF63" i="21"/>
  <c r="AI63" i="21"/>
  <c r="AB63" i="21"/>
  <c r="AJ63" i="21"/>
  <c r="AJ62" i="21"/>
  <c r="AF54" i="22"/>
  <c r="AI54" i="22"/>
  <c r="AE38" i="60"/>
  <c r="AF38" i="60"/>
  <c r="AE45" i="60"/>
  <c r="AF65" i="60"/>
  <c r="AI65" i="60"/>
  <c r="AA88" i="60"/>
  <c r="AA72" i="60"/>
  <c r="AF86" i="60"/>
  <c r="AE102" i="60"/>
  <c r="AE113" i="60"/>
  <c r="AE109" i="60"/>
  <c r="AE116" i="60"/>
  <c r="Q128" i="60"/>
  <c r="Q129" i="60" s="1"/>
  <c r="AH124" i="60"/>
  <c r="AF142" i="60"/>
  <c r="AF39" i="15"/>
  <c r="AF35" i="15"/>
  <c r="AL37" i="15"/>
  <c r="AK36" i="15"/>
  <c r="K46" i="15"/>
  <c r="AK66" i="15"/>
  <c r="AI64" i="15"/>
  <c r="AL59" i="15"/>
  <c r="AK58" i="15"/>
  <c r="AI56" i="15"/>
  <c r="AF69" i="15"/>
  <c r="AN69" i="15"/>
  <c r="AJ36" i="24"/>
  <c r="AD40" i="24"/>
  <c r="AJ45" i="24"/>
  <c r="K42" i="18"/>
  <c r="AA48" i="18"/>
  <c r="K53" i="18"/>
  <c r="AI52" i="18"/>
  <c r="AB37" i="19"/>
  <c r="AK43" i="19"/>
  <c r="AK50" i="19"/>
  <c r="AD70" i="19"/>
  <c r="AK51" i="19"/>
  <c r="AE51" i="19"/>
  <c r="AF64" i="19"/>
  <c r="AA69" i="19"/>
  <c r="AI64" i="19"/>
  <c r="AI66" i="19"/>
  <c r="AJ66" i="19"/>
  <c r="AF66" i="19"/>
  <c r="AJ69" i="21"/>
  <c r="AJ35" i="21"/>
  <c r="AJ43" i="21"/>
  <c r="AJ65" i="21"/>
  <c r="AJ34" i="21"/>
  <c r="AJ42" i="21"/>
  <c r="AJ50" i="21"/>
  <c r="AJ39" i="21"/>
  <c r="AI53" i="21"/>
  <c r="AF53" i="21"/>
  <c r="AJ53" i="21"/>
  <c r="AB35" i="22"/>
  <c r="AI35" i="22"/>
  <c r="AF35" i="22"/>
  <c r="AA75" i="22"/>
  <c r="AB56" i="22"/>
  <c r="AF56" i="22"/>
  <c r="AI56" i="22"/>
  <c r="AB63" i="22"/>
  <c r="AF63" i="22"/>
  <c r="AI63" i="22"/>
  <c r="AE37" i="60"/>
  <c r="AB41" i="60"/>
  <c r="AF37" i="60"/>
  <c r="AI37" i="60"/>
  <c r="AF46" i="60"/>
  <c r="AH59" i="60"/>
  <c r="AF85" i="60"/>
  <c r="AB103" i="60"/>
  <c r="AB117" i="60"/>
  <c r="AI121" i="60"/>
  <c r="AL38" i="15"/>
  <c r="AK37" i="15"/>
  <c r="AL45" i="15"/>
  <c r="AB64" i="15"/>
  <c r="AB60" i="15"/>
  <c r="AB56" i="15"/>
  <c r="AF60" i="15"/>
  <c r="AH64" i="15"/>
  <c r="AL60" i="15"/>
  <c r="AK59" i="15"/>
  <c r="K38" i="24"/>
  <c r="AK38" i="24"/>
  <c r="AJ37" i="24"/>
  <c r="AI36" i="24"/>
  <c r="AJ46" i="24"/>
  <c r="AI45" i="24"/>
  <c r="AI57" i="24"/>
  <c r="AD56" i="24"/>
  <c r="AK60" i="24"/>
  <c r="AA66" i="18"/>
  <c r="AJ41" i="19"/>
  <c r="AJ39" i="19"/>
  <c r="AJ37" i="19"/>
  <c r="AK35" i="19"/>
  <c r="AF49" i="19"/>
  <c r="AF63" i="19"/>
  <c r="AI63" i="19"/>
  <c r="AB66" i="19"/>
  <c r="AK66" i="19"/>
  <c r="AA36" i="20"/>
  <c r="K36" i="20"/>
  <c r="V72" i="20"/>
  <c r="AA44" i="20"/>
  <c r="AF51" i="20"/>
  <c r="AB51" i="20"/>
  <c r="K48" i="20"/>
  <c r="AA48" i="20"/>
  <c r="K65" i="20"/>
  <c r="AA65" i="20"/>
  <c r="AB40" i="21"/>
  <c r="AF40" i="21"/>
  <c r="AI40" i="21"/>
  <c r="AJ40" i="21"/>
  <c r="AI39" i="22"/>
  <c r="AB39" i="22"/>
  <c r="AF39" i="22"/>
  <c r="AI52" i="22"/>
  <c r="AF52" i="22"/>
  <c r="AI68" i="22"/>
  <c r="AF68" i="22"/>
  <c r="AB68" i="22"/>
  <c r="AE105" i="60"/>
  <c r="AE101" i="60"/>
  <c r="AE108" i="60"/>
  <c r="AE125" i="60"/>
  <c r="AK45" i="15"/>
  <c r="AK60" i="15"/>
  <c r="AE36" i="24"/>
  <c r="AJ38" i="24"/>
  <c r="AJ40" i="24"/>
  <c r="AE45" i="24"/>
  <c r="AJ47" i="24"/>
  <c r="AJ49" i="24"/>
  <c r="AJ60" i="24"/>
  <c r="AA16" i="18"/>
  <c r="AI56" i="18"/>
  <c r="AF61" i="18"/>
  <c r="AA16" i="19"/>
  <c r="AI43" i="19"/>
  <c r="AF43" i="19"/>
  <c r="AJ43" i="19"/>
  <c r="AB43" i="19"/>
  <c r="AA35" i="19"/>
  <c r="AI41" i="19"/>
  <c r="AM49" i="19"/>
  <c r="AB58" i="19"/>
  <c r="AI58" i="19"/>
  <c r="AJ58" i="19"/>
  <c r="AA20" i="20"/>
  <c r="AJ66" i="20" s="1"/>
  <c r="AM42" i="20"/>
  <c r="AN42" i="20"/>
  <c r="AL44" i="20"/>
  <c r="AH44" i="20"/>
  <c r="AG72" i="20"/>
  <c r="AB57" i="20"/>
  <c r="AI57" i="20"/>
  <c r="AJ57" i="20"/>
  <c r="AF57" i="20"/>
  <c r="AA71" i="20"/>
  <c r="AI54" i="20"/>
  <c r="AF54" i="20"/>
  <c r="AB54" i="20"/>
  <c r="AB62" i="20"/>
  <c r="AI51" i="21"/>
  <c r="AJ51" i="21"/>
  <c r="AF51" i="21"/>
  <c r="AJ56" i="21"/>
  <c r="AB64" i="21"/>
  <c r="AI64" i="21"/>
  <c r="AJ64" i="21"/>
  <c r="AF64" i="21"/>
  <c r="AB43" i="22"/>
  <c r="AI43" i="22"/>
  <c r="AF43" i="22"/>
  <c r="AF50" i="22"/>
  <c r="AI50" i="22"/>
  <c r="AF64" i="22"/>
  <c r="AI64" i="22"/>
  <c r="AB64" i="22"/>
  <c r="AE35" i="60"/>
  <c r="AE59" i="60"/>
  <c r="AE85" i="60"/>
  <c r="AA53" i="60"/>
  <c r="AA54" i="60" s="1"/>
  <c r="G53" i="60" s="1"/>
  <c r="AA143" i="60"/>
  <c r="AK39" i="15"/>
  <c r="AK46" i="15"/>
  <c r="AL62" i="15"/>
  <c r="AK61" i="15"/>
  <c r="AL70" i="15"/>
  <c r="AK69" i="15"/>
  <c r="AL74" i="15"/>
  <c r="AK73" i="15"/>
  <c r="AJ39" i="24"/>
  <c r="AI47" i="24"/>
  <c r="AM43" i="24"/>
  <c r="AI42" i="19"/>
  <c r="AB42" i="19"/>
  <c r="AF42" i="19"/>
  <c r="AI34" i="19"/>
  <c r="AB34" i="19"/>
  <c r="AF34" i="19"/>
  <c r="AF59" i="19"/>
  <c r="AJ59" i="19"/>
  <c r="AB59" i="19"/>
  <c r="AK56" i="19"/>
  <c r="AF62" i="19"/>
  <c r="AF50" i="20"/>
  <c r="AI50" i="20"/>
  <c r="AB50" i="20"/>
  <c r="AJ63" i="20"/>
  <c r="AF63" i="20"/>
  <c r="AI44" i="21"/>
  <c r="AJ44" i="21"/>
  <c r="AB44" i="21"/>
  <c r="AF44" i="21"/>
  <c r="AF49" i="21"/>
  <c r="AI49" i="21"/>
  <c r="AJ49" i="21"/>
  <c r="AI47" i="21"/>
  <c r="AJ47" i="21"/>
  <c r="AF47" i="21"/>
  <c r="AI71" i="21"/>
  <c r="AJ71" i="21"/>
  <c r="AB71" i="21"/>
  <c r="AF71" i="21"/>
  <c r="AA76" i="21"/>
  <c r="AI73" i="21"/>
  <c r="AJ73" i="21"/>
  <c r="AB73" i="21"/>
  <c r="AF73" i="21"/>
  <c r="AI61" i="22"/>
  <c r="AB61" i="22"/>
  <c r="AF61" i="22"/>
  <c r="AH39" i="60"/>
  <c r="AE49" i="60"/>
  <c r="AH47" i="60"/>
  <c r="AE58" i="60"/>
  <c r="AF69" i="60"/>
  <c r="AE100" i="60"/>
  <c r="AH113" i="60"/>
  <c r="AE118" i="60"/>
  <c r="AL41" i="15"/>
  <c r="AK40" i="15"/>
  <c r="AH37" i="15"/>
  <c r="AL48" i="15"/>
  <c r="AK47" i="15"/>
  <c r="K51" i="15"/>
  <c r="AE63" i="15"/>
  <c r="AL63" i="15"/>
  <c r="AK62" i="15"/>
  <c r="AL55" i="15"/>
  <c r="AK70" i="15"/>
  <c r="K46" i="18"/>
  <c r="K55" i="18"/>
  <c r="AI64" i="18"/>
  <c r="AB64" i="18"/>
  <c r="AA19" i="19"/>
  <c r="AB57" i="19" s="1"/>
  <c r="AB41" i="19"/>
  <c r="AK42" i="19"/>
  <c r="AK38" i="19"/>
  <c r="AK49" i="19"/>
  <c r="AK58" i="19"/>
  <c r="AB69" i="20"/>
  <c r="AB34" i="20"/>
  <c r="AB38" i="20"/>
  <c r="AI42" i="20"/>
  <c r="AF42" i="20"/>
  <c r="AJ55" i="20"/>
  <c r="AF55" i="20"/>
  <c r="AB55" i="20"/>
  <c r="AI55" i="20"/>
  <c r="K52" i="20"/>
  <c r="AA52" i="20"/>
  <c r="AB49" i="20"/>
  <c r="AI49" i="20"/>
  <c r="AJ49" i="20"/>
  <c r="AF49" i="20"/>
  <c r="AB60" i="20"/>
  <c r="AJ64" i="20"/>
  <c r="AF46" i="22"/>
  <c r="AI46" i="22"/>
  <c r="AL40" i="19"/>
  <c r="AA47" i="19"/>
  <c r="AL47" i="19"/>
  <c r="AL58" i="19"/>
  <c r="K35" i="20"/>
  <c r="AK38" i="20"/>
  <c r="AH35" i="20"/>
  <c r="AL43" i="20"/>
  <c r="AK42" i="20"/>
  <c r="AJ41" i="20"/>
  <c r="AK44" i="20"/>
  <c r="K55" i="20"/>
  <c r="K51" i="20"/>
  <c r="AE54" i="20"/>
  <c r="AK57" i="20"/>
  <c r="AH54" i="20"/>
  <c r="AL50" i="20"/>
  <c r="AK49" i="20"/>
  <c r="AB61" i="20"/>
  <c r="AF60" i="20"/>
  <c r="AH66" i="20"/>
  <c r="AL62" i="20"/>
  <c r="AK61" i="20"/>
  <c r="AE68" i="20"/>
  <c r="AB42" i="21"/>
  <c r="AB38" i="21"/>
  <c r="AB34" i="21"/>
  <c r="AM43" i="21"/>
  <c r="AL42" i="21"/>
  <c r="AK41" i="21"/>
  <c r="AI39" i="21"/>
  <c r="AM35" i="21"/>
  <c r="AL34" i="21"/>
  <c r="K49" i="21"/>
  <c r="AN53" i="21"/>
  <c r="AL51" i="21"/>
  <c r="AK50" i="21"/>
  <c r="AI48" i="21"/>
  <c r="AL65" i="21"/>
  <c r="AK64" i="21"/>
  <c r="AI62" i="21"/>
  <c r="AB70" i="21"/>
  <c r="AF69" i="21"/>
  <c r="AN69" i="21"/>
  <c r="AB42" i="22"/>
  <c r="AB38" i="22"/>
  <c r="AB34" i="22"/>
  <c r="AL43" i="22"/>
  <c r="AK42" i="22"/>
  <c r="AL35" i="22"/>
  <c r="AK34" i="22"/>
  <c r="K51" i="22"/>
  <c r="AF53" i="22"/>
  <c r="AM54" i="22"/>
  <c r="AL53" i="22"/>
  <c r="AK52" i="22"/>
  <c r="AM46" i="22"/>
  <c r="AA49" i="22"/>
  <c r="AK56" i="22"/>
  <c r="B58" i="22"/>
  <c r="AF48" i="23"/>
  <c r="AB48" i="23"/>
  <c r="AI48" i="23"/>
  <c r="AJ48" i="23"/>
  <c r="AI65" i="23"/>
  <c r="AF65" i="23"/>
  <c r="AJ65" i="23"/>
  <c r="AF62" i="23"/>
  <c r="AI62" i="23"/>
  <c r="AJ62" i="23"/>
  <c r="AL51" i="20"/>
  <c r="AE64" i="20"/>
  <c r="AE60" i="20"/>
  <c r="AL63" i="20"/>
  <c r="AJ61" i="20"/>
  <c r="AK42" i="21"/>
  <c r="AK34" i="21"/>
  <c r="AK51" i="21"/>
  <c r="AL66" i="21"/>
  <c r="AK65" i="21"/>
  <c r="O77" i="21"/>
  <c r="AD77" i="21"/>
  <c r="AK72" i="22"/>
  <c r="AK69" i="22"/>
  <c r="AK71" i="22"/>
  <c r="AK68" i="22"/>
  <c r="AK67" i="22"/>
  <c r="AK61" i="22"/>
  <c r="AK43" i="22"/>
  <c r="AK35" i="22"/>
  <c r="AK53" i="22"/>
  <c r="AN48" i="22"/>
  <c r="AA48" i="22"/>
  <c r="AA62" i="22"/>
  <c r="AK60" i="22"/>
  <c r="AJ58" i="23"/>
  <c r="AJ39" i="23"/>
  <c r="AJ47" i="23"/>
  <c r="AI42" i="23"/>
  <c r="AJ42" i="23"/>
  <c r="AF42" i="23"/>
  <c r="AB42" i="23"/>
  <c r="AF72" i="23"/>
  <c r="AI72" i="23"/>
  <c r="AJ72" i="23"/>
  <c r="AF56" i="23"/>
  <c r="AI56" i="23"/>
  <c r="AJ56" i="23"/>
  <c r="AE35" i="20"/>
  <c r="AE57" i="20"/>
  <c r="AE53" i="20"/>
  <c r="AL52" i="20"/>
  <c r="AK51" i="20"/>
  <c r="AL64" i="20"/>
  <c r="AK63" i="20"/>
  <c r="AJ62" i="20"/>
  <c r="AI61" i="20"/>
  <c r="AL68" i="20"/>
  <c r="K55" i="21"/>
  <c r="K47" i="21"/>
  <c r="AK52" i="21"/>
  <c r="K63" i="21"/>
  <c r="AK66" i="21"/>
  <c r="AL69" i="21"/>
  <c r="AN74" i="21"/>
  <c r="AK36" i="22"/>
  <c r="AK54" i="22"/>
  <c r="AK46" i="22"/>
  <c r="K64" i="22"/>
  <c r="K60" i="22"/>
  <c r="AL63" i="22"/>
  <c r="AN69" i="22"/>
  <c r="AJ52" i="23"/>
  <c r="AF52" i="23"/>
  <c r="AB52" i="23"/>
  <c r="AI52" i="23"/>
  <c r="AJ36" i="23"/>
  <c r="AF36" i="23"/>
  <c r="AB36" i="23"/>
  <c r="AI36" i="23"/>
  <c r="AJ69" i="23"/>
  <c r="AF69" i="23"/>
  <c r="AI69" i="23"/>
  <c r="AI66" i="23"/>
  <c r="AJ66" i="23"/>
  <c r="AF66" i="23"/>
  <c r="AF81" i="23"/>
  <c r="AI81" i="23"/>
  <c r="AB81" i="23"/>
  <c r="AJ81" i="23"/>
  <c r="AL34" i="20"/>
  <c r="AL53" i="20"/>
  <c r="AK52" i="20"/>
  <c r="AE63" i="20"/>
  <c r="AM63" i="20" s="1"/>
  <c r="AL65" i="20"/>
  <c r="AK64" i="20"/>
  <c r="AI62" i="20"/>
  <c r="AL69" i="20"/>
  <c r="AK68" i="20"/>
  <c r="AA41" i="21"/>
  <c r="AA37" i="21"/>
  <c r="AK44" i="21"/>
  <c r="AI42" i="21"/>
  <c r="AK36" i="21"/>
  <c r="AI34" i="21"/>
  <c r="AK53" i="21"/>
  <c r="AB66" i="21"/>
  <c r="AB62" i="21"/>
  <c r="AJ66" i="21"/>
  <c r="AL70" i="21"/>
  <c r="AK69" i="21"/>
  <c r="AL73" i="21"/>
  <c r="AG77" i="21"/>
  <c r="AK37" i="22"/>
  <c r="AK55" i="22"/>
  <c r="AK47" i="22"/>
  <c r="AK63" i="22"/>
  <c r="AL67" i="22"/>
  <c r="AI46" i="23"/>
  <c r="AF46" i="23"/>
  <c r="AB46" i="23"/>
  <c r="AJ46" i="23"/>
  <c r="AI60" i="23"/>
  <c r="AJ60" i="23"/>
  <c r="AF60" i="23"/>
  <c r="AI66" i="21"/>
  <c r="AK48" i="22"/>
  <c r="AL56" i="22"/>
  <c r="AG75" i="22"/>
  <c r="AF60" i="22"/>
  <c r="AB60" i="22"/>
  <c r="AL61" i="22"/>
  <c r="AF40" i="23"/>
  <c r="AB40" i="23"/>
  <c r="AI40" i="23"/>
  <c r="AJ40" i="23"/>
  <c r="AI73" i="23"/>
  <c r="AF73" i="23"/>
  <c r="AJ73" i="23"/>
  <c r="AF70" i="23"/>
  <c r="AI70" i="23"/>
  <c r="AJ70" i="23"/>
  <c r="AI57" i="23"/>
  <c r="AF57" i="23"/>
  <c r="AJ57" i="23"/>
  <c r="AL37" i="19"/>
  <c r="AJ50" i="19"/>
  <c r="AL55" i="19"/>
  <c r="AL64" i="19"/>
  <c r="AA16" i="20"/>
  <c r="AL36" i="20"/>
  <c r="AK35" i="20"/>
  <c r="AJ34" i="20"/>
  <c r="AL55" i="20"/>
  <c r="AK54" i="20"/>
  <c r="AH51" i="20"/>
  <c r="B58" i="20"/>
  <c r="AE66" i="20"/>
  <c r="AE62" i="20"/>
  <c r="AK66" i="20"/>
  <c r="AH63" i="20"/>
  <c r="AN63" i="20" s="1"/>
  <c r="AF69" i="20"/>
  <c r="B29" i="21"/>
  <c r="K44" i="21"/>
  <c r="K40" i="21"/>
  <c r="K36" i="21"/>
  <c r="AL39" i="21"/>
  <c r="AK38" i="21"/>
  <c r="AL56" i="21"/>
  <c r="AK55" i="21"/>
  <c r="AL48" i="21"/>
  <c r="AK47" i="21"/>
  <c r="AA54" i="21"/>
  <c r="AE58" i="21"/>
  <c r="AB65" i="21"/>
  <c r="AF62" i="21"/>
  <c r="AL62" i="21"/>
  <c r="AK71" i="21"/>
  <c r="AJ70" i="21"/>
  <c r="AK74" i="21"/>
  <c r="AA40" i="22"/>
  <c r="AA36" i="22"/>
  <c r="AL40" i="22"/>
  <c r="AK39" i="22"/>
  <c r="AL50" i="22"/>
  <c r="AK49" i="22"/>
  <c r="AI50" i="23"/>
  <c r="AJ50" i="23"/>
  <c r="AF50" i="23"/>
  <c r="AB50" i="23"/>
  <c r="AI34" i="23"/>
  <c r="AJ34" i="23"/>
  <c r="AF34" i="23"/>
  <c r="AB34" i="23"/>
  <c r="AF64" i="23"/>
  <c r="AI64" i="23"/>
  <c r="AJ64" i="23"/>
  <c r="AF95" i="23"/>
  <c r="AI95" i="23"/>
  <c r="AJ95" i="23"/>
  <c r="AF91" i="23"/>
  <c r="AI91" i="23"/>
  <c r="AJ91" i="23"/>
  <c r="AB91" i="23"/>
  <c r="AI87" i="23"/>
  <c r="AF83" i="23"/>
  <c r="AI83" i="23"/>
  <c r="AJ83" i="23"/>
  <c r="AB83" i="23"/>
  <c r="AB79" i="23"/>
  <c r="AF79" i="23"/>
  <c r="AI79" i="23"/>
  <c r="AJ79" i="23"/>
  <c r="AK96" i="23"/>
  <c r="AE96" i="23"/>
  <c r="AD100" i="23"/>
  <c r="K59" i="18"/>
  <c r="AL38" i="19"/>
  <c r="K58" i="19"/>
  <c r="AL37" i="20"/>
  <c r="AK36" i="20"/>
  <c r="AL41" i="20"/>
  <c r="AE44" i="20"/>
  <c r="AE55" i="20"/>
  <c r="AE51" i="20"/>
  <c r="AL56" i="20"/>
  <c r="AH52" i="20"/>
  <c r="AL48" i="20"/>
  <c r="AL60" i="20"/>
  <c r="AF38" i="21"/>
  <c r="AL40" i="21"/>
  <c r="AK39" i="21"/>
  <c r="AJ38" i="21"/>
  <c r="AK56" i="21"/>
  <c r="AL49" i="21"/>
  <c r="AK48" i="21"/>
  <c r="AL63" i="21"/>
  <c r="AK62" i="21"/>
  <c r="AF70" i="21"/>
  <c r="AF74" i="21"/>
  <c r="AJ74" i="21"/>
  <c r="AL60" i="22"/>
  <c r="AL72" i="22"/>
  <c r="AL69" i="22"/>
  <c r="AL71" i="22"/>
  <c r="AL68" i="22"/>
  <c r="AL62" i="22"/>
  <c r="AL41" i="22"/>
  <c r="AK40" i="22"/>
  <c r="AL51" i="22"/>
  <c r="AK50" i="22"/>
  <c r="AK64" i="22"/>
  <c r="AF69" i="22"/>
  <c r="AA74" i="22"/>
  <c r="AI69" i="22"/>
  <c r="AN72" i="22"/>
  <c r="AJ44" i="23"/>
  <c r="AF44" i="23"/>
  <c r="AB44" i="23"/>
  <c r="AI44" i="23"/>
  <c r="AI74" i="23"/>
  <c r="AJ74" i="23"/>
  <c r="AF74" i="23"/>
  <c r="AJ61" i="23"/>
  <c r="AF61" i="23"/>
  <c r="AI61" i="23"/>
  <c r="AI90" i="23"/>
  <c r="AL38" i="20"/>
  <c r="AL42" i="20"/>
  <c r="AL57" i="20"/>
  <c r="AL49" i="20"/>
  <c r="AL41" i="21"/>
  <c r="AK40" i="21"/>
  <c r="AF48" i="21"/>
  <c r="AL50" i="21"/>
  <c r="AK49" i="21"/>
  <c r="AL42" i="22"/>
  <c r="AK41" i="22"/>
  <c r="AL34" i="22"/>
  <c r="AL52" i="22"/>
  <c r="AK51" i="22"/>
  <c r="AB71" i="22"/>
  <c r="AI38" i="23"/>
  <c r="AF38" i="23"/>
  <c r="AB38" i="23"/>
  <c r="AJ38" i="23"/>
  <c r="AI68" i="23"/>
  <c r="AJ68" i="23"/>
  <c r="AF68" i="23"/>
  <c r="AL47" i="23"/>
  <c r="AL39" i="23"/>
  <c r="AL72" i="23"/>
  <c r="AK71" i="23"/>
  <c r="AL64" i="23"/>
  <c r="AK63" i="23"/>
  <c r="AL56" i="23"/>
  <c r="X96" i="23"/>
  <c r="X100" i="23" s="1"/>
  <c r="P96" i="23"/>
  <c r="P100" i="23" s="1"/>
  <c r="AL93" i="23"/>
  <c r="AL89" i="23"/>
  <c r="AL85" i="23"/>
  <c r="AL81" i="23"/>
  <c r="AL98" i="23"/>
  <c r="AA37" i="25"/>
  <c r="K37" i="25"/>
  <c r="AB59" i="26"/>
  <c r="AB51" i="26"/>
  <c r="AB38" i="26"/>
  <c r="AB56" i="26"/>
  <c r="AB62" i="26"/>
  <c r="AB46" i="26"/>
  <c r="AI46" i="26"/>
  <c r="AJ46" i="26"/>
  <c r="AF46" i="26"/>
  <c r="AJ60" i="26"/>
  <c r="AI60" i="26"/>
  <c r="AB60" i="26"/>
  <c r="AF60" i="26"/>
  <c r="K50" i="23"/>
  <c r="K46" i="23"/>
  <c r="K42" i="23"/>
  <c r="K38" i="23"/>
  <c r="K34" i="23"/>
  <c r="AL48" i="23"/>
  <c r="AK47" i="23"/>
  <c r="AL40" i="23"/>
  <c r="AK39" i="23"/>
  <c r="AH36" i="23"/>
  <c r="K72" i="23"/>
  <c r="K68" i="23"/>
  <c r="K64" i="23"/>
  <c r="K60" i="23"/>
  <c r="K56" i="23"/>
  <c r="AL73" i="23"/>
  <c r="AK72" i="23"/>
  <c r="AJ71" i="23"/>
  <c r="AN67" i="23"/>
  <c r="AL65" i="23"/>
  <c r="AK64" i="23"/>
  <c r="AJ63" i="23"/>
  <c r="AN59" i="23"/>
  <c r="AL57" i="23"/>
  <c r="AK56" i="23"/>
  <c r="AA92" i="23"/>
  <c r="AA88" i="23"/>
  <c r="AA84" i="23"/>
  <c r="AA80" i="23"/>
  <c r="W96" i="23"/>
  <c r="W100" i="23" s="1"/>
  <c r="O96" i="23"/>
  <c r="AK79" i="23"/>
  <c r="AG96" i="23"/>
  <c r="AK93" i="23"/>
  <c r="AK89" i="23"/>
  <c r="AK85" i="23"/>
  <c r="AK81" i="23"/>
  <c r="AL77" i="23"/>
  <c r="AH98" i="23"/>
  <c r="AF50" i="25"/>
  <c r="AI50" i="25"/>
  <c r="AJ50" i="25"/>
  <c r="AB50" i="25"/>
  <c r="AF47" i="25"/>
  <c r="AI47" i="25"/>
  <c r="AB47" i="25"/>
  <c r="AI40" i="26"/>
  <c r="AJ40" i="26"/>
  <c r="AF40" i="26"/>
  <c r="AB40" i="26"/>
  <c r="AJ77" i="26"/>
  <c r="AF77" i="26"/>
  <c r="AB77" i="26"/>
  <c r="AI77" i="26"/>
  <c r="AA16" i="23"/>
  <c r="AH53" i="23"/>
  <c r="AN51" i="23"/>
  <c r="AL49" i="23"/>
  <c r="AK48" i="23"/>
  <c r="AN43" i="23"/>
  <c r="AL41" i="23"/>
  <c r="AK40" i="23"/>
  <c r="AN35" i="23"/>
  <c r="AL74" i="23"/>
  <c r="AK73" i="23"/>
  <c r="AN68" i="23"/>
  <c r="AL66" i="23"/>
  <c r="AK65" i="23"/>
  <c r="AN60" i="23"/>
  <c r="AL58" i="23"/>
  <c r="AK57" i="23"/>
  <c r="AL94" i="23"/>
  <c r="AL90" i="23"/>
  <c r="AL86" i="23"/>
  <c r="AL82" i="23"/>
  <c r="AK77" i="23"/>
  <c r="AA41" i="25"/>
  <c r="K41" i="25"/>
  <c r="AI48" i="25"/>
  <c r="AJ48" i="25"/>
  <c r="AF48" i="25"/>
  <c r="AB48" i="25"/>
  <c r="AJ68" i="26"/>
  <c r="AB68" i="26"/>
  <c r="AI68" i="26"/>
  <c r="AF68" i="26"/>
  <c r="AB63" i="26"/>
  <c r="AI63" i="26"/>
  <c r="AF63" i="26"/>
  <c r="AJ63" i="26"/>
  <c r="AE38" i="23"/>
  <c r="AE34" i="23"/>
  <c r="AL50" i="23"/>
  <c r="AK49" i="23"/>
  <c r="AH46" i="23"/>
  <c r="AL42" i="23"/>
  <c r="AK41" i="23"/>
  <c r="AH38" i="23"/>
  <c r="AL34" i="23"/>
  <c r="AK74" i="23"/>
  <c r="AL67" i="23"/>
  <c r="AK66" i="23"/>
  <c r="AL59" i="23"/>
  <c r="AK58" i="23"/>
  <c r="U96" i="23"/>
  <c r="U100" i="23" s="1"/>
  <c r="AK78" i="23"/>
  <c r="AI35" i="25"/>
  <c r="AJ35" i="25"/>
  <c r="AF35" i="25"/>
  <c r="AI44" i="25"/>
  <c r="AJ44" i="25"/>
  <c r="AF44" i="25"/>
  <c r="AB44" i="25"/>
  <c r="AB41" i="26"/>
  <c r="AI41" i="26"/>
  <c r="AF41" i="26"/>
  <c r="AJ41" i="26"/>
  <c r="AF74" i="26"/>
  <c r="AJ74" i="26"/>
  <c r="AB74" i="26"/>
  <c r="AI74" i="26"/>
  <c r="AI76" i="26"/>
  <c r="AA80" i="26"/>
  <c r="AF76" i="26"/>
  <c r="AB76" i="26"/>
  <c r="AJ76" i="26"/>
  <c r="AL51" i="23"/>
  <c r="AK50" i="23"/>
  <c r="AL43" i="23"/>
  <c r="AK42" i="23"/>
  <c r="AL35" i="23"/>
  <c r="AK34" i="23"/>
  <c r="AN70" i="23"/>
  <c r="AL68" i="23"/>
  <c r="AK67" i="23"/>
  <c r="AN62" i="23"/>
  <c r="AL60" i="23"/>
  <c r="AK59" i="23"/>
  <c r="AL95" i="23"/>
  <c r="AL91" i="23"/>
  <c r="AL87" i="23"/>
  <c r="AL83" i="23"/>
  <c r="AJ98" i="23"/>
  <c r="AB98" i="23"/>
  <c r="AI98" i="23"/>
  <c r="AA45" i="25"/>
  <c r="K45" i="25"/>
  <c r="AI40" i="25"/>
  <c r="AJ40" i="25"/>
  <c r="AF40" i="25"/>
  <c r="AB40" i="25"/>
  <c r="AF71" i="26"/>
  <c r="AI71" i="26"/>
  <c r="AJ71" i="26"/>
  <c r="AB71" i="26"/>
  <c r="AA53" i="23"/>
  <c r="AA49" i="23"/>
  <c r="AA45" i="23"/>
  <c r="AA41" i="23"/>
  <c r="AA37" i="23"/>
  <c r="AE53" i="23"/>
  <c r="AL52" i="23"/>
  <c r="AK51" i="23"/>
  <c r="AL44" i="23"/>
  <c r="AK43" i="23"/>
  <c r="AL36" i="23"/>
  <c r="AK35" i="23"/>
  <c r="AN71" i="23"/>
  <c r="AL69" i="23"/>
  <c r="AK68" i="23"/>
  <c r="AJ67" i="23"/>
  <c r="AN63" i="23"/>
  <c r="AL61" i="23"/>
  <c r="AK60" i="23"/>
  <c r="AJ59" i="23"/>
  <c r="AA94" i="23"/>
  <c r="AA86" i="23"/>
  <c r="AA82" i="23"/>
  <c r="AA78" i="23"/>
  <c r="S96" i="23"/>
  <c r="S100" i="23" s="1"/>
  <c r="AL79" i="23"/>
  <c r="AK95" i="23"/>
  <c r="AA19" i="25"/>
  <c r="AB35" i="25" s="1"/>
  <c r="AF42" i="25"/>
  <c r="AI42" i="25"/>
  <c r="AJ42" i="25"/>
  <c r="AB42" i="25"/>
  <c r="AF39" i="25"/>
  <c r="AI39" i="25"/>
  <c r="AB39" i="25"/>
  <c r="AJ39" i="25"/>
  <c r="AB44" i="26"/>
  <c r="AB69" i="26"/>
  <c r="AI69" i="26"/>
  <c r="AJ69" i="26"/>
  <c r="AF69" i="26"/>
  <c r="AI64" i="26"/>
  <c r="AB64" i="26"/>
  <c r="AJ64" i="26"/>
  <c r="AF64" i="26"/>
  <c r="AJ67" i="22"/>
  <c r="AL53" i="23"/>
  <c r="AK52" i="23"/>
  <c r="AJ51" i="23"/>
  <c r="AL45" i="23"/>
  <c r="AK44" i="23"/>
  <c r="AJ43" i="23"/>
  <c r="AN39" i="23"/>
  <c r="AL37" i="23"/>
  <c r="AK36" i="23"/>
  <c r="AJ35" i="23"/>
  <c r="B51" i="23"/>
  <c r="AN72" i="23"/>
  <c r="AL70" i="23"/>
  <c r="AK69" i="23"/>
  <c r="AN64" i="23"/>
  <c r="AL62" i="23"/>
  <c r="AK61" i="23"/>
  <c r="AN56" i="23"/>
  <c r="AK80" i="23"/>
  <c r="AL78" i="23"/>
  <c r="AF98" i="23"/>
  <c r="AA49" i="25"/>
  <c r="K49" i="25"/>
  <c r="AI36" i="25"/>
  <c r="AJ36" i="25"/>
  <c r="AF36" i="25"/>
  <c r="AF50" i="26"/>
  <c r="AB50" i="26"/>
  <c r="AI50" i="26"/>
  <c r="AJ50" i="26"/>
  <c r="AE36" i="23"/>
  <c r="AK53" i="23"/>
  <c r="AL46" i="23"/>
  <c r="AK45" i="23"/>
  <c r="AL38" i="23"/>
  <c r="AK37" i="23"/>
  <c r="AL71" i="23"/>
  <c r="AK70" i="23"/>
  <c r="AK62" i="23"/>
  <c r="AA93" i="23"/>
  <c r="AA85" i="23"/>
  <c r="AA77" i="23"/>
  <c r="Y96" i="23"/>
  <c r="Y100" i="23" s="1"/>
  <c r="Q96" i="23"/>
  <c r="Q100" i="23" s="1"/>
  <c r="AK38" i="25"/>
  <c r="AK46" i="25"/>
  <c r="AK37" i="25"/>
  <c r="AK45" i="25"/>
  <c r="AK36" i="25"/>
  <c r="AK44" i="25"/>
  <c r="AK35" i="25"/>
  <c r="AK43" i="25"/>
  <c r="AK52" i="25"/>
  <c r="AK34" i="25"/>
  <c r="AK42" i="25"/>
  <c r="AK50" i="25"/>
  <c r="AK41" i="25"/>
  <c r="AK49" i="25"/>
  <c r="AK40" i="25"/>
  <c r="AK39" i="25"/>
  <c r="AK47" i="25"/>
  <c r="AF46" i="25"/>
  <c r="AB46" i="25"/>
  <c r="AJ46" i="25"/>
  <c r="AI43" i="25"/>
  <c r="AJ43" i="25"/>
  <c r="AF43" i="25"/>
  <c r="AB43" i="25"/>
  <c r="AB55" i="26"/>
  <c r="AI55" i="26"/>
  <c r="AJ55" i="26"/>
  <c r="AF55" i="26"/>
  <c r="AL48" i="25"/>
  <c r="AL40" i="25"/>
  <c r="AJ38" i="25"/>
  <c r="AH36" i="25"/>
  <c r="AB36" i="26"/>
  <c r="AE42" i="26"/>
  <c r="AK46" i="26"/>
  <c r="AL42" i="26"/>
  <c r="AH40" i="26"/>
  <c r="K60" i="26"/>
  <c r="K55" i="26"/>
  <c r="AA72" i="26"/>
  <c r="AB67" i="26"/>
  <c r="AA54" i="26"/>
  <c r="AE74" i="26"/>
  <c r="AE65" i="26"/>
  <c r="AE56" i="26"/>
  <c r="AK71" i="26"/>
  <c r="AL67" i="26"/>
  <c r="AJ66" i="26"/>
  <c r="AH65" i="26"/>
  <c r="AL63" i="26"/>
  <c r="AJ62" i="26"/>
  <c r="AH61" i="26"/>
  <c r="AK58" i="26"/>
  <c r="AK54" i="26"/>
  <c r="AL50" i="26"/>
  <c r="AL77" i="26"/>
  <c r="AH37" i="25"/>
  <c r="AA45" i="26"/>
  <c r="AH45" i="26"/>
  <c r="AK42" i="26"/>
  <c r="AK38" i="26"/>
  <c r="AB53" i="26"/>
  <c r="AE69" i="26"/>
  <c r="AE51" i="26"/>
  <c r="AL72" i="26"/>
  <c r="AH70" i="26"/>
  <c r="AK67" i="26"/>
  <c r="AK63" i="26"/>
  <c r="AL59" i="26"/>
  <c r="AH57" i="26"/>
  <c r="AH53" i="26"/>
  <c r="AK50" i="26"/>
  <c r="AK77" i="26"/>
  <c r="AH76" i="26"/>
  <c r="AF42" i="27"/>
  <c r="AI42" i="27"/>
  <c r="AL50" i="25"/>
  <c r="AH46" i="25"/>
  <c r="AL42" i="25"/>
  <c r="AH38" i="25"/>
  <c r="AL34" i="25"/>
  <c r="AA52" i="25"/>
  <c r="AL52" i="25"/>
  <c r="AL54" i="26"/>
  <c r="AL62" i="26"/>
  <c r="AL70" i="26"/>
  <c r="AL38" i="26"/>
  <c r="AL46" i="26"/>
  <c r="AH35" i="26"/>
  <c r="AK36" i="26"/>
  <c r="AK47" i="26"/>
  <c r="AL43" i="26"/>
  <c r="AJ42" i="26"/>
  <c r="AH41" i="26"/>
  <c r="AL39" i="26"/>
  <c r="AJ38" i="26"/>
  <c r="K71" i="26"/>
  <c r="AB66" i="26"/>
  <c r="AB57" i="26"/>
  <c r="AE73" i="26"/>
  <c r="AF59" i="26"/>
  <c r="AE55" i="26"/>
  <c r="AE50" i="26"/>
  <c r="AK72" i="26"/>
  <c r="AL68" i="26"/>
  <c r="AJ67" i="26"/>
  <c r="AL64" i="26"/>
  <c r="AK59" i="26"/>
  <c r="AK55" i="26"/>
  <c r="AL51" i="26"/>
  <c r="AI36" i="27"/>
  <c r="AF36" i="27"/>
  <c r="K47" i="25"/>
  <c r="K43" i="25"/>
  <c r="K39" i="25"/>
  <c r="K35" i="25"/>
  <c r="AL43" i="25"/>
  <c r="AL35" i="25"/>
  <c r="AH50" i="26"/>
  <c r="AH58" i="26"/>
  <c r="AH66" i="26"/>
  <c r="AH74" i="26"/>
  <c r="AH42" i="26"/>
  <c r="AA39" i="26"/>
  <c r="K39" i="26"/>
  <c r="AJ36" i="26"/>
  <c r="AJ44" i="26"/>
  <c r="AF44" i="26"/>
  <c r="AE40" i="26"/>
  <c r="AJ47" i="26"/>
  <c r="AH46" i="26"/>
  <c r="AK43" i="26"/>
  <c r="AK39" i="26"/>
  <c r="AB61" i="26"/>
  <c r="AA52" i="26"/>
  <c r="AL73" i="26"/>
  <c r="AH71" i="26"/>
  <c r="AK68" i="26"/>
  <c r="AK64" i="26"/>
  <c r="AL60" i="26"/>
  <c r="AJ59" i="26"/>
  <c r="AL56" i="26"/>
  <c r="AH54" i="26"/>
  <c r="AK51" i="26"/>
  <c r="AE77" i="26"/>
  <c r="AH77" i="26"/>
  <c r="AB38" i="25"/>
  <c r="AB34" i="25"/>
  <c r="AL44" i="25"/>
  <c r="AL36" i="25"/>
  <c r="AJ34" i="25"/>
  <c r="AA43" i="26"/>
  <c r="K43" i="26"/>
  <c r="AA35" i="26"/>
  <c r="AE44" i="26"/>
  <c r="AL44" i="26"/>
  <c r="AL40" i="26"/>
  <c r="AH38" i="26"/>
  <c r="AA70" i="26"/>
  <c r="AA65" i="26"/>
  <c r="AE72" i="26"/>
  <c r="AF67" i="26"/>
  <c r="AF53" i="26"/>
  <c r="AK73" i="26"/>
  <c r="AL69" i="26"/>
  <c r="AL65" i="26"/>
  <c r="AH63" i="26"/>
  <c r="AK60" i="26"/>
  <c r="AH59" i="26"/>
  <c r="AL52" i="26"/>
  <c r="AF40" i="27"/>
  <c r="AI40" i="27"/>
  <c r="AL45" i="25"/>
  <c r="AL37" i="25"/>
  <c r="AI34" i="25"/>
  <c r="AA16" i="26"/>
  <c r="AK53" i="26"/>
  <c r="AK61" i="26"/>
  <c r="AK69" i="26"/>
  <c r="AK45" i="26"/>
  <c r="AK35" i="26"/>
  <c r="AA79" i="26"/>
  <c r="AL37" i="26"/>
  <c r="AB47" i="26"/>
  <c r="AB42" i="26"/>
  <c r="AE39" i="26"/>
  <c r="AH47" i="26"/>
  <c r="AK44" i="26"/>
  <c r="AH43" i="26"/>
  <c r="AK40" i="26"/>
  <c r="AE67" i="26"/>
  <c r="AE62" i="26"/>
  <c r="AF57" i="26"/>
  <c r="AE53" i="26"/>
  <c r="AL74" i="26"/>
  <c r="AH72" i="26"/>
  <c r="AH68" i="26"/>
  <c r="AK65" i="26"/>
  <c r="AL61" i="26"/>
  <c r="AL57" i="26"/>
  <c r="AJ56" i="26"/>
  <c r="AH55" i="26"/>
  <c r="AK52" i="26"/>
  <c r="AH51" i="26"/>
  <c r="AF34" i="27"/>
  <c r="AI34" i="27"/>
  <c r="AH50" i="25"/>
  <c r="AL46" i="25"/>
  <c r="AL38" i="25"/>
  <c r="AH34" i="25"/>
  <c r="AH52" i="25"/>
  <c r="AE41" i="26"/>
  <c r="AE45" i="26"/>
  <c r="AE35" i="26"/>
  <c r="AK37" i="26"/>
  <c r="AL35" i="26"/>
  <c r="AE43" i="26"/>
  <c r="AL45" i="26"/>
  <c r="AI44" i="26"/>
  <c r="AL41" i="26"/>
  <c r="AH39" i="26"/>
  <c r="AB73" i="26"/>
  <c r="AE71" i="26"/>
  <c r="AE66" i="26"/>
  <c r="AF61" i="26"/>
  <c r="AE57" i="26"/>
  <c r="AK74" i="26"/>
  <c r="AI73" i="26"/>
  <c r="AK70" i="26"/>
  <c r="AL66" i="26"/>
  <c r="AH64" i="26"/>
  <c r="AJ61" i="26"/>
  <c r="AK57" i="26"/>
  <c r="AI56" i="26"/>
  <c r="AL53" i="26"/>
  <c r="AL76" i="26"/>
  <c r="AI44" i="27"/>
  <c r="AF44" i="27"/>
  <c r="AE50" i="25"/>
  <c r="AE46" i="25"/>
  <c r="AE38" i="25"/>
  <c r="AL47" i="25"/>
  <c r="AE47" i="26"/>
  <c r="AE38" i="26"/>
  <c r="AH44" i="26"/>
  <c r="AK41" i="26"/>
  <c r="AE70" i="26"/>
  <c r="AE61" i="26"/>
  <c r="AH73" i="26"/>
  <c r="AL71" i="26"/>
  <c r="AH69" i="26"/>
  <c r="AK66" i="26"/>
  <c r="AK62" i="26"/>
  <c r="AI61" i="26"/>
  <c r="AL58" i="26"/>
  <c r="AJ57" i="26"/>
  <c r="AH56" i="26"/>
  <c r="AJ53" i="26"/>
  <c r="AK76" i="26"/>
  <c r="AF38" i="27"/>
  <c r="AI38" i="27"/>
  <c r="AA48" i="27"/>
  <c r="AL43" i="27"/>
  <c r="AA46" i="27"/>
  <c r="AK46" i="27"/>
  <c r="AA19" i="28"/>
  <c r="AA35" i="28"/>
  <c r="K35" i="28"/>
  <c r="AI59" i="28"/>
  <c r="AJ59" i="28"/>
  <c r="AF59" i="28"/>
  <c r="AB59" i="28"/>
  <c r="AB62" i="28"/>
  <c r="AF62" i="28"/>
  <c r="AB64" i="28"/>
  <c r="AA68" i="28"/>
  <c r="AI64" i="28"/>
  <c r="AJ64" i="28"/>
  <c r="AI57" i="29"/>
  <c r="AF57" i="29"/>
  <c r="AJ57" i="29"/>
  <c r="AB57" i="29"/>
  <c r="AK38" i="27"/>
  <c r="AK37" i="27"/>
  <c r="AK39" i="27"/>
  <c r="AA45" i="27"/>
  <c r="AA41" i="27"/>
  <c r="AA37" i="27"/>
  <c r="AL44" i="27"/>
  <c r="AK43" i="27"/>
  <c r="AH40" i="27"/>
  <c r="AL36" i="27"/>
  <c r="AL34" i="27"/>
  <c r="AI61" i="28"/>
  <c r="AJ61" i="28"/>
  <c r="AB61" i="28"/>
  <c r="AF61" i="28"/>
  <c r="AI40" i="29"/>
  <c r="AJ40" i="29"/>
  <c r="AF40" i="29"/>
  <c r="AB40" i="29"/>
  <c r="AI55" i="29"/>
  <c r="AJ55" i="29"/>
  <c r="AB55" i="29"/>
  <c r="AF55" i="29"/>
  <c r="AA20" i="28"/>
  <c r="AF42" i="28"/>
  <c r="AB42" i="28"/>
  <c r="AJ42" i="28"/>
  <c r="AI51" i="28"/>
  <c r="AJ51" i="28"/>
  <c r="AB51" i="28"/>
  <c r="AF51" i="28"/>
  <c r="AH65" i="28"/>
  <c r="AB37" i="29"/>
  <c r="AI37" i="29"/>
  <c r="AJ37" i="29"/>
  <c r="AF37" i="29"/>
  <c r="AE44" i="27"/>
  <c r="AE40" i="27"/>
  <c r="AK45" i="27"/>
  <c r="AL39" i="27"/>
  <c r="AE46" i="27"/>
  <c r="AB36" i="28"/>
  <c r="AI36" i="28"/>
  <c r="AJ36" i="28"/>
  <c r="AF36" i="28"/>
  <c r="AA44" i="28"/>
  <c r="AJ44" i="29"/>
  <c r="AF44" i="29"/>
  <c r="AI44" i="29"/>
  <c r="AB44" i="29"/>
  <c r="AB69" i="29"/>
  <c r="AI69" i="29"/>
  <c r="AJ69" i="29"/>
  <c r="AF69" i="29"/>
  <c r="AI67" i="29"/>
  <c r="AJ67" i="29"/>
  <c r="AF67" i="29"/>
  <c r="AB67" i="29"/>
  <c r="AB49" i="28"/>
  <c r="AF49" i="28"/>
  <c r="AJ49" i="28"/>
  <c r="AB47" i="28"/>
  <c r="AI47" i="28"/>
  <c r="AJ47" i="28"/>
  <c r="AF47" i="28"/>
  <c r="AJ38" i="29"/>
  <c r="AJ46" i="29"/>
  <c r="AB41" i="29"/>
  <c r="AI41" i="29"/>
  <c r="AJ41" i="29"/>
  <c r="AF41" i="29"/>
  <c r="AI65" i="29"/>
  <c r="AF65" i="29"/>
  <c r="AB65" i="29"/>
  <c r="AJ65" i="29"/>
  <c r="AE43" i="27"/>
  <c r="AE39" i="27"/>
  <c r="AH44" i="27"/>
  <c r="AL40" i="27"/>
  <c r="AL37" i="27"/>
  <c r="AL35" i="27"/>
  <c r="AH60" i="28"/>
  <c r="AH52" i="28"/>
  <c r="AH59" i="28"/>
  <c r="AH51" i="28"/>
  <c r="AH58" i="28"/>
  <c r="AH50" i="28"/>
  <c r="AH43" i="28"/>
  <c r="AH62" i="28"/>
  <c r="AH57" i="28"/>
  <c r="AH42" i="28"/>
  <c r="AH64" i="28"/>
  <c r="AH40" i="28"/>
  <c r="AH39" i="28"/>
  <c r="AH61" i="28"/>
  <c r="AH53" i="28"/>
  <c r="AI40" i="28"/>
  <c r="AB40" i="28"/>
  <c r="AJ40" i="28"/>
  <c r="AH45" i="27"/>
  <c r="AL41" i="27"/>
  <c r="AK40" i="27"/>
  <c r="AH39" i="27"/>
  <c r="AK35" i="27"/>
  <c r="AI42" i="28"/>
  <c r="AI53" i="28"/>
  <c r="AJ53" i="28"/>
  <c r="AB53" i="28"/>
  <c r="AF53" i="28"/>
  <c r="AH48" i="28"/>
  <c r="AH54" i="28"/>
  <c r="AA60" i="28"/>
  <c r="K60" i="28"/>
  <c r="AB65" i="28"/>
  <c r="AI65" i="28"/>
  <c r="AJ65" i="28"/>
  <c r="AF65" i="28"/>
  <c r="AN38" i="29"/>
  <c r="AB45" i="29"/>
  <c r="AI45" i="29"/>
  <c r="AJ45" i="29"/>
  <c r="AF45" i="29"/>
  <c r="AB59" i="29"/>
  <c r="AF59" i="29"/>
  <c r="AI59" i="29"/>
  <c r="AJ59" i="29"/>
  <c r="AH35" i="27"/>
  <c r="AH34" i="27"/>
  <c r="AH36" i="27"/>
  <c r="AE38" i="27"/>
  <c r="AL42" i="27"/>
  <c r="AK41" i="27"/>
  <c r="AL46" i="27"/>
  <c r="AJ39" i="28"/>
  <c r="AA50" i="28"/>
  <c r="K50" i="28"/>
  <c r="AA54" i="28"/>
  <c r="AB57" i="28"/>
  <c r="AJ57" i="28"/>
  <c r="AF57" i="28"/>
  <c r="AJ36" i="29"/>
  <c r="AF36" i="29"/>
  <c r="AI36" i="29"/>
  <c r="AB36" i="29"/>
  <c r="AJ70" i="29"/>
  <c r="AF70" i="29"/>
  <c r="AB70" i="29"/>
  <c r="AI70" i="29"/>
  <c r="AL42" i="28"/>
  <c r="AK41" i="28"/>
  <c r="AI39" i="28"/>
  <c r="AK44" i="28"/>
  <c r="AB52" i="28"/>
  <c r="AL49" i="28"/>
  <c r="AK48" i="28"/>
  <c r="AL57" i="28"/>
  <c r="AK65" i="28"/>
  <c r="AK46" i="29"/>
  <c r="AK38" i="29"/>
  <c r="K69" i="29"/>
  <c r="K64" i="29"/>
  <c r="K59" i="29"/>
  <c r="AB63" i="29"/>
  <c r="AB54" i="29"/>
  <c r="AJ50" i="29"/>
  <c r="AE65" i="29"/>
  <c r="AE61" i="29"/>
  <c r="AE57" i="29"/>
  <c r="AH73" i="29"/>
  <c r="AL71" i="29"/>
  <c r="AK68" i="29"/>
  <c r="AH67" i="29"/>
  <c r="AL65" i="29"/>
  <c r="AL62" i="29"/>
  <c r="AL59" i="29"/>
  <c r="AH58" i="29"/>
  <c r="AL56" i="29"/>
  <c r="AH55" i="29"/>
  <c r="AK53" i="29"/>
  <c r="AH52" i="29"/>
  <c r="AE75" i="29"/>
  <c r="AL75" i="29"/>
  <c r="AL43" i="28"/>
  <c r="AK42" i="28"/>
  <c r="AE51" i="28"/>
  <c r="AL50" i="28"/>
  <c r="AK49" i="28"/>
  <c r="AE61" i="28"/>
  <c r="AL58" i="28"/>
  <c r="AK57" i="28"/>
  <c r="AK62" i="28"/>
  <c r="AA16" i="29"/>
  <c r="AK51" i="29"/>
  <c r="AK59" i="29"/>
  <c r="AK67" i="29"/>
  <c r="AK76" i="29"/>
  <c r="AK57" i="29"/>
  <c r="AK65" i="29"/>
  <c r="AK73" i="29"/>
  <c r="K44" i="29"/>
  <c r="K40" i="29"/>
  <c r="K36" i="29"/>
  <c r="AE45" i="29"/>
  <c r="AE41" i="29"/>
  <c r="AK47" i="29"/>
  <c r="AK39" i="29"/>
  <c r="K72" i="29"/>
  <c r="K67" i="29"/>
  <c r="AJ56" i="29"/>
  <c r="AB58" i="29"/>
  <c r="AF56" i="29"/>
  <c r="AK71" i="29"/>
  <c r="AK62" i="29"/>
  <c r="AH61" i="29"/>
  <c r="AK56" i="29"/>
  <c r="AJ53" i="29"/>
  <c r="AK75" i="29"/>
  <c r="AI41" i="30"/>
  <c r="AJ41" i="30"/>
  <c r="AF41" i="30"/>
  <c r="AB41" i="30"/>
  <c r="AI35" i="30"/>
  <c r="AF35" i="30"/>
  <c r="AB35" i="30"/>
  <c r="AJ35" i="30"/>
  <c r="AF72" i="30"/>
  <c r="AI72" i="30"/>
  <c r="AJ72" i="30"/>
  <c r="AB72" i="30"/>
  <c r="AB65" i="30"/>
  <c r="K40" i="28"/>
  <c r="AK43" i="28"/>
  <c r="AL51" i="28"/>
  <c r="AK50" i="28"/>
  <c r="AL59" i="28"/>
  <c r="AK58" i="28"/>
  <c r="AE65" i="28"/>
  <c r="AE76" i="29"/>
  <c r="AE51" i="29"/>
  <c r="AE55" i="29"/>
  <c r="AE56" i="29"/>
  <c r="AE68" i="29"/>
  <c r="AE72" i="29"/>
  <c r="AM72" i="29" s="1"/>
  <c r="AB47" i="29"/>
  <c r="AB43" i="29"/>
  <c r="AB39" i="29"/>
  <c r="AB35" i="29"/>
  <c r="AJ47" i="29"/>
  <c r="AK40" i="29"/>
  <c r="AJ39" i="29"/>
  <c r="AJ64" i="29"/>
  <c r="AB71" i="29"/>
  <c r="AB62" i="29"/>
  <c r="AJ58" i="29"/>
  <c r="AB53" i="29"/>
  <c r="AE73" i="29"/>
  <c r="AJ71" i="29"/>
  <c r="AL69" i="29"/>
  <c r="AH65" i="29"/>
  <c r="AJ62" i="29"/>
  <c r="AI56" i="29"/>
  <c r="AL54" i="29"/>
  <c r="AI53" i="29"/>
  <c r="AL51" i="29"/>
  <c r="AH50" i="29"/>
  <c r="AJ75" i="29"/>
  <c r="AA79" i="29"/>
  <c r="AI75" i="29"/>
  <c r="AB56" i="30"/>
  <c r="AB64" i="30"/>
  <c r="AB75" i="30"/>
  <c r="AF52" i="30"/>
  <c r="AI47" i="29"/>
  <c r="AI39" i="29"/>
  <c r="AJ72" i="29"/>
  <c r="AF72" i="29"/>
  <c r="AE50" i="29"/>
  <c r="AK69" i="29"/>
  <c r="AK66" i="29"/>
  <c r="AI62" i="29"/>
  <c r="AK60" i="29"/>
  <c r="AK54" i="29"/>
  <c r="AB76" i="29"/>
  <c r="AI45" i="30"/>
  <c r="AJ45" i="30"/>
  <c r="AF45" i="30"/>
  <c r="AB45" i="30"/>
  <c r="AF39" i="30"/>
  <c r="AB39" i="30"/>
  <c r="AI39" i="30"/>
  <c r="AJ39" i="30"/>
  <c r="AB50" i="30"/>
  <c r="AI50" i="30"/>
  <c r="AF50" i="30"/>
  <c r="AJ50" i="30"/>
  <c r="AI43" i="28"/>
  <c r="AL53" i="28"/>
  <c r="AK52" i="28"/>
  <c r="AL54" i="28"/>
  <c r="AL61" i="28"/>
  <c r="AK60" i="28"/>
  <c r="AE64" i="28"/>
  <c r="AB46" i="29"/>
  <c r="AB42" i="29"/>
  <c r="AF47" i="29"/>
  <c r="AF43" i="29"/>
  <c r="AF35" i="29"/>
  <c r="AK42" i="29"/>
  <c r="AA52" i="29"/>
  <c r="K52" i="29"/>
  <c r="AA66" i="29"/>
  <c r="AF71" i="29"/>
  <c r="AE67" i="29"/>
  <c r="AE63" i="29"/>
  <c r="AE54" i="29"/>
  <c r="AK72" i="29"/>
  <c r="AK63" i="29"/>
  <c r="AJ54" i="29"/>
  <c r="AJ76" i="29"/>
  <c r="AB73" i="30"/>
  <c r="AI73" i="30"/>
  <c r="AJ73" i="30"/>
  <c r="AF73" i="30"/>
  <c r="AA16" i="28"/>
  <c r="AL35" i="28"/>
  <c r="AF39" i="28"/>
  <c r="AL39" i="28"/>
  <c r="AE53" i="28"/>
  <c r="AE49" i="28"/>
  <c r="AK53" i="28"/>
  <c r="AJ52" i="28"/>
  <c r="AK61" i="28"/>
  <c r="AG67" i="28"/>
  <c r="AE47" i="29"/>
  <c r="AE43" i="29"/>
  <c r="AE39" i="29"/>
  <c r="AE35" i="29"/>
  <c r="AL44" i="29"/>
  <c r="AK43" i="29"/>
  <c r="AJ42" i="29"/>
  <c r="AL36" i="29"/>
  <c r="AK35" i="29"/>
  <c r="AA60" i="29"/>
  <c r="K60" i="29"/>
  <c r="AA61" i="29"/>
  <c r="AB56" i="29"/>
  <c r="AE71" i="29"/>
  <c r="AF58" i="29"/>
  <c r="AI72" i="29"/>
  <c r="AL70" i="29"/>
  <c r="AL67" i="29"/>
  <c r="AH66" i="29"/>
  <c r="AL64" i="29"/>
  <c r="AJ63" i="29"/>
  <c r="AL61" i="29"/>
  <c r="AH57" i="29"/>
  <c r="AK52" i="29"/>
  <c r="AH51" i="29"/>
  <c r="AB75" i="29"/>
  <c r="AH76" i="29"/>
  <c r="AJ43" i="30"/>
  <c r="AF43" i="30"/>
  <c r="AB43" i="30"/>
  <c r="AI43" i="30"/>
  <c r="AI66" i="30"/>
  <c r="AJ66" i="30"/>
  <c r="AB66" i="30"/>
  <c r="AF66" i="30"/>
  <c r="AI53" i="30"/>
  <c r="AJ53" i="30"/>
  <c r="AF53" i="30"/>
  <c r="AB53" i="30"/>
  <c r="AL36" i="28"/>
  <c r="AK35" i="28"/>
  <c r="K42" i="28"/>
  <c r="AE43" i="28"/>
  <c r="AE39" i="28"/>
  <c r="AL40" i="28"/>
  <c r="AK39" i="28"/>
  <c r="AE44" i="28"/>
  <c r="AF52" i="28"/>
  <c r="AL47" i="28"/>
  <c r="AL64" i="28"/>
  <c r="AL52" i="29"/>
  <c r="AL60" i="29"/>
  <c r="AL68" i="29"/>
  <c r="AL50" i="29"/>
  <c r="AL58" i="29"/>
  <c r="AL66" i="29"/>
  <c r="AF42" i="29"/>
  <c r="AL45" i="29"/>
  <c r="AK44" i="29"/>
  <c r="AJ43" i="29"/>
  <c r="AH41" i="29"/>
  <c r="AL37" i="29"/>
  <c r="AK36" i="29"/>
  <c r="AJ35" i="29"/>
  <c r="AA68" i="29"/>
  <c r="K68" i="29"/>
  <c r="AA51" i="29"/>
  <c r="AE66" i="29"/>
  <c r="AE62" i="29"/>
  <c r="AE58" i="29"/>
  <c r="AE53" i="29"/>
  <c r="AL73" i="29"/>
  <c r="AK70" i="29"/>
  <c r="AH69" i="29"/>
  <c r="AK64" i="29"/>
  <c r="AH63" i="29"/>
  <c r="AK61" i="29"/>
  <c r="AK58" i="29"/>
  <c r="AK55" i="29"/>
  <c r="AF76" i="29"/>
  <c r="AK36" i="28"/>
  <c r="AL41" i="28"/>
  <c r="AK40" i="28"/>
  <c r="K53" i="28"/>
  <c r="K49" i="28"/>
  <c r="AE52" i="28"/>
  <c r="AE48" i="28"/>
  <c r="AL48" i="28"/>
  <c r="AK47" i="28"/>
  <c r="AH75" i="29"/>
  <c r="AH56" i="29"/>
  <c r="AH72" i="29"/>
  <c r="AN72" i="29" s="1"/>
  <c r="AH54" i="29"/>
  <c r="AH62" i="29"/>
  <c r="AH70" i="29"/>
  <c r="AE46" i="29"/>
  <c r="AE42" i="29"/>
  <c r="AE38" i="29"/>
  <c r="AM38" i="29" s="1"/>
  <c r="AL46" i="29"/>
  <c r="AK45" i="29"/>
  <c r="AH42" i="29"/>
  <c r="AL38" i="29"/>
  <c r="AK37" i="29"/>
  <c r="K56" i="29"/>
  <c r="AB73" i="29"/>
  <c r="AB64" i="29"/>
  <c r="AB50" i="29"/>
  <c r="AE70" i="29"/>
  <c r="AJ73" i="29"/>
  <c r="AI64" i="29"/>
  <c r="AI58" i="29"/>
  <c r="AL53" i="29"/>
  <c r="AF75" i="29"/>
  <c r="AI37" i="30"/>
  <c r="AJ37" i="30"/>
  <c r="AF37" i="30"/>
  <c r="AB37" i="30"/>
  <c r="AI69" i="30"/>
  <c r="AJ69" i="30"/>
  <c r="AF69" i="30"/>
  <c r="AB69" i="30"/>
  <c r="AL56" i="30"/>
  <c r="AL64" i="30"/>
  <c r="AL72" i="30"/>
  <c r="AL40" i="30"/>
  <c r="AL55" i="30"/>
  <c r="AL63" i="30"/>
  <c r="AL71" i="30"/>
  <c r="AL46" i="30"/>
  <c r="AL39" i="30"/>
  <c r="AB63" i="30"/>
  <c r="AJ70" i="30"/>
  <c r="AI60" i="30"/>
  <c r="AF60" i="30"/>
  <c r="AJ54" i="30"/>
  <c r="AH72" i="30"/>
  <c r="AL70" i="30"/>
  <c r="AJ64" i="30"/>
  <c r="AL50" i="30"/>
  <c r="AI49" i="30"/>
  <c r="AH76" i="30"/>
  <c r="AH52" i="30"/>
  <c r="AH60" i="30"/>
  <c r="AH68" i="30"/>
  <c r="AH75" i="30"/>
  <c r="AH51" i="30"/>
  <c r="AH59" i="30"/>
  <c r="AH67" i="30"/>
  <c r="AK46" i="30"/>
  <c r="AH43" i="30"/>
  <c r="AH38" i="30"/>
  <c r="AL35" i="30"/>
  <c r="AB51" i="30"/>
  <c r="AF67" i="30"/>
  <c r="AF51" i="30"/>
  <c r="AI70" i="30"/>
  <c r="AJ67" i="30"/>
  <c r="AL65" i="30"/>
  <c r="AH61" i="30"/>
  <c r="AL59" i="30"/>
  <c r="AK56" i="30"/>
  <c r="AL53" i="30"/>
  <c r="AK50" i="30"/>
  <c r="AH49" i="30"/>
  <c r="AL75" i="30"/>
  <c r="AB35" i="31"/>
  <c r="AI35" i="31"/>
  <c r="AF35" i="31"/>
  <c r="AJ35" i="31"/>
  <c r="AJ46" i="30"/>
  <c r="AH44" i="30"/>
  <c r="AK40" i="30"/>
  <c r="AL36" i="30"/>
  <c r="AK35" i="30"/>
  <c r="AB71" i="30"/>
  <c r="AA58" i="30"/>
  <c r="AE73" i="30"/>
  <c r="AE67" i="30"/>
  <c r="AE62" i="30"/>
  <c r="AE57" i="30"/>
  <c r="AE51" i="30"/>
  <c r="AH70" i="30"/>
  <c r="AL68" i="30"/>
  <c r="AK65" i="30"/>
  <c r="AH64" i="30"/>
  <c r="AL62" i="30"/>
  <c r="AK59" i="30"/>
  <c r="AK53" i="30"/>
  <c r="AE75" i="30"/>
  <c r="AB37" i="31"/>
  <c r="AF37" i="31"/>
  <c r="AI37" i="31"/>
  <c r="AJ37" i="31"/>
  <c r="AA16" i="30"/>
  <c r="AK55" i="30"/>
  <c r="AK63" i="30"/>
  <c r="AK71" i="30"/>
  <c r="AK39" i="30"/>
  <c r="AK54" i="30"/>
  <c r="AK62" i="30"/>
  <c r="AK70" i="30"/>
  <c r="AK76" i="30"/>
  <c r="K43" i="30"/>
  <c r="K39" i="30"/>
  <c r="K35" i="30"/>
  <c r="AA44" i="30"/>
  <c r="AA40" i="30"/>
  <c r="AA36" i="30"/>
  <c r="AE44" i="30"/>
  <c r="AI46" i="30"/>
  <c r="AH45" i="30"/>
  <c r="AL41" i="30"/>
  <c r="AH39" i="30"/>
  <c r="AK36" i="30"/>
  <c r="K72" i="30"/>
  <c r="AB59" i="30"/>
  <c r="AF71" i="30"/>
  <c r="AH73" i="30"/>
  <c r="AJ71" i="30"/>
  <c r="AK68" i="30"/>
  <c r="AJ65" i="30"/>
  <c r="AJ59" i="30"/>
  <c r="AL57" i="30"/>
  <c r="AI56" i="30"/>
  <c r="AH53" i="30"/>
  <c r="AL51" i="30"/>
  <c r="AE65" i="33"/>
  <c r="AK65" i="33"/>
  <c r="AM50" i="34"/>
  <c r="AN50" i="34"/>
  <c r="AE52" i="30"/>
  <c r="AE56" i="30"/>
  <c r="AE60" i="30"/>
  <c r="AE64" i="30"/>
  <c r="AE68" i="30"/>
  <c r="AE72" i="30"/>
  <c r="AE76" i="30"/>
  <c r="AH46" i="30"/>
  <c r="AL42" i="30"/>
  <c r="AK41" i="30"/>
  <c r="AL37" i="30"/>
  <c r="K55" i="30"/>
  <c r="K50" i="30"/>
  <c r="AA68" i="30"/>
  <c r="AA62" i="30"/>
  <c r="AA57" i="30"/>
  <c r="AE71" i="30"/>
  <c r="AE66" i="30"/>
  <c r="AE61" i="30"/>
  <c r="AE55" i="30"/>
  <c r="AE50" i="30"/>
  <c r="AI71" i="30"/>
  <c r="AL66" i="30"/>
  <c r="AI65" i="30"/>
  <c r="AH62" i="30"/>
  <c r="AL60" i="30"/>
  <c r="AI59" i="30"/>
  <c r="AK57" i="30"/>
  <c r="AH56" i="30"/>
  <c r="AL54" i="30"/>
  <c r="AK51" i="30"/>
  <c r="AH50" i="30"/>
  <c r="AB36" i="32"/>
  <c r="AF36" i="32"/>
  <c r="AI36" i="32"/>
  <c r="AJ36" i="32"/>
  <c r="T64" i="33"/>
  <c r="T65" i="33"/>
  <c r="AB48" i="33"/>
  <c r="AB40" i="33"/>
  <c r="AB59" i="33"/>
  <c r="AB51" i="33"/>
  <c r="AB43" i="33"/>
  <c r="AB52" i="33"/>
  <c r="AB47" i="33"/>
  <c r="AL43" i="30"/>
  <c r="AH40" i="30"/>
  <c r="AH35" i="30"/>
  <c r="AB67" i="30"/>
  <c r="AF70" i="30"/>
  <c r="AF65" i="30"/>
  <c r="AF54" i="30"/>
  <c r="AF49" i="30"/>
  <c r="AK72" i="30"/>
  <c r="AH71" i="30"/>
  <c r="AL69" i="30"/>
  <c r="AK66" i="30"/>
  <c r="AJ63" i="30"/>
  <c r="AK60" i="30"/>
  <c r="AI54" i="30"/>
  <c r="AJ51" i="30"/>
  <c r="AL49" i="30"/>
  <c r="AF75" i="30"/>
  <c r="AJ75" i="30"/>
  <c r="AL76" i="30"/>
  <c r="AB35" i="32"/>
  <c r="AI35" i="32"/>
  <c r="AJ35" i="32"/>
  <c r="AF35" i="32"/>
  <c r="S64" i="33"/>
  <c r="S65" i="33"/>
  <c r="AB46" i="30"/>
  <c r="AB42" i="30"/>
  <c r="AB38" i="30"/>
  <c r="AF42" i="30"/>
  <c r="AL44" i="30"/>
  <c r="AK43" i="30"/>
  <c r="AJ42" i="30"/>
  <c r="AL38" i="30"/>
  <c r="K63" i="30"/>
  <c r="AB55" i="30"/>
  <c r="AA61" i="30"/>
  <c r="AE70" i="30"/>
  <c r="AE65" i="30"/>
  <c r="AE59" i="30"/>
  <c r="AK69" i="30"/>
  <c r="AI63" i="30"/>
  <c r="AJ60" i="30"/>
  <c r="AL58" i="30"/>
  <c r="AL52" i="30"/>
  <c r="AI51" i="30"/>
  <c r="AK49" i="30"/>
  <c r="AB76" i="30"/>
  <c r="AJ76" i="30"/>
  <c r="AA79" i="30"/>
  <c r="AN36" i="31"/>
  <c r="AA78" i="30"/>
  <c r="AJ38" i="30"/>
  <c r="AE46" i="30"/>
  <c r="AE42" i="30"/>
  <c r="AE38" i="30"/>
  <c r="AL45" i="30"/>
  <c r="AK44" i="30"/>
  <c r="AH41" i="30"/>
  <c r="AK38" i="30"/>
  <c r="AB70" i="30"/>
  <c r="AB60" i="30"/>
  <c r="AB54" i="30"/>
  <c r="AB49" i="30"/>
  <c r="AF63" i="30"/>
  <c r="AL73" i="30"/>
  <c r="AH69" i="30"/>
  <c r="AL67" i="30"/>
  <c r="AK64" i="30"/>
  <c r="AH63" i="30"/>
  <c r="AL61" i="30"/>
  <c r="AK58" i="30"/>
  <c r="AH57" i="30"/>
  <c r="AJ55" i="30"/>
  <c r="AK52" i="30"/>
  <c r="AB34" i="32"/>
  <c r="AL35" i="32"/>
  <c r="AK34" i="32"/>
  <c r="AH36" i="32"/>
  <c r="W64" i="33"/>
  <c r="W65" i="33"/>
  <c r="O64" i="33"/>
  <c r="O65" i="33"/>
  <c r="AF62" i="33"/>
  <c r="AI62" i="33"/>
  <c r="AB62" i="33"/>
  <c r="AF50" i="33"/>
  <c r="AB50" i="33"/>
  <c r="AI56" i="33"/>
  <c r="AB36" i="33"/>
  <c r="AL62" i="33"/>
  <c r="AL54" i="33"/>
  <c r="AL45" i="33"/>
  <c r="AL37" i="33"/>
  <c r="AA43" i="34"/>
  <c r="AI56" i="34"/>
  <c r="AB56" i="34"/>
  <c r="AF56" i="34"/>
  <c r="AK34" i="31"/>
  <c r="AK37" i="31"/>
  <c r="AJ34" i="32"/>
  <c r="AI55" i="33"/>
  <c r="AF55" i="33"/>
  <c r="AA41" i="33"/>
  <c r="K41" i="33"/>
  <c r="AB55" i="33"/>
  <c r="AE53" i="33"/>
  <c r="AK59" i="33"/>
  <c r="AK45" i="33"/>
  <c r="AA63" i="33"/>
  <c r="AA49" i="34"/>
  <c r="K49" i="34"/>
  <c r="AI50" i="34"/>
  <c r="AF50" i="34"/>
  <c r="AK35" i="31"/>
  <c r="AJ34" i="31"/>
  <c r="AI34" i="32"/>
  <c r="AE36" i="32"/>
  <c r="AA21" i="33"/>
  <c r="AJ56" i="33" s="1"/>
  <c r="AK34" i="33"/>
  <c r="AK42" i="33"/>
  <c r="AK50" i="33"/>
  <c r="AK58" i="33"/>
  <c r="AK41" i="33"/>
  <c r="AK49" i="33"/>
  <c r="AK57" i="33"/>
  <c r="AK40" i="33"/>
  <c r="AK48" i="33"/>
  <c r="AK56" i="33"/>
  <c r="AK39" i="33"/>
  <c r="AK47" i="33"/>
  <c r="AK55" i="33"/>
  <c r="AK38" i="33"/>
  <c r="AK46" i="33"/>
  <c r="AK54" i="33"/>
  <c r="AK62" i="33"/>
  <c r="AB53" i="33"/>
  <c r="AI53" i="33"/>
  <c r="AJ53" i="33"/>
  <c r="AF46" i="33"/>
  <c r="AI46" i="33"/>
  <c r="AB46" i="33"/>
  <c r="AF34" i="33"/>
  <c r="AB34" i="33"/>
  <c r="AA44" i="33"/>
  <c r="AF52" i="33"/>
  <c r="AL61" i="33"/>
  <c r="AL53" i="33"/>
  <c r="AJ50" i="33"/>
  <c r="Z64" i="33"/>
  <c r="Z65" i="33"/>
  <c r="AA19" i="34"/>
  <c r="AB37" i="34" s="1"/>
  <c r="AF38" i="34"/>
  <c r="AB38" i="34"/>
  <c r="AI38" i="34"/>
  <c r="AA46" i="34"/>
  <c r="AA51" i="34"/>
  <c r="AE36" i="31"/>
  <c r="AM36" i="31" s="1"/>
  <c r="AK63" i="33"/>
  <c r="AE63" i="33"/>
  <c r="AD64" i="33"/>
  <c r="AF58" i="33"/>
  <c r="AB58" i="33"/>
  <c r="AI39" i="33"/>
  <c r="AF39" i="33"/>
  <c r="AF36" i="33"/>
  <c r="AK61" i="33"/>
  <c r="AK53" i="33"/>
  <c r="AI50" i="33"/>
  <c r="AL44" i="33"/>
  <c r="AL36" i="33"/>
  <c r="AA35" i="34"/>
  <c r="K35" i="34"/>
  <c r="AM44" i="34"/>
  <c r="AH34" i="31"/>
  <c r="AH37" i="31"/>
  <c r="AA20" i="33"/>
  <c r="AE34" i="33"/>
  <c r="AE50" i="33"/>
  <c r="AE54" i="33"/>
  <c r="AE43" i="33"/>
  <c r="AE47" i="33"/>
  <c r="AE51" i="33"/>
  <c r="AE40" i="33"/>
  <c r="AE44" i="33"/>
  <c r="AE52" i="33"/>
  <c r="AA49" i="33"/>
  <c r="K49" i="33"/>
  <c r="AB37" i="33"/>
  <c r="AI37" i="33"/>
  <c r="AA60" i="33"/>
  <c r="AJ58" i="33"/>
  <c r="AK44" i="33"/>
  <c r="AK36" i="33"/>
  <c r="AI34" i="33"/>
  <c r="AK56" i="34"/>
  <c r="AK36" i="34"/>
  <c r="AK57" i="34"/>
  <c r="AK35" i="34"/>
  <c r="AK50" i="34"/>
  <c r="AK43" i="34"/>
  <c r="AK49" i="34"/>
  <c r="AK42" i="34"/>
  <c r="AK37" i="34"/>
  <c r="AE35" i="31"/>
  <c r="AH35" i="31"/>
  <c r="AK36" i="32"/>
  <c r="AL35" i="33"/>
  <c r="AL43" i="33"/>
  <c r="AL51" i="33"/>
  <c r="AL59" i="33"/>
  <c r="AL34" i="33"/>
  <c r="AL42" i="33"/>
  <c r="AL50" i="33"/>
  <c r="AL58" i="33"/>
  <c r="AL41" i="33"/>
  <c r="AL49" i="33"/>
  <c r="AL57" i="33"/>
  <c r="AL40" i="33"/>
  <c r="AL48" i="33"/>
  <c r="AL56" i="33"/>
  <c r="AL39" i="33"/>
  <c r="AL47" i="33"/>
  <c r="AL55" i="33"/>
  <c r="AB61" i="33"/>
  <c r="AI61" i="33"/>
  <c r="AJ61" i="33"/>
  <c r="AF54" i="33"/>
  <c r="AI54" i="33"/>
  <c r="AJ54" i="33"/>
  <c r="AB54" i="33"/>
  <c r="AF42" i="33"/>
  <c r="AB42" i="33"/>
  <c r="AF61" i="33"/>
  <c r="AF56" i="33"/>
  <c r="AE41" i="33"/>
  <c r="AL60" i="33"/>
  <c r="AI58" i="33"/>
  <c r="AK52" i="33"/>
  <c r="AL46" i="33"/>
  <c r="AL38" i="33"/>
  <c r="AJ36" i="33"/>
  <c r="V64" i="33"/>
  <c r="R64" i="33"/>
  <c r="R65" i="33"/>
  <c r="AA20" i="34"/>
  <c r="AJ37" i="34" s="1"/>
  <c r="AA39" i="34"/>
  <c r="K39" i="34"/>
  <c r="AM36" i="34"/>
  <c r="AN36" i="34"/>
  <c r="AI44" i="34"/>
  <c r="AF44" i="34"/>
  <c r="AA58" i="34"/>
  <c r="Y64" i="33"/>
  <c r="Y65" i="33"/>
  <c r="Q64" i="33"/>
  <c r="Q65" i="33"/>
  <c r="AL63" i="33"/>
  <c r="AG65" i="33"/>
  <c r="AG64" i="33"/>
  <c r="AI47" i="33"/>
  <c r="AJ47" i="33"/>
  <c r="AF47" i="33"/>
  <c r="AI40" i="33"/>
  <c r="AJ40" i="33"/>
  <c r="AF40" i="33"/>
  <c r="AK60" i="33"/>
  <c r="AJ52" i="33"/>
  <c r="AK43" i="33"/>
  <c r="U64" i="33"/>
  <c r="AF36" i="34"/>
  <c r="AK39" i="34"/>
  <c r="X64" i="33"/>
  <c r="X65" i="33"/>
  <c r="P64" i="33"/>
  <c r="P65" i="33"/>
  <c r="AH47" i="33"/>
  <c r="AH54" i="33"/>
  <c r="AH62" i="33"/>
  <c r="AH53" i="33"/>
  <c r="AH44" i="33"/>
  <c r="AH52" i="33"/>
  <c r="AH43" i="33"/>
  <c r="AH51" i="33"/>
  <c r="AH59" i="33"/>
  <c r="AA57" i="33"/>
  <c r="K57" i="33"/>
  <c r="K55" i="33"/>
  <c r="AB45" i="33"/>
  <c r="AI45" i="33"/>
  <c r="AJ45" i="33"/>
  <c r="AF38" i="33"/>
  <c r="AI38" i="33"/>
  <c r="AJ38" i="33"/>
  <c r="AB38" i="33"/>
  <c r="AB56" i="33"/>
  <c r="AI48" i="33"/>
  <c r="AB39" i="33"/>
  <c r="AK51" i="33"/>
  <c r="AH40" i="33"/>
  <c r="AK35" i="33"/>
  <c r="AH63" i="33"/>
  <c r="AI36" i="34"/>
  <c r="AD46" i="34"/>
  <c r="AK44" i="34"/>
  <c r="AI57" i="34"/>
  <c r="AF57" i="34"/>
  <c r="AB57" i="34"/>
  <c r="AK52" i="35"/>
  <c r="AE52" i="35"/>
  <c r="AD59" i="35"/>
  <c r="AE59" i="35" s="1"/>
  <c r="AJ55" i="35"/>
  <c r="AB55" i="35"/>
  <c r="AF55" i="35"/>
  <c r="AI55" i="35"/>
  <c r="AA41" i="36"/>
  <c r="K41" i="36"/>
  <c r="AF47" i="36"/>
  <c r="AI47" i="36"/>
  <c r="AI61" i="36"/>
  <c r="AF61" i="36"/>
  <c r="AB58" i="36"/>
  <c r="AI58" i="36"/>
  <c r="AF38" i="35"/>
  <c r="AA52" i="35"/>
  <c r="O59" i="35"/>
  <c r="AA59" i="35" s="1"/>
  <c r="AA48" i="35"/>
  <c r="AI38" i="36"/>
  <c r="AF38" i="36"/>
  <c r="AF52" i="36"/>
  <c r="AI52" i="36"/>
  <c r="AF64" i="36"/>
  <c r="AI64" i="36"/>
  <c r="W53" i="34"/>
  <c r="W60" i="34" s="1"/>
  <c r="O53" i="34"/>
  <c r="AH46" i="34"/>
  <c r="AL50" i="34"/>
  <c r="AL51" i="34"/>
  <c r="AL58" i="34"/>
  <c r="AF39" i="35"/>
  <c r="AB39" i="35"/>
  <c r="AI39" i="35"/>
  <c r="AJ39" i="35"/>
  <c r="AA19" i="36"/>
  <c r="AB36" i="36" s="1"/>
  <c r="AI40" i="36"/>
  <c r="AF40" i="36"/>
  <c r="AI62" i="36"/>
  <c r="AB62" i="36"/>
  <c r="AI65" i="36"/>
  <c r="AJ65" i="36"/>
  <c r="AF65" i="36"/>
  <c r="AB65" i="36"/>
  <c r="AA42" i="34"/>
  <c r="V53" i="34"/>
  <c r="V60" i="34" s="1"/>
  <c r="AG60" i="34"/>
  <c r="AH60" i="34" s="1"/>
  <c r="AL53" i="34"/>
  <c r="AK51" i="34"/>
  <c r="AA19" i="35"/>
  <c r="AJ34" i="35"/>
  <c r="AB34" i="35"/>
  <c r="AF34" i="35"/>
  <c r="AI34" i="35"/>
  <c r="AB44" i="35"/>
  <c r="AF44" i="35"/>
  <c r="AJ44" i="35"/>
  <c r="AA57" i="35"/>
  <c r="AJ45" i="36"/>
  <c r="AF45" i="36"/>
  <c r="AI45" i="36"/>
  <c r="AB56" i="36"/>
  <c r="AI56" i="36"/>
  <c r="AJ56" i="36"/>
  <c r="AF56" i="36"/>
  <c r="K62" i="33"/>
  <c r="K54" i="33"/>
  <c r="K46" i="33"/>
  <c r="K38" i="33"/>
  <c r="AL35" i="34"/>
  <c r="AI40" i="35"/>
  <c r="AJ40" i="35"/>
  <c r="AF40" i="35"/>
  <c r="AB40" i="35"/>
  <c r="AL57" i="35"/>
  <c r="AH57" i="35"/>
  <c r="AF36" i="36"/>
  <c r="AI36" i="36"/>
  <c r="AB53" i="36"/>
  <c r="AI53" i="36"/>
  <c r="AF53" i="36"/>
  <c r="K38" i="34"/>
  <c r="AL36" i="34"/>
  <c r="AK58" i="34"/>
  <c r="AE58" i="34"/>
  <c r="Z16" i="35"/>
  <c r="AA16" i="35"/>
  <c r="AB45" i="35"/>
  <c r="AI45" i="35"/>
  <c r="AA46" i="35"/>
  <c r="AA20" i="36"/>
  <c r="AJ40" i="36" s="1"/>
  <c r="AB49" i="36"/>
  <c r="AI49" i="36"/>
  <c r="AJ49" i="36"/>
  <c r="AF49" i="36"/>
  <c r="AF46" i="36"/>
  <c r="AB60" i="36"/>
  <c r="AF60" i="36"/>
  <c r="AI60" i="36"/>
  <c r="AJ60" i="36"/>
  <c r="AL37" i="34"/>
  <c r="AL46" i="34"/>
  <c r="AB35" i="35"/>
  <c r="AJ35" i="35"/>
  <c r="AF35" i="35"/>
  <c r="AI35" i="35"/>
  <c r="AB56" i="35"/>
  <c r="AJ56" i="35"/>
  <c r="AF56" i="35"/>
  <c r="AL52" i="36"/>
  <c r="AL60" i="36"/>
  <c r="AL47" i="36"/>
  <c r="AL36" i="36"/>
  <c r="AL59" i="36"/>
  <c r="AL46" i="36"/>
  <c r="AL35" i="36"/>
  <c r="AL58" i="36"/>
  <c r="AL45" i="36"/>
  <c r="AL57" i="36"/>
  <c r="AL44" i="36"/>
  <c r="AL41" i="36"/>
  <c r="AL56" i="36"/>
  <c r="AL40" i="36"/>
  <c r="AL65" i="36"/>
  <c r="AL55" i="36"/>
  <c r="AL39" i="36"/>
  <c r="AL53" i="36"/>
  <c r="AL61" i="36"/>
  <c r="AL48" i="36"/>
  <c r="AL37" i="36"/>
  <c r="AA37" i="36"/>
  <c r="K37" i="36"/>
  <c r="AI57" i="36"/>
  <c r="AJ57" i="36"/>
  <c r="AF57" i="36"/>
  <c r="AI54" i="36"/>
  <c r="AF62" i="36"/>
  <c r="AL64" i="36"/>
  <c r="AK45" i="35"/>
  <c r="AK46" i="35"/>
  <c r="AG48" i="35"/>
  <c r="AA50" i="35"/>
  <c r="AF39" i="36"/>
  <c r="AF35" i="36"/>
  <c r="AH41" i="36"/>
  <c r="AK36" i="36"/>
  <c r="K46" i="36"/>
  <c r="AE47" i="36"/>
  <c r="AK47" i="36"/>
  <c r="AH44" i="36"/>
  <c r="K60" i="36"/>
  <c r="K56" i="36"/>
  <c r="K52" i="36"/>
  <c r="AE59" i="36"/>
  <c r="AE55" i="36"/>
  <c r="AK60" i="36"/>
  <c r="AJ59" i="36"/>
  <c r="AH57" i="36"/>
  <c r="AK52" i="36"/>
  <c r="AB41" i="35"/>
  <c r="AF41" i="35"/>
  <c r="AL39" i="35"/>
  <c r="AK38" i="35"/>
  <c r="AE48" i="35"/>
  <c r="AK38" i="36"/>
  <c r="AH35" i="36"/>
  <c r="AK49" i="36"/>
  <c r="AH46" i="36"/>
  <c r="AE62" i="36"/>
  <c r="AE58" i="36"/>
  <c r="AE54" i="36"/>
  <c r="AK62" i="36"/>
  <c r="AH59" i="36"/>
  <c r="AK54" i="36"/>
  <c r="AK64" i="36"/>
  <c r="AL40" i="35"/>
  <c r="AK39" i="36"/>
  <c r="AH36" i="36"/>
  <c r="AI48" i="36"/>
  <c r="AH47" i="36"/>
  <c r="AK55" i="36"/>
  <c r="AH52" i="36"/>
  <c r="AK65" i="36"/>
  <c r="K35" i="35"/>
  <c r="AL41" i="35"/>
  <c r="AK40" i="35"/>
  <c r="K45" i="35"/>
  <c r="AK48" i="35"/>
  <c r="AK40" i="36"/>
  <c r="AH37" i="36"/>
  <c r="AE49" i="36"/>
  <c r="AH48" i="36"/>
  <c r="K62" i="36"/>
  <c r="K58" i="36"/>
  <c r="K54" i="36"/>
  <c r="AE61" i="36"/>
  <c r="AE53" i="36"/>
  <c r="AH61" i="36"/>
  <c r="AK56" i="36"/>
  <c r="AJ55" i="36"/>
  <c r="AH53" i="36"/>
  <c r="AL34" i="35"/>
  <c r="AK41" i="35"/>
  <c r="AL55" i="35"/>
  <c r="AE41" i="36"/>
  <c r="AE37" i="36"/>
  <c r="AK41" i="36"/>
  <c r="AH38" i="36"/>
  <c r="AF44" i="36"/>
  <c r="AH49" i="36"/>
  <c r="AK44" i="36"/>
  <c r="AH62" i="36"/>
  <c r="AK57" i="36"/>
  <c r="AI55" i="36"/>
  <c r="AH54" i="36"/>
  <c r="AH64" i="36"/>
  <c r="AL35" i="35"/>
  <c r="AJ41" i="35"/>
  <c r="AL44" i="35"/>
  <c r="AK50" i="35"/>
  <c r="AL56" i="35"/>
  <c r="AK55" i="35"/>
  <c r="AH39" i="36"/>
  <c r="AE48" i="36"/>
  <c r="AK45" i="36"/>
  <c r="AE60" i="36"/>
  <c r="AE56" i="36"/>
  <c r="AK58" i="36"/>
  <c r="AH55" i="36"/>
  <c r="AK35" i="35"/>
  <c r="AK44" i="35"/>
  <c r="AE40" i="36"/>
  <c r="AE36" i="36"/>
  <c r="AH40" i="36"/>
  <c r="AK35" i="36"/>
  <c r="AK46" i="36"/>
  <c r="AM39" i="11" l="1"/>
  <c r="AN39" i="11"/>
  <c r="AL83" i="4"/>
  <c r="AN83" i="4"/>
  <c r="AJ45" i="9"/>
  <c r="AF48" i="28"/>
  <c r="AI48" i="28"/>
  <c r="AI34" i="7"/>
  <c r="AF34" i="7"/>
  <c r="AJ52" i="51"/>
  <c r="AJ36" i="51"/>
  <c r="AJ44" i="36"/>
  <c r="AB52" i="36"/>
  <c r="AJ38" i="35"/>
  <c r="AJ36" i="34"/>
  <c r="AN35" i="33"/>
  <c r="AI52" i="30"/>
  <c r="AB58" i="26"/>
  <c r="AB90" i="23"/>
  <c r="AF87" i="23"/>
  <c r="AI56" i="21"/>
  <c r="AJ50" i="20"/>
  <c r="AJ43" i="22"/>
  <c r="AJ39" i="22"/>
  <c r="AJ37" i="20"/>
  <c r="AA60" i="24"/>
  <c r="AJ47" i="15"/>
  <c r="AJ61" i="15"/>
  <c r="AB80" i="13"/>
  <c r="AB42" i="13"/>
  <c r="AB85" i="13"/>
  <c r="AM85" i="13" s="1"/>
  <c r="AB96" i="13"/>
  <c r="AD127" i="58"/>
  <c r="AJ106" i="51"/>
  <c r="AI53" i="51"/>
  <c r="AJ96" i="9"/>
  <c r="AJ97" i="51"/>
  <c r="AJ55" i="51"/>
  <c r="AJ37" i="51"/>
  <c r="AJ79" i="51"/>
  <c r="AB104" i="17"/>
  <c r="AB84" i="17"/>
  <c r="AB43" i="51"/>
  <c r="AB94" i="9"/>
  <c r="AA40" i="37"/>
  <c r="AB78" i="51"/>
  <c r="AB103" i="9"/>
  <c r="AM103" i="9" s="1"/>
  <c r="AA87" i="37"/>
  <c r="AJ47" i="51"/>
  <c r="AC64" i="37"/>
  <c r="AI37" i="34"/>
  <c r="AF37" i="34"/>
  <c r="AI43" i="27"/>
  <c r="AF43" i="27"/>
  <c r="AI67" i="22"/>
  <c r="AF67" i="22"/>
  <c r="AB67" i="22"/>
  <c r="AM45" i="13"/>
  <c r="AN45" i="13"/>
  <c r="AI42" i="54"/>
  <c r="AF42" i="54"/>
  <c r="AA84" i="56"/>
  <c r="G82" i="56" s="1"/>
  <c r="AI81" i="56"/>
  <c r="AN77" i="53"/>
  <c r="AM77" i="53"/>
  <c r="AB76" i="52"/>
  <c r="AI76" i="52"/>
  <c r="AJ66" i="53"/>
  <c r="AF66" i="53"/>
  <c r="AI66" i="53"/>
  <c r="AG127" i="59"/>
  <c r="AH126" i="59"/>
  <c r="AI38" i="35"/>
  <c r="AB34" i="31"/>
  <c r="AB40" i="27"/>
  <c r="AB36" i="27"/>
  <c r="AI58" i="26"/>
  <c r="AB87" i="23"/>
  <c r="AJ61" i="22"/>
  <c r="AJ64" i="22"/>
  <c r="AJ68" i="22"/>
  <c r="AB110" i="60"/>
  <c r="AJ54" i="22"/>
  <c r="AJ64" i="15"/>
  <c r="AJ35" i="20"/>
  <c r="AJ71" i="15"/>
  <c r="AB108" i="60"/>
  <c r="Z62" i="24"/>
  <c r="AJ55" i="15"/>
  <c r="AB57" i="60"/>
  <c r="AJ40" i="15"/>
  <c r="AJ57" i="15"/>
  <c r="AB125" i="60"/>
  <c r="AB38" i="13"/>
  <c r="AF52" i="59"/>
  <c r="AG127" i="57"/>
  <c r="AJ56" i="51"/>
  <c r="AB96" i="9"/>
  <c r="AJ79" i="9"/>
  <c r="AJ95" i="51"/>
  <c r="AJ89" i="51"/>
  <c r="AJ45" i="51"/>
  <c r="AF104" i="9"/>
  <c r="AJ85" i="51"/>
  <c r="AJ68" i="51"/>
  <c r="AJ58" i="9"/>
  <c r="AJ41" i="9"/>
  <c r="AJ90" i="9"/>
  <c r="AF47" i="16"/>
  <c r="AJ103" i="51"/>
  <c r="AB85" i="51"/>
  <c r="AM85" i="51" s="1"/>
  <c r="AJ62" i="51"/>
  <c r="AB126" i="17"/>
  <c r="AB41" i="28"/>
  <c r="AF41" i="28"/>
  <c r="AI41" i="28"/>
  <c r="AB35" i="36"/>
  <c r="AM35" i="36" s="1"/>
  <c r="AI35" i="36"/>
  <c r="AI63" i="23"/>
  <c r="AF63" i="23"/>
  <c r="AI71" i="23"/>
  <c r="AF71" i="23"/>
  <c r="AI54" i="54"/>
  <c r="AF54" i="54"/>
  <c r="AI46" i="54"/>
  <c r="AF46" i="54"/>
  <c r="AB46" i="54"/>
  <c r="AJ70" i="54"/>
  <c r="AJ89" i="23"/>
  <c r="AJ52" i="22"/>
  <c r="AJ63" i="22"/>
  <c r="AJ53" i="20"/>
  <c r="AI94" i="60"/>
  <c r="AJ55" i="22"/>
  <c r="AJ65" i="15"/>
  <c r="AI60" i="24"/>
  <c r="AJ45" i="15"/>
  <c r="AI55" i="24"/>
  <c r="AJ63" i="15"/>
  <c r="AF61" i="13"/>
  <c r="AI52" i="59"/>
  <c r="AB123" i="58"/>
  <c r="AF95" i="54"/>
  <c r="AI95" i="54"/>
  <c r="AB41" i="53"/>
  <c r="AJ40" i="51"/>
  <c r="AJ77" i="51"/>
  <c r="AJ35" i="51"/>
  <c r="AB104" i="9"/>
  <c r="AB119" i="17"/>
  <c r="AJ96" i="51"/>
  <c r="AJ81" i="51"/>
  <c r="AB116" i="17"/>
  <c r="AJ105" i="51"/>
  <c r="AJ83" i="51"/>
  <c r="AJ57" i="51"/>
  <c r="AB80" i="17"/>
  <c r="AB81" i="17"/>
  <c r="AB66" i="17"/>
  <c r="AJ94" i="9"/>
  <c r="AB54" i="9"/>
  <c r="AB87" i="17"/>
  <c r="AI38" i="7"/>
  <c r="AB78" i="9"/>
  <c r="AF44" i="51"/>
  <c r="AJ44" i="51"/>
  <c r="AF128" i="6"/>
  <c r="AI128" i="6"/>
  <c r="AF101" i="16"/>
  <c r="AI101" i="16"/>
  <c r="AB85" i="4"/>
  <c r="AF85" i="4"/>
  <c r="AJ63" i="9"/>
  <c r="AB38" i="27"/>
  <c r="AB44" i="27"/>
  <c r="AN44" i="27" s="1"/>
  <c r="AJ42" i="27"/>
  <c r="AJ42" i="20"/>
  <c r="AJ51" i="20"/>
  <c r="AJ47" i="22"/>
  <c r="AJ51" i="22"/>
  <c r="AH55" i="24"/>
  <c r="AJ39" i="15"/>
  <c r="AJ61" i="13"/>
  <c r="AF123" i="58"/>
  <c r="AJ95" i="54"/>
  <c r="AJ82" i="51"/>
  <c r="AJ53" i="51"/>
  <c r="AB108" i="17"/>
  <c r="AJ65" i="51"/>
  <c r="AJ51" i="51"/>
  <c r="AJ87" i="51"/>
  <c r="AJ110" i="9"/>
  <c r="AB38" i="17"/>
  <c r="AN46" i="16"/>
  <c r="AJ43" i="51"/>
  <c r="AB111" i="17"/>
  <c r="AJ63" i="4"/>
  <c r="AI62" i="60"/>
  <c r="AF62" i="60"/>
  <c r="AB46" i="4"/>
  <c r="AF46" i="4"/>
  <c r="AJ40" i="27"/>
  <c r="AJ36" i="27"/>
  <c r="AJ58" i="26"/>
  <c r="AI89" i="23"/>
  <c r="AN35" i="36"/>
  <c r="AB57" i="36"/>
  <c r="AN57" i="36" s="1"/>
  <c r="AJ58" i="36"/>
  <c r="AJ57" i="34"/>
  <c r="AB48" i="28"/>
  <c r="AJ38" i="27"/>
  <c r="AJ44" i="27"/>
  <c r="AJ34" i="27"/>
  <c r="AB43" i="27"/>
  <c r="AB42" i="27"/>
  <c r="AM42" i="27" s="1"/>
  <c r="AB89" i="23"/>
  <c r="AJ60" i="20"/>
  <c r="AJ46" i="22"/>
  <c r="AJ35" i="22"/>
  <c r="AJ42" i="22"/>
  <c r="AJ72" i="22"/>
  <c r="AJ74" i="15"/>
  <c r="AJ59" i="15"/>
  <c r="AJ48" i="15"/>
  <c r="AD129" i="60"/>
  <c r="AA55" i="24"/>
  <c r="AJ46" i="15"/>
  <c r="AB103" i="13"/>
  <c r="AB102" i="13"/>
  <c r="AB50" i="13"/>
  <c r="AF125" i="57"/>
  <c r="AJ78" i="51"/>
  <c r="AB53" i="51"/>
  <c r="AB115" i="9"/>
  <c r="AJ87" i="9"/>
  <c r="AJ66" i="51"/>
  <c r="AB109" i="17"/>
  <c r="AB54" i="17"/>
  <c r="AB65" i="17"/>
  <c r="AA129" i="17"/>
  <c r="AB121" i="39"/>
  <c r="AA65" i="7"/>
  <c r="AB38" i="7"/>
  <c r="AA42" i="37"/>
  <c r="AI34" i="22"/>
  <c r="AF34" i="22"/>
  <c r="AA54" i="58"/>
  <c r="G53" i="58" s="1"/>
  <c r="AF52" i="58"/>
  <c r="AI52" i="58"/>
  <c r="AF46" i="9"/>
  <c r="AI46" i="9"/>
  <c r="AF52" i="39"/>
  <c r="AI52" i="39"/>
  <c r="AI34" i="31"/>
  <c r="AJ52" i="30"/>
  <c r="AJ35" i="27"/>
  <c r="AB39" i="27"/>
  <c r="AJ71" i="22"/>
  <c r="AJ90" i="23"/>
  <c r="AJ69" i="20"/>
  <c r="AJ34" i="22"/>
  <c r="AJ35" i="15"/>
  <c r="AJ51" i="15"/>
  <c r="AJ50" i="15"/>
  <c r="AF121" i="59"/>
  <c r="AA126" i="57"/>
  <c r="AA127" i="57" s="1"/>
  <c r="AB125" i="57"/>
  <c r="AJ48" i="51"/>
  <c r="AJ102" i="51"/>
  <c r="AJ49" i="51"/>
  <c r="AB101" i="17"/>
  <c r="AJ99" i="51"/>
  <c r="AJ70" i="51"/>
  <c r="AB113" i="17"/>
  <c r="AJ86" i="9"/>
  <c r="AJ69" i="51"/>
  <c r="AB75" i="17"/>
  <c r="AI121" i="39"/>
  <c r="AB57" i="17"/>
  <c r="AJ101" i="51"/>
  <c r="AA41" i="37"/>
  <c r="AB47" i="23"/>
  <c r="AI47" i="23"/>
  <c r="AF47" i="23"/>
  <c r="AF143" i="6"/>
  <c r="AI143" i="6"/>
  <c r="AF117" i="16"/>
  <c r="AI117" i="16"/>
  <c r="AI66" i="16"/>
  <c r="AF66" i="16"/>
  <c r="AJ42" i="9"/>
  <c r="AJ50" i="34"/>
  <c r="AJ48" i="28"/>
  <c r="AJ43" i="27"/>
  <c r="AJ54" i="20"/>
  <c r="AB34" i="27"/>
  <c r="AJ38" i="22"/>
  <c r="AJ60" i="22"/>
  <c r="AJ53" i="22"/>
  <c r="AJ69" i="22"/>
  <c r="AJ60" i="15"/>
  <c r="AJ50" i="22"/>
  <c r="AB124" i="60"/>
  <c r="AJ56" i="22"/>
  <c r="AJ56" i="15"/>
  <c r="AJ41" i="15"/>
  <c r="AB105" i="60"/>
  <c r="AJ69" i="15"/>
  <c r="AJ36" i="15"/>
  <c r="AJ64" i="54"/>
  <c r="AD127" i="56"/>
  <c r="AJ117" i="9"/>
  <c r="AJ86" i="51"/>
  <c r="AB105" i="17"/>
  <c r="AJ93" i="51"/>
  <c r="AJ115" i="9"/>
  <c r="AJ63" i="51"/>
  <c r="AJ41" i="51"/>
  <c r="AB102" i="17"/>
  <c r="AJ98" i="51"/>
  <c r="AB46" i="17"/>
  <c r="AB63" i="4"/>
  <c r="AF63" i="4"/>
  <c r="AB34" i="7"/>
  <c r="AF53" i="13"/>
  <c r="AI53" i="13"/>
  <c r="AB38" i="39"/>
  <c r="AF51" i="51"/>
  <c r="AB51" i="51"/>
  <c r="AM48" i="28"/>
  <c r="AN48" i="28"/>
  <c r="AM35" i="25"/>
  <c r="AN35" i="25"/>
  <c r="AN81" i="13"/>
  <c r="AM81" i="13"/>
  <c r="AM37" i="34"/>
  <c r="AN37" i="34"/>
  <c r="AM53" i="36"/>
  <c r="AN53" i="36"/>
  <c r="AM38" i="33"/>
  <c r="AN38" i="33"/>
  <c r="AJ35" i="34"/>
  <c r="AF35" i="34"/>
  <c r="AB35" i="34"/>
  <c r="AI35" i="34"/>
  <c r="AM49" i="30"/>
  <c r="AN49" i="30"/>
  <c r="AM39" i="30"/>
  <c r="AN39" i="30"/>
  <c r="AM65" i="28"/>
  <c r="AN65" i="28"/>
  <c r="AM41" i="29"/>
  <c r="AN41" i="29"/>
  <c r="AI45" i="27"/>
  <c r="AJ45" i="27"/>
  <c r="AF45" i="27"/>
  <c r="AB45" i="27"/>
  <c r="AJ35" i="26"/>
  <c r="AF35" i="26"/>
  <c r="AB35" i="26"/>
  <c r="AI35" i="26"/>
  <c r="AF54" i="26"/>
  <c r="AB54" i="26"/>
  <c r="AI54" i="26"/>
  <c r="AJ54" i="26"/>
  <c r="AM46" i="25"/>
  <c r="AN46" i="25"/>
  <c r="AF82" i="23"/>
  <c r="AI82" i="23"/>
  <c r="AJ82" i="23"/>
  <c r="AB82" i="23"/>
  <c r="AJ50" i="35"/>
  <c r="AB50" i="35"/>
  <c r="AF50" i="35"/>
  <c r="AI50" i="35"/>
  <c r="AB37" i="36"/>
  <c r="AF37" i="36"/>
  <c r="AI37" i="36"/>
  <c r="AJ37" i="36"/>
  <c r="AM56" i="35"/>
  <c r="AN56" i="35"/>
  <c r="AI48" i="35"/>
  <c r="AJ48" i="35"/>
  <c r="AB48" i="35"/>
  <c r="AF48" i="35"/>
  <c r="AM58" i="36"/>
  <c r="AN58" i="36"/>
  <c r="AM56" i="33"/>
  <c r="AN56" i="33"/>
  <c r="AN37" i="33"/>
  <c r="AM37" i="33"/>
  <c r="AM48" i="33"/>
  <c r="AN48" i="33"/>
  <c r="AJ62" i="30"/>
  <c r="AI62" i="30"/>
  <c r="AB62" i="30"/>
  <c r="AF62" i="30"/>
  <c r="AM37" i="30"/>
  <c r="AN37" i="30"/>
  <c r="AM56" i="29"/>
  <c r="AN56" i="29"/>
  <c r="AM56" i="30"/>
  <c r="AN56" i="30"/>
  <c r="AN62" i="29"/>
  <c r="AM62" i="29"/>
  <c r="AM43" i="29"/>
  <c r="AN43" i="29"/>
  <c r="AM72" i="30"/>
  <c r="AN72" i="30"/>
  <c r="AM41" i="30"/>
  <c r="AN41" i="30"/>
  <c r="AI50" i="28"/>
  <c r="AB50" i="28"/>
  <c r="AF50" i="28"/>
  <c r="AJ50" i="28"/>
  <c r="AI41" i="27"/>
  <c r="AJ41" i="27"/>
  <c r="AF41" i="27"/>
  <c r="AB41" i="27"/>
  <c r="AM59" i="28"/>
  <c r="AN59" i="28"/>
  <c r="AI46" i="27"/>
  <c r="AF46" i="27"/>
  <c r="AB46" i="27"/>
  <c r="AJ46" i="27"/>
  <c r="AN34" i="27"/>
  <c r="AM34" i="27"/>
  <c r="AM35" i="27"/>
  <c r="AN35" i="27"/>
  <c r="AM38" i="25"/>
  <c r="AN38" i="25"/>
  <c r="AF93" i="23"/>
  <c r="AB93" i="23"/>
  <c r="AI93" i="23"/>
  <c r="AJ93" i="23"/>
  <c r="AM42" i="25"/>
  <c r="AN42" i="25"/>
  <c r="AB78" i="23"/>
  <c r="AJ78" i="23"/>
  <c r="AI78" i="23"/>
  <c r="AF78" i="23"/>
  <c r="AM71" i="26"/>
  <c r="AN71" i="26"/>
  <c r="AM68" i="26"/>
  <c r="AN68" i="26"/>
  <c r="AF84" i="23"/>
  <c r="AB84" i="23"/>
  <c r="AI84" i="23"/>
  <c r="AJ84" i="23"/>
  <c r="AN59" i="26"/>
  <c r="AM59" i="26"/>
  <c r="AM71" i="22"/>
  <c r="AN71" i="22"/>
  <c r="AM34" i="23"/>
  <c r="AN34" i="23"/>
  <c r="AI37" i="21"/>
  <c r="AJ37" i="21"/>
  <c r="AB37" i="21"/>
  <c r="AF37" i="21"/>
  <c r="AM89" i="23"/>
  <c r="AN89" i="23"/>
  <c r="AM42" i="23"/>
  <c r="AN42" i="23"/>
  <c r="AF62" i="22"/>
  <c r="AI62" i="22"/>
  <c r="AJ62" i="22"/>
  <c r="AB62" i="22"/>
  <c r="AN48" i="23"/>
  <c r="AM48" i="23"/>
  <c r="AM38" i="22"/>
  <c r="AN38" i="22"/>
  <c r="AM49" i="20"/>
  <c r="AN49" i="20"/>
  <c r="AM73" i="21"/>
  <c r="AN73" i="21"/>
  <c r="AM54" i="20"/>
  <c r="AN54" i="20"/>
  <c r="AM57" i="20"/>
  <c r="AN57" i="20"/>
  <c r="AI72" i="60"/>
  <c r="AF72" i="60"/>
  <c r="AA74" i="60"/>
  <c r="G73" i="60" s="1"/>
  <c r="AM53" i="20"/>
  <c r="AN53" i="20"/>
  <c r="AM51" i="19"/>
  <c r="AN51" i="19"/>
  <c r="AM39" i="15"/>
  <c r="AN39" i="15"/>
  <c r="AM44" i="24"/>
  <c r="AL44" i="24"/>
  <c r="AM35" i="24"/>
  <c r="AL35" i="24"/>
  <c r="AM80" i="13"/>
  <c r="AN80" i="13"/>
  <c r="AA84" i="59"/>
  <c r="G82" i="59" s="1"/>
  <c r="AF81" i="59"/>
  <c r="AI81" i="59"/>
  <c r="AM36" i="15"/>
  <c r="AN36" i="15"/>
  <c r="AI48" i="13"/>
  <c r="AJ48" i="13"/>
  <c r="AF48" i="13"/>
  <c r="AB48" i="13"/>
  <c r="AL46" i="24"/>
  <c r="AM46" i="24"/>
  <c r="AM95" i="13"/>
  <c r="AN95" i="13"/>
  <c r="AB74" i="13"/>
  <c r="AI74" i="13"/>
  <c r="AJ74" i="13"/>
  <c r="AF74" i="13"/>
  <c r="AM35" i="11"/>
  <c r="AN35" i="11"/>
  <c r="AM83" i="13"/>
  <c r="AN83" i="13"/>
  <c r="AM74" i="11"/>
  <c r="AN74" i="11"/>
  <c r="AM49" i="11"/>
  <c r="AN49" i="11"/>
  <c r="AA64" i="58"/>
  <c r="G63" i="58" s="1"/>
  <c r="AI62" i="58"/>
  <c r="AF62" i="58"/>
  <c r="AM44" i="11"/>
  <c r="AN44" i="11"/>
  <c r="AI88" i="57"/>
  <c r="AF88" i="57"/>
  <c r="AM46" i="11"/>
  <c r="AN46" i="11"/>
  <c r="AN89" i="11"/>
  <c r="AM89" i="11"/>
  <c r="AM106" i="54"/>
  <c r="AN106" i="54"/>
  <c r="AI97" i="54"/>
  <c r="AF97" i="54"/>
  <c r="AJ97" i="54"/>
  <c r="AB97" i="54"/>
  <c r="AM55" i="54"/>
  <c r="AN55" i="54"/>
  <c r="AI80" i="53"/>
  <c r="AJ80" i="53"/>
  <c r="AB80" i="53"/>
  <c r="AF80" i="53"/>
  <c r="AM45" i="54"/>
  <c r="AN45" i="54"/>
  <c r="AM51" i="54"/>
  <c r="AN51" i="54"/>
  <c r="AH126" i="55"/>
  <c r="AG127" i="55"/>
  <c r="AM78" i="52"/>
  <c r="AN78" i="52"/>
  <c r="AM77" i="54"/>
  <c r="AN77" i="54"/>
  <c r="AM50" i="54"/>
  <c r="AN50" i="54"/>
  <c r="AN99" i="54"/>
  <c r="AM99" i="54"/>
  <c r="AF50" i="52"/>
  <c r="AB50" i="52"/>
  <c r="AJ50" i="52"/>
  <c r="AI50" i="52"/>
  <c r="AN35" i="53"/>
  <c r="AM35" i="53"/>
  <c r="AA126" i="55"/>
  <c r="O127" i="55"/>
  <c r="AM39" i="52"/>
  <c r="AN39" i="52"/>
  <c r="AB122" i="55"/>
  <c r="AF122" i="55"/>
  <c r="AI122" i="55"/>
  <c r="AI46" i="51"/>
  <c r="AF46" i="51"/>
  <c r="AJ46" i="51"/>
  <c r="AB46" i="51"/>
  <c r="AN53" i="53"/>
  <c r="AM53" i="53"/>
  <c r="AN35" i="52"/>
  <c r="AM35" i="52"/>
  <c r="AA54" i="55"/>
  <c r="G53" i="55" s="1"/>
  <c r="AI52" i="55"/>
  <c r="AF52" i="55"/>
  <c r="AB121" i="55"/>
  <c r="AI121" i="55"/>
  <c r="AF121" i="55"/>
  <c r="AM96" i="9"/>
  <c r="AN96" i="9"/>
  <c r="AM115" i="9"/>
  <c r="AN115" i="9"/>
  <c r="AI152" i="17"/>
  <c r="AF152" i="17"/>
  <c r="AI51" i="9"/>
  <c r="AF51" i="9"/>
  <c r="AB51" i="9"/>
  <c r="AJ51" i="9"/>
  <c r="AB100" i="9"/>
  <c r="AB108" i="9"/>
  <c r="AB82" i="9"/>
  <c r="AB120" i="9"/>
  <c r="AB85" i="9"/>
  <c r="AB77" i="9"/>
  <c r="AB90" i="9"/>
  <c r="AJ52" i="9"/>
  <c r="AF52" i="9"/>
  <c r="AB52" i="9"/>
  <c r="AI52" i="9"/>
  <c r="AB35" i="16"/>
  <c r="AI35" i="16"/>
  <c r="AF35" i="16"/>
  <c r="AJ35" i="16"/>
  <c r="AB94" i="16"/>
  <c r="AI94" i="16"/>
  <c r="AJ94" i="16"/>
  <c r="AF94" i="16"/>
  <c r="AI105" i="16"/>
  <c r="AJ105" i="16"/>
  <c r="AB105" i="16"/>
  <c r="AF105" i="16"/>
  <c r="AN41" i="16"/>
  <c r="AM41" i="16"/>
  <c r="AF68" i="7"/>
  <c r="AI68" i="7"/>
  <c r="AI125" i="6"/>
  <c r="AF125" i="6"/>
  <c r="AN80" i="16"/>
  <c r="AM80" i="16"/>
  <c r="AF72" i="7"/>
  <c r="AI72" i="7"/>
  <c r="AB58" i="9"/>
  <c r="AF90" i="17"/>
  <c r="AI90" i="17"/>
  <c r="AK63" i="37"/>
  <c r="AI63" i="37"/>
  <c r="AI40" i="4"/>
  <c r="AJ40" i="4"/>
  <c r="AB40" i="4"/>
  <c r="AF40" i="4"/>
  <c r="AF138" i="6"/>
  <c r="AI138" i="6"/>
  <c r="AN85" i="51"/>
  <c r="AM116" i="16"/>
  <c r="AN116" i="16"/>
  <c r="AL34" i="7"/>
  <c r="AN34" i="7"/>
  <c r="AI36" i="4"/>
  <c r="AJ36" i="4"/>
  <c r="AB36" i="4"/>
  <c r="AF36" i="4"/>
  <c r="AF40" i="9"/>
  <c r="AB40" i="9"/>
  <c r="AI40" i="9"/>
  <c r="AJ40" i="9"/>
  <c r="AA52" i="17"/>
  <c r="G51" i="17" s="1"/>
  <c r="AF50" i="17"/>
  <c r="AI50" i="17"/>
  <c r="AI97" i="16"/>
  <c r="AJ97" i="16"/>
  <c r="AF97" i="16"/>
  <c r="AB97" i="16"/>
  <c r="AA59" i="37"/>
  <c r="AE59" i="37"/>
  <c r="Z60" i="37"/>
  <c r="AH59" i="37"/>
  <c r="AL84" i="4"/>
  <c r="AN84" i="4"/>
  <c r="AN97" i="4"/>
  <c r="AL97" i="4"/>
  <c r="AN63" i="4"/>
  <c r="AL63" i="4"/>
  <c r="AI73" i="7"/>
  <c r="AF73" i="7"/>
  <c r="AN123" i="16"/>
  <c r="AM123" i="16"/>
  <c r="AM93" i="16"/>
  <c r="AN93" i="16"/>
  <c r="AM43" i="16"/>
  <c r="AN43" i="16"/>
  <c r="AL78" i="4"/>
  <c r="AN78" i="4"/>
  <c r="O75" i="37"/>
  <c r="O86" i="37"/>
  <c r="O88" i="37" s="1"/>
  <c r="O82" i="37"/>
  <c r="O84" i="37" s="1"/>
  <c r="O85" i="37" s="1"/>
  <c r="AI57" i="35"/>
  <c r="AJ57" i="35"/>
  <c r="AB57" i="35"/>
  <c r="AF57" i="35"/>
  <c r="AJ61" i="29"/>
  <c r="AF61" i="29"/>
  <c r="AB61" i="29"/>
  <c r="AI61" i="29"/>
  <c r="AN35" i="15"/>
  <c r="AM35" i="15"/>
  <c r="AM75" i="13"/>
  <c r="AN75" i="13"/>
  <c r="AM40" i="52"/>
  <c r="AN40" i="52"/>
  <c r="AM53" i="52"/>
  <c r="AN53" i="52"/>
  <c r="AM36" i="51"/>
  <c r="AN36" i="51"/>
  <c r="AM56" i="52"/>
  <c r="AN56" i="52"/>
  <c r="AI50" i="51"/>
  <c r="AJ50" i="51"/>
  <c r="AB50" i="51"/>
  <c r="AF50" i="51"/>
  <c r="AM88" i="53"/>
  <c r="AN88" i="53"/>
  <c r="AM104" i="9"/>
  <c r="AN104" i="9"/>
  <c r="AN95" i="51"/>
  <c r="AM95" i="51"/>
  <c r="AA84" i="39"/>
  <c r="G82" i="39" s="1"/>
  <c r="AI81" i="39"/>
  <c r="AF81" i="39"/>
  <c r="AN98" i="9"/>
  <c r="AM98" i="9"/>
  <c r="AM96" i="51"/>
  <c r="AN96" i="51"/>
  <c r="AM45" i="51"/>
  <c r="AN45" i="51"/>
  <c r="AA44" i="39"/>
  <c r="G43" i="39" s="1"/>
  <c r="AI42" i="39"/>
  <c r="AF42" i="39"/>
  <c r="AA74" i="39"/>
  <c r="G73" i="39" s="1"/>
  <c r="AF72" i="39"/>
  <c r="AI72" i="39"/>
  <c r="AI76" i="9"/>
  <c r="AF76" i="9"/>
  <c r="AJ76" i="9"/>
  <c r="AB76" i="9"/>
  <c r="AF55" i="9"/>
  <c r="AB55" i="9"/>
  <c r="AI55" i="9"/>
  <c r="AJ55" i="9"/>
  <c r="AF56" i="9"/>
  <c r="AB56" i="9"/>
  <c r="AI56" i="9"/>
  <c r="AJ56" i="9"/>
  <c r="AB129" i="17"/>
  <c r="AI129" i="17"/>
  <c r="AF129" i="17"/>
  <c r="AJ68" i="9"/>
  <c r="AF68" i="9"/>
  <c r="AI68" i="9"/>
  <c r="AM43" i="51"/>
  <c r="AN43" i="51"/>
  <c r="AM94" i="9"/>
  <c r="AN94" i="9"/>
  <c r="AJ36" i="9"/>
  <c r="AF36" i="9"/>
  <c r="AB36" i="9"/>
  <c r="AI36" i="9"/>
  <c r="AB102" i="16"/>
  <c r="AI102" i="16"/>
  <c r="AJ102" i="16"/>
  <c r="AF102" i="16"/>
  <c r="AN112" i="16"/>
  <c r="AM112" i="16"/>
  <c r="AM78" i="9"/>
  <c r="AN78" i="9"/>
  <c r="AN98" i="4"/>
  <c r="AL98" i="4"/>
  <c r="AI123" i="6"/>
  <c r="AF123" i="6"/>
  <c r="AB128" i="17"/>
  <c r="AF128" i="17"/>
  <c r="AI128" i="17"/>
  <c r="AM38" i="16"/>
  <c r="AN38" i="16"/>
  <c r="AN89" i="4"/>
  <c r="AL89" i="4"/>
  <c r="AN51" i="4"/>
  <c r="AL51" i="4"/>
  <c r="AI78" i="37"/>
  <c r="AK78" i="37"/>
  <c r="AF93" i="39"/>
  <c r="AI93" i="39"/>
  <c r="AM46" i="9"/>
  <c r="AN46" i="9"/>
  <c r="AI69" i="37"/>
  <c r="AK69" i="37"/>
  <c r="AL69" i="4"/>
  <c r="AN69" i="4"/>
  <c r="AL41" i="4"/>
  <c r="AN41" i="4"/>
  <c r="AL61" i="4"/>
  <c r="AN61" i="4"/>
  <c r="AL80" i="4"/>
  <c r="AN80" i="4"/>
  <c r="AL91" i="4"/>
  <c r="AN91" i="4"/>
  <c r="AN78" i="16"/>
  <c r="AM78" i="16"/>
  <c r="AM74" i="16"/>
  <c r="AN74" i="16"/>
  <c r="AL49" i="4"/>
  <c r="AN49" i="4"/>
  <c r="AL66" i="4"/>
  <c r="AN66" i="4"/>
  <c r="AN49" i="36"/>
  <c r="AM49" i="36"/>
  <c r="AM36" i="36"/>
  <c r="AN36" i="36"/>
  <c r="AB39" i="36"/>
  <c r="AB55" i="36"/>
  <c r="AB44" i="36"/>
  <c r="AB59" i="36"/>
  <c r="AB48" i="36"/>
  <c r="AB52" i="35"/>
  <c r="AF52" i="35"/>
  <c r="AJ52" i="35"/>
  <c r="AJ61" i="36"/>
  <c r="AI41" i="36"/>
  <c r="AJ41" i="36"/>
  <c r="AB41" i="36"/>
  <c r="AF41" i="36"/>
  <c r="AA67" i="36"/>
  <c r="AN57" i="34"/>
  <c r="AM57" i="34"/>
  <c r="AJ57" i="33"/>
  <c r="AB57" i="33"/>
  <c r="AI57" i="33"/>
  <c r="AF57" i="33"/>
  <c r="AM42" i="33"/>
  <c r="AN42" i="33"/>
  <c r="AN61" i="33"/>
  <c r="AM61" i="33"/>
  <c r="AJ49" i="33"/>
  <c r="AB49" i="33"/>
  <c r="AI49" i="33"/>
  <c r="AF49" i="33"/>
  <c r="AJ34" i="33"/>
  <c r="AJ39" i="33"/>
  <c r="AI44" i="33"/>
  <c r="AJ44" i="33"/>
  <c r="AF44" i="33"/>
  <c r="AB44" i="33"/>
  <c r="AJ62" i="33"/>
  <c r="AM54" i="30"/>
  <c r="AN54" i="30"/>
  <c r="AM76" i="30"/>
  <c r="AN76" i="30"/>
  <c r="AM47" i="33"/>
  <c r="AN47" i="33"/>
  <c r="AM63" i="30"/>
  <c r="AN63" i="30"/>
  <c r="AM50" i="29"/>
  <c r="AN50" i="29"/>
  <c r="AB51" i="29"/>
  <c r="AI51" i="29"/>
  <c r="AJ51" i="29"/>
  <c r="AF51" i="29"/>
  <c r="AM73" i="30"/>
  <c r="AN73" i="30"/>
  <c r="AM42" i="29"/>
  <c r="AN42" i="29"/>
  <c r="AN54" i="29"/>
  <c r="AM54" i="29"/>
  <c r="AM49" i="28"/>
  <c r="AN49" i="28"/>
  <c r="AM69" i="29"/>
  <c r="AN69" i="29"/>
  <c r="AN40" i="29"/>
  <c r="AM40" i="29"/>
  <c r="AM58" i="26"/>
  <c r="AN58" i="26"/>
  <c r="AM69" i="26"/>
  <c r="AN69" i="26"/>
  <c r="AB86" i="23"/>
  <c r="AF86" i="23"/>
  <c r="AI86" i="23"/>
  <c r="AJ86" i="23"/>
  <c r="AM44" i="25"/>
  <c r="AN44" i="25"/>
  <c r="AM48" i="25"/>
  <c r="AN48" i="25"/>
  <c r="AN40" i="26"/>
  <c r="AM40" i="26"/>
  <c r="AB92" i="23"/>
  <c r="AF92" i="23"/>
  <c r="AI92" i="23"/>
  <c r="AJ92" i="23"/>
  <c r="AJ37" i="25"/>
  <c r="AB37" i="25"/>
  <c r="AI37" i="25"/>
  <c r="AF37" i="25"/>
  <c r="AN66" i="21"/>
  <c r="AM66" i="21"/>
  <c r="AM52" i="23"/>
  <c r="AN52" i="23"/>
  <c r="AM38" i="20"/>
  <c r="AN38" i="20"/>
  <c r="AM57" i="19"/>
  <c r="AN57" i="19"/>
  <c r="AM59" i="19"/>
  <c r="AN59" i="19"/>
  <c r="AM64" i="21"/>
  <c r="AN64" i="21"/>
  <c r="AM68" i="22"/>
  <c r="AN68" i="22"/>
  <c r="AI65" i="20"/>
  <c r="AF65" i="20"/>
  <c r="AJ65" i="20"/>
  <c r="AB65" i="20"/>
  <c r="AM63" i="22"/>
  <c r="AN63" i="22"/>
  <c r="AM39" i="19"/>
  <c r="AN39" i="19"/>
  <c r="AL45" i="24"/>
  <c r="AM45" i="24"/>
  <c r="AA44" i="60"/>
  <c r="G43" i="60" s="1"/>
  <c r="AI42" i="60"/>
  <c r="AF42" i="60"/>
  <c r="AM37" i="20"/>
  <c r="AN37" i="20"/>
  <c r="AB40" i="19"/>
  <c r="AJ40" i="19"/>
  <c r="AF40" i="19"/>
  <c r="AI40" i="19"/>
  <c r="AA37" i="24"/>
  <c r="AH37" i="24"/>
  <c r="AI37" i="24"/>
  <c r="AE37" i="24"/>
  <c r="AL34" i="24"/>
  <c r="AM34" i="24"/>
  <c r="AM55" i="15"/>
  <c r="AN55" i="15"/>
  <c r="AF94" i="59"/>
  <c r="AI94" i="59"/>
  <c r="AN44" i="19"/>
  <c r="AM44" i="19"/>
  <c r="AN57" i="15"/>
  <c r="AM57" i="15"/>
  <c r="AI56" i="13"/>
  <c r="AJ56" i="13"/>
  <c r="AF56" i="13"/>
  <c r="AB56" i="13"/>
  <c r="AM103" i="13"/>
  <c r="AN103" i="13"/>
  <c r="AB82" i="13"/>
  <c r="AI82" i="13"/>
  <c r="AJ82" i="13"/>
  <c r="AF82" i="13"/>
  <c r="AM102" i="13"/>
  <c r="AN102" i="13"/>
  <c r="AA94" i="11"/>
  <c r="AI78" i="11"/>
  <c r="AB78" i="11"/>
  <c r="AJ78" i="11"/>
  <c r="AF78" i="11"/>
  <c r="AM51" i="11"/>
  <c r="AN51" i="11"/>
  <c r="AJ63" i="11"/>
  <c r="AI63" i="11"/>
  <c r="AB63" i="11"/>
  <c r="AA95" i="11"/>
  <c r="AF63" i="11"/>
  <c r="AM42" i="13"/>
  <c r="AN42" i="13"/>
  <c r="O127" i="58"/>
  <c r="AA126" i="58"/>
  <c r="AM38" i="13"/>
  <c r="AN38" i="13"/>
  <c r="AJ76" i="11"/>
  <c r="AI76" i="11"/>
  <c r="AF76" i="11"/>
  <c r="AB76" i="11"/>
  <c r="AM96" i="13"/>
  <c r="AN96" i="13"/>
  <c r="AI80" i="54"/>
  <c r="AJ80" i="54"/>
  <c r="AB80" i="54"/>
  <c r="AF80" i="54"/>
  <c r="AM50" i="11"/>
  <c r="AN50" i="11"/>
  <c r="AN40" i="11"/>
  <c r="AM40" i="11"/>
  <c r="AI36" i="54"/>
  <c r="AJ36" i="54"/>
  <c r="AF36" i="54"/>
  <c r="AB36" i="54"/>
  <c r="AF78" i="54"/>
  <c r="AI78" i="54"/>
  <c r="AB78" i="54"/>
  <c r="AJ78" i="54"/>
  <c r="AI113" i="54"/>
  <c r="AJ113" i="54"/>
  <c r="AF113" i="54"/>
  <c r="AB113" i="54"/>
  <c r="AI121" i="57"/>
  <c r="AF121" i="57"/>
  <c r="AB121" i="57"/>
  <c r="AM79" i="54"/>
  <c r="AN79" i="54"/>
  <c r="AN86" i="54"/>
  <c r="AM86" i="54"/>
  <c r="AM95" i="54"/>
  <c r="AN95" i="54"/>
  <c r="AM85" i="54"/>
  <c r="AN85" i="54"/>
  <c r="AI76" i="53"/>
  <c r="AJ76" i="53"/>
  <c r="AB76" i="53"/>
  <c r="AF76" i="53"/>
  <c r="AM42" i="53"/>
  <c r="AN42" i="53"/>
  <c r="AM120" i="54"/>
  <c r="AN120" i="54"/>
  <c r="AI84" i="53"/>
  <c r="AF84" i="53"/>
  <c r="AJ84" i="53"/>
  <c r="AB84" i="53"/>
  <c r="AM38" i="54"/>
  <c r="AN38" i="54"/>
  <c r="AN103" i="54"/>
  <c r="AM103" i="54"/>
  <c r="AM55" i="53"/>
  <c r="AN55" i="53"/>
  <c r="AN43" i="52"/>
  <c r="AM43" i="52"/>
  <c r="AM40" i="51"/>
  <c r="AN40" i="51"/>
  <c r="AM57" i="53"/>
  <c r="AN57" i="53"/>
  <c r="AM47" i="53"/>
  <c r="AN47" i="53"/>
  <c r="AF58" i="52"/>
  <c r="AB58" i="52"/>
  <c r="AJ58" i="52"/>
  <c r="AI58" i="52"/>
  <c r="AI54" i="51"/>
  <c r="AF54" i="51"/>
  <c r="AJ54" i="51"/>
  <c r="AB54" i="51"/>
  <c r="AM40" i="53"/>
  <c r="AN40" i="53"/>
  <c r="AM56" i="53"/>
  <c r="AN56" i="53"/>
  <c r="AI54" i="52"/>
  <c r="AJ54" i="52"/>
  <c r="AF54" i="52"/>
  <c r="AB54" i="52"/>
  <c r="AM36" i="52"/>
  <c r="AN36" i="52"/>
  <c r="AB112" i="9"/>
  <c r="AB79" i="9"/>
  <c r="AB99" i="9"/>
  <c r="AB87" i="9"/>
  <c r="AM99" i="51"/>
  <c r="AN99" i="51"/>
  <c r="AB81" i="51"/>
  <c r="AB105" i="51"/>
  <c r="AB106" i="51"/>
  <c r="AB89" i="51"/>
  <c r="AB35" i="51"/>
  <c r="AJ51" i="52"/>
  <c r="AF92" i="51"/>
  <c r="AB92" i="51"/>
  <c r="AI92" i="51"/>
  <c r="AJ92" i="51"/>
  <c r="AJ98" i="9"/>
  <c r="AJ100" i="9"/>
  <c r="AJ120" i="9"/>
  <c r="AJ82" i="9"/>
  <c r="AJ108" i="9"/>
  <c r="AJ112" i="9"/>
  <c r="AJ106" i="9"/>
  <c r="AJ114" i="9"/>
  <c r="AJ46" i="9"/>
  <c r="AJ116" i="9"/>
  <c r="AJ81" i="9"/>
  <c r="AJ104" i="9"/>
  <c r="AJ111" i="9"/>
  <c r="AF123" i="17"/>
  <c r="AB123" i="17"/>
  <c r="AI123" i="17"/>
  <c r="AF68" i="17"/>
  <c r="AI68" i="17"/>
  <c r="AA70" i="17"/>
  <c r="G69" i="17" s="1"/>
  <c r="AI77" i="16"/>
  <c r="AJ77" i="16"/>
  <c r="AF77" i="16"/>
  <c r="AB77" i="16"/>
  <c r="AF64" i="16"/>
  <c r="AI64" i="16"/>
  <c r="AJ64" i="16"/>
  <c r="AJ83" i="9"/>
  <c r="AB110" i="16"/>
  <c r="AI110" i="16"/>
  <c r="AJ110" i="16"/>
  <c r="AF110" i="16"/>
  <c r="AN107" i="16"/>
  <c r="AM107" i="16"/>
  <c r="AJ37" i="16"/>
  <c r="AI37" i="16"/>
  <c r="AB37" i="16"/>
  <c r="AF37" i="16"/>
  <c r="AB88" i="4"/>
  <c r="AI88" i="4"/>
  <c r="AF88" i="4"/>
  <c r="AJ88" i="4"/>
  <c r="AJ119" i="9"/>
  <c r="AI65" i="7"/>
  <c r="AF65" i="7"/>
  <c r="Z95" i="37"/>
  <c r="N71" i="37"/>
  <c r="P64" i="37"/>
  <c r="P74" i="37" s="1"/>
  <c r="P62" i="37"/>
  <c r="AI131" i="6"/>
  <c r="AF131" i="6"/>
  <c r="AJ78" i="9"/>
  <c r="AM114" i="16"/>
  <c r="AN114" i="16"/>
  <c r="AI42" i="7"/>
  <c r="AJ42" i="7"/>
  <c r="AF42" i="7"/>
  <c r="AB42" i="7"/>
  <c r="AJ38" i="9"/>
  <c r="AN88" i="16"/>
  <c r="AM88" i="16"/>
  <c r="AN65" i="4"/>
  <c r="AL65" i="4"/>
  <c r="AA54" i="37"/>
  <c r="AA58" i="37"/>
  <c r="AK43" i="37"/>
  <c r="AA77" i="37"/>
  <c r="Z44" i="37"/>
  <c r="AA44" i="37" s="1"/>
  <c r="AA57" i="37"/>
  <c r="AA43" i="37"/>
  <c r="AE43" i="37"/>
  <c r="AH43" i="37"/>
  <c r="AI43" i="37"/>
  <c r="AA70" i="37"/>
  <c r="AN99" i="16"/>
  <c r="AM99" i="16"/>
  <c r="AL51" i="7"/>
  <c r="AN51" i="7"/>
  <c r="AL67" i="4"/>
  <c r="AN67" i="4"/>
  <c r="AG61" i="37"/>
  <c r="AF64" i="37"/>
  <c r="AF62" i="37"/>
  <c r="AG62" i="37" s="1"/>
  <c r="AL55" i="4"/>
  <c r="AN55" i="4"/>
  <c r="AN47" i="4"/>
  <c r="AL47" i="4"/>
  <c r="AL96" i="4"/>
  <c r="AN96" i="4"/>
  <c r="AM117" i="16"/>
  <c r="AN117" i="16"/>
  <c r="AN104" i="16"/>
  <c r="AM104" i="16"/>
  <c r="AJ45" i="26"/>
  <c r="AF45" i="26"/>
  <c r="AI45" i="26"/>
  <c r="AB45" i="26"/>
  <c r="AJ45" i="25"/>
  <c r="AB45" i="25"/>
  <c r="AI45" i="25"/>
  <c r="AF45" i="25"/>
  <c r="AM41" i="26"/>
  <c r="AN41" i="26"/>
  <c r="AM41" i="19"/>
  <c r="AN41" i="19"/>
  <c r="AI88" i="60"/>
  <c r="AF88" i="60"/>
  <c r="AM35" i="20"/>
  <c r="AN35" i="20"/>
  <c r="AN65" i="15"/>
  <c r="AM65" i="15"/>
  <c r="AM84" i="13"/>
  <c r="AN84" i="13"/>
  <c r="AN102" i="54"/>
  <c r="AM102" i="54"/>
  <c r="AM93" i="54"/>
  <c r="AN93" i="54"/>
  <c r="AM47" i="54"/>
  <c r="AN47" i="54"/>
  <c r="AM53" i="54"/>
  <c r="AN53" i="54"/>
  <c r="AN38" i="35"/>
  <c r="AM38" i="35"/>
  <c r="AM64" i="29"/>
  <c r="AN64" i="29"/>
  <c r="AM75" i="29"/>
  <c r="AN75" i="29"/>
  <c r="AM46" i="29"/>
  <c r="AN46" i="29"/>
  <c r="AM45" i="30"/>
  <c r="AN45" i="30"/>
  <c r="AM52" i="30"/>
  <c r="AN52" i="30"/>
  <c r="AM58" i="29"/>
  <c r="AN58" i="29"/>
  <c r="AM63" i="29"/>
  <c r="AN63" i="29"/>
  <c r="AM45" i="29"/>
  <c r="AN45" i="29"/>
  <c r="AM65" i="29"/>
  <c r="AN65" i="29"/>
  <c r="AM44" i="29"/>
  <c r="AN44" i="29"/>
  <c r="AM36" i="28"/>
  <c r="AN36" i="28"/>
  <c r="AM42" i="28"/>
  <c r="AN42" i="28"/>
  <c r="AN36" i="26"/>
  <c r="AM36" i="26"/>
  <c r="AB94" i="23"/>
  <c r="AI94" i="23"/>
  <c r="AJ94" i="23"/>
  <c r="AF94" i="23"/>
  <c r="AM46" i="26"/>
  <c r="AN46" i="26"/>
  <c r="AM50" i="13"/>
  <c r="AN50" i="13"/>
  <c r="AM77" i="11"/>
  <c r="AN77" i="11"/>
  <c r="AM116" i="54"/>
  <c r="AN116" i="54"/>
  <c r="AM83" i="54"/>
  <c r="AN83" i="54"/>
  <c r="AM43" i="54"/>
  <c r="AN43" i="54"/>
  <c r="AI68" i="37"/>
  <c r="AK68" i="37"/>
  <c r="AM98" i="16"/>
  <c r="AN98" i="16"/>
  <c r="AM84" i="16"/>
  <c r="AN84" i="16"/>
  <c r="AL37" i="7"/>
  <c r="AN37" i="7"/>
  <c r="AF124" i="6"/>
  <c r="AI124" i="6"/>
  <c r="AL60" i="4"/>
  <c r="AN60" i="4"/>
  <c r="T62" i="37"/>
  <c r="T64" i="37"/>
  <c r="T74" i="37" s="1"/>
  <c r="AN38" i="4"/>
  <c r="AL38" i="4"/>
  <c r="AN81" i="4"/>
  <c r="AL81" i="4"/>
  <c r="AL57" i="4"/>
  <c r="AN57" i="4"/>
  <c r="AM108" i="16"/>
  <c r="AN108" i="16"/>
  <c r="AM101" i="16"/>
  <c r="AN101" i="16"/>
  <c r="R82" i="37"/>
  <c r="R84" i="37" s="1"/>
  <c r="R85" i="37" s="1"/>
  <c r="R75" i="37"/>
  <c r="R86" i="37"/>
  <c r="R88" i="37" s="1"/>
  <c r="AM47" i="29"/>
  <c r="AN47" i="29"/>
  <c r="AI48" i="22"/>
  <c r="AJ48" i="22"/>
  <c r="AF48" i="22"/>
  <c r="AB52" i="20"/>
  <c r="AI52" i="20"/>
  <c r="AF52" i="20"/>
  <c r="AJ52" i="20"/>
  <c r="AM73" i="15"/>
  <c r="AN73" i="15"/>
  <c r="AB78" i="13"/>
  <c r="AF78" i="13"/>
  <c r="AI78" i="13"/>
  <c r="AJ78" i="13"/>
  <c r="AA84" i="58"/>
  <c r="G82" i="58" s="1"/>
  <c r="AF81" i="58"/>
  <c r="AI81" i="58"/>
  <c r="AF70" i="11"/>
  <c r="AI70" i="11"/>
  <c r="AB70" i="11"/>
  <c r="AJ70" i="11"/>
  <c r="AN94" i="54"/>
  <c r="AM94" i="54"/>
  <c r="AM60" i="36"/>
  <c r="AN60" i="36"/>
  <c r="O60" i="34"/>
  <c r="AA60" i="34" s="1"/>
  <c r="AA53" i="34"/>
  <c r="AM34" i="33"/>
  <c r="AN34" i="33"/>
  <c r="AN66" i="30"/>
  <c r="AM66" i="30"/>
  <c r="AB60" i="29"/>
  <c r="AI60" i="29"/>
  <c r="AJ60" i="29"/>
  <c r="AF60" i="29"/>
  <c r="AJ66" i="29"/>
  <c r="AF66" i="29"/>
  <c r="AI66" i="29"/>
  <c r="AB66" i="29"/>
  <c r="AI60" i="28"/>
  <c r="AJ60" i="28"/>
  <c r="AF60" i="28"/>
  <c r="AB60" i="28"/>
  <c r="AM40" i="28"/>
  <c r="AN40" i="28"/>
  <c r="AM67" i="29"/>
  <c r="AN67" i="29"/>
  <c r="AI43" i="26"/>
  <c r="AF43" i="26"/>
  <c r="AJ43" i="26"/>
  <c r="AB43" i="26"/>
  <c r="AM67" i="26"/>
  <c r="AN67" i="26"/>
  <c r="AH96" i="23"/>
  <c r="AG100" i="23"/>
  <c r="AL96" i="23"/>
  <c r="AM34" i="20"/>
  <c r="AN34" i="20"/>
  <c r="AM39" i="22"/>
  <c r="AN39" i="22"/>
  <c r="AM58" i="21"/>
  <c r="AN58" i="21"/>
  <c r="AN55" i="19"/>
  <c r="AM55" i="19"/>
  <c r="AN97" i="13"/>
  <c r="AM97" i="13"/>
  <c r="AM84" i="52"/>
  <c r="AN84" i="52"/>
  <c r="AM48" i="52"/>
  <c r="AN48" i="52"/>
  <c r="AM53" i="51"/>
  <c r="AN53" i="51"/>
  <c r="AI125" i="17"/>
  <c r="AF125" i="17"/>
  <c r="AB125" i="17"/>
  <c r="AM111" i="16"/>
  <c r="AN111" i="16"/>
  <c r="AN54" i="16"/>
  <c r="AM54" i="16"/>
  <c r="X64" i="37"/>
  <c r="X74" i="37" s="1"/>
  <c r="X62" i="37"/>
  <c r="AF127" i="17"/>
  <c r="AI127" i="17"/>
  <c r="AB127" i="17"/>
  <c r="AN36" i="16"/>
  <c r="AM36" i="16"/>
  <c r="AL43" i="4"/>
  <c r="AN43" i="4"/>
  <c r="AN103" i="9"/>
  <c r="AM35" i="35"/>
  <c r="AN35" i="35"/>
  <c r="AJ47" i="36"/>
  <c r="AF39" i="34"/>
  <c r="AI39" i="34"/>
  <c r="AJ39" i="34"/>
  <c r="AB39" i="34"/>
  <c r="AM36" i="33"/>
  <c r="AN36" i="33"/>
  <c r="AM70" i="30"/>
  <c r="AN70" i="30"/>
  <c r="AM43" i="33"/>
  <c r="AN43" i="33"/>
  <c r="AF70" i="26"/>
  <c r="AJ70" i="26"/>
  <c r="AB70" i="26"/>
  <c r="AI70" i="26"/>
  <c r="AB72" i="26"/>
  <c r="AI72" i="26"/>
  <c r="AJ72" i="26"/>
  <c r="AF72" i="26"/>
  <c r="AM50" i="26"/>
  <c r="AN50" i="26"/>
  <c r="AI41" i="23"/>
  <c r="AJ41" i="23"/>
  <c r="AF41" i="23"/>
  <c r="AB41" i="23"/>
  <c r="AM40" i="25"/>
  <c r="AN40" i="25"/>
  <c r="AM62" i="26"/>
  <c r="AN62" i="26"/>
  <c r="AM90" i="23"/>
  <c r="AN90" i="23"/>
  <c r="AM44" i="23"/>
  <c r="AN44" i="23"/>
  <c r="AM50" i="23"/>
  <c r="AN50" i="23"/>
  <c r="AM65" i="21"/>
  <c r="AN65" i="21"/>
  <c r="AM46" i="23"/>
  <c r="AN46" i="23"/>
  <c r="AM81" i="23"/>
  <c r="AN81" i="23"/>
  <c r="AI49" i="22"/>
  <c r="AJ49" i="22"/>
  <c r="AF49" i="22"/>
  <c r="AM70" i="21"/>
  <c r="AN70" i="21"/>
  <c r="AM34" i="21"/>
  <c r="AN34" i="21"/>
  <c r="AM60" i="20"/>
  <c r="AN60" i="20"/>
  <c r="AN55" i="20"/>
  <c r="AM55" i="20"/>
  <c r="AM69" i="20"/>
  <c r="AN69" i="20"/>
  <c r="AM61" i="22"/>
  <c r="AN61" i="22"/>
  <c r="AN64" i="22"/>
  <c r="AM64" i="22"/>
  <c r="AI35" i="19"/>
  <c r="AF35" i="19"/>
  <c r="AJ35" i="19"/>
  <c r="AB35" i="19"/>
  <c r="AB48" i="20"/>
  <c r="AF48" i="20"/>
  <c r="AI48" i="20"/>
  <c r="AJ48" i="20"/>
  <c r="AJ36" i="20"/>
  <c r="AF36" i="20"/>
  <c r="AB36" i="20"/>
  <c r="AI36" i="20"/>
  <c r="AM56" i="15"/>
  <c r="AN56" i="15"/>
  <c r="AM66" i="20"/>
  <c r="AN66" i="20"/>
  <c r="AM38" i="19"/>
  <c r="AN38" i="19"/>
  <c r="AL36" i="24"/>
  <c r="AM36" i="24"/>
  <c r="AI62" i="15"/>
  <c r="AJ62" i="15"/>
  <c r="AF62" i="15"/>
  <c r="AB62" i="15"/>
  <c r="AM74" i="15"/>
  <c r="AN74" i="15"/>
  <c r="AM91" i="13"/>
  <c r="AN91" i="13"/>
  <c r="AA147" i="60"/>
  <c r="AF123" i="59"/>
  <c r="AB123" i="59"/>
  <c r="AI123" i="59"/>
  <c r="AI72" i="59"/>
  <c r="AF72" i="59"/>
  <c r="AA74" i="59"/>
  <c r="G73" i="59" s="1"/>
  <c r="AB116" i="60"/>
  <c r="AB109" i="60"/>
  <c r="AB113" i="60"/>
  <c r="AB102" i="60"/>
  <c r="AB45" i="60"/>
  <c r="AB38" i="60"/>
  <c r="AB85" i="60"/>
  <c r="AB55" i="60"/>
  <c r="AB46" i="60"/>
  <c r="AB39" i="60"/>
  <c r="AB47" i="60"/>
  <c r="AB118" i="60"/>
  <c r="AB58" i="60"/>
  <c r="AB49" i="60"/>
  <c r="AB59" i="60"/>
  <c r="AB35" i="60"/>
  <c r="AI64" i="13"/>
  <c r="AJ64" i="13"/>
  <c r="AF64" i="13"/>
  <c r="AM46" i="13"/>
  <c r="AN46" i="13"/>
  <c r="AF126" i="59"/>
  <c r="AI126" i="59"/>
  <c r="AB126" i="59"/>
  <c r="AA44" i="58"/>
  <c r="G43" i="58" s="1"/>
  <c r="AI42" i="58"/>
  <c r="AF42" i="58"/>
  <c r="AN73" i="11"/>
  <c r="AM73" i="11"/>
  <c r="AN81" i="11"/>
  <c r="AM81" i="11"/>
  <c r="AM69" i="11"/>
  <c r="AN69" i="11"/>
  <c r="AM98" i="13"/>
  <c r="AN98" i="13"/>
  <c r="AM72" i="54"/>
  <c r="AN72" i="54"/>
  <c r="AI44" i="54"/>
  <c r="AJ44" i="54"/>
  <c r="AF44" i="54"/>
  <c r="AB44" i="54"/>
  <c r="AI126" i="57"/>
  <c r="AB126" i="57"/>
  <c r="AF126" i="57"/>
  <c r="AM121" i="54"/>
  <c r="AN121" i="54"/>
  <c r="AM39" i="54"/>
  <c r="AN39" i="54"/>
  <c r="AJ63" i="53"/>
  <c r="AF63" i="53"/>
  <c r="AI63" i="53"/>
  <c r="AM117" i="54"/>
  <c r="AN117" i="54"/>
  <c r="AM88" i="54"/>
  <c r="AN88" i="54"/>
  <c r="AM35" i="54"/>
  <c r="AN35" i="54"/>
  <c r="AM50" i="53"/>
  <c r="AN50" i="53"/>
  <c r="AB78" i="53"/>
  <c r="AF78" i="53"/>
  <c r="AI78" i="53"/>
  <c r="AJ78" i="53"/>
  <c r="AN107" i="54"/>
  <c r="AM107" i="54"/>
  <c r="AJ63" i="52"/>
  <c r="AF63" i="52"/>
  <c r="AI63" i="52"/>
  <c r="AJ65" i="52"/>
  <c r="AJ69" i="52"/>
  <c r="AM48" i="51"/>
  <c r="AN48" i="51"/>
  <c r="AM55" i="52"/>
  <c r="AN55" i="52"/>
  <c r="AJ77" i="52"/>
  <c r="AF64" i="52"/>
  <c r="AI64" i="52"/>
  <c r="AJ64" i="52"/>
  <c r="AF42" i="52"/>
  <c r="AB42" i="52"/>
  <c r="AJ42" i="52"/>
  <c r="AI42" i="52"/>
  <c r="AF80" i="51"/>
  <c r="AI80" i="51"/>
  <c r="AJ80" i="51"/>
  <c r="AB80" i="51"/>
  <c r="AI141" i="39"/>
  <c r="AF141" i="39"/>
  <c r="AM43" i="53"/>
  <c r="AN43" i="53"/>
  <c r="AI38" i="52"/>
  <c r="AJ38" i="52"/>
  <c r="AF38" i="52"/>
  <c r="AB38" i="52"/>
  <c r="AM49" i="53"/>
  <c r="AN49" i="53"/>
  <c r="AJ36" i="52"/>
  <c r="AJ72" i="51"/>
  <c r="AB72" i="51"/>
  <c r="AF72" i="51"/>
  <c r="AA109" i="51"/>
  <c r="AI72" i="51"/>
  <c r="AB97" i="9"/>
  <c r="AJ97" i="9"/>
  <c r="AF97" i="9"/>
  <c r="AI97" i="9"/>
  <c r="AB106" i="9"/>
  <c r="AJ99" i="9"/>
  <c r="AJ101" i="9"/>
  <c r="AB41" i="51"/>
  <c r="AA64" i="39"/>
  <c r="G63" i="39" s="1"/>
  <c r="AI62" i="39"/>
  <c r="AF62" i="39"/>
  <c r="AJ77" i="9"/>
  <c r="AI35" i="9"/>
  <c r="AF35" i="9"/>
  <c r="AB35" i="9"/>
  <c r="AJ35" i="9"/>
  <c r="AM94" i="51"/>
  <c r="AN94" i="51"/>
  <c r="AB87" i="51"/>
  <c r="AM75" i="16"/>
  <c r="AN75" i="16"/>
  <c r="AJ44" i="9"/>
  <c r="AF44" i="9"/>
  <c r="AB44" i="9"/>
  <c r="AI44" i="9"/>
  <c r="AB111" i="9"/>
  <c r="AJ80" i="9"/>
  <c r="AB80" i="9"/>
  <c r="AI80" i="9"/>
  <c r="AF80" i="9"/>
  <c r="AI85" i="16"/>
  <c r="AF85" i="16"/>
  <c r="AJ85" i="16"/>
  <c r="AB85" i="16"/>
  <c r="AI149" i="6"/>
  <c r="AF149" i="6"/>
  <c r="AA123" i="9"/>
  <c r="AF72" i="9"/>
  <c r="AI72" i="9"/>
  <c r="AJ72" i="9"/>
  <c r="AB72" i="9"/>
  <c r="AB103" i="51"/>
  <c r="AM83" i="9"/>
  <c r="AN83" i="9"/>
  <c r="AB50" i="9"/>
  <c r="AM100" i="16"/>
  <c r="AN100" i="16"/>
  <c r="AI133" i="6"/>
  <c r="AF133" i="6"/>
  <c r="AJ54" i="9"/>
  <c r="AL74" i="4"/>
  <c r="AN74" i="4"/>
  <c r="AN62" i="4"/>
  <c r="AL62" i="4"/>
  <c r="AM119" i="16"/>
  <c r="AN119" i="16"/>
  <c r="AI70" i="7"/>
  <c r="AF70" i="7"/>
  <c r="Y64" i="37"/>
  <c r="Y74" i="37" s="1"/>
  <c r="Y62" i="37"/>
  <c r="AJ37" i="9"/>
  <c r="AM95" i="16"/>
  <c r="AN95" i="16"/>
  <c r="AI94" i="39"/>
  <c r="AF94" i="39"/>
  <c r="AB45" i="9"/>
  <c r="AJ47" i="7"/>
  <c r="AB47" i="7"/>
  <c r="AI47" i="7"/>
  <c r="AF47" i="7"/>
  <c r="AJ45" i="7"/>
  <c r="AF45" i="7"/>
  <c r="AB45" i="7"/>
  <c r="AI45" i="7"/>
  <c r="AL39" i="4"/>
  <c r="AN39" i="4"/>
  <c r="AN96" i="16"/>
  <c r="AM96" i="16"/>
  <c r="AN92" i="16"/>
  <c r="AM92" i="16"/>
  <c r="AN76" i="4"/>
  <c r="AL76" i="4"/>
  <c r="AI69" i="7"/>
  <c r="AF69" i="7"/>
  <c r="AC74" i="37"/>
  <c r="AD64" i="37"/>
  <c r="AN56" i="4"/>
  <c r="AL56" i="4"/>
  <c r="AN50" i="25"/>
  <c r="AM50" i="25"/>
  <c r="AF88" i="23"/>
  <c r="AI88" i="23"/>
  <c r="AB88" i="23"/>
  <c r="AJ88" i="23"/>
  <c r="AM60" i="22"/>
  <c r="AN60" i="22"/>
  <c r="AI41" i="21"/>
  <c r="AB41" i="21"/>
  <c r="AJ41" i="21"/>
  <c r="AF41" i="21"/>
  <c r="AM42" i="22"/>
  <c r="AN42" i="22"/>
  <c r="AB44" i="20"/>
  <c r="AF44" i="20"/>
  <c r="AA72" i="20"/>
  <c r="AI44" i="20"/>
  <c r="AJ44" i="20"/>
  <c r="AM36" i="21"/>
  <c r="AN36" i="21"/>
  <c r="AF52" i="13"/>
  <c r="AI52" i="13"/>
  <c r="AJ52" i="13"/>
  <c r="AB52" i="13"/>
  <c r="AM55" i="33"/>
  <c r="AN55" i="33"/>
  <c r="AM52" i="33"/>
  <c r="AN52" i="33"/>
  <c r="AB65" i="26"/>
  <c r="AI65" i="26"/>
  <c r="AF65" i="26"/>
  <c r="AJ65" i="26"/>
  <c r="AN36" i="27"/>
  <c r="AM36" i="27"/>
  <c r="AM55" i="26"/>
  <c r="AN55" i="26"/>
  <c r="AB49" i="25"/>
  <c r="AI49" i="25"/>
  <c r="AJ49" i="25"/>
  <c r="AF49" i="25"/>
  <c r="AM44" i="26"/>
  <c r="AN44" i="26"/>
  <c r="AF37" i="23"/>
  <c r="AB37" i="23"/>
  <c r="AI37" i="23"/>
  <c r="AJ37" i="23"/>
  <c r="AM98" i="23"/>
  <c r="AN98" i="23"/>
  <c r="AM74" i="26"/>
  <c r="AN74" i="26"/>
  <c r="AM35" i="22"/>
  <c r="AN35" i="22"/>
  <c r="AM67" i="19"/>
  <c r="AN67" i="19"/>
  <c r="AI58" i="15"/>
  <c r="AJ58" i="15"/>
  <c r="AF58" i="15"/>
  <c r="AB58" i="15"/>
  <c r="AL60" i="24"/>
  <c r="AM60" i="24"/>
  <c r="AM40" i="15"/>
  <c r="AN40" i="15"/>
  <c r="AL40" i="24"/>
  <c r="AM40" i="24"/>
  <c r="AB86" i="13"/>
  <c r="AF86" i="13"/>
  <c r="AI86" i="13"/>
  <c r="AJ86" i="13"/>
  <c r="AM79" i="13"/>
  <c r="AN79" i="13"/>
  <c r="AM42" i="11"/>
  <c r="AN42" i="11"/>
  <c r="AM111" i="54"/>
  <c r="AN111" i="54"/>
  <c r="AM46" i="53"/>
  <c r="AN46" i="53"/>
  <c r="AM41" i="53"/>
  <c r="AN41" i="53"/>
  <c r="AM57" i="52"/>
  <c r="AN57" i="52"/>
  <c r="AM37" i="51"/>
  <c r="AN37" i="51"/>
  <c r="AN49" i="9"/>
  <c r="AM49" i="9"/>
  <c r="AJ81" i="16"/>
  <c r="AI81" i="16"/>
  <c r="AB81" i="16"/>
  <c r="AF81" i="16"/>
  <c r="AI141" i="6"/>
  <c r="AF141" i="6"/>
  <c r="AB118" i="16"/>
  <c r="AI118" i="16"/>
  <c r="AF118" i="16"/>
  <c r="AJ118" i="16"/>
  <c r="AM53" i="16"/>
  <c r="AN53" i="16"/>
  <c r="AM54" i="9"/>
  <c r="AN54" i="9"/>
  <c r="AN85" i="4"/>
  <c r="AL85" i="4"/>
  <c r="AM78" i="51"/>
  <c r="AN78" i="51"/>
  <c r="W86" i="37"/>
  <c r="W88" i="37" s="1"/>
  <c r="W82" i="37"/>
  <c r="W84" i="37" s="1"/>
  <c r="W85" i="37" s="1"/>
  <c r="W75" i="37"/>
  <c r="AM44" i="35"/>
  <c r="AN44" i="35"/>
  <c r="AB46" i="34"/>
  <c r="AF46" i="34"/>
  <c r="AI46" i="34"/>
  <c r="AJ46" i="34"/>
  <c r="AM73" i="29"/>
  <c r="AN73" i="29"/>
  <c r="AI68" i="29"/>
  <c r="AF68" i="29"/>
  <c r="AJ68" i="29"/>
  <c r="AB68" i="29"/>
  <c r="AM37" i="29"/>
  <c r="AN37" i="29"/>
  <c r="AM44" i="27"/>
  <c r="AJ52" i="26"/>
  <c r="AI52" i="26"/>
  <c r="AF52" i="26"/>
  <c r="AB52" i="26"/>
  <c r="AB46" i="35"/>
  <c r="AF46" i="35"/>
  <c r="AI46" i="35"/>
  <c r="AJ46" i="35"/>
  <c r="AJ38" i="36"/>
  <c r="AM55" i="35"/>
  <c r="AN55" i="35"/>
  <c r="AI60" i="33"/>
  <c r="AJ60" i="33"/>
  <c r="AF60" i="33"/>
  <c r="AB60" i="33"/>
  <c r="AJ38" i="34"/>
  <c r="AN56" i="34"/>
  <c r="AM56" i="34"/>
  <c r="AM34" i="31"/>
  <c r="AN34" i="31"/>
  <c r="AI61" i="30"/>
  <c r="AJ61" i="30"/>
  <c r="AB61" i="30"/>
  <c r="AF61" i="30"/>
  <c r="AM38" i="30"/>
  <c r="AN38" i="30"/>
  <c r="AM35" i="32"/>
  <c r="AN35" i="32"/>
  <c r="AM51" i="33"/>
  <c r="AN51" i="33"/>
  <c r="AN59" i="30"/>
  <c r="AM59" i="30"/>
  <c r="AI36" i="30"/>
  <c r="AJ36" i="30"/>
  <c r="AF36" i="30"/>
  <c r="AB36" i="30"/>
  <c r="AF58" i="30"/>
  <c r="AI58" i="30"/>
  <c r="AB58" i="30"/>
  <c r="AJ58" i="30"/>
  <c r="AI52" i="29"/>
  <c r="AF52" i="29"/>
  <c r="AJ52" i="29"/>
  <c r="AB52" i="29"/>
  <c r="AN35" i="30"/>
  <c r="AM35" i="30"/>
  <c r="AM57" i="28"/>
  <c r="AN57" i="28"/>
  <c r="AM59" i="29"/>
  <c r="AN59" i="29"/>
  <c r="AJ41" i="28"/>
  <c r="AJ43" i="28"/>
  <c r="AJ58" i="28"/>
  <c r="AM57" i="29"/>
  <c r="AN57" i="29"/>
  <c r="AJ62" i="28"/>
  <c r="AJ35" i="28"/>
  <c r="AB35" i="28"/>
  <c r="AF35" i="28"/>
  <c r="AI35" i="28"/>
  <c r="AM42" i="26"/>
  <c r="AN42" i="26"/>
  <c r="AM61" i="26"/>
  <c r="AN61" i="26"/>
  <c r="AM57" i="26"/>
  <c r="AN57" i="26"/>
  <c r="AM53" i="26"/>
  <c r="AN53" i="26"/>
  <c r="AN64" i="26"/>
  <c r="AM64" i="26"/>
  <c r="AM39" i="25"/>
  <c r="AN39" i="25"/>
  <c r="AF45" i="23"/>
  <c r="AB45" i="23"/>
  <c r="AI45" i="23"/>
  <c r="AJ45" i="23"/>
  <c r="AM63" i="26"/>
  <c r="AN63" i="26"/>
  <c r="O100" i="23"/>
  <c r="AA96" i="23"/>
  <c r="AM60" i="26"/>
  <c r="AN60" i="26"/>
  <c r="AN56" i="26"/>
  <c r="AM56" i="26"/>
  <c r="AM38" i="23"/>
  <c r="AN38" i="23"/>
  <c r="AM79" i="23"/>
  <c r="AN79" i="23"/>
  <c r="AM87" i="23"/>
  <c r="AN87" i="23"/>
  <c r="AI36" i="22"/>
  <c r="AB36" i="22"/>
  <c r="AJ36" i="22"/>
  <c r="AF36" i="22"/>
  <c r="AM38" i="21"/>
  <c r="AN38" i="21"/>
  <c r="AM61" i="20"/>
  <c r="AN61" i="20"/>
  <c r="AM71" i="21"/>
  <c r="AN71" i="21"/>
  <c r="AM50" i="20"/>
  <c r="AN50" i="20"/>
  <c r="AM43" i="19"/>
  <c r="AN43" i="19"/>
  <c r="AM60" i="15"/>
  <c r="AN60" i="15"/>
  <c r="AB121" i="60"/>
  <c r="AM63" i="21"/>
  <c r="AN63" i="21"/>
  <c r="AM62" i="19"/>
  <c r="AN62" i="19"/>
  <c r="AM64" i="20"/>
  <c r="AN64" i="20"/>
  <c r="AL53" i="24"/>
  <c r="AM53" i="24"/>
  <c r="AI66" i="15"/>
  <c r="AJ66" i="15"/>
  <c r="AA76" i="15"/>
  <c r="AF66" i="15"/>
  <c r="AB66" i="15"/>
  <c r="AM68" i="20"/>
  <c r="AN68" i="20"/>
  <c r="AI45" i="18"/>
  <c r="AF45" i="18"/>
  <c r="AN36" i="19"/>
  <c r="AM36" i="19"/>
  <c r="AB56" i="60"/>
  <c r="AJ101" i="13"/>
  <c r="AF101" i="13"/>
  <c r="AB101" i="13"/>
  <c r="AI101" i="13"/>
  <c r="AL54" i="24"/>
  <c r="AM54" i="24"/>
  <c r="AL48" i="24"/>
  <c r="AM48" i="24"/>
  <c r="AM61" i="15"/>
  <c r="AN61" i="15"/>
  <c r="AL38" i="24"/>
  <c r="AM38" i="24"/>
  <c r="AI88" i="59"/>
  <c r="AF88" i="59"/>
  <c r="AF36" i="13"/>
  <c r="AI36" i="13"/>
  <c r="AJ36" i="13"/>
  <c r="AB36" i="13"/>
  <c r="AM51" i="15"/>
  <c r="AN51" i="15"/>
  <c r="AI93" i="59"/>
  <c r="AF93" i="59"/>
  <c r="AN88" i="11"/>
  <c r="AM88" i="11"/>
  <c r="AB43" i="13"/>
  <c r="AI83" i="11"/>
  <c r="AB83" i="11"/>
  <c r="AJ83" i="11"/>
  <c r="AF83" i="11"/>
  <c r="AF93" i="58"/>
  <c r="AI93" i="58"/>
  <c r="AB92" i="13"/>
  <c r="AB35" i="13"/>
  <c r="AM37" i="11"/>
  <c r="AN37" i="11"/>
  <c r="AM86" i="11"/>
  <c r="AN86" i="11"/>
  <c r="AM67" i="11"/>
  <c r="AN67" i="11"/>
  <c r="AM98" i="54"/>
  <c r="AN98" i="54"/>
  <c r="AF48" i="54"/>
  <c r="AB48" i="54"/>
  <c r="AI48" i="54"/>
  <c r="AJ48" i="54"/>
  <c r="AM38" i="11"/>
  <c r="AN38" i="11"/>
  <c r="AN49" i="54"/>
  <c r="AM49" i="54"/>
  <c r="AM54" i="53"/>
  <c r="AN54" i="53"/>
  <c r="AJ87" i="52"/>
  <c r="AJ76" i="52"/>
  <c r="AM37" i="54"/>
  <c r="AN37" i="54"/>
  <c r="AI70" i="53"/>
  <c r="AJ70" i="53"/>
  <c r="AF70" i="53"/>
  <c r="AF88" i="56"/>
  <c r="AA145" i="56"/>
  <c r="AI88" i="56"/>
  <c r="AM109" i="54"/>
  <c r="AN109" i="54"/>
  <c r="AM87" i="54"/>
  <c r="AN87" i="54"/>
  <c r="AJ83" i="52"/>
  <c r="AJ37" i="52"/>
  <c r="AF124" i="55"/>
  <c r="AB124" i="55"/>
  <c r="AI124" i="55"/>
  <c r="AN45" i="53"/>
  <c r="AM45" i="53"/>
  <c r="AF123" i="55"/>
  <c r="AB123" i="55"/>
  <c r="AI123" i="55"/>
  <c r="AM52" i="51"/>
  <c r="AN52" i="51"/>
  <c r="AM51" i="53"/>
  <c r="AN51" i="53"/>
  <c r="AA64" i="55"/>
  <c r="G63" i="55" s="1"/>
  <c r="AI62" i="55"/>
  <c r="AF62" i="55"/>
  <c r="AM44" i="53"/>
  <c r="AN44" i="53"/>
  <c r="AJ52" i="52"/>
  <c r="AN77" i="52"/>
  <c r="AM77" i="52"/>
  <c r="AM45" i="52"/>
  <c r="AN45" i="52"/>
  <c r="AJ84" i="51"/>
  <c r="AF84" i="51"/>
  <c r="AB84" i="51"/>
  <c r="AI84" i="51"/>
  <c r="AM41" i="52"/>
  <c r="AN41" i="52"/>
  <c r="AJ57" i="52"/>
  <c r="AE126" i="39"/>
  <c r="AD127" i="39"/>
  <c r="AB107" i="9"/>
  <c r="AM97" i="51"/>
  <c r="AN97" i="51"/>
  <c r="AI84" i="9"/>
  <c r="AJ84" i="9"/>
  <c r="AF84" i="9"/>
  <c r="AB84" i="9"/>
  <c r="AF88" i="39"/>
  <c r="AI88" i="39"/>
  <c r="AB105" i="9"/>
  <c r="AJ105" i="9"/>
  <c r="AF105" i="9"/>
  <c r="AI105" i="9"/>
  <c r="AB98" i="51"/>
  <c r="AF39" i="9"/>
  <c r="AB39" i="9"/>
  <c r="AI39" i="9"/>
  <c r="AJ39" i="9"/>
  <c r="AB81" i="9"/>
  <c r="AJ53" i="9"/>
  <c r="AM79" i="16"/>
  <c r="AN79" i="16"/>
  <c r="AB86" i="9"/>
  <c r="AB125" i="39"/>
  <c r="AF125" i="39"/>
  <c r="AI125" i="39"/>
  <c r="AB102" i="9"/>
  <c r="AJ49" i="9"/>
  <c r="AA125" i="16"/>
  <c r="AJ89" i="16"/>
  <c r="AI89" i="16"/>
  <c r="AF89" i="16"/>
  <c r="AB89" i="16"/>
  <c r="AB57" i="9"/>
  <c r="AI130" i="6"/>
  <c r="AF130" i="6"/>
  <c r="AI95" i="4"/>
  <c r="AF95" i="4"/>
  <c r="AJ95" i="4"/>
  <c r="AB95" i="4"/>
  <c r="AB119" i="9"/>
  <c r="AI113" i="16"/>
  <c r="AJ113" i="16"/>
  <c r="AF113" i="16"/>
  <c r="AB113" i="16"/>
  <c r="AI87" i="4"/>
  <c r="AB87" i="4"/>
  <c r="AJ87" i="4"/>
  <c r="AF87" i="4"/>
  <c r="AI58" i="7"/>
  <c r="AF58" i="7"/>
  <c r="AB58" i="7"/>
  <c r="AL100" i="4"/>
  <c r="AN100" i="4"/>
  <c r="AA61" i="17"/>
  <c r="G60" i="17" s="1"/>
  <c r="AF59" i="17"/>
  <c r="AI59" i="17"/>
  <c r="AL36" i="7"/>
  <c r="AN36" i="7"/>
  <c r="AA56" i="37"/>
  <c r="AB37" i="9"/>
  <c r="AE36" i="37"/>
  <c r="AH36" i="37"/>
  <c r="AK36" i="37"/>
  <c r="AI36" i="37"/>
  <c r="AF35" i="7"/>
  <c r="AB35" i="7"/>
  <c r="AI35" i="7"/>
  <c r="AJ35" i="7"/>
  <c r="AA66" i="7"/>
  <c r="AJ95" i="9"/>
  <c r="AM103" i="16"/>
  <c r="AN103" i="16"/>
  <c r="AJ48" i="7"/>
  <c r="AJ38" i="7"/>
  <c r="AJ39" i="7"/>
  <c r="AF132" i="6"/>
  <c r="AI132" i="6"/>
  <c r="AL92" i="4"/>
  <c r="AN92" i="4"/>
  <c r="AL64" i="4"/>
  <c r="AN64" i="4"/>
  <c r="AL37" i="4"/>
  <c r="AN37" i="4"/>
  <c r="AL58" i="4"/>
  <c r="AN58" i="4"/>
  <c r="AL94" i="4"/>
  <c r="AN94" i="4"/>
  <c r="AN35" i="4"/>
  <c r="AL35" i="4"/>
  <c r="AA80" i="37"/>
  <c r="AM122" i="16"/>
  <c r="AN122" i="16"/>
  <c r="AM109" i="16"/>
  <c r="AN109" i="16"/>
  <c r="U86" i="37"/>
  <c r="U88" i="37" s="1"/>
  <c r="U82" i="37"/>
  <c r="U84" i="37" s="1"/>
  <c r="U85" i="37" s="1"/>
  <c r="U75" i="37"/>
  <c r="AH48" i="35"/>
  <c r="AG52" i="35"/>
  <c r="AI52" i="35" s="1"/>
  <c r="AL48" i="35"/>
  <c r="AF59" i="35"/>
  <c r="AB59" i="35"/>
  <c r="AM62" i="33"/>
  <c r="AN62" i="33"/>
  <c r="AI68" i="30"/>
  <c r="AF68" i="30"/>
  <c r="AJ68" i="30"/>
  <c r="AB68" i="30"/>
  <c r="AM71" i="29"/>
  <c r="AN71" i="29"/>
  <c r="AM40" i="21"/>
  <c r="AN40" i="21"/>
  <c r="AL49" i="24"/>
  <c r="AM49" i="24"/>
  <c r="AM99" i="13"/>
  <c r="AN99" i="13"/>
  <c r="AF88" i="58"/>
  <c r="AI88" i="58"/>
  <c r="AM43" i="11"/>
  <c r="AN43" i="11"/>
  <c r="AI141" i="58"/>
  <c r="AF141" i="58"/>
  <c r="AM51" i="13"/>
  <c r="AN51" i="13"/>
  <c r="AN85" i="13"/>
  <c r="AM80" i="52"/>
  <c r="AN80" i="52"/>
  <c r="AN87" i="52"/>
  <c r="AM87" i="52"/>
  <c r="AM56" i="36"/>
  <c r="AN56" i="36"/>
  <c r="AN62" i="36"/>
  <c r="AM62" i="36"/>
  <c r="AM52" i="36"/>
  <c r="AN52" i="36"/>
  <c r="AI51" i="34"/>
  <c r="AF51" i="34"/>
  <c r="AJ51" i="34"/>
  <c r="AB51" i="34"/>
  <c r="AM40" i="27"/>
  <c r="AN40" i="27"/>
  <c r="AB56" i="20"/>
  <c r="AF56" i="20"/>
  <c r="AI56" i="20"/>
  <c r="AJ56" i="20"/>
  <c r="AL56" i="24"/>
  <c r="AM56" i="24"/>
  <c r="AN39" i="13"/>
  <c r="AM39" i="13"/>
  <c r="AM75" i="11"/>
  <c r="AN75" i="11"/>
  <c r="AB87" i="11"/>
  <c r="AI87" i="11"/>
  <c r="AJ87" i="11"/>
  <c r="AF87" i="11"/>
  <c r="AM37" i="52"/>
  <c r="AN37" i="52"/>
  <c r="AI58" i="51"/>
  <c r="AJ58" i="51"/>
  <c r="AB58" i="51"/>
  <c r="AF58" i="51"/>
  <c r="AN51" i="52"/>
  <c r="AM51" i="52"/>
  <c r="AG127" i="39"/>
  <c r="AH126" i="39"/>
  <c r="AI93" i="9"/>
  <c r="AJ93" i="9"/>
  <c r="AB93" i="9"/>
  <c r="AF93" i="9"/>
  <c r="AJ79" i="4"/>
  <c r="AB79" i="4"/>
  <c r="AF79" i="4"/>
  <c r="AI79" i="4"/>
  <c r="AL77" i="4"/>
  <c r="AN77" i="4"/>
  <c r="Q64" i="37"/>
  <c r="Q74" i="37" s="1"/>
  <c r="Q62" i="37"/>
  <c r="AJ62" i="36"/>
  <c r="AF58" i="34"/>
  <c r="AI58" i="34"/>
  <c r="AB58" i="34"/>
  <c r="AJ58" i="34"/>
  <c r="AM54" i="33"/>
  <c r="AN54" i="33"/>
  <c r="AM58" i="33"/>
  <c r="AN58" i="33"/>
  <c r="AM34" i="32"/>
  <c r="AN34" i="32"/>
  <c r="AM51" i="30"/>
  <c r="AN51" i="30"/>
  <c r="AM69" i="30"/>
  <c r="AN69" i="30"/>
  <c r="AN70" i="29"/>
  <c r="AM70" i="29"/>
  <c r="AM64" i="28"/>
  <c r="AN64" i="28"/>
  <c r="AN38" i="27"/>
  <c r="AM38" i="27"/>
  <c r="AJ36" i="36"/>
  <c r="AJ46" i="36"/>
  <c r="AN39" i="35"/>
  <c r="AM39" i="35"/>
  <c r="AB64" i="36"/>
  <c r="AB61" i="36"/>
  <c r="AM39" i="33"/>
  <c r="AN39" i="33"/>
  <c r="AH64" i="33"/>
  <c r="AL64" i="33"/>
  <c r="AJ56" i="34"/>
  <c r="AM46" i="33"/>
  <c r="AN46" i="33"/>
  <c r="AJ43" i="33"/>
  <c r="AJ59" i="33"/>
  <c r="AJ42" i="33"/>
  <c r="AJ35" i="33"/>
  <c r="AJ51" i="33"/>
  <c r="AJ41" i="33"/>
  <c r="AB41" i="33"/>
  <c r="AI41" i="33"/>
  <c r="AF41" i="33"/>
  <c r="AA65" i="33"/>
  <c r="AJ48" i="36"/>
  <c r="AM41" i="35"/>
  <c r="AN41" i="35"/>
  <c r="AB54" i="36"/>
  <c r="AJ35" i="36"/>
  <c r="AB46" i="36"/>
  <c r="AJ53" i="36"/>
  <c r="AF42" i="34"/>
  <c r="AI42" i="34"/>
  <c r="AJ42" i="34"/>
  <c r="AB42" i="34"/>
  <c r="AB40" i="36"/>
  <c r="AJ64" i="36"/>
  <c r="AB38" i="36"/>
  <c r="AJ48" i="33"/>
  <c r="AH65" i="33"/>
  <c r="AL65" i="33"/>
  <c r="AJ37" i="33"/>
  <c r="AK64" i="33"/>
  <c r="AE64" i="33"/>
  <c r="AJ46" i="33"/>
  <c r="AF49" i="34"/>
  <c r="AI49" i="34"/>
  <c r="AJ49" i="34"/>
  <c r="AB49" i="34"/>
  <c r="AA64" i="33"/>
  <c r="AM55" i="30"/>
  <c r="AN55" i="30"/>
  <c r="AM42" i="30"/>
  <c r="AN42" i="30"/>
  <c r="AM67" i="30"/>
  <c r="AN67" i="30"/>
  <c r="AM59" i="33"/>
  <c r="AN59" i="33"/>
  <c r="AM36" i="32"/>
  <c r="AN36" i="32"/>
  <c r="AI40" i="30"/>
  <c r="AJ40" i="30"/>
  <c r="AF40" i="30"/>
  <c r="AB40" i="30"/>
  <c r="AM71" i="30"/>
  <c r="AN71" i="30"/>
  <c r="AN53" i="30"/>
  <c r="AM53" i="30"/>
  <c r="AN50" i="30"/>
  <c r="AM50" i="30"/>
  <c r="AN75" i="30"/>
  <c r="AM75" i="30"/>
  <c r="AM53" i="29"/>
  <c r="AN53" i="29"/>
  <c r="AM35" i="29"/>
  <c r="AN35" i="29"/>
  <c r="AM52" i="28"/>
  <c r="AN52" i="28"/>
  <c r="AI54" i="28"/>
  <c r="AJ54" i="28"/>
  <c r="AF54" i="28"/>
  <c r="AB54" i="28"/>
  <c r="AB58" i="28"/>
  <c r="AB39" i="28"/>
  <c r="AB43" i="28"/>
  <c r="AM73" i="26"/>
  <c r="AN73" i="26"/>
  <c r="AM47" i="26"/>
  <c r="AN47" i="26"/>
  <c r="AM43" i="27"/>
  <c r="AN43" i="27"/>
  <c r="AM66" i="26"/>
  <c r="AN66" i="26"/>
  <c r="AI52" i="25"/>
  <c r="AJ52" i="25"/>
  <c r="AA54" i="25"/>
  <c r="AB52" i="25"/>
  <c r="AF52" i="25"/>
  <c r="AI77" i="23"/>
  <c r="AF77" i="23"/>
  <c r="AB77" i="23"/>
  <c r="AJ77" i="23"/>
  <c r="AB36" i="25"/>
  <c r="AI49" i="23"/>
  <c r="AJ49" i="23"/>
  <c r="AF49" i="23"/>
  <c r="AB49" i="23"/>
  <c r="AM76" i="26"/>
  <c r="AN76" i="26"/>
  <c r="AM47" i="25"/>
  <c r="AN47" i="25"/>
  <c r="AN38" i="26"/>
  <c r="AM38" i="26"/>
  <c r="AM83" i="23"/>
  <c r="AN83" i="23"/>
  <c r="AM91" i="23"/>
  <c r="AN91" i="23"/>
  <c r="AJ40" i="22"/>
  <c r="AB40" i="22"/>
  <c r="AI40" i="22"/>
  <c r="AF40" i="22"/>
  <c r="AI54" i="21"/>
  <c r="AJ54" i="21"/>
  <c r="AF54" i="21"/>
  <c r="AN40" i="23"/>
  <c r="AM40" i="23"/>
  <c r="AM36" i="23"/>
  <c r="AN36" i="23"/>
  <c r="AM42" i="21"/>
  <c r="AN42" i="21"/>
  <c r="AJ47" i="19"/>
  <c r="AF47" i="19"/>
  <c r="AI47" i="19"/>
  <c r="AN34" i="19"/>
  <c r="AM34" i="19"/>
  <c r="AM43" i="22"/>
  <c r="AN43" i="22"/>
  <c r="AJ43" i="20"/>
  <c r="AJ38" i="20"/>
  <c r="AN51" i="20"/>
  <c r="AM51" i="20"/>
  <c r="AM66" i="19"/>
  <c r="AN66" i="19"/>
  <c r="AM64" i="15"/>
  <c r="AN64" i="15"/>
  <c r="AM56" i="22"/>
  <c r="AN56" i="22"/>
  <c r="AA67" i="18"/>
  <c r="AF48" i="18"/>
  <c r="AB48" i="18"/>
  <c r="AI48" i="18"/>
  <c r="AL57" i="24"/>
  <c r="AM57" i="24"/>
  <c r="AM37" i="15"/>
  <c r="AN37" i="15"/>
  <c r="AM37" i="22"/>
  <c r="AN37" i="22"/>
  <c r="AF56" i="19"/>
  <c r="AJ56" i="19"/>
  <c r="AI56" i="19"/>
  <c r="AB56" i="19"/>
  <c r="AI38" i="15"/>
  <c r="AB38" i="15"/>
  <c r="AJ38" i="15"/>
  <c r="AF38" i="15"/>
  <c r="AB101" i="60"/>
  <c r="AM59" i="15"/>
  <c r="AN59" i="15"/>
  <c r="AL55" i="24"/>
  <c r="AM55" i="24"/>
  <c r="AM63" i="15"/>
  <c r="AN63" i="15"/>
  <c r="AA109" i="13"/>
  <c r="AI70" i="13"/>
  <c r="AJ70" i="13"/>
  <c r="AF70" i="13"/>
  <c r="AI40" i="13"/>
  <c r="AJ40" i="13"/>
  <c r="AF40" i="13"/>
  <c r="AB40" i="13"/>
  <c r="AB106" i="13"/>
  <c r="AM41" i="11"/>
  <c r="AN41" i="11"/>
  <c r="AM54" i="13"/>
  <c r="AN54" i="13"/>
  <c r="AM114" i="54"/>
  <c r="AN114" i="54"/>
  <c r="AI52" i="54"/>
  <c r="AJ52" i="54"/>
  <c r="AF52" i="54"/>
  <c r="AB52" i="54"/>
  <c r="AM71" i="11"/>
  <c r="AN71" i="11"/>
  <c r="AN72" i="11"/>
  <c r="AM72" i="11"/>
  <c r="AB96" i="54"/>
  <c r="AF96" i="54"/>
  <c r="AI96" i="54"/>
  <c r="AJ96" i="54"/>
  <c r="AA145" i="57"/>
  <c r="AI89" i="54"/>
  <c r="AA123" i="54"/>
  <c r="AB89" i="54"/>
  <c r="AJ89" i="54"/>
  <c r="AF89" i="54"/>
  <c r="AB108" i="54"/>
  <c r="AF108" i="54"/>
  <c r="AI108" i="54"/>
  <c r="AJ108" i="54"/>
  <c r="AM82" i="54"/>
  <c r="AN82" i="54"/>
  <c r="AM58" i="53"/>
  <c r="AN58" i="53"/>
  <c r="AM58" i="54"/>
  <c r="AN58" i="54"/>
  <c r="AN115" i="54"/>
  <c r="AM115" i="54"/>
  <c r="AM39" i="53"/>
  <c r="AN39" i="53"/>
  <c r="AM44" i="52"/>
  <c r="AN44" i="52"/>
  <c r="AN82" i="51"/>
  <c r="AM82" i="51"/>
  <c r="AM56" i="51"/>
  <c r="AN56" i="51"/>
  <c r="AI46" i="52"/>
  <c r="AJ46" i="52"/>
  <c r="AF46" i="52"/>
  <c r="AB46" i="52"/>
  <c r="AI141" i="55"/>
  <c r="AF141" i="55"/>
  <c r="AJ55" i="52"/>
  <c r="AF81" i="55"/>
  <c r="AI81" i="55"/>
  <c r="AA84" i="55"/>
  <c r="G82" i="55" s="1"/>
  <c r="AJ66" i="52"/>
  <c r="AF88" i="51"/>
  <c r="AI88" i="51"/>
  <c r="AJ88" i="51"/>
  <c r="AB88" i="51"/>
  <c r="AI38" i="51"/>
  <c r="AB38" i="51"/>
  <c r="AJ38" i="51"/>
  <c r="AF38" i="51"/>
  <c r="AM79" i="52"/>
  <c r="AN79" i="52"/>
  <c r="AB113" i="9"/>
  <c r="AJ113" i="9"/>
  <c r="AF113" i="9"/>
  <c r="AI113" i="9"/>
  <c r="AJ85" i="9"/>
  <c r="AB102" i="51"/>
  <c r="AJ88" i="9"/>
  <c r="AF88" i="9"/>
  <c r="AB88" i="9"/>
  <c r="AI88" i="9"/>
  <c r="AB93" i="51"/>
  <c r="AJ66" i="9"/>
  <c r="AF62" i="9"/>
  <c r="AJ62" i="9"/>
  <c r="AI62" i="9"/>
  <c r="AF100" i="51"/>
  <c r="AB100" i="51"/>
  <c r="AI100" i="51"/>
  <c r="AJ100" i="51"/>
  <c r="AA126" i="39"/>
  <c r="AI43" i="9"/>
  <c r="AF43" i="9"/>
  <c r="AB43" i="9"/>
  <c r="AJ43" i="9"/>
  <c r="AJ64" i="9"/>
  <c r="AM53" i="9"/>
  <c r="AN53" i="9"/>
  <c r="AM83" i="16"/>
  <c r="AN83" i="16"/>
  <c r="AI65" i="9"/>
  <c r="AF65" i="9"/>
  <c r="AJ65" i="9"/>
  <c r="AF124" i="17"/>
  <c r="AI124" i="17"/>
  <c r="AB124" i="17"/>
  <c r="AJ69" i="9"/>
  <c r="AJ50" i="9"/>
  <c r="AN70" i="16"/>
  <c r="AM70" i="16"/>
  <c r="AN40" i="7"/>
  <c r="AL40" i="7"/>
  <c r="AL44" i="7"/>
  <c r="AN44" i="7"/>
  <c r="AN41" i="7"/>
  <c r="AL41" i="7"/>
  <c r="AN101" i="51"/>
  <c r="AM101" i="51"/>
  <c r="AJ67" i="9"/>
  <c r="AM52" i="16"/>
  <c r="AN52" i="16"/>
  <c r="AJ42" i="4"/>
  <c r="AI42" i="4"/>
  <c r="AB42" i="4"/>
  <c r="AF42" i="4"/>
  <c r="AI109" i="9"/>
  <c r="AJ109" i="9"/>
  <c r="AB109" i="9"/>
  <c r="AF109" i="9"/>
  <c r="AL43" i="7"/>
  <c r="AN43" i="7"/>
  <c r="S64" i="37"/>
  <c r="S74" i="37" s="1"/>
  <c r="S62" i="37"/>
  <c r="AI79" i="37"/>
  <c r="AK79" i="37"/>
  <c r="AH49" i="37"/>
  <c r="AE49" i="37"/>
  <c r="Z50" i="37"/>
  <c r="AA49" i="37"/>
  <c r="AN46" i="4"/>
  <c r="AL46" i="4"/>
  <c r="AM56" i="16"/>
  <c r="AN56" i="16"/>
  <c r="AN44" i="16"/>
  <c r="AM44" i="16"/>
  <c r="AM47" i="16"/>
  <c r="AN47" i="16"/>
  <c r="AN93" i="4"/>
  <c r="AL93" i="4"/>
  <c r="AM62" i="21"/>
  <c r="AN62" i="21"/>
  <c r="AN42" i="19"/>
  <c r="AM42" i="19"/>
  <c r="AN58" i="19"/>
  <c r="AM58" i="19"/>
  <c r="AM71" i="15"/>
  <c r="AN71" i="15"/>
  <c r="AM90" i="13"/>
  <c r="AN90" i="13"/>
  <c r="AM82" i="11"/>
  <c r="AN82" i="11"/>
  <c r="AM38" i="53"/>
  <c r="AN38" i="53"/>
  <c r="AN81" i="54"/>
  <c r="AM81" i="54"/>
  <c r="AM42" i="54"/>
  <c r="AN42" i="54"/>
  <c r="AN53" i="33"/>
  <c r="AM53" i="33"/>
  <c r="AM60" i="30"/>
  <c r="AN60" i="30"/>
  <c r="AM37" i="19"/>
  <c r="AN37" i="19"/>
  <c r="AF49" i="15"/>
  <c r="AI49" i="15"/>
  <c r="AJ49" i="15"/>
  <c r="AA128" i="60"/>
  <c r="AA44" i="59"/>
  <c r="G43" i="59" s="1"/>
  <c r="AI42" i="59"/>
  <c r="AF42" i="59"/>
  <c r="AM77" i="13"/>
  <c r="AN77" i="13"/>
  <c r="AF40" i="54"/>
  <c r="AB40" i="54"/>
  <c r="AI40" i="54"/>
  <c r="AJ40" i="54"/>
  <c r="AM36" i="11"/>
  <c r="AN36" i="11"/>
  <c r="AA54" i="57"/>
  <c r="G53" i="57" s="1"/>
  <c r="AI52" i="57"/>
  <c r="AF52" i="57"/>
  <c r="AJ92" i="54"/>
  <c r="AB92" i="54"/>
  <c r="AI92" i="54"/>
  <c r="AF92" i="54"/>
  <c r="AB83" i="53"/>
  <c r="AF83" i="53"/>
  <c r="AI83" i="53"/>
  <c r="AJ83" i="53"/>
  <c r="AN41" i="54"/>
  <c r="AM41" i="54"/>
  <c r="AM84" i="54"/>
  <c r="AN84" i="54"/>
  <c r="AM85" i="52"/>
  <c r="AN85" i="52"/>
  <c r="AF72" i="52"/>
  <c r="AI72" i="52"/>
  <c r="AJ72" i="52"/>
  <c r="AA91" i="52"/>
  <c r="AB72" i="52"/>
  <c r="AN118" i="54"/>
  <c r="AM118" i="54"/>
  <c r="AM44" i="51"/>
  <c r="AN44" i="51"/>
  <c r="AM52" i="52"/>
  <c r="AN52" i="52"/>
  <c r="AJ76" i="51"/>
  <c r="AF76" i="51"/>
  <c r="AB76" i="51"/>
  <c r="AI76" i="51"/>
  <c r="AM79" i="51"/>
  <c r="AN79" i="51"/>
  <c r="AN101" i="9"/>
  <c r="AM101" i="9"/>
  <c r="AI57" i="7"/>
  <c r="AF57" i="7"/>
  <c r="AB57" i="7"/>
  <c r="AN82" i="4"/>
  <c r="AL82" i="4"/>
  <c r="AM43" i="25"/>
  <c r="AN43" i="25"/>
  <c r="AJ39" i="36"/>
  <c r="AJ54" i="36"/>
  <c r="AJ52" i="36"/>
  <c r="AM45" i="35"/>
  <c r="AN45" i="35"/>
  <c r="AM40" i="35"/>
  <c r="AN40" i="35"/>
  <c r="AB45" i="36"/>
  <c r="AM34" i="35"/>
  <c r="AN34" i="35"/>
  <c r="AN65" i="36"/>
  <c r="AM65" i="36"/>
  <c r="AB47" i="36"/>
  <c r="AD53" i="34"/>
  <c r="AE46" i="34"/>
  <c r="AK46" i="34"/>
  <c r="AN45" i="33"/>
  <c r="AM45" i="33"/>
  <c r="AJ44" i="34"/>
  <c r="AM38" i="34"/>
  <c r="AN38" i="34"/>
  <c r="AF63" i="33"/>
  <c r="AJ63" i="33"/>
  <c r="AI63" i="33"/>
  <c r="AB63" i="33"/>
  <c r="AJ55" i="33"/>
  <c r="AI43" i="34"/>
  <c r="AJ43" i="34"/>
  <c r="AF43" i="34"/>
  <c r="AB43" i="34"/>
  <c r="AM50" i="33"/>
  <c r="AN50" i="33"/>
  <c r="AM46" i="30"/>
  <c r="AN46" i="30"/>
  <c r="AM40" i="33"/>
  <c r="AN40" i="33"/>
  <c r="AI57" i="30"/>
  <c r="AJ57" i="30"/>
  <c r="AB57" i="30"/>
  <c r="AF57" i="30"/>
  <c r="AF44" i="30"/>
  <c r="AB44" i="30"/>
  <c r="AI44" i="30"/>
  <c r="AJ44" i="30"/>
  <c r="AM37" i="31"/>
  <c r="AN37" i="31"/>
  <c r="AN35" i="31"/>
  <c r="AM35" i="31"/>
  <c r="AM43" i="30"/>
  <c r="AN43" i="30"/>
  <c r="AM76" i="29"/>
  <c r="AN76" i="29"/>
  <c r="AM64" i="30"/>
  <c r="AN64" i="30"/>
  <c r="AM39" i="29"/>
  <c r="AN39" i="29"/>
  <c r="AM65" i="30"/>
  <c r="AN65" i="30"/>
  <c r="AM36" i="29"/>
  <c r="AN36" i="29"/>
  <c r="AN53" i="28"/>
  <c r="AM53" i="28"/>
  <c r="AM47" i="28"/>
  <c r="AN47" i="28"/>
  <c r="AF44" i="28"/>
  <c r="AB44" i="28"/>
  <c r="AI44" i="28"/>
  <c r="AJ44" i="28"/>
  <c r="AA67" i="28"/>
  <c r="AM51" i="28"/>
  <c r="AN51" i="28"/>
  <c r="AM55" i="29"/>
  <c r="AN55" i="29"/>
  <c r="AN61" i="28"/>
  <c r="AM61" i="28"/>
  <c r="AJ37" i="27"/>
  <c r="AI37" i="27"/>
  <c r="AF37" i="27"/>
  <c r="AB37" i="27"/>
  <c r="AM62" i="28"/>
  <c r="AN62" i="28"/>
  <c r="AM39" i="27"/>
  <c r="AN39" i="27"/>
  <c r="AM34" i="25"/>
  <c r="AN34" i="25"/>
  <c r="AI39" i="26"/>
  <c r="AJ39" i="26"/>
  <c r="AF39" i="26"/>
  <c r="AB39" i="26"/>
  <c r="AF85" i="23"/>
  <c r="AB85" i="23"/>
  <c r="AI85" i="23"/>
  <c r="AJ85" i="23"/>
  <c r="AF53" i="23"/>
  <c r="AB53" i="23"/>
  <c r="AI53" i="23"/>
  <c r="AJ53" i="23"/>
  <c r="AB41" i="25"/>
  <c r="AI41" i="25"/>
  <c r="AJ41" i="25"/>
  <c r="AF41" i="25"/>
  <c r="AM77" i="26"/>
  <c r="AN77" i="26"/>
  <c r="AF80" i="23"/>
  <c r="AJ80" i="23"/>
  <c r="AB80" i="23"/>
  <c r="AI80" i="23"/>
  <c r="AM51" i="26"/>
  <c r="AN51" i="26"/>
  <c r="AM34" i="22"/>
  <c r="AN34" i="22"/>
  <c r="AM44" i="21"/>
  <c r="AN44" i="21"/>
  <c r="AI143" i="60"/>
  <c r="AF143" i="60"/>
  <c r="AM62" i="20"/>
  <c r="AN62" i="20"/>
  <c r="AJ68" i="20"/>
  <c r="AM41" i="22"/>
  <c r="AN41" i="22"/>
  <c r="AM41" i="15"/>
  <c r="AN41" i="15"/>
  <c r="AM70" i="15"/>
  <c r="AN70" i="15"/>
  <c r="AE58" i="24"/>
  <c r="AA58" i="24"/>
  <c r="AH58" i="24"/>
  <c r="AI58" i="24"/>
  <c r="AM76" i="13"/>
  <c r="AN76" i="13"/>
  <c r="AL39" i="24"/>
  <c r="AM39" i="24"/>
  <c r="AF63" i="13"/>
  <c r="AI63" i="13"/>
  <c r="AJ63" i="13"/>
  <c r="AF44" i="13"/>
  <c r="AI44" i="13"/>
  <c r="AJ44" i="13"/>
  <c r="AB44" i="13"/>
  <c r="AM52" i="24"/>
  <c r="AL52" i="24"/>
  <c r="AB37" i="13"/>
  <c r="AB41" i="13"/>
  <c r="AB49" i="13"/>
  <c r="AB53" i="13"/>
  <c r="AB105" i="13"/>
  <c r="AM100" i="13"/>
  <c r="AN100" i="13"/>
  <c r="AB87" i="13"/>
  <c r="AB55" i="13"/>
  <c r="AM45" i="11"/>
  <c r="AN45" i="11"/>
  <c r="AB93" i="13"/>
  <c r="AN47" i="13"/>
  <c r="AM47" i="13"/>
  <c r="AM92" i="11"/>
  <c r="AN92" i="11"/>
  <c r="AB104" i="54"/>
  <c r="AI104" i="54"/>
  <c r="AJ104" i="54"/>
  <c r="AF104" i="54"/>
  <c r="AF56" i="54"/>
  <c r="AB56" i="54"/>
  <c r="AI56" i="54"/>
  <c r="AJ56" i="54"/>
  <c r="AI94" i="57"/>
  <c r="AF94" i="57"/>
  <c r="AM91" i="11"/>
  <c r="AN91" i="11"/>
  <c r="AB112" i="54"/>
  <c r="AF112" i="54"/>
  <c r="AI112" i="54"/>
  <c r="AJ112" i="54"/>
  <c r="AN48" i="11"/>
  <c r="AM48" i="11"/>
  <c r="AI141" i="57"/>
  <c r="AF141" i="57"/>
  <c r="O127" i="56"/>
  <c r="AA126" i="56"/>
  <c r="AM101" i="54"/>
  <c r="AN101" i="54"/>
  <c r="AN57" i="54"/>
  <c r="AM57" i="54"/>
  <c r="AH126" i="56"/>
  <c r="AG127" i="56"/>
  <c r="AM54" i="54"/>
  <c r="AN54" i="54"/>
  <c r="AN110" i="54"/>
  <c r="AM110" i="54"/>
  <c r="AM48" i="53"/>
  <c r="AN48" i="53"/>
  <c r="AM49" i="52"/>
  <c r="AN49" i="52"/>
  <c r="AD127" i="55"/>
  <c r="AE126" i="55"/>
  <c r="AB117" i="9"/>
  <c r="AJ67" i="52"/>
  <c r="AJ43" i="52"/>
  <c r="AJ56" i="52"/>
  <c r="AJ45" i="52"/>
  <c r="AI64" i="51"/>
  <c r="AJ64" i="51"/>
  <c r="AF64" i="51"/>
  <c r="AI42" i="51"/>
  <c r="AJ42" i="51"/>
  <c r="AF42" i="51"/>
  <c r="AB42" i="51"/>
  <c r="AM37" i="53"/>
  <c r="AN37" i="53"/>
  <c r="AJ41" i="52"/>
  <c r="AM36" i="53"/>
  <c r="AN36" i="53"/>
  <c r="AM52" i="53"/>
  <c r="AN52" i="53"/>
  <c r="AM47" i="52"/>
  <c r="AN47" i="52"/>
  <c r="AI123" i="39"/>
  <c r="AF123" i="39"/>
  <c r="AB123" i="39"/>
  <c r="AB49" i="51"/>
  <c r="AB114" i="9"/>
  <c r="AJ107" i="9"/>
  <c r="AF70" i="9"/>
  <c r="AI70" i="9"/>
  <c r="AJ70" i="9"/>
  <c r="AB86" i="51"/>
  <c r="AM83" i="51"/>
  <c r="AN83" i="51"/>
  <c r="AB57" i="51"/>
  <c r="AF47" i="9"/>
  <c r="AB47" i="9"/>
  <c r="AI47" i="9"/>
  <c r="AJ47" i="9"/>
  <c r="AM87" i="16"/>
  <c r="AN87" i="16"/>
  <c r="AB110" i="9"/>
  <c r="AB41" i="9"/>
  <c r="AI77" i="17"/>
  <c r="AA79" i="17"/>
  <c r="G78" i="17" s="1"/>
  <c r="AF77" i="17"/>
  <c r="AI89" i="9"/>
  <c r="AJ89" i="9"/>
  <c r="AF89" i="9"/>
  <c r="AB89" i="9"/>
  <c r="AF42" i="16"/>
  <c r="AJ42" i="16"/>
  <c r="AB42" i="16"/>
  <c r="AI42" i="16"/>
  <c r="AJ102" i="9"/>
  <c r="AJ57" i="9"/>
  <c r="AN49" i="16"/>
  <c r="AM49" i="16"/>
  <c r="AM82" i="16"/>
  <c r="AN82" i="16"/>
  <c r="AL59" i="4"/>
  <c r="AN59" i="4"/>
  <c r="AI48" i="4"/>
  <c r="AJ48" i="4"/>
  <c r="AF48" i="4"/>
  <c r="AB48" i="4"/>
  <c r="AN115" i="16"/>
  <c r="AM115" i="16"/>
  <c r="AM50" i="16"/>
  <c r="AN50" i="16"/>
  <c r="AM39" i="16"/>
  <c r="AN39" i="16"/>
  <c r="AB44" i="4"/>
  <c r="AI44" i="4"/>
  <c r="AJ44" i="4"/>
  <c r="AF44" i="4"/>
  <c r="AA55" i="37"/>
  <c r="AM76" i="16"/>
  <c r="AN76" i="16"/>
  <c r="AL86" i="4"/>
  <c r="AN86" i="4"/>
  <c r="AF74" i="7"/>
  <c r="AI74" i="7"/>
  <c r="AF150" i="6"/>
  <c r="AI150" i="6"/>
  <c r="AK47" i="37"/>
  <c r="AI47" i="37"/>
  <c r="AB42" i="9"/>
  <c r="AJ67" i="51"/>
  <c r="AI67" i="51"/>
  <c r="AF67" i="51"/>
  <c r="AB38" i="9"/>
  <c r="AB71" i="17"/>
  <c r="AB53" i="17"/>
  <c r="AB44" i="17"/>
  <c r="AB72" i="17"/>
  <c r="AB63" i="17"/>
  <c r="AB45" i="17"/>
  <c r="AB56" i="17"/>
  <c r="AB47" i="17"/>
  <c r="AB48" i="17"/>
  <c r="AB103" i="17"/>
  <c r="AB37" i="17"/>
  <c r="AB117" i="17"/>
  <c r="AB39" i="17"/>
  <c r="AB64" i="17"/>
  <c r="AB82" i="17"/>
  <c r="AB110" i="17"/>
  <c r="AB121" i="17"/>
  <c r="AB36" i="17"/>
  <c r="AB100" i="17"/>
  <c r="AB35" i="17"/>
  <c r="AB55" i="17"/>
  <c r="AF67" i="7"/>
  <c r="AI67" i="7"/>
  <c r="AI90" i="4"/>
  <c r="AJ90" i="4"/>
  <c r="AB90" i="4"/>
  <c r="AF90" i="4"/>
  <c r="AC52" i="37"/>
  <c r="AD52" i="37" s="1"/>
  <c r="AD51" i="37"/>
  <c r="AB47" i="51"/>
  <c r="AB95" i="9"/>
  <c r="AF48" i="9"/>
  <c r="AB48" i="9"/>
  <c r="AI48" i="9"/>
  <c r="AJ48" i="9"/>
  <c r="AL75" i="4"/>
  <c r="AN75" i="4"/>
  <c r="Z51" i="37"/>
  <c r="N52" i="37"/>
  <c r="N64" i="37"/>
  <c r="N62" i="37"/>
  <c r="Z61" i="37"/>
  <c r="AL70" i="4"/>
  <c r="AN70" i="4"/>
  <c r="AL50" i="4"/>
  <c r="AN50" i="4"/>
  <c r="AN73" i="4"/>
  <c r="AL73" i="4"/>
  <c r="AJ50" i="7"/>
  <c r="AN120" i="16"/>
  <c r="AM120" i="16"/>
  <c r="AN86" i="16"/>
  <c r="AM86" i="16"/>
  <c r="AM45" i="16"/>
  <c r="AN45" i="16"/>
  <c r="V86" i="37"/>
  <c r="V88" i="37" s="1"/>
  <c r="V75" i="37"/>
  <c r="V82" i="37"/>
  <c r="V84" i="37" s="1"/>
  <c r="V85" i="37" s="1"/>
  <c r="AM57" i="36" l="1"/>
  <c r="AN42" i="27"/>
  <c r="AM47" i="23"/>
  <c r="AN47" i="23"/>
  <c r="AN41" i="28"/>
  <c r="AM41" i="28"/>
  <c r="AM76" i="52"/>
  <c r="AN76" i="52"/>
  <c r="AM46" i="54"/>
  <c r="AN46" i="54"/>
  <c r="AN51" i="51"/>
  <c r="AM51" i="51"/>
  <c r="AM67" i="22"/>
  <c r="AN67" i="22"/>
  <c r="AL90" i="4"/>
  <c r="AN90" i="4"/>
  <c r="AM35" i="13"/>
  <c r="AN35" i="13"/>
  <c r="AM66" i="15"/>
  <c r="AN66" i="15"/>
  <c r="AN39" i="34"/>
  <c r="AM39" i="34"/>
  <c r="AL40" i="4"/>
  <c r="AN40" i="4"/>
  <c r="AM43" i="34"/>
  <c r="AN43" i="34"/>
  <c r="AM102" i="51"/>
  <c r="AN102" i="51"/>
  <c r="AN96" i="54"/>
  <c r="AM96" i="54"/>
  <c r="AM40" i="13"/>
  <c r="AN40" i="13"/>
  <c r="AN38" i="36"/>
  <c r="AM38" i="36"/>
  <c r="AM46" i="36"/>
  <c r="AN46" i="36"/>
  <c r="AN64" i="36"/>
  <c r="AM64" i="36"/>
  <c r="AM51" i="34"/>
  <c r="AN51" i="34"/>
  <c r="AM68" i="30"/>
  <c r="AN68" i="30"/>
  <c r="AI66" i="7"/>
  <c r="AF66" i="7"/>
  <c r="AM98" i="51"/>
  <c r="AN98" i="51"/>
  <c r="AN92" i="13"/>
  <c r="AM92" i="13"/>
  <c r="AN58" i="30"/>
  <c r="AM58" i="30"/>
  <c r="AM61" i="30"/>
  <c r="AN61" i="30"/>
  <c r="AM60" i="33"/>
  <c r="AN60" i="33"/>
  <c r="AM52" i="13"/>
  <c r="AN52" i="13"/>
  <c r="AM72" i="9"/>
  <c r="AN72" i="9"/>
  <c r="AM97" i="9"/>
  <c r="AN97" i="9"/>
  <c r="X86" i="37"/>
  <c r="X88" i="37" s="1"/>
  <c r="X82" i="37"/>
  <c r="X84" i="37" s="1"/>
  <c r="X85" i="37" s="1"/>
  <c r="X75" i="37"/>
  <c r="AN60" i="29"/>
  <c r="AM60" i="29"/>
  <c r="AM45" i="26"/>
  <c r="AN45" i="26"/>
  <c r="AI58" i="37"/>
  <c r="AK58" i="37"/>
  <c r="AN105" i="51"/>
  <c r="AM105" i="51"/>
  <c r="AM58" i="52"/>
  <c r="AN58" i="52"/>
  <c r="AM84" i="53"/>
  <c r="AN84" i="53"/>
  <c r="AM80" i="54"/>
  <c r="AN80" i="54"/>
  <c r="AM78" i="11"/>
  <c r="AN78" i="11"/>
  <c r="AM82" i="13"/>
  <c r="AN82" i="13"/>
  <c r="AN40" i="19"/>
  <c r="AM40" i="19"/>
  <c r="AM37" i="25"/>
  <c r="AN37" i="25"/>
  <c r="AN55" i="36"/>
  <c r="AM55" i="36"/>
  <c r="AN56" i="9"/>
  <c r="AM56" i="9"/>
  <c r="AM50" i="51"/>
  <c r="AN50" i="51"/>
  <c r="AM61" i="29"/>
  <c r="AN61" i="29"/>
  <c r="AM90" i="9"/>
  <c r="AN90" i="9"/>
  <c r="AM51" i="9"/>
  <c r="AN51" i="9"/>
  <c r="AM97" i="54"/>
  <c r="AN97" i="54"/>
  <c r="AN46" i="27"/>
  <c r="AM46" i="27"/>
  <c r="AM48" i="35"/>
  <c r="AN48" i="35"/>
  <c r="AM37" i="36"/>
  <c r="AN37" i="36"/>
  <c r="AM35" i="26"/>
  <c r="AN35" i="26"/>
  <c r="AM35" i="34"/>
  <c r="AN35" i="34"/>
  <c r="AL50" i="7"/>
  <c r="AN50" i="7"/>
  <c r="AM42" i="51"/>
  <c r="AN42" i="51"/>
  <c r="AM37" i="27"/>
  <c r="AN37" i="27"/>
  <c r="AI96" i="23"/>
  <c r="AA100" i="23"/>
  <c r="AF96" i="23"/>
  <c r="AB96" i="23"/>
  <c r="AJ96" i="23"/>
  <c r="AM45" i="9"/>
  <c r="AN45" i="9"/>
  <c r="AN36" i="20"/>
  <c r="AM36" i="20"/>
  <c r="AM49" i="33"/>
  <c r="AN49" i="33"/>
  <c r="AM44" i="36"/>
  <c r="AN44" i="36"/>
  <c r="AM102" i="16"/>
  <c r="AN102" i="16"/>
  <c r="AN41" i="9"/>
  <c r="AM41" i="9"/>
  <c r="AM49" i="23"/>
  <c r="AN49" i="23"/>
  <c r="AM41" i="33"/>
  <c r="AN41" i="33"/>
  <c r="AL79" i="4"/>
  <c r="AN79" i="4"/>
  <c r="AL35" i="7"/>
  <c r="AN35" i="7"/>
  <c r="AM37" i="9"/>
  <c r="AN37" i="9"/>
  <c r="AN113" i="16"/>
  <c r="AM113" i="16"/>
  <c r="AM81" i="16"/>
  <c r="AN81" i="16"/>
  <c r="AM44" i="9"/>
  <c r="AN44" i="9"/>
  <c r="AN41" i="51"/>
  <c r="AM41" i="51"/>
  <c r="AN38" i="52"/>
  <c r="AM38" i="52"/>
  <c r="AN80" i="51"/>
  <c r="AM80" i="51"/>
  <c r="AM66" i="29"/>
  <c r="AN66" i="29"/>
  <c r="AH89" i="37"/>
  <c r="AI54" i="37"/>
  <c r="AK54" i="37"/>
  <c r="AL42" i="7"/>
  <c r="AN42" i="7"/>
  <c r="P86" i="37"/>
  <c r="P88" i="37" s="1"/>
  <c r="P82" i="37"/>
  <c r="P84" i="37" s="1"/>
  <c r="P85" i="37" s="1"/>
  <c r="P75" i="37"/>
  <c r="AN77" i="16"/>
  <c r="AM77" i="16"/>
  <c r="AM81" i="51"/>
  <c r="AN81" i="51"/>
  <c r="AM76" i="53"/>
  <c r="AN76" i="53"/>
  <c r="AM63" i="11"/>
  <c r="AN63" i="11"/>
  <c r="AN39" i="36"/>
  <c r="AM39" i="36"/>
  <c r="AM36" i="9"/>
  <c r="AN36" i="9"/>
  <c r="AN105" i="16"/>
  <c r="AM105" i="16"/>
  <c r="AM77" i="9"/>
  <c r="AN77" i="9"/>
  <c r="AM48" i="13"/>
  <c r="AN48" i="13"/>
  <c r="AM84" i="23"/>
  <c r="AN84" i="23"/>
  <c r="AM41" i="13"/>
  <c r="AN41" i="13"/>
  <c r="AM53" i="23"/>
  <c r="AN53" i="23"/>
  <c r="AN77" i="23"/>
  <c r="AM77" i="23"/>
  <c r="AN85" i="16"/>
  <c r="AM85" i="16"/>
  <c r="AM42" i="52"/>
  <c r="AN42" i="52"/>
  <c r="AM44" i="33"/>
  <c r="AN44" i="33"/>
  <c r="AN40" i="9"/>
  <c r="AM40" i="9"/>
  <c r="AM93" i="23"/>
  <c r="AN93" i="23"/>
  <c r="AM39" i="28"/>
  <c r="AN39" i="28"/>
  <c r="AM40" i="36"/>
  <c r="AN40" i="36"/>
  <c r="AN54" i="36"/>
  <c r="AM54" i="36"/>
  <c r="AL52" i="35"/>
  <c r="AG59" i="35"/>
  <c r="AH52" i="35"/>
  <c r="AL39" i="7"/>
  <c r="AN39" i="7"/>
  <c r="AI56" i="37"/>
  <c r="AK56" i="37"/>
  <c r="AM46" i="35"/>
  <c r="AN46" i="35"/>
  <c r="AM44" i="20"/>
  <c r="AN44" i="20"/>
  <c r="AL45" i="7"/>
  <c r="AN45" i="7"/>
  <c r="AM35" i="9"/>
  <c r="AN35" i="9"/>
  <c r="AM62" i="15"/>
  <c r="AN62" i="15"/>
  <c r="AE89" i="37"/>
  <c r="Z71" i="37"/>
  <c r="N72" i="37"/>
  <c r="Z72" i="37" s="1"/>
  <c r="AM92" i="51"/>
  <c r="AN92" i="51"/>
  <c r="AN54" i="52"/>
  <c r="AM54" i="52"/>
  <c r="AM54" i="51"/>
  <c r="AN54" i="51"/>
  <c r="L44" i="37"/>
  <c r="M44" i="37" s="1"/>
  <c r="AM85" i="9"/>
  <c r="AN85" i="9"/>
  <c r="AM50" i="52"/>
  <c r="AN50" i="52"/>
  <c r="AM78" i="23"/>
  <c r="AN78" i="23"/>
  <c r="AK55" i="37"/>
  <c r="AI55" i="37"/>
  <c r="AN46" i="52"/>
  <c r="AM46" i="52"/>
  <c r="AM61" i="36"/>
  <c r="AN61" i="36"/>
  <c r="AM86" i="13"/>
  <c r="AN86" i="13"/>
  <c r="AM41" i="21"/>
  <c r="AN41" i="21"/>
  <c r="AG64" i="37"/>
  <c r="AF74" i="37"/>
  <c r="AL88" i="4"/>
  <c r="AN88" i="4"/>
  <c r="AM113" i="54"/>
  <c r="AN113" i="54"/>
  <c r="AD60" i="34"/>
  <c r="AE60" i="34" s="1"/>
  <c r="AK53" i="34"/>
  <c r="AE53" i="34"/>
  <c r="AN57" i="51"/>
  <c r="AM57" i="51"/>
  <c r="AN114" i="9"/>
  <c r="AM114" i="9"/>
  <c r="AM47" i="36"/>
  <c r="AN47" i="36"/>
  <c r="AN83" i="53"/>
  <c r="AM83" i="53"/>
  <c r="AN89" i="54"/>
  <c r="AM89" i="54"/>
  <c r="AM38" i="15"/>
  <c r="AN38" i="15"/>
  <c r="AN43" i="28"/>
  <c r="AM43" i="28"/>
  <c r="AN47" i="51"/>
  <c r="AM47" i="51"/>
  <c r="AM76" i="51"/>
  <c r="AN76" i="51"/>
  <c r="AI126" i="39"/>
  <c r="AB126" i="39"/>
  <c r="AF126" i="39"/>
  <c r="AA127" i="39"/>
  <c r="AM38" i="51"/>
  <c r="AN38" i="51"/>
  <c r="AB126" i="56"/>
  <c r="AF126" i="56"/>
  <c r="AI126" i="56"/>
  <c r="AA127" i="56"/>
  <c r="AM56" i="54"/>
  <c r="AN56" i="54"/>
  <c r="AM44" i="13"/>
  <c r="AN44" i="13"/>
  <c r="AM85" i="23"/>
  <c r="AN85" i="23"/>
  <c r="AN72" i="52"/>
  <c r="AM72" i="52"/>
  <c r="AA50" i="37"/>
  <c r="L50" i="37"/>
  <c r="M50" i="37" s="1"/>
  <c r="AN42" i="4"/>
  <c r="AL42" i="4"/>
  <c r="AN93" i="51"/>
  <c r="AM93" i="51"/>
  <c r="AM56" i="19"/>
  <c r="AN56" i="19"/>
  <c r="AN58" i="28"/>
  <c r="AM58" i="28"/>
  <c r="AN42" i="34"/>
  <c r="AM42" i="34"/>
  <c r="Q82" i="37"/>
  <c r="Q84" i="37" s="1"/>
  <c r="Q85" i="37" s="1"/>
  <c r="Q75" i="37"/>
  <c r="Q86" i="37"/>
  <c r="Q88" i="37" s="1"/>
  <c r="AN93" i="9"/>
  <c r="AM93" i="9"/>
  <c r="AM58" i="51"/>
  <c r="AN58" i="51"/>
  <c r="AM87" i="11"/>
  <c r="AN87" i="11"/>
  <c r="AI80" i="37"/>
  <c r="AK80" i="37"/>
  <c r="AL38" i="7"/>
  <c r="AN38" i="7"/>
  <c r="AM102" i="9"/>
  <c r="AN102" i="9"/>
  <c r="AN81" i="9"/>
  <c r="AM81" i="9"/>
  <c r="AN36" i="22"/>
  <c r="AM36" i="22"/>
  <c r="AN52" i="29"/>
  <c r="AM52" i="29"/>
  <c r="AM36" i="30"/>
  <c r="AN36" i="30"/>
  <c r="AM52" i="26"/>
  <c r="AN52" i="26"/>
  <c r="AN68" i="29"/>
  <c r="AM68" i="29"/>
  <c r="AN49" i="25"/>
  <c r="AM49" i="25"/>
  <c r="AM65" i="26"/>
  <c r="AN65" i="26"/>
  <c r="AM78" i="53"/>
  <c r="AN78" i="53"/>
  <c r="AM41" i="23"/>
  <c r="AN41" i="23"/>
  <c r="AM52" i="20"/>
  <c r="AN52" i="20"/>
  <c r="AM94" i="23"/>
  <c r="AN94" i="23"/>
  <c r="AH95" i="37"/>
  <c r="AE95" i="37"/>
  <c r="AI126" i="58"/>
  <c r="AB126" i="58"/>
  <c r="AF126" i="58"/>
  <c r="AA127" i="58"/>
  <c r="AM56" i="13"/>
  <c r="AN56" i="13"/>
  <c r="AM51" i="29"/>
  <c r="AN51" i="29"/>
  <c r="AA60" i="37"/>
  <c r="L60" i="37" s="1"/>
  <c r="M60" i="37" s="1"/>
  <c r="AL36" i="4"/>
  <c r="AN36" i="4"/>
  <c r="AM35" i="16"/>
  <c r="AN35" i="16"/>
  <c r="AM120" i="9"/>
  <c r="AN120" i="9"/>
  <c r="AM46" i="51"/>
  <c r="AN46" i="51"/>
  <c r="AM80" i="53"/>
  <c r="AN80" i="53"/>
  <c r="AN50" i="28"/>
  <c r="AM50" i="28"/>
  <c r="AM50" i="35"/>
  <c r="AN50" i="35"/>
  <c r="AM45" i="27"/>
  <c r="AN45" i="27"/>
  <c r="AM47" i="9"/>
  <c r="AN47" i="9"/>
  <c r="AN86" i="9"/>
  <c r="AM86" i="9"/>
  <c r="AM43" i="13"/>
  <c r="AN43" i="13"/>
  <c r="AN111" i="9"/>
  <c r="AM111" i="9"/>
  <c r="AI70" i="37"/>
  <c r="AK70" i="37"/>
  <c r="AM106" i="51"/>
  <c r="AN106" i="51"/>
  <c r="S82" i="37"/>
  <c r="S84" i="37" s="1"/>
  <c r="S85" i="37" s="1"/>
  <c r="S75" i="37"/>
  <c r="S86" i="37"/>
  <c r="S88" i="37" s="1"/>
  <c r="AH51" i="37"/>
  <c r="AA51" i="37"/>
  <c r="AE51" i="37"/>
  <c r="Z52" i="37"/>
  <c r="AA52" i="37" s="1"/>
  <c r="AM110" i="9"/>
  <c r="AN110" i="9"/>
  <c r="AM92" i="54"/>
  <c r="AN92" i="54"/>
  <c r="AN88" i="51"/>
  <c r="AM88" i="51"/>
  <c r="AN54" i="28"/>
  <c r="AM54" i="28"/>
  <c r="AI64" i="33"/>
  <c r="AJ64" i="33"/>
  <c r="AF64" i="33"/>
  <c r="AB64" i="33"/>
  <c r="AL48" i="7"/>
  <c r="AN48" i="7"/>
  <c r="AN57" i="9"/>
  <c r="AM57" i="9"/>
  <c r="AM105" i="9"/>
  <c r="AN105" i="9"/>
  <c r="AM84" i="51"/>
  <c r="AN84" i="51"/>
  <c r="AM46" i="34"/>
  <c r="AN46" i="34"/>
  <c r="AM37" i="23"/>
  <c r="AN37" i="23"/>
  <c r="AM88" i="23"/>
  <c r="AN88" i="23"/>
  <c r="AC82" i="37"/>
  <c r="AC75" i="37"/>
  <c r="AD75" i="37" s="1"/>
  <c r="AD74" i="37"/>
  <c r="AC86" i="37"/>
  <c r="AM50" i="9"/>
  <c r="AN50" i="9"/>
  <c r="AN106" i="9"/>
  <c r="AM106" i="9"/>
  <c r="AM72" i="51"/>
  <c r="AN72" i="51"/>
  <c r="AN72" i="26"/>
  <c r="AM72" i="26"/>
  <c r="AN70" i="11"/>
  <c r="AM70" i="11"/>
  <c r="AK57" i="37"/>
  <c r="AI57" i="37"/>
  <c r="AM37" i="16"/>
  <c r="AN37" i="16"/>
  <c r="AM110" i="16"/>
  <c r="AN110" i="16"/>
  <c r="AM87" i="9"/>
  <c r="AN87" i="9"/>
  <c r="AN78" i="54"/>
  <c r="AM78" i="54"/>
  <c r="AL37" i="24"/>
  <c r="AM37" i="24"/>
  <c r="AM65" i="20"/>
  <c r="AN65" i="20"/>
  <c r="AM52" i="35"/>
  <c r="AN52" i="35"/>
  <c r="AM55" i="9"/>
  <c r="AN55" i="9"/>
  <c r="AM57" i="35"/>
  <c r="AN57" i="35"/>
  <c r="AM82" i="9"/>
  <c r="AN82" i="9"/>
  <c r="AM74" i="13"/>
  <c r="AN74" i="13"/>
  <c r="AM62" i="30"/>
  <c r="AN62" i="30"/>
  <c r="AL95" i="4"/>
  <c r="AN95" i="4"/>
  <c r="AN84" i="9"/>
  <c r="AM84" i="9"/>
  <c r="AN103" i="51"/>
  <c r="AM103" i="51"/>
  <c r="AM112" i="9"/>
  <c r="AN112" i="9"/>
  <c r="AM36" i="54"/>
  <c r="AN36" i="54"/>
  <c r="N74" i="37"/>
  <c r="Z64" i="37"/>
  <c r="AM38" i="9"/>
  <c r="AN38" i="9"/>
  <c r="AM104" i="54"/>
  <c r="AN104" i="54"/>
  <c r="AM37" i="13"/>
  <c r="AN37" i="13"/>
  <c r="AL58" i="24"/>
  <c r="AM58" i="24"/>
  <c r="AN95" i="9"/>
  <c r="AM95" i="9"/>
  <c r="AL44" i="4"/>
  <c r="AN44" i="4"/>
  <c r="AN117" i="9"/>
  <c r="AM117" i="9"/>
  <c r="AN42" i="9"/>
  <c r="AM42" i="9"/>
  <c r="AN112" i="54"/>
  <c r="AM112" i="54"/>
  <c r="AM105" i="13"/>
  <c r="AN105" i="13"/>
  <c r="AM80" i="23"/>
  <c r="AN80" i="23"/>
  <c r="AM44" i="28"/>
  <c r="AN44" i="28"/>
  <c r="AM44" i="30"/>
  <c r="AN44" i="30"/>
  <c r="AF128" i="60"/>
  <c r="AI128" i="60"/>
  <c r="AB128" i="60"/>
  <c r="AA129" i="60"/>
  <c r="AM93" i="13"/>
  <c r="AN93" i="13"/>
  <c r="AM53" i="13"/>
  <c r="AN53" i="13"/>
  <c r="AM39" i="26"/>
  <c r="AN39" i="26"/>
  <c r="AM63" i="33"/>
  <c r="AN63" i="33"/>
  <c r="AM40" i="54"/>
  <c r="AN40" i="54"/>
  <c r="AN109" i="9"/>
  <c r="AM109" i="9"/>
  <c r="AM100" i="51"/>
  <c r="AN100" i="51"/>
  <c r="AM88" i="9"/>
  <c r="AN88" i="9"/>
  <c r="AM113" i="9"/>
  <c r="AN113" i="9"/>
  <c r="AM52" i="54"/>
  <c r="AN52" i="54"/>
  <c r="AM40" i="22"/>
  <c r="AN40" i="22"/>
  <c r="AM36" i="25"/>
  <c r="AN36" i="25"/>
  <c r="AM52" i="25"/>
  <c r="AN52" i="25"/>
  <c r="AN49" i="34"/>
  <c r="AM49" i="34"/>
  <c r="AM56" i="20"/>
  <c r="AN56" i="20"/>
  <c r="AN119" i="9"/>
  <c r="AM119" i="9"/>
  <c r="AM89" i="16"/>
  <c r="AN89" i="16"/>
  <c r="AM107" i="9"/>
  <c r="AN107" i="9"/>
  <c r="AM48" i="54"/>
  <c r="AN48" i="54"/>
  <c r="AN83" i="11"/>
  <c r="AM83" i="11"/>
  <c r="AN101" i="13"/>
  <c r="AM101" i="13"/>
  <c r="AM45" i="23"/>
  <c r="AN45" i="23"/>
  <c r="AM35" i="28"/>
  <c r="AN35" i="28"/>
  <c r="AM118" i="16"/>
  <c r="AN118" i="16"/>
  <c r="AM80" i="9"/>
  <c r="AN80" i="9"/>
  <c r="AM48" i="20"/>
  <c r="AN48" i="20"/>
  <c r="AM43" i="26"/>
  <c r="AN43" i="26"/>
  <c r="AM60" i="28"/>
  <c r="AN60" i="28"/>
  <c r="AI53" i="34"/>
  <c r="AJ53" i="34"/>
  <c r="AF53" i="34"/>
  <c r="AB53" i="34"/>
  <c r="AM78" i="13"/>
  <c r="AN78" i="13"/>
  <c r="AM35" i="51"/>
  <c r="AN35" i="51"/>
  <c r="AN99" i="9"/>
  <c r="AM99" i="9"/>
  <c r="AM76" i="11"/>
  <c r="AN76" i="11"/>
  <c r="AM92" i="23"/>
  <c r="AN92" i="23"/>
  <c r="AM41" i="36"/>
  <c r="AN41" i="36"/>
  <c r="AM48" i="36"/>
  <c r="AN48" i="36"/>
  <c r="AK59" i="37"/>
  <c r="AI59" i="37"/>
  <c r="AN58" i="9"/>
  <c r="AM58" i="9"/>
  <c r="AM52" i="9"/>
  <c r="AN52" i="9"/>
  <c r="AM108" i="9"/>
  <c r="AN108" i="9"/>
  <c r="AB126" i="55"/>
  <c r="AI126" i="55"/>
  <c r="AF126" i="55"/>
  <c r="AA127" i="55"/>
  <c r="AN62" i="22"/>
  <c r="AM62" i="22"/>
  <c r="AM41" i="27"/>
  <c r="AN41" i="27"/>
  <c r="AM82" i="23"/>
  <c r="AN82" i="23"/>
  <c r="AM54" i="26"/>
  <c r="AN54" i="26"/>
  <c r="AN48" i="9"/>
  <c r="AM48" i="9"/>
  <c r="AN42" i="16"/>
  <c r="AM42" i="16"/>
  <c r="AM57" i="30"/>
  <c r="AN57" i="30"/>
  <c r="AM43" i="9"/>
  <c r="AN43" i="9"/>
  <c r="AN106" i="13"/>
  <c r="AM106" i="13"/>
  <c r="AM86" i="23"/>
  <c r="AN86" i="23"/>
  <c r="AM57" i="33"/>
  <c r="AN57" i="33"/>
  <c r="AM94" i="16"/>
  <c r="AN94" i="16"/>
  <c r="AN55" i="13"/>
  <c r="AM55" i="13"/>
  <c r="L52" i="37"/>
  <c r="M52" i="37" s="1"/>
  <c r="AM87" i="13"/>
  <c r="AN87" i="13"/>
  <c r="AN89" i="9"/>
  <c r="AM89" i="9"/>
  <c r="AN49" i="51"/>
  <c r="AM49" i="51"/>
  <c r="AI49" i="37"/>
  <c r="AK49" i="37"/>
  <c r="AL48" i="4"/>
  <c r="AN48" i="4"/>
  <c r="AM86" i="51"/>
  <c r="AN86" i="51"/>
  <c r="AN41" i="25"/>
  <c r="AM41" i="25"/>
  <c r="AA61" i="37"/>
  <c r="Z62" i="37"/>
  <c r="AA62" i="37" s="1"/>
  <c r="AH61" i="37"/>
  <c r="AG89" i="37" s="1"/>
  <c r="AE61" i="37"/>
  <c r="AD89" i="37" s="1"/>
  <c r="AM49" i="13"/>
  <c r="AN49" i="13"/>
  <c r="AM45" i="36"/>
  <c r="AN45" i="36"/>
  <c r="AM108" i="54"/>
  <c r="AN108" i="54"/>
  <c r="AM40" i="30"/>
  <c r="AN40" i="30"/>
  <c r="AF65" i="33"/>
  <c r="AI65" i="33"/>
  <c r="AB65" i="33"/>
  <c r="AJ65" i="33"/>
  <c r="AN58" i="34"/>
  <c r="AM58" i="34"/>
  <c r="AL87" i="4"/>
  <c r="AN87" i="4"/>
  <c r="AM39" i="9"/>
  <c r="AN39" i="9"/>
  <c r="AM36" i="13"/>
  <c r="AN36" i="13"/>
  <c r="AM58" i="15"/>
  <c r="AN58" i="15"/>
  <c r="AL47" i="7"/>
  <c r="AN47" i="7"/>
  <c r="Y75" i="37"/>
  <c r="Y86" i="37"/>
  <c r="Y88" i="37" s="1"/>
  <c r="Y82" i="37"/>
  <c r="Y84" i="37" s="1"/>
  <c r="Y85" i="37" s="1"/>
  <c r="AM87" i="51"/>
  <c r="AN87" i="51"/>
  <c r="AM44" i="54"/>
  <c r="AN44" i="54"/>
  <c r="AM35" i="19"/>
  <c r="AN35" i="19"/>
  <c r="AM70" i="26"/>
  <c r="AN70" i="26"/>
  <c r="AB60" i="34"/>
  <c r="AI60" i="34"/>
  <c r="AF60" i="34"/>
  <c r="T75" i="37"/>
  <c r="T86" i="37"/>
  <c r="T88" i="37" s="1"/>
  <c r="T82" i="37"/>
  <c r="T84" i="37" s="1"/>
  <c r="T85" i="37" s="1"/>
  <c r="AM45" i="25"/>
  <c r="AN45" i="25"/>
  <c r="AI77" i="37"/>
  <c r="AK77" i="37"/>
  <c r="AM89" i="51"/>
  <c r="AN89" i="51"/>
  <c r="AN79" i="9"/>
  <c r="AM79" i="9"/>
  <c r="AM59" i="36"/>
  <c r="AN59" i="36"/>
  <c r="AN76" i="9"/>
  <c r="AM76" i="9"/>
  <c r="AN97" i="16"/>
  <c r="AM97" i="16"/>
  <c r="AM100" i="9"/>
  <c r="AN100" i="9"/>
  <c r="AM37" i="21"/>
  <c r="AN37" i="21"/>
  <c r="AC84" i="37" l="1"/>
  <c r="AD82" i="37"/>
  <c r="AA72" i="37"/>
  <c r="AE72" i="37"/>
  <c r="AH72" i="37"/>
  <c r="AN53" i="34"/>
  <c r="AM53" i="34"/>
  <c r="AE71" i="37"/>
  <c r="AA71" i="37"/>
  <c r="AH71" i="37"/>
  <c r="AH64" i="37"/>
  <c r="AA64" i="37"/>
  <c r="AE64" i="37"/>
  <c r="AD86" i="37"/>
  <c r="AC88" i="37"/>
  <c r="AD88" i="37" s="1"/>
  <c r="AI51" i="37"/>
  <c r="AK51" i="37"/>
  <c r="AH59" i="35"/>
  <c r="AI59" i="35"/>
  <c r="AM65" i="33"/>
  <c r="AN65" i="33"/>
  <c r="Z74" i="37"/>
  <c r="N86" i="37"/>
  <c r="N75" i="37"/>
  <c r="N82" i="37"/>
  <c r="L62" i="37"/>
  <c r="M62" i="37" s="1"/>
  <c r="AF86" i="37"/>
  <c r="AG74" i="37"/>
  <c r="AF75" i="37"/>
  <c r="AG75" i="37" s="1"/>
  <c r="AF82" i="37"/>
  <c r="AI61" i="37"/>
  <c r="AK61" i="37"/>
  <c r="AM64" i="33"/>
  <c r="AN64" i="33"/>
  <c r="AM96" i="23"/>
  <c r="AN96" i="23"/>
  <c r="Z86" i="37" l="1"/>
  <c r="N88" i="37"/>
  <c r="Z88" i="37" s="1"/>
  <c r="AF84" i="37"/>
  <c r="AG82" i="37"/>
  <c r="AI64" i="37"/>
  <c r="AK64" i="37"/>
  <c r="AK72" i="37"/>
  <c r="AI72" i="37"/>
  <c r="AH74" i="37"/>
  <c r="Z75" i="37"/>
  <c r="AA75" i="37" s="1"/>
  <c r="AE74" i="37"/>
  <c r="AA74" i="37"/>
  <c r="L75" i="37"/>
  <c r="M75" i="37" s="1"/>
  <c r="AG86" i="37"/>
  <c r="AF88" i="37"/>
  <c r="AG88" i="37" s="1"/>
  <c r="Z82" i="37"/>
  <c r="N84" i="37"/>
  <c r="AI71" i="37"/>
  <c r="AK71" i="37"/>
  <c r="AD84" i="37"/>
  <c r="AC85" i="37"/>
  <c r="AD85" i="37" s="1"/>
  <c r="AE82" i="37" l="1"/>
  <c r="AH82" i="37"/>
  <c r="AA82" i="37"/>
  <c r="AI74" i="37"/>
  <c r="AK74" i="37"/>
  <c r="AF85" i="37"/>
  <c r="AG85" i="37" s="1"/>
  <c r="AG84" i="37"/>
  <c r="AE88" i="37"/>
  <c r="AA88" i="37"/>
  <c r="AH88" i="37"/>
  <c r="N85" i="37"/>
  <c r="Z84" i="37"/>
  <c r="AH86" i="37"/>
  <c r="AE86" i="37"/>
  <c r="AA86" i="37"/>
  <c r="AE84" i="37" l="1"/>
  <c r="Z85" i="37"/>
  <c r="AA85" i="37" s="1"/>
  <c r="AA84" i="37"/>
  <c r="AH84" i="37"/>
  <c r="L85" i="37"/>
  <c r="M85" i="37" s="1"/>
  <c r="AI82" i="37"/>
  <c r="AK82" i="37"/>
  <c r="AI84" i="37" l="1"/>
  <c r="AK84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01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02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K32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ekrolik:</t>
        </r>
        <r>
          <rPr>
            <sz val="9"/>
            <color indexed="81"/>
            <rFont val="Tahoma"/>
            <family val="2"/>
          </rPr>
          <t xml:space="preserve">
Drill Down Indicator.  Double Click to drill into additional detail.</t>
        </r>
      </text>
    </comment>
    <comment ref="B59" authorId="0" shapeId="0" xr:uid="{00000000-0006-0000-0200-000003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04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K32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ekrolik:</t>
        </r>
        <r>
          <rPr>
            <sz val="9"/>
            <color indexed="81"/>
            <rFont val="Tahoma"/>
            <family val="2"/>
          </rPr>
          <t xml:space="preserve">
Drill Down Indicator.  Double Click to drill into additional detail.</t>
        </r>
      </text>
    </comment>
    <comment ref="B72" authorId="0" shapeId="0" xr:uid="{00000000-0006-0000-0400-000003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05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C29" authorId="0" shapeId="0" xr:uid="{00000000-0006-0000-0500-000002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K32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ekrolik:</t>
        </r>
        <r>
          <rPr>
            <sz val="9"/>
            <color indexed="81"/>
            <rFont val="Tahoma"/>
            <family val="2"/>
          </rPr>
          <t xml:space="preserve">
Drill Down Indicator.  Double Click to drill into additional detail.</t>
        </r>
      </text>
    </comment>
    <comment ref="B51" authorId="0" shapeId="0" xr:uid="{00000000-0006-0000-0500-000004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B84" authorId="0" shapeId="0" xr:uid="{00000000-0006-0000-0500-000005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06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07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K32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ekrolik:</t>
        </r>
        <r>
          <rPr>
            <sz val="9"/>
            <color indexed="81"/>
            <rFont val="Tahoma"/>
            <family val="2"/>
          </rPr>
          <t xml:space="preserve">
Drill Down Indicator.  Double Click to drill into additional detail.</t>
        </r>
      </text>
    </comment>
    <comment ref="B62" authorId="0" shapeId="0" xr:uid="{00000000-0006-0000-0700-000003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B95" authorId="0" shapeId="0" xr:uid="{00000000-0006-0000-0700-000004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08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09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K32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ekrolik:</t>
        </r>
        <r>
          <rPr>
            <sz val="9"/>
            <color indexed="81"/>
            <rFont val="Tahoma"/>
            <family val="2"/>
          </rPr>
          <t xml:space="preserve">
Drill Down Indicator.  Double Click to drill into additional detail.</t>
        </r>
      </text>
    </comment>
    <comment ref="B62" authorId="0" shapeId="0" xr:uid="{00000000-0006-0000-0900-000003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B95" authorId="0" shapeId="0" xr:uid="{00000000-0006-0000-0900-000004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0A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0B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K32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ekrolik:</t>
        </r>
        <r>
          <rPr>
            <sz val="9"/>
            <color indexed="81"/>
            <rFont val="Tahoma"/>
            <family val="2"/>
          </rPr>
          <t xml:space="preserve">
Drill Down Indicator.  Double Click to drill into additional detail.</t>
        </r>
      </text>
    </comment>
    <comment ref="B62" authorId="0" shapeId="0" xr:uid="{00000000-0006-0000-0B00-000003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B95" authorId="0" shapeId="0" xr:uid="{00000000-0006-0000-0B00-000004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0C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0D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K32" authorId="0" shapeId="0" xr:uid="{00000000-0006-0000-0D00-000002000000}">
      <text>
        <r>
          <rPr>
            <b/>
            <sz val="9"/>
            <color indexed="81"/>
            <rFont val="Tahoma"/>
            <family val="2"/>
          </rPr>
          <t>ekrolik:</t>
        </r>
        <r>
          <rPr>
            <sz val="9"/>
            <color indexed="81"/>
            <rFont val="Tahoma"/>
            <family val="2"/>
          </rPr>
          <t xml:space="preserve">
Drill Down Indicator.  Double Click to drill into additional detail.</t>
        </r>
      </text>
    </comment>
    <comment ref="B62" authorId="0" shapeId="0" xr:uid="{00000000-0006-0000-0D00-000003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B95" authorId="0" shapeId="0" xr:uid="{00000000-0006-0000-0D00-000004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0E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0F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K32" authorId="0" shapeId="0" xr:uid="{00000000-0006-0000-0F00-000002000000}">
      <text>
        <r>
          <rPr>
            <b/>
            <sz val="9"/>
            <color indexed="81"/>
            <rFont val="Tahoma"/>
            <family val="2"/>
          </rPr>
          <t>ekrolik:</t>
        </r>
        <r>
          <rPr>
            <sz val="9"/>
            <color indexed="81"/>
            <rFont val="Tahoma"/>
            <family val="2"/>
          </rPr>
          <t xml:space="preserve">
Drill Down Indicator.  Double Click to drill into additional detail.</t>
        </r>
      </text>
    </comment>
    <comment ref="B62" authorId="0" shapeId="0" xr:uid="{00000000-0006-0000-0F00-000003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B95" authorId="0" shapeId="0" xr:uid="{00000000-0006-0000-0F00-000004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10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11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K32" authorId="0" shapeId="0" xr:uid="{00000000-0006-0000-1100-000002000000}">
      <text>
        <r>
          <rPr>
            <b/>
            <sz val="9"/>
            <color indexed="81"/>
            <rFont val="Tahoma"/>
            <family val="2"/>
          </rPr>
          <t>ekrolik:</t>
        </r>
        <r>
          <rPr>
            <sz val="9"/>
            <color indexed="81"/>
            <rFont val="Tahoma"/>
            <family val="2"/>
          </rPr>
          <t xml:space="preserve">
Drill Down Indicator.  Double Click to drill into additional detail.</t>
        </r>
      </text>
    </comment>
    <comment ref="B62" authorId="0" shapeId="0" xr:uid="{00000000-0006-0000-1100-000003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B95" authorId="0" shapeId="0" xr:uid="{00000000-0006-0000-1100-000004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12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13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K32" authorId="0" shapeId="0" xr:uid="{00000000-0006-0000-1300-000002000000}">
      <text>
        <r>
          <rPr>
            <b/>
            <sz val="9"/>
            <color indexed="81"/>
            <rFont val="Tahoma"/>
            <family val="2"/>
          </rPr>
          <t>ekrolik:</t>
        </r>
        <r>
          <rPr>
            <sz val="9"/>
            <color indexed="81"/>
            <rFont val="Tahoma"/>
            <family val="2"/>
          </rPr>
          <t xml:space="preserve">
Drill Down Indicator.  Double Click to drill into additional detail.</t>
        </r>
      </text>
    </comment>
    <comment ref="B62" authorId="0" shapeId="0" xr:uid="{00000000-0006-0000-1300-000003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B95" authorId="0" shapeId="0" xr:uid="{00000000-0006-0000-1300-000004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14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15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K32" authorId="0" shapeId="0" xr:uid="{00000000-0006-0000-1500-000002000000}">
      <text>
        <r>
          <rPr>
            <b/>
            <sz val="9"/>
            <color indexed="81"/>
            <rFont val="Tahoma"/>
            <family val="2"/>
          </rPr>
          <t>ekrolik:</t>
        </r>
        <r>
          <rPr>
            <sz val="9"/>
            <color indexed="81"/>
            <rFont val="Tahoma"/>
            <family val="2"/>
          </rPr>
          <t xml:space="preserve">
Drill Down Indicator.  Double Click to drill into additional detail.</t>
        </r>
      </text>
    </comment>
    <comment ref="B61" authorId="0" shapeId="0" xr:uid="{00000000-0006-0000-1500-000003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B93" authorId="0" shapeId="0" xr:uid="{00000000-0006-0000-1500-000004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16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C29" authorId="0" shapeId="0" xr:uid="{00000000-0006-0000-1600-000002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17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K32" authorId="0" shapeId="0" xr:uid="{00000000-0006-0000-1700-000002000000}">
      <text>
        <r>
          <rPr>
            <b/>
            <sz val="9"/>
            <color indexed="81"/>
            <rFont val="Tahoma"/>
            <family val="2"/>
          </rPr>
          <t>ekrolik:</t>
        </r>
        <r>
          <rPr>
            <sz val="9"/>
            <color indexed="81"/>
            <rFont val="Tahoma"/>
            <family val="2"/>
          </rPr>
          <t xml:space="preserve">
Drill Down Indicator.  Double Click to drill into additional detail.</t>
        </r>
      </text>
    </comment>
    <comment ref="B58" authorId="0" shapeId="0" xr:uid="{00000000-0006-0000-1700-000003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B87" authorId="0" shapeId="0" xr:uid="{00000000-0006-0000-1700-000004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18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K32" authorId="0" shapeId="0" xr:uid="{00000000-0006-0000-1800-000002000000}">
      <text>
        <r>
          <rPr>
            <b/>
            <sz val="9"/>
            <color indexed="81"/>
            <rFont val="Tahoma"/>
            <family val="2"/>
          </rPr>
          <t>ekrolik:</t>
        </r>
        <r>
          <rPr>
            <sz val="9"/>
            <color indexed="81"/>
            <rFont val="Tahoma"/>
            <family val="2"/>
          </rPr>
          <t xml:space="preserve">
Drill Down Indicator.  Double Click to drill into additional detail.</t>
        </r>
      </text>
    </comment>
    <comment ref="B58" authorId="0" shapeId="0" xr:uid="{00000000-0006-0000-1800-000003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B86" authorId="0" shapeId="0" xr:uid="{00000000-0006-0000-1800-000004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19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K32" authorId="0" shapeId="0" xr:uid="{00000000-0006-0000-1900-000002000000}">
      <text>
        <r>
          <rPr>
            <b/>
            <sz val="9"/>
            <color indexed="81"/>
            <rFont val="Tahoma"/>
            <family val="2"/>
          </rPr>
          <t>ekrolik:</t>
        </r>
        <r>
          <rPr>
            <sz val="9"/>
            <color indexed="81"/>
            <rFont val="Tahoma"/>
            <family val="2"/>
          </rPr>
          <t xml:space="preserve">
Drill Down Indicator.  Double Click to drill into additional detail.</t>
        </r>
      </text>
    </comment>
    <comment ref="B58" authorId="0" shapeId="0" xr:uid="{00000000-0006-0000-1900-000003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B86" authorId="0" shapeId="0" xr:uid="{00000000-0006-0000-1900-000004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1A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K32" authorId="0" shapeId="0" xr:uid="{00000000-0006-0000-1A00-000002000000}">
      <text>
        <r>
          <rPr>
            <b/>
            <sz val="9"/>
            <color indexed="81"/>
            <rFont val="Tahoma"/>
            <family val="2"/>
          </rPr>
          <t>ekrolik:</t>
        </r>
        <r>
          <rPr>
            <sz val="9"/>
            <color indexed="81"/>
            <rFont val="Tahoma"/>
            <family val="2"/>
          </rPr>
          <t xml:space="preserve">
Drill Down Indicator.  Double Click to drill into additional detail.</t>
        </r>
      </text>
    </comment>
    <comment ref="B57" authorId="0" shapeId="0" xr:uid="{00000000-0006-0000-1A00-000003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B85" authorId="0" shapeId="0" xr:uid="{00000000-0006-0000-1A00-000004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1B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K32" authorId="0" shapeId="0" xr:uid="{00000000-0006-0000-1B00-000002000000}">
      <text>
        <r>
          <rPr>
            <b/>
            <sz val="9"/>
            <color indexed="81"/>
            <rFont val="Tahoma"/>
            <family val="2"/>
          </rPr>
          <t>ekrolik:</t>
        </r>
        <r>
          <rPr>
            <sz val="9"/>
            <color indexed="81"/>
            <rFont val="Tahoma"/>
            <family val="2"/>
          </rPr>
          <t xml:space="preserve">
Drill Down Indicator.  Double Click to drill into additional detail.</t>
        </r>
      </text>
    </comment>
    <comment ref="B58" authorId="0" shapeId="0" xr:uid="{00000000-0006-0000-1B00-000003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B86" authorId="0" shapeId="0" xr:uid="{00000000-0006-0000-1B00-000004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1C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K32" authorId="0" shapeId="0" xr:uid="{00000000-0006-0000-1C00-000002000000}">
      <text>
        <r>
          <rPr>
            <b/>
            <sz val="9"/>
            <color indexed="81"/>
            <rFont val="Tahoma"/>
            <family val="2"/>
          </rPr>
          <t>ekrolik:</t>
        </r>
        <r>
          <rPr>
            <sz val="9"/>
            <color indexed="81"/>
            <rFont val="Tahoma"/>
            <family val="2"/>
          </rPr>
          <t xml:space="preserve">
Drill Down Indicator.  Double Click to drill into additional detail.</t>
        </r>
      </text>
    </comment>
    <comment ref="B51" authorId="0" shapeId="0" xr:uid="{00000000-0006-0000-1C00-000003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1D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K32" authorId="0" shapeId="0" xr:uid="{00000000-0006-0000-1D00-000002000000}">
      <text>
        <r>
          <rPr>
            <b/>
            <sz val="9"/>
            <color indexed="81"/>
            <rFont val="Tahoma"/>
            <family val="2"/>
          </rPr>
          <t>ekrolik:</t>
        </r>
        <r>
          <rPr>
            <sz val="9"/>
            <color indexed="81"/>
            <rFont val="Tahoma"/>
            <family val="2"/>
          </rPr>
          <t xml:space="preserve">
Drill Down Indicator.  Double Click to drill into additional detail.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1E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C29" authorId="0" shapeId="0" xr:uid="{00000000-0006-0000-1E00-000002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K32" authorId="0" shapeId="0" xr:uid="{00000000-0006-0000-1E00-000003000000}">
      <text>
        <r>
          <rPr>
            <b/>
            <sz val="9"/>
            <color indexed="81"/>
            <rFont val="Tahoma"/>
            <family val="2"/>
          </rPr>
          <t>ekrolik:</t>
        </r>
        <r>
          <rPr>
            <sz val="9"/>
            <color indexed="81"/>
            <rFont val="Tahoma"/>
            <family val="2"/>
          </rPr>
          <t xml:space="preserve">
Drill Down Indicator.  Double Click to drill into additional detail.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1F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K32" authorId="0" shapeId="0" xr:uid="{00000000-0006-0000-1F00-000002000000}">
      <text>
        <r>
          <rPr>
            <b/>
            <sz val="9"/>
            <color indexed="81"/>
            <rFont val="Tahoma"/>
            <family val="2"/>
          </rPr>
          <t>ekrolik:</t>
        </r>
        <r>
          <rPr>
            <sz val="9"/>
            <color indexed="81"/>
            <rFont val="Tahoma"/>
            <family val="2"/>
          </rPr>
          <t xml:space="preserve">
Drill Down Indicator.  Double Click to drill into additional detail.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20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K32" authorId="0" shapeId="0" xr:uid="{00000000-0006-0000-2000-000002000000}">
      <text>
        <r>
          <rPr>
            <b/>
            <sz val="9"/>
            <color indexed="81"/>
            <rFont val="Tahoma"/>
            <family val="2"/>
          </rPr>
          <t>ekrolik:</t>
        </r>
        <r>
          <rPr>
            <sz val="9"/>
            <color indexed="81"/>
            <rFont val="Tahoma"/>
            <family val="2"/>
          </rPr>
          <t xml:space="preserve">
Drill Down Indicator.  Double Click to drill into additional detail.</t>
        </r>
      </text>
    </comment>
    <comment ref="B60" authorId="0" shapeId="0" xr:uid="{00000000-0006-0000-2000-000003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B83" authorId="0" shapeId="0" xr:uid="{00000000-0006-0000-2000-000004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21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K32" authorId="0" shapeId="0" xr:uid="{00000000-0006-0000-2100-000002000000}">
      <text>
        <r>
          <rPr>
            <b/>
            <sz val="9"/>
            <color indexed="81"/>
            <rFont val="Tahoma"/>
            <family val="2"/>
          </rPr>
          <t>ekrolik:</t>
        </r>
        <r>
          <rPr>
            <sz val="9"/>
            <color indexed="81"/>
            <rFont val="Tahoma"/>
            <family val="2"/>
          </rPr>
          <t xml:space="preserve">
Drill Down Indicator.  Double Click to drill into additional detail.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22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K32" authorId="0" shapeId="0" xr:uid="{00000000-0006-0000-2200-000002000000}">
      <text>
        <r>
          <rPr>
            <b/>
            <sz val="9"/>
            <color indexed="81"/>
            <rFont val="Tahoma"/>
            <family val="2"/>
          </rPr>
          <t>ekrolik:</t>
        </r>
        <r>
          <rPr>
            <sz val="9"/>
            <color indexed="81"/>
            <rFont val="Tahoma"/>
            <family val="2"/>
          </rPr>
          <t xml:space="preserve">
Drill Down Indicator.  Double Click to drill into additional detail.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23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K32" authorId="0" shapeId="0" xr:uid="{00000000-0006-0000-2300-000002000000}">
      <text>
        <r>
          <rPr>
            <b/>
            <sz val="9"/>
            <color indexed="81"/>
            <rFont val="Tahoma"/>
            <family val="2"/>
          </rPr>
          <t>ekrolik:</t>
        </r>
        <r>
          <rPr>
            <sz val="9"/>
            <color indexed="81"/>
            <rFont val="Tahoma"/>
            <family val="2"/>
          </rPr>
          <t xml:space="preserve">
Drill Down Indicator.  Double Click to drill into additional detail.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24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K32" authorId="0" shapeId="0" xr:uid="{00000000-0006-0000-2400-000002000000}">
      <text>
        <r>
          <rPr>
            <b/>
            <sz val="9"/>
            <color indexed="81"/>
            <rFont val="Tahoma"/>
            <family val="2"/>
          </rPr>
          <t>ekrolik:</t>
        </r>
        <r>
          <rPr>
            <sz val="9"/>
            <color indexed="81"/>
            <rFont val="Tahoma"/>
            <family val="2"/>
          </rPr>
          <t xml:space="preserve">
Drill Down Indicator.  Double Click to drill into additional detail.</t>
        </r>
      </text>
    </comment>
  </commentList>
</comments>
</file>

<file path=xl/comments3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25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K32" authorId="0" shapeId="0" xr:uid="{00000000-0006-0000-2500-000002000000}">
      <text>
        <r>
          <rPr>
            <b/>
            <sz val="9"/>
            <color indexed="81"/>
            <rFont val="Tahoma"/>
            <family val="2"/>
          </rPr>
          <t>ekrolik:</t>
        </r>
        <r>
          <rPr>
            <sz val="9"/>
            <color indexed="81"/>
            <rFont val="Tahoma"/>
            <family val="2"/>
          </rPr>
          <t xml:space="preserve">
Drill Down Indicator.  Double Click to drill into additional detail.</t>
        </r>
      </text>
    </comment>
  </commentList>
</comments>
</file>

<file path=xl/comments3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26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K32" authorId="0" shapeId="0" xr:uid="{00000000-0006-0000-2600-000002000000}">
      <text>
        <r>
          <rPr>
            <b/>
            <sz val="9"/>
            <color indexed="81"/>
            <rFont val="Tahoma"/>
            <family val="2"/>
          </rPr>
          <t>ekrolik:</t>
        </r>
        <r>
          <rPr>
            <sz val="9"/>
            <color indexed="81"/>
            <rFont val="Tahoma"/>
            <family val="2"/>
          </rPr>
          <t xml:space="preserve">
Drill Down Indicator.  Double Click to drill into additional detail.</t>
        </r>
      </text>
    </comment>
    <comment ref="B73" authorId="0" shapeId="0" xr:uid="{00000000-0006-0000-2600-000003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</commentList>
</comments>
</file>

<file path=xl/comments3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27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K32" authorId="0" shapeId="0" xr:uid="{00000000-0006-0000-2700-000002000000}">
      <text>
        <r>
          <rPr>
            <b/>
            <sz val="9"/>
            <color indexed="81"/>
            <rFont val="Tahoma"/>
            <family val="2"/>
          </rPr>
          <t>ekrolik:</t>
        </r>
        <r>
          <rPr>
            <sz val="9"/>
            <color indexed="81"/>
            <rFont val="Tahoma"/>
            <family val="2"/>
          </rPr>
          <t xml:space="preserve">
Drill Down Indicator.  Double Click to drill into additional detail.</t>
        </r>
      </text>
    </comment>
    <comment ref="B60" authorId="0" shapeId="0" xr:uid="{00000000-0006-0000-2700-000003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</commentList>
</comments>
</file>

<file path=xl/comments3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ekrolik</author>
  </authors>
  <commentList>
    <comment ref="B29" authorId="0" shapeId="0" xr:uid="{00000000-0006-0000-2800-000001000000}">
      <text>
        <r>
          <rPr>
            <sz val="9"/>
            <color indexed="81"/>
            <rFont val="Tahoma"/>
            <family val="2"/>
          </rPr>
          <t>Right-click to build filter</t>
        </r>
      </text>
    </comment>
    <comment ref="K32" authorId="0" shapeId="0" xr:uid="{00000000-0006-0000-2800-000002000000}">
      <text>
        <r>
          <rPr>
            <b/>
            <sz val="9"/>
            <color indexed="81"/>
            <rFont val="Tahoma"/>
            <family val="2"/>
          </rPr>
          <t>ekrolik:</t>
        </r>
        <r>
          <rPr>
            <sz val="9"/>
            <color indexed="81"/>
            <rFont val="Tahoma"/>
            <family val="2"/>
          </rPr>
          <t xml:space="preserve">
Drill Down Indicator.  Double Click to drill into additional detail.</t>
        </r>
      </text>
    </comment>
  </commentList>
</comments>
</file>

<file path=xl/sharedStrings.xml><?xml version="1.0" encoding="utf-8"?>
<sst xmlns="http://schemas.openxmlformats.org/spreadsheetml/2006/main" count="10475" uniqueCount="924">
  <si>
    <t>RANGE</t>
  </si>
  <si>
    <t>VALUE</t>
  </si>
  <si>
    <t>PageKeyRange</t>
  </si>
  <si>
    <t>ColKeyRange</t>
  </si>
  <si>
    <t>RowKeyRange</t>
  </si>
  <si>
    <t>CellKeyRange</t>
  </si>
  <si>
    <t>GetOnlyRange</t>
  </si>
  <si>
    <t>FormatRange</t>
  </si>
  <si>
    <t>SortRange</t>
  </si>
  <si>
    <t>PARAMETER</t>
  </si>
  <si>
    <t>EXPANSION 1</t>
  </si>
  <si>
    <t>ExpandIn</t>
  </si>
  <si>
    <t>Dimension</t>
  </si>
  <si>
    <t>MemberSet</t>
  </si>
  <si>
    <t>BeforeRange</t>
  </si>
  <si>
    <t>AfterRange</t>
  </si>
  <si>
    <t>Suppress</t>
  </si>
  <si>
    <t>Insert</t>
  </si>
  <si>
    <t>TIME</t>
  </si>
  <si>
    <t>CATEGORY</t>
  </si>
  <si>
    <t>MEASURES</t>
  </si>
  <si>
    <t>ROW</t>
  </si>
  <si>
    <t>ACCOUNT</t>
  </si>
  <si>
    <t>Option</t>
  </si>
  <si>
    <t>Value</t>
  </si>
  <si>
    <t>AutoFitCol</t>
  </si>
  <si>
    <t>Bottom</t>
  </si>
  <si>
    <t>DumpDataCache</t>
  </si>
  <si>
    <t>ExpandOnly</t>
  </si>
  <si>
    <t>GroupExpansion</t>
  </si>
  <si>
    <t>HideColKeys</t>
  </si>
  <si>
    <t>HideRowKeys</t>
  </si>
  <si>
    <t>NoRefresh</t>
  </si>
  <si>
    <t>NoSend</t>
  </si>
  <si>
    <t>PctInput</t>
  </si>
  <si>
    <t>QueryEngine</t>
  </si>
  <si>
    <t>QueryType</t>
  </si>
  <si>
    <t>QueryViewName</t>
  </si>
  <si>
    <t>ShowComments</t>
  </si>
  <si>
    <t>ShowNullAsZero</t>
  </si>
  <si>
    <t>SortCol</t>
  </si>
  <si>
    <t>SqlOnly</t>
  </si>
  <si>
    <t>SumParent</t>
  </si>
  <si>
    <t>SuppressDataCol</t>
  </si>
  <si>
    <t>SuppressDataRow</t>
  </si>
  <si>
    <t>SuppressNoData</t>
  </si>
  <si>
    <t>Top</t>
  </si>
  <si>
    <t>OptionRange</t>
  </si>
  <si>
    <t>App</t>
  </si>
  <si>
    <t>FINANCE</t>
  </si>
  <si>
    <t>BUSINESSUNIT</t>
  </si>
  <si>
    <t>DATASRC</t>
  </si>
  <si>
    <t>DEPARTMENT</t>
  </si>
  <si>
    <t>INTCO</t>
  </si>
  <si>
    <t>RPTCURRENCY</t>
  </si>
  <si>
    <t>PERIODIC</t>
  </si>
  <si>
    <t>GOI</t>
  </si>
  <si>
    <t>$</t>
  </si>
  <si>
    <t>%</t>
  </si>
  <si>
    <t>TOTALADJ</t>
  </si>
  <si>
    <t>D_ROOMS_CON</t>
  </si>
  <si>
    <t>All_InterCo</t>
  </si>
  <si>
    <t>LC</t>
  </si>
  <si>
    <t>YTD</t>
  </si>
  <si>
    <t>401000</t>
  </si>
  <si>
    <t>402200</t>
  </si>
  <si>
    <t>402000</t>
  </si>
  <si>
    <t>403000</t>
  </si>
  <si>
    <t>401200</t>
  </si>
  <si>
    <t>REV</t>
  </si>
  <si>
    <t>TRANSRR</t>
  </si>
  <si>
    <t>GROUPRR</t>
  </si>
  <si>
    <t>ROOMS_TOT</t>
  </si>
  <si>
    <t>LABORRL</t>
  </si>
  <si>
    <t>SALWAG</t>
  </si>
  <si>
    <t>NONMGMT</t>
  </si>
  <si>
    <t>600000</t>
  </si>
  <si>
    <t>710000</t>
  </si>
  <si>
    <t>Y</t>
  </si>
  <si>
    <t>700000</t>
  </si>
  <si>
    <t>TOTDEPTEXP</t>
  </si>
  <si>
    <t>TOTDEPTPL</t>
  </si>
  <si>
    <t>OTHR_EXP</t>
  </si>
  <si>
    <t>R_RETAIL</t>
  </si>
  <si>
    <t>R_DISCNT</t>
  </si>
  <si>
    <t>R_NEGOT</t>
  </si>
  <si>
    <t>R_QUALF</t>
  </si>
  <si>
    <t>R_CORP</t>
  </si>
  <si>
    <t>R_ASSCN</t>
  </si>
  <si>
    <t>401800</t>
  </si>
  <si>
    <t>R_TOURW</t>
  </si>
  <si>
    <t>403990</t>
  </si>
  <si>
    <t>CRITERIA</t>
  </si>
  <si>
    <t>EVALUATE IN</t>
  </si>
  <si>
    <t>FORMAT</t>
  </si>
  <si>
    <t>USE</t>
  </si>
  <si>
    <t>PARAMETERS</t>
  </si>
  <si>
    <t>APPLY TO</t>
  </si>
  <si>
    <t>HEADING</t>
  </si>
  <si>
    <t>DATA</t>
  </si>
  <si>
    <t>ACCOUNT.STYLE=B1</t>
  </si>
  <si>
    <t>abc</t>
  </si>
  <si>
    <t>ACCOUNT.STYLE=T4</t>
  </si>
  <si>
    <t>INDENTLEVEL</t>
  </si>
  <si>
    <t>ACCOUNT.STYLE=T5</t>
  </si>
  <si>
    <t>ACCOUNT.STYLE=N</t>
  </si>
  <si>
    <t>FONTBOLD,INDENTLEVEL</t>
  </si>
  <si>
    <t>FONTBOLD,FRAME</t>
  </si>
  <si>
    <t>ACCOUNT.STYLE=T3</t>
  </si>
  <si>
    <t>ACCOUNT.STYLE=T2</t>
  </si>
  <si>
    <t>ACCOUNT.STYLE=T1</t>
  </si>
  <si>
    <t>DEP(700000)</t>
  </si>
  <si>
    <t>&lt;=== Select Category</t>
  </si>
  <si>
    <t>Double-click shaded cells to make selection</t>
  </si>
  <si>
    <t>&lt;=== Do not Delete</t>
  </si>
  <si>
    <t>Current Year</t>
  </si>
  <si>
    <t>TOTAL</t>
  </si>
  <si>
    <t>&gt;</t>
  </si>
  <si>
    <t>DEP(402000),402000,GROUPRR,DEP(401000),401000,R_CONTRACT,403000,403990,ROOMS_TOT</t>
  </si>
  <si>
    <t>R_CONTRACT</t>
  </si>
  <si>
    <t>(Drill Down Indicator - Double Click)</t>
  </si>
  <si>
    <t>402100</t>
  </si>
  <si>
    <t>402130</t>
  </si>
  <si>
    <t>402530</t>
  </si>
  <si>
    <t>402500</t>
  </si>
  <si>
    <t>402540</t>
  </si>
  <si>
    <t>402550</t>
  </si>
  <si>
    <t>402560</t>
  </si>
  <si>
    <t>402600</t>
  </si>
  <si>
    <t>402300</t>
  </si>
  <si>
    <t>402350</t>
  </si>
  <si>
    <t>402400</t>
  </si>
  <si>
    <t>402700</t>
  </si>
  <si>
    <t>402730</t>
  </si>
  <si>
    <t>401100</t>
  </si>
  <si>
    <t>401500</t>
  </si>
  <si>
    <t>401400</t>
  </si>
  <si>
    <t>401600</t>
  </si>
  <si>
    <t>401300</t>
  </si>
  <si>
    <t>401330</t>
  </si>
  <si>
    <t>401700</t>
  </si>
  <si>
    <t>902000</t>
  </si>
  <si>
    <t>S_RETAIL</t>
  </si>
  <si>
    <t>902100</t>
  </si>
  <si>
    <t>902130</t>
  </si>
  <si>
    <t>S_DISCNT</t>
  </si>
  <si>
    <t>902530</t>
  </si>
  <si>
    <t>902500</t>
  </si>
  <si>
    <t>902540</t>
  </si>
  <si>
    <t>902550</t>
  </si>
  <si>
    <t>902560</t>
  </si>
  <si>
    <t>902600</t>
  </si>
  <si>
    <t>S_NEGOT</t>
  </si>
  <si>
    <t>902300</t>
  </si>
  <si>
    <t>902350</t>
  </si>
  <si>
    <t>902200</t>
  </si>
  <si>
    <t>S_QUALF</t>
  </si>
  <si>
    <t>902700</t>
  </si>
  <si>
    <t>902730</t>
  </si>
  <si>
    <t>902400</t>
  </si>
  <si>
    <t>901000</t>
  </si>
  <si>
    <t>S_CORP</t>
  </si>
  <si>
    <t>901100</t>
  </si>
  <si>
    <t>901500</t>
  </si>
  <si>
    <t>S_ASSCN</t>
  </si>
  <si>
    <t>901200</t>
  </si>
  <si>
    <t>901600</t>
  </si>
  <si>
    <t>901800</t>
  </si>
  <si>
    <t>S_TOURW</t>
  </si>
  <si>
    <t>901300</t>
  </si>
  <si>
    <t>901330</t>
  </si>
  <si>
    <t>901400</t>
  </si>
  <si>
    <t>901700</t>
  </si>
  <si>
    <t>R_STAT</t>
  </si>
  <si>
    <t>900200</t>
  </si>
  <si>
    <t>BLANKROW</t>
  </si>
  <si>
    <t>903100</t>
  </si>
  <si>
    <t>ADR_INDT</t>
  </si>
  <si>
    <t>ADR_GROP</t>
  </si>
  <si>
    <t>ADR_CORPT</t>
  </si>
  <si>
    <t>ADR_CORP</t>
  </si>
  <si>
    <t>ADR_ENTR</t>
  </si>
  <si>
    <t>ADR_ASSCN</t>
  </si>
  <si>
    <t>ADR_ASSC</t>
  </si>
  <si>
    <t>ADR_CONV</t>
  </si>
  <si>
    <t>ADR_GGOV</t>
  </si>
  <si>
    <t>ADR_TOURW</t>
  </si>
  <si>
    <t>ADR_WHTT</t>
  </si>
  <si>
    <t>ADR_MICE</t>
  </si>
  <si>
    <t>ADR_SMERF</t>
  </si>
  <si>
    <t>ADR_RETAIL</t>
  </si>
  <si>
    <t>ADR_ROOM</t>
  </si>
  <si>
    <t>ADR_RWEB</t>
  </si>
  <si>
    <t>ADR_DISCNT</t>
  </si>
  <si>
    <t>ADR_PACK</t>
  </si>
  <si>
    <t>ADR_OTA</t>
  </si>
  <si>
    <t>ADR_BMPRO</t>
  </si>
  <si>
    <t>ADR_ADVPR</t>
  </si>
  <si>
    <t>ADR_LDISCNT</t>
  </si>
  <si>
    <t>ADR_PAPR</t>
  </si>
  <si>
    <t>ADR_NEGOT</t>
  </si>
  <si>
    <t>ADR_CONS</t>
  </si>
  <si>
    <t>ADR_NNEG</t>
  </si>
  <si>
    <t>ADR_LNEG</t>
  </si>
  <si>
    <t>ADR_QUALF</t>
  </si>
  <si>
    <t>ADR_QUDI</t>
  </si>
  <si>
    <t>ADR_TGOV</t>
  </si>
  <si>
    <t>ADR_WHOL</t>
  </si>
  <si>
    <t>KPI_ADR</t>
  </si>
  <si>
    <t>DEFAULT</t>
  </si>
  <si>
    <t>ADR_CONT</t>
  </si>
  <si>
    <t>904100</t>
  </si>
  <si>
    <t>905100</t>
  </si>
  <si>
    <t>905200</t>
  </si>
  <si>
    <t>905300</t>
  </si>
  <si>
    <t>906100</t>
  </si>
  <si>
    <t>907100</t>
  </si>
  <si>
    <t>907200</t>
  </si>
  <si>
    <t>907300</t>
  </si>
  <si>
    <t>Market Mix Analysis</t>
  </si>
  <si>
    <t>710150</t>
  </si>
  <si>
    <t>710140</t>
  </si>
  <si>
    <t>710145</t>
  </si>
  <si>
    <t>710160</t>
  </si>
  <si>
    <t>710170</t>
  </si>
  <si>
    <t>710180</t>
  </si>
  <si>
    <t>710190</t>
  </si>
  <si>
    <t>TLFEE</t>
  </si>
  <si>
    <t>TLCST</t>
  </si>
  <si>
    <t>TLOTHR</t>
  </si>
  <si>
    <t>910200</t>
  </si>
  <si>
    <t>RESATHOTEL</t>
  </si>
  <si>
    <t>910220</t>
  </si>
  <si>
    <t>910230</t>
  </si>
  <si>
    <t>910240</t>
  </si>
  <si>
    <t>910250</t>
  </si>
  <si>
    <t>TLNETRES</t>
  </si>
  <si>
    <t>D_RESV_CON</t>
  </si>
  <si>
    <t>910200,BLANKROW,DEP(TLNETRES),TLNETRES</t>
  </si>
  <si>
    <t>RESVEXP</t>
  </si>
  <si>
    <t>RESVSTAT</t>
  </si>
  <si>
    <t>OTHRESV</t>
  </si>
  <si>
    <t>Reservations Operating Expenses</t>
  </si>
  <si>
    <t>Total Reservations Expense</t>
  </si>
  <si>
    <t>ACCOUNT.ID=710000</t>
  </si>
  <si>
    <t>CRS Fee Per Call</t>
  </si>
  <si>
    <t>Net Booking Fee Per Reservation</t>
  </si>
  <si>
    <t>Kimpton Fee Per Available Room</t>
  </si>
  <si>
    <t>GDS Cost Per Reservation</t>
  </si>
  <si>
    <t>Hotel Website Fee Per Reservation</t>
  </si>
  <si>
    <t>E-Channel Fee Per Reservation</t>
  </si>
  <si>
    <t>Total Res. Exp. Per Reservation</t>
  </si>
  <si>
    <t>Payroll Cost Per Total Net Reservation</t>
  </si>
  <si>
    <t>Total Cost Per Net Reservation</t>
  </si>
  <si>
    <t>D1120</t>
  </si>
  <si>
    <t>CURRENT</t>
  </si>
  <si>
    <t>DEP(TLFEE),TLFEE,DEP(TLOTHR),TLOTHR,710000</t>
  </si>
  <si>
    <t>S_TRMSLD</t>
  </si>
  <si>
    <t>D_REST_OUTLET</t>
  </si>
  <si>
    <t>FOOD</t>
  </si>
  <si>
    <t>461100</t>
  </si>
  <si>
    <t>462100</t>
  </si>
  <si>
    <t>463100</t>
  </si>
  <si>
    <t>464100</t>
  </si>
  <si>
    <t>465100</t>
  </si>
  <si>
    <t>REV_F</t>
  </si>
  <si>
    <t>BEV</t>
  </si>
  <si>
    <t>BEV_B</t>
  </si>
  <si>
    <t>BEV_L</t>
  </si>
  <si>
    <t>BEV_D</t>
  </si>
  <si>
    <t>BEV_BAR</t>
  </si>
  <si>
    <t>BEV_PD</t>
  </si>
  <si>
    <t>REV_BEV</t>
  </si>
  <si>
    <t>REV_FB</t>
  </si>
  <si>
    <t>468300</t>
  </si>
  <si>
    <t>468350</t>
  </si>
  <si>
    <t>468550</t>
  </si>
  <si>
    <t>REV_OTHR</t>
  </si>
  <si>
    <t>Filter</t>
  </si>
  <si>
    <t>OTHR_REV</t>
  </si>
  <si>
    <t>400000</t>
  </si>
  <si>
    <t>COS</t>
  </si>
  <si>
    <t>REV_SVCCHG</t>
  </si>
  <si>
    <t>REV_MISC_OTHR</t>
  </si>
  <si>
    <t>COSFB</t>
  </si>
  <si>
    <t>561100</t>
  </si>
  <si>
    <t>COS_FB</t>
  </si>
  <si>
    <t>COSOTH</t>
  </si>
  <si>
    <t>COS_OTHR</t>
  </si>
  <si>
    <t>500001</t>
  </si>
  <si>
    <t>RETAIN(NONMGMT)</t>
  </si>
  <si>
    <t>SALY_MGMT,NONMGMT,DEP(HRLY_NONMGMT),600001,DEP(PAY_OTHER),PAYSUB1,PAYRLTD,DEP(PAY_RELATED),PAY_RELATED,600000</t>
  </si>
  <si>
    <t>KPI_GP</t>
  </si>
  <si>
    <t>NOEXPAND</t>
  </si>
  <si>
    <t>461200</t>
  </si>
  <si>
    <t>461300</t>
  </si>
  <si>
    <t>461400</t>
  </si>
  <si>
    <t>946100</t>
  </si>
  <si>
    <t>946200</t>
  </si>
  <si>
    <t>946300</t>
  </si>
  <si>
    <t>946400</t>
  </si>
  <si>
    <t>462200</t>
  </si>
  <si>
    <t>463200</t>
  </si>
  <si>
    <t>462400</t>
  </si>
  <si>
    <t>463400</t>
  </si>
  <si>
    <t>462300</t>
  </si>
  <si>
    <t>463300</t>
  </si>
  <si>
    <t>Bar</t>
  </si>
  <si>
    <t>464200</t>
  </si>
  <si>
    <t>464400</t>
  </si>
  <si>
    <t>464300</t>
  </si>
  <si>
    <t>KPI_AC</t>
  </si>
  <si>
    <t>Breakfast</t>
  </si>
  <si>
    <t>KPI_BAC</t>
  </si>
  <si>
    <t>Lunch</t>
  </si>
  <si>
    <t>KPI_LAC</t>
  </si>
  <si>
    <t>Dinner</t>
  </si>
  <si>
    <t>KPI_DAC</t>
  </si>
  <si>
    <t>KPI_B</t>
  </si>
  <si>
    <t>KPI_L</t>
  </si>
  <si>
    <t>KPI_D</t>
  </si>
  <si>
    <t>465200</t>
  </si>
  <si>
    <t>465400</t>
  </si>
  <si>
    <t>465300</t>
  </si>
  <si>
    <t>Private Dining</t>
  </si>
  <si>
    <t>KPI_PDAC</t>
  </si>
  <si>
    <t>946500</t>
  </si>
  <si>
    <t>KPI_BAR</t>
  </si>
  <si>
    <t>KPI_BARAC</t>
  </si>
  <si>
    <t>REV_PD</t>
  </si>
  <si>
    <t>Revenue Mix, Average Check, Covers</t>
  </si>
  <si>
    <t>946000</t>
  </si>
  <si>
    <t>HWHRLY_FBKIT</t>
  </si>
  <si>
    <t>HWHRLY_FBVEN</t>
  </si>
  <si>
    <t>Covers/ Labor Hour</t>
  </si>
  <si>
    <t>F&amp;B Kitchen</t>
  </si>
  <si>
    <t>F&amp;B Venues</t>
  </si>
  <si>
    <t>Liquor</t>
  </si>
  <si>
    <t>Wine</t>
  </si>
  <si>
    <t>Beer</t>
  </si>
  <si>
    <t>KPI_CL</t>
  </si>
  <si>
    <t>KPI_CW</t>
  </si>
  <si>
    <t>KPI_CB</t>
  </si>
  <si>
    <t>Beverage Revenue Mix</t>
  </si>
  <si>
    <t>(Revenue mix expressed as % of F&amp;B Revenue)</t>
  </si>
  <si>
    <t>Average Check - Verify</t>
  </si>
  <si>
    <t>D_RS_CON</t>
  </si>
  <si>
    <t>D_BCC_CON</t>
  </si>
  <si>
    <t>Totals</t>
  </si>
  <si>
    <t>D1149</t>
  </si>
  <si>
    <t>467100</t>
  </si>
  <si>
    <t>467200</t>
  </si>
  <si>
    <t>467300</t>
  </si>
  <si>
    <t>567100</t>
  </si>
  <si>
    <t>567200</t>
  </si>
  <si>
    <t>567300</t>
  </si>
  <si>
    <t>Food &amp; Beverage</t>
  </si>
  <si>
    <t>EXPANSION 2</t>
  </si>
  <si>
    <t>D_REST_CON</t>
  </si>
  <si>
    <t>D_REST_OUTLET,D_RS_CON,D_BCC_CON,D1149,D_REST_CON</t>
  </si>
  <si>
    <t>REV_F,|REV_BEV</t>
  </si>
  <si>
    <t>Static</t>
  </si>
  <si>
    <t>Mini Bar</t>
  </si>
  <si>
    <t>REV_MBFB</t>
  </si>
  <si>
    <t>GL</t>
  </si>
  <si>
    <t>D_TELCOM</t>
  </si>
  <si>
    <t>D1132</t>
  </si>
  <si>
    <t>420300</t>
  </si>
  <si>
    <t>REV_SKIN</t>
  </si>
  <si>
    <t>REV_HAIR</t>
  </si>
  <si>
    <t>REV_NAIL</t>
  </si>
  <si>
    <t>REV_FITNES</t>
  </si>
  <si>
    <t>420350</t>
  </si>
  <si>
    <t>REV_MEMBR</t>
  </si>
  <si>
    <t>REV_SPARET</t>
  </si>
  <si>
    <t>420700</t>
  </si>
  <si>
    <t>420990</t>
  </si>
  <si>
    <t>520600</t>
  </si>
  <si>
    <t>520650</t>
  </si>
  <si>
    <t>COS_SPARET</t>
  </si>
  <si>
    <t>D1133</t>
  </si>
  <si>
    <t>430100</t>
  </si>
  <si>
    <t>REV_VALPRK</t>
  </si>
  <si>
    <t>430300</t>
  </si>
  <si>
    <t>430990</t>
  </si>
  <si>
    <t>530100</t>
  </si>
  <si>
    <t>D1136</t>
  </si>
  <si>
    <t>440100</t>
  </si>
  <si>
    <t>440200</t>
  </si>
  <si>
    <t>440300</t>
  </si>
  <si>
    <t>440400</t>
  </si>
  <si>
    <t>440500</t>
  </si>
  <si>
    <t>440600</t>
  </si>
  <si>
    <t>440700</t>
  </si>
  <si>
    <t>440800</t>
  </si>
  <si>
    <t>440900</t>
  </si>
  <si>
    <t>440990</t>
  </si>
  <si>
    <t>540100</t>
  </si>
  <si>
    <t>540200</t>
  </si>
  <si>
    <t>540300</t>
  </si>
  <si>
    <t>540400</t>
  </si>
  <si>
    <t>540500</t>
  </si>
  <si>
    <t>540600</t>
  </si>
  <si>
    <t>540700</t>
  </si>
  <si>
    <t>540800</t>
  </si>
  <si>
    <t>540900</t>
  </si>
  <si>
    <t>D2149</t>
  </si>
  <si>
    <t>469100</t>
  </si>
  <si>
    <t>469200</t>
  </si>
  <si>
    <t>469300</t>
  </si>
  <si>
    <t>469400</t>
  </si>
  <si>
    <t>469500</t>
  </si>
  <si>
    <t>469600</t>
  </si>
  <si>
    <t>469700</t>
  </si>
  <si>
    <t>469800</t>
  </si>
  <si>
    <t>569100</t>
  </si>
  <si>
    <t>569200</t>
  </si>
  <si>
    <t>569300</t>
  </si>
  <si>
    <t>569400</t>
  </si>
  <si>
    <t>569500</t>
  </si>
  <si>
    <t>569600</t>
  </si>
  <si>
    <t>569700</t>
  </si>
  <si>
    <t>569800</t>
  </si>
  <si>
    <t>D1138</t>
  </si>
  <si>
    <t>410000</t>
  </si>
  <si>
    <t>450100</t>
  </si>
  <si>
    <t>450150</t>
  </si>
  <si>
    <t>450200</t>
  </si>
  <si>
    <t>450250</t>
  </si>
  <si>
    <t>450300</t>
  </si>
  <si>
    <t>450350</t>
  </si>
  <si>
    <t>450400</t>
  </si>
  <si>
    <t>450450</t>
  </si>
  <si>
    <t>450500</t>
  </si>
  <si>
    <t>450550</t>
  </si>
  <si>
    <t>450600</t>
  </si>
  <si>
    <t>450650</t>
  </si>
  <si>
    <t>510000</t>
  </si>
  <si>
    <t>550100</t>
  </si>
  <si>
    <t>550150</t>
  </si>
  <si>
    <t>550200</t>
  </si>
  <si>
    <t>550250</t>
  </si>
  <si>
    <t>550300</t>
  </si>
  <si>
    <t>550350</t>
  </si>
  <si>
    <t>550400</t>
  </si>
  <si>
    <t>550450</t>
  </si>
  <si>
    <t>550500</t>
  </si>
  <si>
    <t>550550</t>
  </si>
  <si>
    <t>550600</t>
  </si>
  <si>
    <t>550650</t>
  </si>
  <si>
    <t>Guest Communication</t>
  </si>
  <si>
    <t>Movie</t>
  </si>
  <si>
    <t>Guest Laundry</t>
  </si>
  <si>
    <t>In Room Fax</t>
  </si>
  <si>
    <t>In Room Items</t>
  </si>
  <si>
    <t>Massage</t>
  </si>
  <si>
    <t>Other 1</t>
  </si>
  <si>
    <t>Other 2</t>
  </si>
  <si>
    <t>Other 3</t>
  </si>
  <si>
    <t>Other 4</t>
  </si>
  <si>
    <t>Other 5</t>
  </si>
  <si>
    <t>Other 6</t>
  </si>
  <si>
    <t>Total Department Profit (Loss)</t>
  </si>
  <si>
    <t>D_OTHER_CON</t>
  </si>
  <si>
    <t>DIRECTEXP</t>
  </si>
  <si>
    <t>DEPARTMENT.HLEVEL&lt;&gt;3</t>
  </si>
  <si>
    <t>DEPARTMENT.HLEVEL=3</t>
  </si>
  <si>
    <t>400000|DIRECTEXP|TOTDEPTPL</t>
  </si>
  <si>
    <t>D_TELCOM,D1132,D1133,D1136,D2149,D1138</t>
  </si>
  <si>
    <t>Total Departmental Expenses</t>
  </si>
  <si>
    <t>Total Departmental Revenues</t>
  </si>
  <si>
    <t>Total Departmental Profit</t>
  </si>
  <si>
    <t>D_ROI_CON</t>
  </si>
  <si>
    <t>468990</t>
  </si>
  <si>
    <t>469990</t>
  </si>
  <si>
    <t>450375</t>
  </si>
  <si>
    <t>450380</t>
  </si>
  <si>
    <t>450385</t>
  </si>
  <si>
    <t>450390</t>
  </si>
  <si>
    <t>450395</t>
  </si>
  <si>
    <t>ALLOW_MOP</t>
  </si>
  <si>
    <t>550375</t>
  </si>
  <si>
    <t>550380</t>
  </si>
  <si>
    <t>550385</t>
  </si>
  <si>
    <t>550390</t>
  </si>
  <si>
    <t>550395</t>
  </si>
  <si>
    <t>ALLOW_FB</t>
  </si>
  <si>
    <t>Gym Pass</t>
  </si>
  <si>
    <t>Shared Facilities &amp; Services</t>
  </si>
  <si>
    <t>Retail Kiosk</t>
  </si>
  <si>
    <t>Vending Machines</t>
  </si>
  <si>
    <t>Laundry Machines</t>
  </si>
  <si>
    <t>Occasional F&amp;B</t>
  </si>
  <si>
    <t>EXP</t>
  </si>
  <si>
    <t>ADROCC</t>
  </si>
  <si>
    <t>KPI_OCCUPC</t>
  </si>
  <si>
    <t>Total ADR/ OCC%</t>
  </si>
  <si>
    <t>D_AG_CON</t>
  </si>
  <si>
    <t>D_AGHR</t>
  </si>
  <si>
    <t>D_CON</t>
  </si>
  <si>
    <t>D_IT_CON</t>
  </si>
  <si>
    <t>SYSEXP</t>
  </si>
  <si>
    <t>ITSYS_EXP</t>
  </si>
  <si>
    <t>DEP(ITSYS_EXP)|DEP(700000) AND ID &lt;&gt; ITSYS_EXP AND ID &lt;&gt; 707900</t>
  </si>
  <si>
    <t>COSSRVC</t>
  </si>
  <si>
    <t>DEP(707900)</t>
  </si>
  <si>
    <t>707901</t>
  </si>
  <si>
    <t>707902</t>
  </si>
  <si>
    <t>707903</t>
  </si>
  <si>
    <t>707904</t>
  </si>
  <si>
    <t>707905</t>
  </si>
  <si>
    <t>707900</t>
  </si>
  <si>
    <t>D_SM_CON</t>
  </si>
  <si>
    <t>D_PM_CON</t>
  </si>
  <si>
    <t>D_EC_CON</t>
  </si>
  <si>
    <t>DEP(717000),702600</t>
  </si>
  <si>
    <t>D_MGMT_CON</t>
  </si>
  <si>
    <t>DEP(731000)</t>
  </si>
  <si>
    <t>MGTFEES</t>
  </si>
  <si>
    <t>D_FIXED</t>
  </si>
  <si>
    <t>TOTAL_RENT</t>
  </si>
  <si>
    <t>TOTAL_TAX</t>
  </si>
  <si>
    <t>804100</t>
  </si>
  <si>
    <t>804110</t>
  </si>
  <si>
    <t>804120</t>
  </si>
  <si>
    <t>804000</t>
  </si>
  <si>
    <t>RENT_LB</t>
  </si>
  <si>
    <t>RENT_OTH</t>
  </si>
  <si>
    <t>752100</t>
  </si>
  <si>
    <t>752200</t>
  </si>
  <si>
    <t>752300</t>
  </si>
  <si>
    <t>752400</t>
  </si>
  <si>
    <t>751100</t>
  </si>
  <si>
    <t>751200</t>
  </si>
  <si>
    <t>751300</t>
  </si>
  <si>
    <t>751400</t>
  </si>
  <si>
    <t>751500</t>
  </si>
  <si>
    <t>751000</t>
  </si>
  <si>
    <t>801290</t>
  </si>
  <si>
    <t>801300</t>
  </si>
  <si>
    <t>801360</t>
  </si>
  <si>
    <t>MISC_NONOP</t>
  </si>
  <si>
    <t>801000</t>
  </si>
  <si>
    <t>OTHEXP</t>
  </si>
  <si>
    <t>INCOME</t>
  </si>
  <si>
    <t>OTHR_DESC</t>
  </si>
  <si>
    <t>PROP_OTAX</t>
  </si>
  <si>
    <t>RENT_DESC</t>
  </si>
  <si>
    <t>UTIL</t>
  </si>
  <si>
    <t>DEP(804000),804000,RENT_DESC,DEP(TOTAL_RENT),TOTAL_RENT,PROP_OTAX,DEP(TOTAL_TAX),TOTAL_TAX,INSRC,DEP(751000),751000,OTHR_DESC,DEP(801000),801000</t>
  </si>
  <si>
    <t>INSRC</t>
  </si>
  <si>
    <t>FONT,INDENTLEVEL</t>
  </si>
  <si>
    <t>D1228</t>
  </si>
  <si>
    <t>PAYRLTD</t>
  </si>
  <si>
    <t>799999</t>
  </si>
  <si>
    <t>Total Allocations</t>
  </si>
  <si>
    <t>Cost of House Laundry</t>
  </si>
  <si>
    <t>Total Credits</t>
  </si>
  <si>
    <t>Net Recovery</t>
  </si>
  <si>
    <t>D2259</t>
  </si>
  <si>
    <t>Supplemental Pay</t>
  </si>
  <si>
    <t>Payroll Taxes</t>
  </si>
  <si>
    <t>Employee Benefits</t>
  </si>
  <si>
    <t>D_ALLOC_CON</t>
  </si>
  <si>
    <t>DEPEXP</t>
  </si>
  <si>
    <t>UNDEXP</t>
  </si>
  <si>
    <t>D_UNALLOC_CON</t>
  </si>
  <si>
    <t>KPI_GOP</t>
  </si>
  <si>
    <t>D_PROP</t>
  </si>
  <si>
    <t xml:space="preserve">  </t>
  </si>
  <si>
    <t>EBITDA</t>
  </si>
  <si>
    <t>801100</t>
  </si>
  <si>
    <t>801400</t>
  </si>
  <si>
    <t>801900</t>
  </si>
  <si>
    <t>INCBEFNON</t>
  </si>
  <si>
    <t>NONOPP</t>
  </si>
  <si>
    <t>INTDEPAMT</t>
  </si>
  <si>
    <t>INCBEFTAX</t>
  </si>
  <si>
    <t>803000</t>
  </si>
  <si>
    <t>NETINCOME</t>
  </si>
  <si>
    <t>992200</t>
  </si>
  <si>
    <t>EBITDA: Less Replacement Reserve</t>
  </si>
  <si>
    <t>KPI_REVPAR</t>
  </si>
  <si>
    <t>D_Const_and_Reno</t>
  </si>
  <si>
    <t>NetIncome</t>
  </si>
  <si>
    <t>Total Other - Reported</t>
  </si>
  <si>
    <t>Other</t>
  </si>
  <si>
    <t>("Other" manual recalculation due to Construction and Reno departments impact.  Kimpton rolls the net affect into "Pre-Opening Expense", under Other.</t>
  </si>
  <si>
    <t>Total Other - recalcualted</t>
  </si>
  <si>
    <t>("Other" manual recalculation due to Construction and Reno departments impact)</t>
  </si>
  <si>
    <t>FRAME</t>
  </si>
  <si>
    <t>dept profit</t>
  </si>
  <si>
    <t>789110</t>
  </si>
  <si>
    <t>789115</t>
  </si>
  <si>
    <t>DEP(ALLOC_OUT)</t>
  </si>
  <si>
    <t>Allocations</t>
  </si>
  <si>
    <t>Credits</t>
  </si>
  <si>
    <t>ActualFlag</t>
  </si>
  <si>
    <t>TIMEID</t>
  </si>
  <si>
    <t>MONTH</t>
  </si>
  <si>
    <t>PERIOD</t>
  </si>
  <si>
    <t>MEASURE</t>
  </si>
  <si>
    <t>ForecastYear</t>
  </si>
  <si>
    <t>Current 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</si>
  <si>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</si>
  <si>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</si>
  <si>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</si>
  <si>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</si>
  <si>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</si>
  <si>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</si>
  <si>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</si>
  <si>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</si>
  <si>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</si>
  <si>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</si>
  <si>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</si>
  <si>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</si>
  <si>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P01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</si>
  <si>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</si>
  <si>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</si>
  <si>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</si>
  <si>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</si>
  <si>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</si>
  <si>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</si>
  <si>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</si>
  <si>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</si>
  <si>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</si>
  <si>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P11</t>
  </si>
  <si>
    <t>P12</t>
  </si>
  <si>
    <t>Monthly Data Columns</t>
  </si>
  <si>
    <t>&lt;=== Select Time (Year)</t>
  </si>
  <si>
    <t>Comparison 1 Column</t>
  </si>
  <si>
    <t>Comparison 2 Column</t>
  </si>
  <si>
    <t>VARIANCE</t>
  </si>
  <si>
    <t>Trailing 12 Option</t>
  </si>
  <si>
    <t>1.  Check the box</t>
  </si>
  <si>
    <t>3.  Expand All</t>
  </si>
  <si>
    <t>2.  Select ending month of the trailing 12 period</t>
  </si>
  <si>
    <t>COS_BEV</t>
  </si>
  <si>
    <t>568300</t>
  </si>
  <si>
    <t>568350</t>
  </si>
  <si>
    <t>COS_MISC</t>
  </si>
  <si>
    <t>455100</t>
  </si>
  <si>
    <t>455200</t>
  </si>
  <si>
    <t>455250</t>
  </si>
  <si>
    <t>455300</t>
  </si>
  <si>
    <t>455400</t>
  </si>
  <si>
    <t>455500</t>
  </si>
  <si>
    <t>455510</t>
  </si>
  <si>
    <t>455550</t>
  </si>
  <si>
    <t>455560</t>
  </si>
  <si>
    <t>455565</t>
  </si>
  <si>
    <t>455570</t>
  </si>
  <si>
    <t>455575</t>
  </si>
  <si>
    <t>455580</t>
  </si>
  <si>
    <t>455600</t>
  </si>
  <si>
    <t>455610</t>
  </si>
  <si>
    <t>455650</t>
  </si>
  <si>
    <t>410100</t>
  </si>
  <si>
    <t>410200</t>
  </si>
  <si>
    <t>410300</t>
  </si>
  <si>
    <t>410400</t>
  </si>
  <si>
    <t>410500</t>
  </si>
  <si>
    <t>510100</t>
  </si>
  <si>
    <t>510200</t>
  </si>
  <si>
    <t>510300</t>
  </si>
  <si>
    <t>510400</t>
  </si>
  <si>
    <t>Cost of Staff Dining</t>
  </si>
  <si>
    <t>Net Recovery - Check</t>
  </si>
  <si>
    <t/>
  </si>
  <si>
    <t>1.  Select Business Unit from Current View Action Pane</t>
  </si>
  <si>
    <t>Instructions:</t>
  </si>
  <si>
    <t>Category Glossary</t>
  </si>
  <si>
    <t>Print to PDF Instructions:</t>
  </si>
  <si>
    <t>2.  Select Save As &gt; "PDF or XPS"</t>
  </si>
  <si>
    <t>4.  Set options as shown in screen shot. (recommended options)</t>
  </si>
  <si>
    <t>5.  Select Options button.   You can change options to suit your needs.</t>
  </si>
  <si>
    <t>a.  Page Range:  All</t>
  </si>
  <si>
    <t>b.  Publish what:  Entire workbook (to publish all tabs)</t>
  </si>
  <si>
    <t>c.  Leave remaining default selections</t>
  </si>
  <si>
    <t>3.  Select local disk and folder where you want file saved.  Ensure Save As Type is "PDF"</t>
  </si>
  <si>
    <t>6.  Click "OK"</t>
  </si>
  <si>
    <t>7.  Click "Publish".  PDF will be created in the location you specified</t>
  </si>
  <si>
    <t>&gt;  No longer do we use BPC's ePublish tool for this report</t>
  </si>
  <si>
    <t>ACTUAL_CON</t>
  </si>
  <si>
    <t>ACTUAL</t>
  </si>
  <si>
    <t>HISTORY</t>
  </si>
  <si>
    <t>BUDGET</t>
  </si>
  <si>
    <t>BUD_PROOF</t>
  </si>
  <si>
    <t>JANFORECAST</t>
  </si>
  <si>
    <t>FEBFORECAST</t>
  </si>
  <si>
    <t>MARFORECAST</t>
  </si>
  <si>
    <t>APRFORECAST</t>
  </si>
  <si>
    <t>MAYFORECAST</t>
  </si>
  <si>
    <t>JUNFORECAST</t>
  </si>
  <si>
    <t>JULFORECAST</t>
  </si>
  <si>
    <t>AUGFORECAST</t>
  </si>
  <si>
    <t>SEPFORECAST</t>
  </si>
  <si>
    <t>OCTFORECAST</t>
  </si>
  <si>
    <t>NOVFORECAST</t>
  </si>
  <si>
    <t>DECFORECAST</t>
  </si>
  <si>
    <t>BUDSNAP</t>
  </si>
  <si>
    <t>Rollup of ACTUAL+HISTORY</t>
  </si>
  <si>
    <t>Actual from JDE</t>
  </si>
  <si>
    <t>Pre Kimpton History from JDE</t>
  </si>
  <si>
    <t>Final Budgets (Read only)</t>
  </si>
  <si>
    <t>Forecast (user input)</t>
  </si>
  <si>
    <t>Working Budgets (user input)</t>
  </si>
  <si>
    <t>Forecast Snap (Mar - Dec Forecast + Actual through Feb)</t>
  </si>
  <si>
    <t>Forecast Snap (Apr - Dec Forecast + Actual through Mar)</t>
  </si>
  <si>
    <t>Forecast Snap (May - Dec Forecast + Actual through Apr)</t>
  </si>
  <si>
    <t>Forecast Snap (Jun - Dec Forecast + Actual through May)</t>
  </si>
  <si>
    <t>Forecast Snap (Jul - Dec Forecast + Actual through Jun)</t>
  </si>
  <si>
    <t>Forecast Snap (Aug - Dec Forecast + Actual through Jul)</t>
  </si>
  <si>
    <t>Forecast Snap (Sep - Dec Forecast + Actual through Aug)</t>
  </si>
  <si>
    <t>Forecast Snap (Oct - Dec Forecast + Actual through Sep)</t>
  </si>
  <si>
    <t>Forecast Snap (Feb - Dec Forecast + Jan Actual)</t>
  </si>
  <si>
    <t>1.  Click Excel Office Button, upper left corner</t>
  </si>
  <si>
    <t>Forecast Snap (Nov - Dec Forecast + Actual through Oct)</t>
  </si>
  <si>
    <t>Forecast Snap (Dec Forecast + Actual through Nov)</t>
  </si>
  <si>
    <t>Forecast Snap captured for budget comparisons</t>
  </si>
  <si>
    <t>OR Active Sheets (to publish sheets you have selected)</t>
  </si>
  <si>
    <t>a.  The category and time for each set of data columns are independent and driven by user selection</t>
  </si>
  <si>
    <t>c.  Double-click the blue shaded cells to see the various data choices and comparisons</t>
  </si>
  <si>
    <t>e.  See Category Glossary for additional information</t>
  </si>
  <si>
    <t>b.  To expand/update a single tab, right mouse click, select EVDRE: Expand &amp; Refresh &gt; Active Sheet</t>
  </si>
  <si>
    <t>Forecast Snap (Jan - Dec Forecast, no Actual)</t>
  </si>
  <si>
    <t>D2140</t>
  </si>
  <si>
    <t>D2141</t>
  </si>
  <si>
    <t>XXXX.INP</t>
  </si>
  <si>
    <t>A_NONE</t>
  </si>
  <si>
    <t>Non_InterCo</t>
  </si>
  <si>
    <t>INPUT</t>
  </si>
  <si>
    <t>&lt;=== Venue Name (unique comment)</t>
  </si>
  <si>
    <t>D2142</t>
  </si>
  <si>
    <t>D2145</t>
  </si>
  <si>
    <t>D2146</t>
  </si>
  <si>
    <t>SALY_MGMT|DEP(HRLY_NONMGMT),600001,DEP(PAY_OTHER),PAYSUB1,PAYRLTD,DEP(PAY_RELATED),PAY_RELATED,600000|DEP(700000)</t>
  </si>
  <si>
    <t>use EVGTS here?</t>
  </si>
  <si>
    <t>DEP(SALY_MGMT)|DEP(HRLY_NONMGMT) ,600001,DEP(PAY_OTHER),PAYSUB1,PAYRLTD,DEP(PAY_RELATED),PAY_RELATED,600000|DEP(700000)</t>
  </si>
  <si>
    <t>D_AG_CON|D_AG_CON|D_AGHotRest</t>
  </si>
  <si>
    <t>use EVFTS here?</t>
  </si>
  <si>
    <t>use EVGTS?</t>
  </si>
  <si>
    <t>DEP(PAY_TAXES),PAY_TAXES|DEP(SUP_PAY),SUP_PAY|DEP(EMP_BEN),EMP_BEN|PAY_RELATED</t>
  </si>
  <si>
    <t>% expressed as % of Occupied Rooms</t>
  </si>
  <si>
    <t>ADR</t>
  </si>
  <si>
    <t>OCC%</t>
  </si>
  <si>
    <t>561100|SALY_MGMT|DEP(HRLY_NONMGMT) AND D2259=Y,600001,DEP(PAY_OTHER) AND D2259=Y,PAYSUB1,PAYRLTD,DEP(PAY_RELATED),PAY_RELATED,600000|DEP(700000) AND D2259 = Y</t>
  </si>
  <si>
    <t>SALY_MGMT|DEP(HRLY_NONMGMT) AND D1228=Y,600001,DEP(PAY_OTHER) AND D1228=Y,PAYSUB1,PAYRLTD,DEP(PAY_RELATED),PAY_RELATED,600000|DEP(700000) AND D1228 = Y AND ID &lt;&gt; LNDY_CR</t>
  </si>
  <si>
    <t>Variance</t>
  </si>
  <si>
    <t>Rev / Cost POR</t>
  </si>
  <si>
    <t>D_ROOMS</t>
  </si>
  <si>
    <t>Points</t>
  </si>
  <si>
    <t>Rev / Cost per Customer</t>
  </si>
  <si>
    <t xml:space="preserve"> Cost PAR</t>
  </si>
  <si>
    <t>(% chg)</t>
  </si>
  <si>
    <t>Flow Through</t>
  </si>
  <si>
    <t>561300</t>
  </si>
  <si>
    <t>FDCOS_PCT</t>
  </si>
  <si>
    <t>BEVCOS_PCT</t>
  </si>
  <si>
    <t>LCOS_PCT</t>
  </si>
  <si>
    <t>BCOS_PCT</t>
  </si>
  <si>
    <t>WCOS_PCT</t>
  </si>
  <si>
    <t>Mini Bar Cost %</t>
  </si>
  <si>
    <t>Total F&amp;B Cost %</t>
  </si>
  <si>
    <t>947100</t>
  </si>
  <si>
    <t>947200</t>
  </si>
  <si>
    <t>947300</t>
  </si>
  <si>
    <t>947400</t>
  </si>
  <si>
    <t>947500</t>
  </si>
  <si>
    <t>Total Cost of Sales - Check</t>
  </si>
  <si>
    <t>OWNER_EXP</t>
  </si>
  <si>
    <t>FCOS_NOMB</t>
  </si>
  <si>
    <t>FCOS_NOMB_PCT</t>
  </si>
  <si>
    <t>MBFCOS_PCT</t>
  </si>
  <si>
    <t>b.  The default selection will always be CURRENT, (current year), BUDGET (current year) and ACTUAL (prior year)</t>
  </si>
  <si>
    <t>HWHRLY_FBBQT</t>
  </si>
  <si>
    <t>Banquet &amp; Conf/Catering</t>
  </si>
  <si>
    <t>2. Select Currency from Current View Action Pane: LC for Local Currency, or USD to convert foreign currency BU's to USD</t>
  </si>
  <si>
    <t>3.  Select Category and Time from selection grid above</t>
  </si>
  <si>
    <t>4.  After making data selections you must "Expand All" to pull in data</t>
  </si>
  <si>
    <t>5.  You may delete Tabs that are not needed for your property, but be sure no data exists before deleting tabs</t>
  </si>
  <si>
    <t>All Data Columns</t>
  </si>
  <si>
    <t>&lt;=== Select Report Currency</t>
  </si>
  <si>
    <t>PSFT GL</t>
  </si>
  <si>
    <t>6.  Click the "+" button above Column N to reveal GL Account numbers</t>
  </si>
  <si>
    <t>&lt;&lt; Double Click</t>
  </si>
  <si>
    <t>a.  You may double click the 'Expand All' cell or use (click) 'Expand All' from the Excel Planning &amp; Consolidation tab</t>
  </si>
  <si>
    <t>801310</t>
  </si>
  <si>
    <t>D_AGHotRest</t>
  </si>
  <si>
    <t>701100</t>
  </si>
  <si>
    <t>701200</t>
  </si>
  <si>
    <t>701400</t>
  </si>
  <si>
    <t>701500</t>
  </si>
  <si>
    <t>702300</t>
  </si>
  <si>
    <t>702600</t>
  </si>
  <si>
    <t>TRVL_OTHR</t>
  </si>
  <si>
    <t>702900</t>
  </si>
  <si>
    <t>703000</t>
  </si>
  <si>
    <t>703100</t>
  </si>
  <si>
    <t>703200</t>
  </si>
  <si>
    <t>703300</t>
  </si>
  <si>
    <t>704600</t>
  </si>
  <si>
    <t>704800</t>
  </si>
  <si>
    <t>705000</t>
  </si>
  <si>
    <t>705100</t>
  </si>
  <si>
    <t>705200</t>
  </si>
  <si>
    <t>705500</t>
  </si>
  <si>
    <t>705800</t>
  </si>
  <si>
    <t>706000</t>
  </si>
  <si>
    <t>706500</t>
  </si>
  <si>
    <t>HRLY_ACCOT</t>
  </si>
  <si>
    <t>HRLY_HUMRE</t>
  </si>
  <si>
    <t>600001</t>
  </si>
  <si>
    <t>ADD_COMP</t>
  </si>
  <si>
    <t>PAYSUB1</t>
  </si>
  <si>
    <t>PAY_TAXES</t>
  </si>
  <si>
    <t>SUP_PAY</t>
  </si>
  <si>
    <t>EMP_BEN</t>
  </si>
  <si>
    <t>PAY_RELATED</t>
  </si>
  <si>
    <t>SALY_MGMT</t>
  </si>
  <si>
    <t>470110</t>
  </si>
  <si>
    <t>471110</t>
  </si>
  <si>
    <t>BEV_RC</t>
  </si>
  <si>
    <t>701300</t>
  </si>
  <si>
    <t>701600</t>
  </si>
  <si>
    <t>701700</t>
  </si>
  <si>
    <t>702000</t>
  </si>
  <si>
    <t>703400</t>
  </si>
  <si>
    <t>703500</t>
  </si>
  <si>
    <t>703510</t>
  </si>
  <si>
    <t>703520</t>
  </si>
  <si>
    <t>703800</t>
  </si>
  <si>
    <t>706110</t>
  </si>
  <si>
    <t>HRLY_FBBQT</t>
  </si>
  <si>
    <t>HRLY_FBKIT</t>
  </si>
  <si>
    <t>HRLY_FBVEN</t>
  </si>
  <si>
    <t>SVC_DIST</t>
  </si>
  <si>
    <t>717100</t>
  </si>
  <si>
    <t>717200</t>
  </si>
  <si>
    <t>WS_EXP</t>
  </si>
  <si>
    <t>702580</t>
  </si>
  <si>
    <t>703700</t>
  </si>
  <si>
    <t>704100</t>
  </si>
  <si>
    <t>706100</t>
  </si>
  <si>
    <t>SALY_FBSVC</t>
  </si>
  <si>
    <t>SALY_FBKIT</t>
  </si>
  <si>
    <t>706700</t>
  </si>
  <si>
    <t>706800</t>
  </si>
  <si>
    <t>706900</t>
  </si>
  <si>
    <t>707010</t>
  </si>
  <si>
    <t>707150</t>
  </si>
  <si>
    <t>707310</t>
  </si>
  <si>
    <t>707450</t>
  </si>
  <si>
    <t>707610</t>
  </si>
  <si>
    <t>707650</t>
  </si>
  <si>
    <t>731010</t>
  </si>
  <si>
    <t>706300</t>
  </si>
  <si>
    <t>HRLY_VPARK</t>
  </si>
  <si>
    <t>715100</t>
  </si>
  <si>
    <t>715200</t>
  </si>
  <si>
    <t>715300</t>
  </si>
  <si>
    <t>POM_FE</t>
  </si>
  <si>
    <t>715600</t>
  </si>
  <si>
    <t>715700</t>
  </si>
  <si>
    <t>715800</t>
  </si>
  <si>
    <t>715900</t>
  </si>
  <si>
    <t>716000</t>
  </si>
  <si>
    <t>716100</t>
  </si>
  <si>
    <t>716200</t>
  </si>
  <si>
    <t>716300</t>
  </si>
  <si>
    <t>716400</t>
  </si>
  <si>
    <t>716500</t>
  </si>
  <si>
    <t>HRLY_POM</t>
  </si>
  <si>
    <t>693040</t>
  </si>
  <si>
    <t>CONTSP</t>
  </si>
  <si>
    <t>693160</t>
  </si>
  <si>
    <t>693200</t>
  </si>
  <si>
    <t>693280</t>
  </si>
  <si>
    <t>HEAINS</t>
  </si>
  <si>
    <t>MEALS</t>
  </si>
  <si>
    <t>693480</t>
  </si>
  <si>
    <t>WC_EXP</t>
  </si>
  <si>
    <t>692100</t>
  </si>
  <si>
    <t>692200</t>
  </si>
  <si>
    <t>WELL_PAY</t>
  </si>
  <si>
    <t>692500</t>
  </si>
  <si>
    <t>VAC_PAY</t>
  </si>
  <si>
    <t>NATLMED</t>
  </si>
  <si>
    <t>NATLRET</t>
  </si>
  <si>
    <t>NATLUNE</t>
  </si>
  <si>
    <t>STATUNE</t>
  </si>
  <si>
    <t>OTHLTAX</t>
  </si>
  <si>
    <t>701800</t>
  </si>
  <si>
    <t>702500</t>
  </si>
  <si>
    <t>703010</t>
  </si>
  <si>
    <t>704000</t>
  </si>
  <si>
    <t>704200</t>
  </si>
  <si>
    <t>704300</t>
  </si>
  <si>
    <t>704400</t>
  </si>
  <si>
    <t>704500</t>
  </si>
  <si>
    <t>HRLY_FRTOF</t>
  </si>
  <si>
    <t>HRLY_GUSVC</t>
  </si>
  <si>
    <t>HRLY_HOUSK</t>
  </si>
  <si>
    <t>HRLY_RESVS</t>
  </si>
  <si>
    <t>CON_LABOR</t>
  </si>
  <si>
    <t>711100</t>
  </si>
  <si>
    <t>711200</t>
  </si>
  <si>
    <t>711300</t>
  </si>
  <si>
    <t>711400</t>
  </si>
  <si>
    <t>712100</t>
  </si>
  <si>
    <t>712400</t>
  </si>
  <si>
    <t>712600</t>
  </si>
  <si>
    <t>712800</t>
  </si>
  <si>
    <t>712900</t>
  </si>
  <si>
    <t>713000</t>
  </si>
  <si>
    <t>713100</t>
  </si>
  <si>
    <t>HRLY_SALES</t>
  </si>
  <si>
    <t>704700</t>
  </si>
  <si>
    <t>705400</t>
  </si>
  <si>
    <t>701780</t>
  </si>
  <si>
    <t>703600</t>
  </si>
  <si>
    <t>707700</t>
  </si>
  <si>
    <t>693520</t>
  </si>
  <si>
    <t>691100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</si>
</sst>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#,##0.0000_);\(#,##0.0000\)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theme="1"/>
      <name val="Verdana"/>
      <family val="2"/>
    </font>
    <font>
      <b/>
      <sz val="1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1"/>
      <color rgb="FF5F554D"/>
      <name val="Calibri"/>
      <family val="2"/>
      <scheme val="minor"/>
    </font>
    <font>
      <b/>
      <sz val="18"/>
      <color rgb="FF00AEC7"/>
      <name val="Verdana"/>
      <family val="2"/>
    </font>
    <font>
      <sz val="11"/>
      <color rgb="FFC63527"/>
      <name val="Calibri"/>
      <family val="2"/>
      <scheme val="minor"/>
    </font>
    <font>
      <b/>
      <sz val="11"/>
      <color rgb="FFC63527"/>
      <name val="Calibri"/>
      <family val="2"/>
      <scheme val="minor"/>
    </font>
    <font>
      <b/>
      <sz val="14"/>
      <color rgb="FF6E6259"/>
      <name val="Verdana"/>
      <family val="2"/>
    </font>
    <font>
      <b/>
      <sz val="12"/>
      <color rgb="FF6E6259"/>
      <name val="Verdana"/>
      <family val="2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Verdana"/>
      <family val="2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6"/>
      <color rgb="FF762A2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rgb="FF000000"/>
      <name val="Tahoma"/>
      <family val="2"/>
    </font>
  </fonts>
  <fills count="2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mediumGray">
        <fgColor theme="2" tint="-9.9948118533890809E-2"/>
        <bgColor indexed="65"/>
      </patternFill>
    </fill>
    <fill>
      <patternFill patternType="solid">
        <fgColor rgb="FF00AEC7"/>
        <bgColor indexed="64"/>
      </patternFill>
    </fill>
    <fill>
      <patternFill patternType="solid">
        <fgColor rgb="FFE1FBFF"/>
        <bgColor indexed="64"/>
      </patternFill>
    </fill>
    <fill>
      <patternFill patternType="mediumGray">
        <fgColor rgb="FFDDD9C3"/>
        <bgColor rgb="FFFFFFFF"/>
      </patternFill>
    </fill>
    <fill>
      <patternFill patternType="solid">
        <fgColor rgb="FFFFFFFF"/>
        <bgColor rgb="FF000000"/>
      </patternFill>
    </fill>
    <fill>
      <patternFill patternType="mediumGray">
        <fgColor rgb="FFDBD6D3"/>
        <bgColor indexed="9"/>
      </patternFill>
    </fill>
    <fill>
      <patternFill patternType="mediumGray">
        <fgColor rgb="FFDBD6D3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9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/>
      <diagonal/>
    </border>
    <border>
      <left/>
      <right/>
      <top style="thin">
        <color rgb="FF000000"/>
      </top>
      <bottom/>
      <diagonal/>
    </border>
    <border>
      <left style="thin">
        <color theme="4" tint="0.59996337778862885"/>
      </left>
      <right style="thin">
        <color theme="4" tint="0.59996337778862885"/>
      </right>
      <top style="thin">
        <color rgb="FF000000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rgb="FF000000"/>
      </top>
      <bottom/>
      <diagonal/>
    </border>
    <border>
      <left style="thin">
        <color theme="4" tint="0.59996337778862885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/>
      <diagonal/>
    </border>
    <border>
      <left style="thin">
        <color theme="4" tint="0.59996337778862885"/>
      </left>
      <right/>
      <top style="thin">
        <color theme="4" tint="0.59996337778862885"/>
      </top>
      <bottom/>
      <diagonal/>
    </border>
    <border>
      <left/>
      <right style="thin">
        <color theme="4" tint="0.59996337778862885"/>
      </right>
      <top style="thin">
        <color theme="4" tint="0.59996337778862885"/>
      </top>
      <bottom/>
      <diagonal/>
    </border>
    <border>
      <left style="thin">
        <color theme="4" tint="0.59996337778862885"/>
      </left>
      <right/>
      <top/>
      <bottom style="thin">
        <color theme="4" tint="0.59996337778862885"/>
      </bottom>
      <diagonal/>
    </border>
    <border>
      <left/>
      <right style="thin">
        <color theme="4" tint="0.59996337778862885"/>
      </right>
      <top/>
      <bottom style="thin">
        <color theme="4" tint="0.59996337778862885"/>
      </bottom>
      <diagonal/>
    </border>
    <border>
      <left/>
      <right/>
      <top style="thin">
        <color theme="4" tint="0.59996337778862885"/>
      </top>
      <bottom/>
      <diagonal/>
    </border>
    <border>
      <left/>
      <right/>
      <top/>
      <bottom style="thin">
        <color theme="4" tint="0.59996337778862885"/>
      </bottom>
      <diagonal/>
    </border>
    <border>
      <left style="thin">
        <color theme="4" tint="0.59996337778862885"/>
      </left>
      <right/>
      <top/>
      <bottom/>
      <diagonal/>
    </border>
    <border>
      <left/>
      <right style="thin">
        <color theme="4" tint="0.59996337778862885"/>
      </right>
      <top/>
      <bottom/>
      <diagonal/>
    </border>
    <border>
      <left style="thin">
        <color theme="4" tint="0.59996337778862885"/>
      </left>
      <right style="thin">
        <color theme="4" tint="0.59996337778862885"/>
      </right>
      <top style="thin">
        <color indexed="64"/>
      </top>
      <bottom style="double">
        <color indexed="64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auto="1"/>
      </top>
      <bottom/>
      <diagonal/>
    </border>
    <border>
      <left style="thin">
        <color rgb="FFB8CCE4"/>
      </left>
      <right style="thin">
        <color theme="4" tint="0.59996337778862885"/>
      </right>
      <top style="thin">
        <color rgb="FFB8CCE4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rgb="FFB8CCE4"/>
      </top>
      <bottom style="thin">
        <color theme="4" tint="0.59996337778862885"/>
      </bottom>
      <diagonal/>
    </border>
    <border>
      <left style="thin">
        <color rgb="FFB8CCE4"/>
      </left>
      <right style="thin">
        <color theme="4" tint="0.59996337778862885"/>
      </right>
      <top style="thin">
        <color rgb="FFB8CCE4"/>
      </top>
      <bottom/>
      <diagonal/>
    </border>
    <border>
      <left style="thin">
        <color theme="4" tint="0.59996337778862885"/>
      </left>
      <right style="thin">
        <color theme="4" tint="0.59996337778862885"/>
      </right>
      <top style="thin">
        <color rgb="FFB8CCE4"/>
      </top>
      <bottom/>
      <diagonal/>
    </border>
    <border>
      <left style="thin">
        <color rgb="FFB8CCE4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thin">
        <color rgb="FFB8CCE4"/>
      </left>
      <right style="thin">
        <color theme="4" tint="0.59996337778862885"/>
      </right>
      <top/>
      <bottom/>
      <diagonal/>
    </border>
    <border>
      <left style="thin">
        <color rgb="FFB8CCE4"/>
      </left>
      <right style="thin">
        <color theme="4" tint="0.59996337778862885"/>
      </right>
      <top style="thin">
        <color rgb="FFB8CCE4"/>
      </top>
      <bottom style="thin">
        <color rgb="FFB8CCE4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rgb="FFB8CCE4"/>
      </top>
      <bottom style="thin">
        <color rgb="FFB8CCE4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indexed="64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rgb="FF000000"/>
      </top>
      <bottom style="thin">
        <color indexed="64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indexed="64"/>
      </top>
      <bottom style="thin">
        <color indexed="64"/>
      </bottom>
      <diagonal/>
    </border>
    <border>
      <left style="thin">
        <color rgb="FFB8CCE4"/>
      </left>
      <right style="thin">
        <color theme="4" tint="0.59996337778862885"/>
      </right>
      <top style="thin">
        <color rgb="FF000000"/>
      </top>
      <bottom style="thin">
        <color rgb="FF000000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thin">
        <color rgb="FF000000"/>
      </bottom>
      <diagonal/>
    </border>
    <border>
      <left style="thin">
        <color rgb="FFB8CCE4"/>
      </left>
      <right style="thin">
        <color theme="4" tint="0.59996337778862885"/>
      </right>
      <top/>
      <bottom style="thin">
        <color rgb="FF000000"/>
      </bottom>
      <diagonal/>
    </border>
    <border>
      <left style="thin">
        <color rgb="FFB8CCE4"/>
      </left>
      <right style="thin">
        <color theme="4" tint="0.59996337778862885"/>
      </right>
      <top/>
      <bottom style="thin">
        <color rgb="FFB8CCE4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thin">
        <color rgb="FFB8CCE4"/>
      </bottom>
      <diagonal/>
    </border>
    <border>
      <left style="thin">
        <color rgb="FFB8CCE4"/>
      </left>
      <right style="thin">
        <color theme="4" tint="0.59996337778862885"/>
      </right>
      <top style="thin">
        <color rgb="FF000000"/>
      </top>
      <bottom/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/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4" tint="0.59996337778862885"/>
      </right>
      <top style="thin">
        <color rgb="FFB8CCE4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 style="thin">
        <color rgb="FFB8CCE4"/>
      </top>
      <bottom/>
      <diagonal/>
    </border>
    <border>
      <left/>
      <right style="thin">
        <color theme="4" tint="0.59996337778862885"/>
      </right>
      <top style="thin">
        <color rgb="FF000000"/>
      </top>
      <bottom style="thin">
        <color rgb="FF000000"/>
      </bottom>
      <diagonal/>
    </border>
    <border>
      <left/>
      <right style="thin">
        <color theme="4" tint="0.59996337778862885"/>
      </right>
      <top style="thin">
        <color rgb="FFB8CCE4"/>
      </top>
      <bottom style="thin">
        <color rgb="FFB8CCE4"/>
      </bottom>
      <diagonal/>
    </border>
    <border>
      <left/>
      <right style="thin">
        <color theme="4" tint="0.59996337778862885"/>
      </right>
      <top/>
      <bottom style="thin">
        <color rgb="FFB8CCE4"/>
      </bottom>
      <diagonal/>
    </border>
    <border>
      <left/>
      <right/>
      <top/>
      <bottom style="thin">
        <color rgb="FFB8CCE4"/>
      </bottom>
      <diagonal/>
    </border>
    <border>
      <left style="thin">
        <color theme="4" tint="0.59996337778862885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/>
      <right/>
      <top style="thin">
        <color rgb="FFB8CCE4"/>
      </top>
      <bottom/>
      <diagonal/>
    </border>
    <border>
      <left style="thin">
        <color theme="4" tint="0.59996337778862885"/>
      </left>
      <right style="thin">
        <color rgb="FFB8CCE4"/>
      </right>
      <top/>
      <bottom style="thin">
        <color rgb="FFB8CCE4"/>
      </bottom>
      <diagonal/>
    </border>
    <border>
      <left style="thin">
        <color theme="4" tint="0.59996337778862885"/>
      </left>
      <right style="thin">
        <color rgb="FFB8CCE4"/>
      </right>
      <top style="thin">
        <color rgb="FFB8CCE4"/>
      </top>
      <bottom/>
      <diagonal/>
    </border>
    <border>
      <left style="thin">
        <color theme="4" tint="0.59996337778862885"/>
      </left>
      <right style="thin">
        <color rgb="FFB8CCE4"/>
      </right>
      <top/>
      <bottom/>
      <diagonal/>
    </border>
    <border>
      <left style="thin">
        <color theme="4" tint="0.59996337778862885"/>
      </left>
      <right style="thin">
        <color rgb="FFB8CCE4"/>
      </right>
      <top style="thin">
        <color rgb="FF000000"/>
      </top>
      <bottom style="thin">
        <color rgb="FF000000"/>
      </bottom>
      <diagonal/>
    </border>
    <border>
      <left style="thin">
        <color theme="4" tint="0.59996337778862885"/>
      </left>
      <right style="thin">
        <color rgb="FFB8CCE4"/>
      </right>
      <top style="thin">
        <color rgb="FF000000"/>
      </top>
      <bottom/>
      <diagonal/>
    </border>
    <border>
      <left style="thin">
        <color theme="4" tint="0.59996337778862885"/>
      </left>
      <right style="thin">
        <color rgb="FFB8CCE4"/>
      </right>
      <top style="thin">
        <color rgb="FFB8CCE4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rgb="FFB8CCE4"/>
      </right>
      <top/>
      <bottom style="thin">
        <color theme="4" tint="0.59996337778862885"/>
      </bottom>
      <diagonal/>
    </border>
    <border>
      <left/>
      <right/>
      <top style="thin">
        <color rgb="FFB8CCE4"/>
      </top>
      <bottom style="thin">
        <color rgb="FFB8CCE4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indexed="64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rgb="FF000000"/>
      </top>
      <bottom style="double">
        <color indexed="64"/>
      </bottom>
      <diagonal/>
    </border>
    <border>
      <left style="thin">
        <color theme="4" tint="0.59996337778862885"/>
      </left>
      <right style="thin">
        <color rgb="FFB8CCE4"/>
      </right>
      <top style="thin">
        <color rgb="FF000000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rgb="FFB8CCE4"/>
      </right>
      <top style="thin">
        <color indexed="64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rgb="FFB8CCE4"/>
      </right>
      <top style="thin">
        <color indexed="64"/>
      </top>
      <bottom style="thin">
        <color indexed="64"/>
      </bottom>
      <diagonal/>
    </border>
    <border>
      <left style="thin">
        <color theme="4" tint="0.59996337778862885"/>
      </left>
      <right style="thin">
        <color rgb="FFB8CCE4"/>
      </right>
      <top style="thin">
        <color indexed="64"/>
      </top>
      <bottom style="double">
        <color indexed="64"/>
      </bottom>
      <diagonal/>
    </border>
    <border>
      <left style="thin">
        <color theme="4" tint="0.59996337778862885"/>
      </left>
      <right/>
      <top style="thin">
        <color indexed="64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 style="thin">
        <color indexed="64"/>
      </top>
      <bottom style="thin">
        <color theme="4" tint="0.59996337778862885"/>
      </bottom>
      <diagonal/>
    </border>
    <border>
      <left style="thin">
        <color theme="4" tint="0.59996337778862885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4" tint="0.59996337778862885"/>
      </right>
      <top style="thin">
        <color indexed="64"/>
      </top>
      <bottom style="thin">
        <color indexed="64"/>
      </bottom>
      <diagonal/>
    </border>
    <border>
      <left style="thin">
        <color theme="4" tint="0.59996337778862885"/>
      </left>
      <right/>
      <top style="thin">
        <color indexed="64"/>
      </top>
      <bottom style="double">
        <color indexed="64"/>
      </bottom>
      <diagonal/>
    </border>
    <border>
      <left/>
      <right style="thin">
        <color theme="4" tint="0.59996337778862885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rgb="FFB8CCE4"/>
      </top>
      <bottom style="thin">
        <color rgb="FF000000"/>
      </bottom>
      <diagonal/>
    </border>
    <border>
      <left style="thin">
        <color theme="4" tint="0.59996337778862885"/>
      </left>
      <right style="thin">
        <color rgb="FFB8CCE4"/>
      </right>
      <top style="thin">
        <color rgb="FFB8CCE4"/>
      </top>
      <bottom style="thin">
        <color rgb="FF000000"/>
      </bottom>
      <diagonal/>
    </border>
  </borders>
  <cellStyleXfs count="10">
    <xf numFmtId="0" fontId="0" fillId="0" borderId="0"/>
    <xf numFmtId="9" fontId="3" fillId="0" borderId="0" applyFont="0" applyFill="0" applyBorder="0" applyAlignment="0" applyProtection="0"/>
    <xf numFmtId="0" fontId="6" fillId="0" borderId="0"/>
    <xf numFmtId="0" fontId="12" fillId="0" borderId="2">
      <alignment horizontal="left" wrapText="1"/>
    </xf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6" fillId="0" borderId="0"/>
    <xf numFmtId="43" fontId="3" fillId="0" borderId="0" applyFont="0" applyFill="0" applyBorder="0" applyAlignment="0" applyProtection="0"/>
  </cellStyleXfs>
  <cellXfs count="608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8" borderId="0" xfId="0" applyFill="1" applyProtection="1">
      <protection locked="0"/>
    </xf>
    <xf numFmtId="0" fontId="7" fillId="9" borderId="0" xfId="0" applyFont="1" applyFill="1" applyProtection="1"/>
    <xf numFmtId="0" fontId="7" fillId="2" borderId="0" xfId="0" applyNumberFormat="1" applyFont="1" applyFill="1" applyProtection="1"/>
    <xf numFmtId="0" fontId="7" fillId="2" borderId="0" xfId="0" applyFont="1" applyFill="1" applyProtection="1"/>
    <xf numFmtId="10" fontId="7" fillId="2" borderId="0" xfId="6" applyNumberFormat="1" applyFont="1" applyFill="1" applyProtection="1"/>
    <xf numFmtId="0" fontId="0" fillId="2" borderId="0" xfId="0" applyFill="1" applyAlignment="1">
      <alignment wrapText="1"/>
    </xf>
    <xf numFmtId="0" fontId="0" fillId="8" borderId="0" xfId="0" applyFill="1" applyProtection="1"/>
    <xf numFmtId="0" fontId="0" fillId="10" borderId="2" xfId="0" applyFill="1" applyBorder="1" applyAlignment="1" applyProtection="1">
      <alignment horizontal="center"/>
    </xf>
    <xf numFmtId="0" fontId="0" fillId="2" borderId="0" xfId="0" applyFill="1" applyProtection="1"/>
    <xf numFmtId="0" fontId="5" fillId="9" borderId="47" xfId="2" applyFont="1" applyFill="1" applyBorder="1" applyAlignment="1" applyProtection="1">
      <alignment horizontal="centerContinuous"/>
    </xf>
    <xf numFmtId="0" fontId="5" fillId="9" borderId="48" xfId="2" applyFont="1" applyFill="1" applyBorder="1" applyAlignment="1" applyProtection="1">
      <alignment horizontal="centerContinuous"/>
    </xf>
    <xf numFmtId="0" fontId="7" fillId="9" borderId="48" xfId="2" applyFont="1" applyFill="1" applyBorder="1" applyAlignment="1" applyProtection="1">
      <alignment horizontal="centerContinuous"/>
    </xf>
    <xf numFmtId="0" fontId="0" fillId="9" borderId="48" xfId="0" applyFill="1" applyBorder="1" applyAlignment="1" applyProtection="1">
      <alignment horizontal="centerContinuous"/>
    </xf>
    <xf numFmtId="0" fontId="0" fillId="9" borderId="49" xfId="0" applyFill="1" applyBorder="1" applyAlignment="1" applyProtection="1">
      <alignment horizontal="centerContinuous"/>
    </xf>
    <xf numFmtId="0" fontId="1" fillId="9" borderId="47" xfId="0" applyFont="1" applyFill="1" applyBorder="1" applyAlignment="1" applyProtection="1">
      <alignment horizontal="centerContinuous"/>
    </xf>
    <xf numFmtId="0" fontId="1" fillId="9" borderId="48" xfId="0" applyFont="1" applyFill="1" applyBorder="1" applyAlignment="1" applyProtection="1">
      <alignment horizontal="centerContinuous"/>
    </xf>
    <xf numFmtId="0" fontId="0" fillId="8" borderId="50" xfId="0" applyFill="1" applyBorder="1" applyProtection="1"/>
    <xf numFmtId="0" fontId="0" fillId="8" borderId="0" xfId="0" applyFill="1" applyBorder="1" applyProtection="1"/>
    <xf numFmtId="0" fontId="5" fillId="8" borderId="0" xfId="2" applyFont="1" applyFill="1" applyBorder="1" applyAlignment="1" applyProtection="1">
      <alignment horizontal="centerContinuous"/>
    </xf>
    <xf numFmtId="0" fontId="6" fillId="8" borderId="0" xfId="2" applyFont="1" applyFill="1" applyBorder="1" applyAlignment="1" applyProtection="1"/>
    <xf numFmtId="0" fontId="0" fillId="8" borderId="51" xfId="0" applyFill="1" applyBorder="1" applyProtection="1"/>
    <xf numFmtId="0" fontId="5" fillId="9" borderId="2" xfId="2" applyFont="1" applyFill="1" applyBorder="1" applyAlignment="1" applyProtection="1">
      <alignment horizontal="center"/>
    </xf>
    <xf numFmtId="0" fontId="0" fillId="8" borderId="50" xfId="0" applyFill="1" applyBorder="1" applyAlignment="1" applyProtection="1"/>
    <xf numFmtId="0" fontId="0" fillId="8" borderId="0" xfId="0" applyFill="1" applyBorder="1" applyAlignment="1" applyProtection="1"/>
    <xf numFmtId="0" fontId="5" fillId="8" borderId="0" xfId="2" applyFont="1" applyFill="1" applyBorder="1" applyAlignment="1" applyProtection="1">
      <alignment horizontal="left" indent="1"/>
    </xf>
    <xf numFmtId="0" fontId="7" fillId="8" borderId="2" xfId="2" applyFont="1" applyFill="1" applyBorder="1" applyAlignment="1" applyProtection="1">
      <alignment horizontal="left" indent="1"/>
    </xf>
    <xf numFmtId="0" fontId="0" fillId="8" borderId="52" xfId="0" applyFill="1" applyBorder="1" applyProtection="1"/>
    <xf numFmtId="0" fontId="5" fillId="8" borderId="53" xfId="2" applyFont="1" applyFill="1" applyBorder="1" applyAlignment="1" applyProtection="1">
      <alignment horizontal="centerContinuous"/>
    </xf>
    <xf numFmtId="0" fontId="0" fillId="8" borderId="85" xfId="0" applyFill="1" applyBorder="1" applyProtection="1"/>
    <xf numFmtId="0" fontId="0" fillId="8" borderId="53" xfId="0" applyFill="1" applyBorder="1" applyAlignment="1" applyProtection="1">
      <alignment horizontal="centerContinuous"/>
    </xf>
    <xf numFmtId="0" fontId="0" fillId="8" borderId="54" xfId="0" applyFill="1" applyBorder="1" applyAlignment="1" applyProtection="1">
      <alignment horizontal="centerContinuous"/>
    </xf>
    <xf numFmtId="0" fontId="0" fillId="8" borderId="53" xfId="0" applyFill="1" applyBorder="1" applyProtection="1"/>
    <xf numFmtId="0" fontId="0" fillId="8" borderId="54" xfId="0" applyFill="1" applyBorder="1" applyProtection="1"/>
    <xf numFmtId="0" fontId="0" fillId="8" borderId="0" xfId="0" applyFill="1" applyBorder="1" applyAlignment="1" applyProtection="1">
      <alignment horizontal="centerContinuous"/>
    </xf>
    <xf numFmtId="0" fontId="24" fillId="21" borderId="86" xfId="0" applyFont="1" applyFill="1" applyBorder="1" applyAlignment="1" applyProtection="1">
      <alignment horizontal="center" vertical="center"/>
    </xf>
    <xf numFmtId="0" fontId="25" fillId="8" borderId="0" xfId="0" applyFont="1" applyFill="1" applyAlignment="1" applyProtection="1">
      <alignment horizontal="left" vertical="center" indent="1"/>
    </xf>
    <xf numFmtId="0" fontId="0" fillId="9" borderId="5" xfId="0" applyFill="1" applyBorder="1" applyAlignment="1" applyProtection="1">
      <alignment horizontal="centerContinuous"/>
    </xf>
    <xf numFmtId="0" fontId="0" fillId="9" borderId="6" xfId="0" applyFill="1" applyBorder="1" applyAlignment="1" applyProtection="1">
      <alignment horizontal="centerContinuous"/>
    </xf>
    <xf numFmtId="0" fontId="0" fillId="9" borderId="7" xfId="0" applyFill="1" applyBorder="1" applyAlignment="1" applyProtection="1">
      <alignment horizontal="centerContinuous"/>
    </xf>
    <xf numFmtId="0" fontId="0" fillId="9" borderId="2" xfId="0" applyFill="1" applyBorder="1" applyAlignment="1" applyProtection="1">
      <alignment horizontal="centerContinuous"/>
    </xf>
    <xf numFmtId="0" fontId="0" fillId="8" borderId="48" xfId="0" applyFill="1" applyBorder="1" applyProtection="1"/>
    <xf numFmtId="0" fontId="23" fillId="8" borderId="0" xfId="0" applyFont="1" applyFill="1" applyProtection="1"/>
    <xf numFmtId="0" fontId="22" fillId="8" borderId="0" xfId="0" applyFont="1" applyFill="1" applyProtection="1"/>
    <xf numFmtId="0" fontId="22" fillId="8" borderId="5" xfId="0" applyFont="1" applyFill="1" applyBorder="1" applyProtection="1"/>
    <xf numFmtId="0" fontId="22" fillId="8" borderId="7" xfId="0" applyFont="1" applyFill="1" applyBorder="1" applyProtection="1"/>
    <xf numFmtId="0" fontId="22" fillId="8" borderId="6" xfId="0" applyFont="1" applyFill="1" applyBorder="1" applyProtection="1"/>
    <xf numFmtId="0" fontId="1" fillId="2" borderId="0" xfId="0" applyFont="1" applyFill="1" applyProtection="1"/>
    <xf numFmtId="0" fontId="0" fillId="3" borderId="0" xfId="0" applyFill="1" applyProtection="1"/>
    <xf numFmtId="0" fontId="9" fillId="2" borderId="0" xfId="0" applyFont="1" applyFill="1" applyProtection="1"/>
    <xf numFmtId="0" fontId="0" fillId="6" borderId="0" xfId="0" applyFill="1" applyProtection="1"/>
    <xf numFmtId="0" fontId="0" fillId="5" borderId="0" xfId="0" applyFill="1" applyProtection="1"/>
    <xf numFmtId="0" fontId="0" fillId="10" borderId="2" xfId="0" applyFill="1" applyBorder="1" applyProtection="1"/>
    <xf numFmtId="0" fontId="0" fillId="2" borderId="0" xfId="0" applyFill="1" applyAlignment="1" applyProtection="1">
      <alignment horizontal="center"/>
    </xf>
    <xf numFmtId="0" fontId="1" fillId="3" borderId="2" xfId="0" applyFont="1" applyFill="1" applyBorder="1" applyProtection="1"/>
    <xf numFmtId="0" fontId="1" fillId="3" borderId="1" xfId="0" applyFont="1" applyFill="1" applyBorder="1" applyProtection="1"/>
    <xf numFmtId="0" fontId="1" fillId="3" borderId="3" xfId="0" applyFont="1" applyFill="1" applyBorder="1" applyProtection="1"/>
    <xf numFmtId="0" fontId="0" fillId="3" borderId="0" xfId="0" applyNumberFormat="1" applyFill="1" applyProtection="1"/>
    <xf numFmtId="49" fontId="0" fillId="3" borderId="0" xfId="0" applyNumberFormat="1" applyFill="1" applyProtection="1"/>
    <xf numFmtId="0" fontId="1" fillId="4" borderId="2" xfId="0" applyFont="1" applyFill="1" applyBorder="1" applyProtection="1"/>
    <xf numFmtId="0" fontId="0" fillId="2" borderId="2" xfId="0" applyFill="1" applyBorder="1" applyProtection="1"/>
    <xf numFmtId="0" fontId="0" fillId="7" borderId="0" xfId="0" applyFill="1" applyProtection="1"/>
    <xf numFmtId="0" fontId="0" fillId="7" borderId="0" xfId="0" applyFill="1" applyAlignment="1" applyProtection="1">
      <alignment horizontal="center"/>
    </xf>
    <xf numFmtId="37" fontId="0" fillId="7" borderId="0" xfId="0" applyNumberFormat="1" applyFill="1" applyProtection="1"/>
    <xf numFmtId="0" fontId="14" fillId="2" borderId="0" xfId="0" applyFont="1" applyFill="1" applyAlignment="1" applyProtection="1">
      <alignment horizontal="left"/>
    </xf>
    <xf numFmtId="0" fontId="17" fillId="2" borderId="0" xfId="0" applyFont="1" applyFill="1" applyAlignment="1" applyProtection="1">
      <alignment horizontal="left"/>
    </xf>
    <xf numFmtId="0" fontId="18" fillId="2" borderId="0" xfId="0" applyFont="1" applyFill="1" applyAlignment="1" applyProtection="1">
      <alignment horizontal="left"/>
    </xf>
    <xf numFmtId="0" fontId="11" fillId="12" borderId="44" xfId="0" applyNumberFormat="1" applyFont="1" applyFill="1" applyBorder="1" applyAlignment="1" applyProtection="1">
      <alignment horizontal="centerContinuous"/>
    </xf>
    <xf numFmtId="0" fontId="11" fillId="12" borderId="45" xfId="0" applyNumberFormat="1" applyFont="1" applyFill="1" applyBorder="1" applyAlignment="1" applyProtection="1">
      <alignment horizontal="centerContinuous"/>
    </xf>
    <xf numFmtId="0" fontId="11" fillId="12" borderId="46" xfId="0" applyNumberFormat="1" applyFont="1" applyFill="1" applyBorder="1" applyAlignment="1" applyProtection="1">
      <alignment horizontal="centerContinuous"/>
    </xf>
    <xf numFmtId="0" fontId="0" fillId="2" borderId="0" xfId="0" applyFill="1" applyAlignment="1" applyProtection="1">
      <alignment horizontal="right"/>
    </xf>
    <xf numFmtId="0" fontId="13" fillId="13" borderId="4" xfId="0" applyNumberFormat="1" applyFont="1" applyFill="1" applyBorder="1" applyAlignment="1" applyProtection="1">
      <alignment horizontal="center"/>
    </xf>
    <xf numFmtId="0" fontId="13" fillId="13" borderId="4" xfId="0" applyNumberFormat="1" applyFont="1" applyFill="1" applyBorder="1" applyAlignment="1" applyProtection="1"/>
    <xf numFmtId="0" fontId="13" fillId="13" borderId="4" xfId="0" applyNumberFormat="1" applyFont="1" applyFill="1" applyBorder="1" applyAlignment="1" applyProtection="1">
      <alignment horizontal="centerContinuous"/>
    </xf>
    <xf numFmtId="0" fontId="13" fillId="13" borderId="4" xfId="0" applyNumberFormat="1" applyFont="1" applyFill="1" applyBorder="1" applyAlignment="1" applyProtection="1">
      <alignment horizontal="centerContinuous" wrapText="1"/>
    </xf>
    <xf numFmtId="0" fontId="1" fillId="4" borderId="2" xfId="0" applyFont="1" applyFill="1" applyBorder="1" applyAlignment="1" applyProtection="1">
      <alignment wrapText="1"/>
    </xf>
    <xf numFmtId="0" fontId="0" fillId="2" borderId="2" xfId="0" applyFill="1" applyBorder="1" applyAlignment="1" applyProtection="1">
      <alignment wrapText="1"/>
    </xf>
    <xf numFmtId="0" fontId="0" fillId="2" borderId="0" xfId="0" applyFill="1" applyAlignment="1" applyProtection="1">
      <alignment wrapText="1"/>
    </xf>
    <xf numFmtId="3" fontId="0" fillId="2" borderId="0" xfId="0" applyNumberFormat="1" applyFill="1" applyAlignment="1" applyProtection="1">
      <alignment wrapText="1"/>
    </xf>
    <xf numFmtId="0" fontId="0" fillId="2" borderId="0" xfId="0" applyFill="1" applyAlignment="1" applyProtection="1">
      <alignment horizontal="center" wrapText="1"/>
    </xf>
    <xf numFmtId="0" fontId="15" fillId="2" borderId="0" xfId="0" applyFont="1" applyFill="1" applyAlignment="1" applyProtection="1">
      <alignment wrapText="1"/>
    </xf>
    <xf numFmtId="0" fontId="13" fillId="13" borderId="4" xfId="0" applyNumberFormat="1" applyFont="1" applyFill="1" applyBorder="1" applyAlignment="1" applyProtection="1">
      <alignment horizontal="center" wrapText="1"/>
    </xf>
    <xf numFmtId="49" fontId="0" fillId="3" borderId="0" xfId="0" applyNumberFormat="1" applyFill="1" applyAlignment="1" applyProtection="1"/>
    <xf numFmtId="0" fontId="1" fillId="3" borderId="0" xfId="0" applyNumberFormat="1" applyFont="1" applyFill="1" applyAlignment="1" applyProtection="1">
      <alignment horizontal="left"/>
    </xf>
    <xf numFmtId="0" fontId="0" fillId="2" borderId="0" xfId="0" applyFont="1" applyFill="1" applyAlignment="1" applyProtection="1">
      <alignment horizontal="left" indent="1"/>
    </xf>
    <xf numFmtId="37" fontId="0" fillId="0" borderId="4" xfId="0" applyNumberFormat="1" applyFill="1" applyBorder="1" applyProtection="1"/>
    <xf numFmtId="37" fontId="0" fillId="11" borderId="4" xfId="0" applyNumberFormat="1" applyFill="1" applyBorder="1" applyProtection="1"/>
    <xf numFmtId="37" fontId="0" fillId="11" borderId="15" xfId="0" applyNumberFormat="1" applyFill="1" applyBorder="1" applyProtection="1"/>
    <xf numFmtId="37" fontId="0" fillId="11" borderId="16" xfId="0" applyNumberFormat="1" applyFill="1" applyBorder="1" applyProtection="1"/>
    <xf numFmtId="10" fontId="0" fillId="18" borderId="44" xfId="1" applyNumberFormat="1" applyFont="1" applyFill="1" applyBorder="1" applyAlignment="1" applyProtection="1"/>
    <xf numFmtId="39" fontId="0" fillId="18" borderId="46" xfId="0" applyNumberFormat="1" applyFill="1" applyBorder="1" applyAlignment="1" applyProtection="1">
      <alignment horizontal="center"/>
    </xf>
    <xf numFmtId="0" fontId="1" fillId="3" borderId="5" xfId="0" applyFont="1" applyFill="1" applyBorder="1" applyProtection="1"/>
    <xf numFmtId="0" fontId="1" fillId="3" borderId="6" xfId="0" applyFont="1" applyFill="1" applyBorder="1" applyProtection="1"/>
    <xf numFmtId="0" fontId="1" fillId="3" borderId="7" xfId="0" applyFont="1" applyFill="1" applyBorder="1" applyProtection="1"/>
    <xf numFmtId="164" fontId="0" fillId="0" borderId="4" xfId="1" applyNumberFormat="1" applyFont="1" applyFill="1" applyBorder="1" applyProtection="1"/>
    <xf numFmtId="10" fontId="0" fillId="2" borderId="0" xfId="1" applyNumberFormat="1" applyFont="1" applyFill="1" applyProtection="1"/>
    <xf numFmtId="44" fontId="0" fillId="0" borderId="4" xfId="7" applyFont="1" applyFill="1" applyBorder="1" applyProtection="1"/>
    <xf numFmtId="44" fontId="0" fillId="2" borderId="0" xfId="0" applyNumberFormat="1" applyFill="1" applyProtection="1"/>
    <xf numFmtId="0" fontId="0" fillId="2" borderId="0" xfId="0" applyFill="1" applyAlignment="1" applyProtection="1">
      <alignment horizontal="left" indent="1"/>
    </xf>
    <xf numFmtId="0" fontId="4" fillId="2" borderId="0" xfId="0" applyFont="1" applyFill="1" applyAlignment="1" applyProtection="1">
      <alignment horizontal="left"/>
    </xf>
    <xf numFmtId="0" fontId="1" fillId="2" borderId="0" xfId="0" applyFont="1" applyFill="1" applyAlignment="1" applyProtection="1">
      <alignment horizontal="left"/>
    </xf>
    <xf numFmtId="0" fontId="1" fillId="2" borderId="0" xfId="0" applyFont="1" applyFill="1" applyAlignment="1" applyProtection="1"/>
    <xf numFmtId="43" fontId="0" fillId="2" borderId="0" xfId="9" applyFont="1" applyFill="1" applyProtection="1"/>
    <xf numFmtId="0" fontId="1" fillId="2" borderId="8" xfId="0" applyFont="1" applyFill="1" applyBorder="1" applyAlignment="1" applyProtection="1">
      <alignment horizontal="left"/>
    </xf>
    <xf numFmtId="10" fontId="0" fillId="18" borderId="15" xfId="1" applyNumberFormat="1" applyFont="1" applyFill="1" applyBorder="1" applyAlignment="1" applyProtection="1"/>
    <xf numFmtId="39" fontId="0" fillId="18" borderId="16" xfId="0" applyNumberFormat="1" applyFill="1" applyBorder="1" applyAlignment="1" applyProtection="1">
      <alignment horizontal="center"/>
    </xf>
    <xf numFmtId="37" fontId="1" fillId="0" borderId="11" xfId="0" applyNumberFormat="1" applyFont="1" applyFill="1" applyBorder="1" applyProtection="1"/>
    <xf numFmtId="164" fontId="1" fillId="0" borderId="11" xfId="1" applyNumberFormat="1" applyFont="1" applyFill="1" applyBorder="1" applyProtection="1"/>
    <xf numFmtId="37" fontId="1" fillId="11" borderId="11" xfId="0" applyNumberFormat="1" applyFont="1" applyFill="1" applyBorder="1" applyProtection="1"/>
    <xf numFmtId="10" fontId="1" fillId="18" borderId="79" xfId="1" applyNumberFormat="1" applyFont="1" applyFill="1" applyBorder="1" applyAlignment="1" applyProtection="1"/>
    <xf numFmtId="39" fontId="1" fillId="18" borderId="80" xfId="0" applyNumberFormat="1" applyFont="1" applyFill="1" applyBorder="1" applyAlignment="1" applyProtection="1">
      <alignment horizontal="center"/>
    </xf>
    <xf numFmtId="0" fontId="15" fillId="2" borderId="0" xfId="0" applyFont="1" applyFill="1" applyAlignment="1" applyProtection="1">
      <alignment horizontal="left"/>
    </xf>
    <xf numFmtId="0" fontId="0" fillId="2" borderId="22" xfId="0" applyFill="1" applyBorder="1" applyProtection="1"/>
    <xf numFmtId="0" fontId="0" fillId="2" borderId="17" xfId="0" applyFill="1" applyBorder="1" applyProtection="1"/>
    <xf numFmtId="0" fontId="0" fillId="2" borderId="20" xfId="0" applyFill="1" applyBorder="1" applyProtection="1"/>
    <xf numFmtId="0" fontId="0" fillId="2" borderId="18" xfId="0" applyFill="1" applyBorder="1" applyProtection="1"/>
    <xf numFmtId="0" fontId="0" fillId="3" borderId="0" xfId="0" applyNumberFormat="1" applyFont="1" applyFill="1" applyAlignment="1" applyProtection="1">
      <alignment horizontal="left" indent="1"/>
    </xf>
    <xf numFmtId="37" fontId="1" fillId="0" borderId="37" xfId="0" applyNumberFormat="1" applyFont="1" applyFill="1" applyBorder="1" applyProtection="1"/>
    <xf numFmtId="164" fontId="1" fillId="0" borderId="37" xfId="1" applyNumberFormat="1" applyFont="1" applyFill="1" applyBorder="1" applyProtection="1"/>
    <xf numFmtId="37" fontId="1" fillId="11" borderId="37" xfId="0" applyNumberFormat="1" applyFont="1" applyFill="1" applyBorder="1" applyProtection="1"/>
    <xf numFmtId="37" fontId="1" fillId="0" borderId="23" xfId="0" applyNumberFormat="1" applyFont="1" applyFill="1" applyBorder="1" applyProtection="1"/>
    <xf numFmtId="164" fontId="1" fillId="0" borderId="23" xfId="1" applyNumberFormat="1" applyFont="1" applyFill="1" applyBorder="1" applyProtection="1"/>
    <xf numFmtId="37" fontId="1" fillId="11" borderId="23" xfId="0" applyNumberFormat="1" applyFont="1" applyFill="1" applyBorder="1" applyProtection="1"/>
    <xf numFmtId="0" fontId="0" fillId="2" borderId="15" xfId="0" applyFill="1" applyBorder="1" applyProtection="1"/>
    <xf numFmtId="0" fontId="0" fillId="2" borderId="19" xfId="0" applyFill="1" applyBorder="1" applyProtection="1"/>
    <xf numFmtId="0" fontId="0" fillId="2" borderId="16" xfId="0" applyFill="1" applyBorder="1" applyProtection="1"/>
    <xf numFmtId="164" fontId="1" fillId="0" borderId="4" xfId="1" applyNumberFormat="1" applyFont="1" applyFill="1" applyBorder="1" applyProtection="1"/>
    <xf numFmtId="0" fontId="1" fillId="2" borderId="0" xfId="0" applyFont="1" applyFill="1" applyAlignment="1" applyProtection="1">
      <alignment horizontal="center"/>
    </xf>
    <xf numFmtId="0" fontId="0" fillId="16" borderId="0" xfId="0" applyFill="1" applyProtection="1"/>
    <xf numFmtId="0" fontId="9" fillId="16" borderId="0" xfId="0" applyFont="1" applyFill="1" applyProtection="1"/>
    <xf numFmtId="0" fontId="0" fillId="3" borderId="0" xfId="0" applyNumberFormat="1" applyFill="1" applyAlignment="1" applyProtection="1">
      <alignment horizontal="left" indent="1"/>
    </xf>
    <xf numFmtId="37" fontId="0" fillId="2" borderId="0" xfId="0" applyNumberFormat="1" applyFill="1" applyProtection="1"/>
    <xf numFmtId="37" fontId="0" fillId="0" borderId="4" xfId="0" applyNumberFormat="1" applyFill="1" applyBorder="1" applyProtection="1">
      <protection locked="0"/>
    </xf>
    <xf numFmtId="164" fontId="0" fillId="13" borderId="4" xfId="1" applyNumberFormat="1" applyFont="1" applyFill="1" applyBorder="1" applyProtection="1">
      <protection locked="0"/>
    </xf>
    <xf numFmtId="0" fontId="0" fillId="2" borderId="0" xfId="0" applyFill="1" applyProtection="1">
      <protection locked="0"/>
    </xf>
    <xf numFmtId="37" fontId="0" fillId="11" borderId="4" xfId="0" applyNumberFormat="1" applyFill="1" applyBorder="1" applyProtection="1">
      <protection locked="0"/>
    </xf>
    <xf numFmtId="164" fontId="0" fillId="0" borderId="4" xfId="1" applyNumberFormat="1" applyFont="1" applyFill="1" applyBorder="1" applyProtection="1">
      <protection locked="0"/>
    </xf>
    <xf numFmtId="10" fontId="0" fillId="11" borderId="4" xfId="1" applyNumberFormat="1" applyFont="1" applyFill="1" applyBorder="1" applyProtection="1">
      <protection locked="0"/>
    </xf>
    <xf numFmtId="44" fontId="0" fillId="0" borderId="4" xfId="7" applyFont="1" applyFill="1" applyBorder="1" applyProtection="1">
      <protection locked="0"/>
    </xf>
    <xf numFmtId="44" fontId="0" fillId="11" borderId="4" xfId="7" applyNumberFormat="1" applyFont="1" applyFill="1" applyBorder="1" applyProtection="1">
      <protection locked="0"/>
    </xf>
    <xf numFmtId="44" fontId="0" fillId="11" borderId="4" xfId="7" applyFont="1" applyFill="1" applyBorder="1" applyProtection="1">
      <protection locked="0"/>
    </xf>
    <xf numFmtId="0" fontId="0" fillId="13" borderId="21" xfId="0" applyFill="1" applyBorder="1" applyProtection="1">
      <protection locked="0"/>
    </xf>
    <xf numFmtId="0" fontId="0" fillId="13" borderId="0" xfId="0" applyFill="1" applyBorder="1" applyProtection="1">
      <protection locked="0"/>
    </xf>
    <xf numFmtId="0" fontId="0" fillId="13" borderId="22" xfId="0" applyFill="1" applyBorder="1" applyProtection="1">
      <protection locked="0"/>
    </xf>
    <xf numFmtId="37" fontId="1" fillId="0" borderId="11" xfId="0" applyNumberFormat="1" applyFont="1" applyFill="1" applyBorder="1" applyProtection="1">
      <protection locked="0"/>
    </xf>
    <xf numFmtId="164" fontId="1" fillId="0" borderId="11" xfId="1" applyNumberFormat="1" applyFont="1" applyFill="1" applyBorder="1" applyProtection="1">
      <protection locked="0"/>
    </xf>
    <xf numFmtId="37" fontId="1" fillId="11" borderId="11" xfId="0" applyNumberFormat="1" applyFont="1" applyFill="1" applyBorder="1" applyProtection="1">
      <protection locked="0"/>
    </xf>
    <xf numFmtId="39" fontId="15" fillId="2" borderId="15" xfId="9" applyNumberFormat="1" applyFont="1" applyFill="1" applyBorder="1" applyProtection="1">
      <protection locked="0"/>
    </xf>
    <xf numFmtId="39" fontId="15" fillId="2" borderId="0" xfId="9" applyNumberFormat="1" applyFont="1" applyFill="1" applyBorder="1" applyProtection="1">
      <protection locked="0"/>
    </xf>
    <xf numFmtId="0" fontId="19" fillId="2" borderId="16" xfId="0" applyFont="1" applyFill="1" applyBorder="1" applyProtection="1">
      <protection locked="0"/>
    </xf>
    <xf numFmtId="0" fontId="19" fillId="2" borderId="0" xfId="0" applyFont="1" applyFill="1" applyBorder="1" applyProtection="1">
      <protection locked="0"/>
    </xf>
    <xf numFmtId="0" fontId="0" fillId="2" borderId="22" xfId="0" applyFill="1" applyBorder="1" applyProtection="1">
      <protection locked="0"/>
    </xf>
    <xf numFmtId="0" fontId="0" fillId="2" borderId="17" xfId="0" applyFill="1" applyBorder="1" applyProtection="1">
      <protection locked="0"/>
    </xf>
    <xf numFmtId="0" fontId="0" fillId="2" borderId="20" xfId="0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19" fillId="2" borderId="22" xfId="0" applyFont="1" applyFill="1" applyBorder="1" applyProtection="1">
      <protection locked="0"/>
    </xf>
    <xf numFmtId="37" fontId="1" fillId="0" borderId="37" xfId="0" applyNumberFormat="1" applyFont="1" applyFill="1" applyBorder="1" applyProtection="1">
      <protection locked="0"/>
    </xf>
    <xf numFmtId="164" fontId="1" fillId="0" borderId="37" xfId="1" applyNumberFormat="1" applyFont="1" applyFill="1" applyBorder="1" applyProtection="1">
      <protection locked="0"/>
    </xf>
    <xf numFmtId="37" fontId="1" fillId="11" borderId="37" xfId="0" applyNumberFormat="1" applyFont="1" applyFill="1" applyBorder="1" applyProtection="1">
      <protection locked="0"/>
    </xf>
    <xf numFmtId="37" fontId="1" fillId="0" borderId="23" xfId="0" applyNumberFormat="1" applyFont="1" applyFill="1" applyBorder="1" applyProtection="1">
      <protection locked="0"/>
    </xf>
    <xf numFmtId="164" fontId="1" fillId="0" borderId="23" xfId="1" applyNumberFormat="1" applyFont="1" applyFill="1" applyBorder="1" applyProtection="1">
      <protection locked="0"/>
    </xf>
    <xf numFmtId="37" fontId="1" fillId="11" borderId="23" xfId="0" applyNumberFormat="1" applyFont="1" applyFill="1" applyBorder="1" applyProtection="1">
      <protection locked="0"/>
    </xf>
    <xf numFmtId="165" fontId="15" fillId="2" borderId="15" xfId="9" applyNumberFormat="1" applyFont="1" applyFill="1" applyBorder="1" applyProtection="1">
      <protection locked="0"/>
    </xf>
    <xf numFmtId="165" fontId="15" fillId="2" borderId="0" xfId="9" applyNumberFormat="1" applyFont="1" applyFill="1" applyBorder="1" applyProtection="1">
      <protection locked="0"/>
    </xf>
    <xf numFmtId="0" fontId="0" fillId="2" borderId="15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2" borderId="16" xfId="0" applyFill="1" applyBorder="1" applyProtection="1">
      <protection locked="0"/>
    </xf>
    <xf numFmtId="37" fontId="0" fillId="17" borderId="4" xfId="0" applyNumberFormat="1" applyFill="1" applyBorder="1" applyProtection="1">
      <protection locked="0"/>
    </xf>
    <xf numFmtId="164" fontId="0" fillId="17" borderId="4" xfId="1" applyNumberFormat="1" applyFont="1" applyFill="1" applyBorder="1" applyProtection="1">
      <protection locked="0"/>
    </xf>
    <xf numFmtId="37" fontId="0" fillId="17" borderId="13" xfId="0" applyNumberFormat="1" applyFill="1" applyBorder="1" applyProtection="1">
      <protection locked="0"/>
    </xf>
    <xf numFmtId="164" fontId="0" fillId="17" borderId="13" xfId="1" applyNumberFormat="1" applyFont="1" applyFill="1" applyBorder="1" applyProtection="1">
      <protection locked="0"/>
    </xf>
    <xf numFmtId="0" fontId="9" fillId="0" borderId="0" xfId="0" applyFont="1" applyFill="1" applyProtection="1"/>
    <xf numFmtId="0" fontId="15" fillId="2" borderId="0" xfId="0" applyFont="1" applyFill="1" applyAlignment="1" applyProtection="1">
      <alignment horizontal="center" wrapText="1"/>
    </xf>
    <xf numFmtId="0" fontId="15" fillId="2" borderId="0" xfId="0" applyFont="1" applyFill="1" applyAlignment="1" applyProtection="1">
      <alignment horizontal="left" indent="1"/>
    </xf>
    <xf numFmtId="37" fontId="0" fillId="0" borderId="32" xfId="0" applyNumberFormat="1" applyFill="1" applyBorder="1" applyProtection="1"/>
    <xf numFmtId="39" fontId="0" fillId="18" borderId="4" xfId="0" applyNumberFormat="1" applyFill="1" applyBorder="1" applyProtection="1"/>
    <xf numFmtId="39" fontId="0" fillId="19" borderId="4" xfId="0" applyNumberFormat="1" applyFill="1" applyBorder="1" applyProtection="1"/>
    <xf numFmtId="39" fontId="0" fillId="11" borderId="4" xfId="0" applyNumberFormat="1" applyFill="1" applyBorder="1" applyProtection="1"/>
    <xf numFmtId="39" fontId="0" fillId="9" borderId="4" xfId="0" applyNumberFormat="1" applyFill="1" applyBorder="1" applyProtection="1"/>
    <xf numFmtId="49" fontId="0" fillId="3" borderId="0" xfId="0" applyNumberFormat="1" applyFill="1" applyAlignment="1" applyProtection="1">
      <alignment horizontal="left"/>
    </xf>
    <xf numFmtId="37" fontId="0" fillId="0" borderId="28" xfId="0" applyNumberFormat="1" applyFill="1" applyBorder="1" applyProtection="1"/>
    <xf numFmtId="39" fontId="0" fillId="11" borderId="9" xfId="0" applyNumberFormat="1" applyFill="1" applyBorder="1" applyProtection="1"/>
    <xf numFmtId="0" fontId="1" fillId="3" borderId="0" xfId="0" applyNumberFormat="1" applyFont="1" applyFill="1" applyAlignment="1" applyProtection="1">
      <alignment horizontal="left" indent="1"/>
    </xf>
    <xf numFmtId="0" fontId="16" fillId="2" borderId="0" xfId="0" applyFont="1" applyFill="1" applyAlignment="1" applyProtection="1">
      <alignment horizontal="left" indent="1"/>
    </xf>
    <xf numFmtId="0" fontId="1" fillId="2" borderId="0" xfId="0" applyFont="1" applyFill="1" applyAlignment="1" applyProtection="1">
      <alignment horizontal="left" indent="1"/>
    </xf>
    <xf numFmtId="37" fontId="1" fillId="0" borderId="34" xfId="0" applyNumberFormat="1" applyFont="1" applyFill="1" applyBorder="1" applyProtection="1"/>
    <xf numFmtId="164" fontId="1" fillId="0" borderId="34" xfId="1" applyNumberFormat="1" applyFont="1" applyFill="1" applyBorder="1" applyProtection="1"/>
    <xf numFmtId="39" fontId="1" fillId="18" borderId="34" xfId="0" applyNumberFormat="1" applyFont="1" applyFill="1" applyBorder="1" applyProtection="1"/>
    <xf numFmtId="39" fontId="1" fillId="19" borderId="34" xfId="0" applyNumberFormat="1" applyFont="1" applyFill="1" applyBorder="1" applyProtection="1"/>
    <xf numFmtId="39" fontId="1" fillId="9" borderId="34" xfId="0" applyNumberFormat="1" applyFont="1" applyFill="1" applyBorder="1" applyProtection="1"/>
    <xf numFmtId="0" fontId="1" fillId="2" borderId="6" xfId="0" applyFont="1" applyFill="1" applyBorder="1" applyAlignment="1" applyProtection="1">
      <alignment horizontal="left"/>
    </xf>
    <xf numFmtId="37" fontId="0" fillId="0" borderId="13" xfId="0" applyNumberFormat="1" applyFill="1" applyBorder="1" applyProtection="1"/>
    <xf numFmtId="164" fontId="0" fillId="0" borderId="13" xfId="1" applyNumberFormat="1" applyFont="1" applyFill="1" applyBorder="1" applyProtection="1"/>
    <xf numFmtId="37" fontId="0" fillId="11" borderId="13" xfId="0" applyNumberFormat="1" applyFill="1" applyBorder="1" applyProtection="1"/>
    <xf numFmtId="39" fontId="0" fillId="18" borderId="13" xfId="0" applyNumberFormat="1" applyFill="1" applyBorder="1" applyProtection="1"/>
    <xf numFmtId="39" fontId="0" fillId="19" borderId="13" xfId="0" applyNumberFormat="1" applyFill="1" applyBorder="1" applyProtection="1"/>
    <xf numFmtId="39" fontId="0" fillId="9" borderId="13" xfId="0" applyNumberFormat="1" applyFill="1" applyBorder="1" applyProtection="1"/>
    <xf numFmtId="0" fontId="0" fillId="2" borderId="21" xfId="0" applyFill="1" applyBorder="1" applyProtection="1"/>
    <xf numFmtId="0" fontId="0" fillId="2" borderId="0" xfId="0" applyFill="1" applyBorder="1" applyProtection="1"/>
    <xf numFmtId="37" fontId="0" fillId="0" borderId="14" xfId="0" applyNumberFormat="1" applyFill="1" applyBorder="1" applyProtection="1"/>
    <xf numFmtId="164" fontId="0" fillId="0" borderId="14" xfId="1" applyNumberFormat="1" applyFont="1" applyFill="1" applyBorder="1" applyProtection="1"/>
    <xf numFmtId="37" fontId="0" fillId="11" borderId="14" xfId="0" applyNumberFormat="1" applyFill="1" applyBorder="1" applyProtection="1"/>
    <xf numFmtId="0" fontId="1" fillId="2" borderId="0" xfId="0" applyFont="1" applyFill="1" applyBorder="1" applyAlignment="1" applyProtection="1">
      <alignment horizontal="left"/>
    </xf>
    <xf numFmtId="39" fontId="0" fillId="0" borderId="4" xfId="1" applyNumberFormat="1" applyFont="1" applyFill="1" applyBorder="1" applyProtection="1"/>
    <xf numFmtId="39" fontId="1" fillId="18" borderId="11" xfId="0" applyNumberFormat="1" applyFont="1" applyFill="1" applyBorder="1" applyProtection="1">
      <protection locked="0"/>
    </xf>
    <xf numFmtId="39" fontId="1" fillId="19" borderId="11" xfId="0" applyNumberFormat="1" applyFont="1" applyFill="1" applyBorder="1" applyProtection="1">
      <protection locked="0"/>
    </xf>
    <xf numFmtId="39" fontId="1" fillId="11" borderId="11" xfId="0" applyNumberFormat="1" applyFont="1" applyFill="1" applyBorder="1" applyProtection="1">
      <protection locked="0"/>
    </xf>
    <xf numFmtId="39" fontId="1" fillId="9" borderId="11" xfId="0" applyNumberFormat="1" applyFont="1" applyFill="1" applyBorder="1" applyProtection="1">
      <protection locked="0"/>
    </xf>
    <xf numFmtId="37" fontId="1" fillId="0" borderId="12" xfId="0" applyNumberFormat="1" applyFont="1" applyFill="1" applyBorder="1" applyProtection="1">
      <protection locked="0"/>
    </xf>
    <xf numFmtId="164" fontId="1" fillId="0" borderId="12" xfId="1" applyNumberFormat="1" applyFont="1" applyFill="1" applyBorder="1" applyProtection="1">
      <protection locked="0"/>
    </xf>
    <xf numFmtId="37" fontId="1" fillId="11" borderId="24" xfId="0" applyNumberFormat="1" applyFont="1" applyFill="1" applyBorder="1" applyProtection="1">
      <protection locked="0"/>
    </xf>
    <xf numFmtId="37" fontId="1" fillId="0" borderId="24" xfId="0" applyNumberFormat="1" applyFont="1" applyFill="1" applyBorder="1" applyProtection="1">
      <protection locked="0"/>
    </xf>
    <xf numFmtId="164" fontId="1" fillId="0" borderId="24" xfId="1" applyNumberFormat="1" applyFont="1" applyFill="1" applyBorder="1" applyProtection="1">
      <protection locked="0"/>
    </xf>
    <xf numFmtId="39" fontId="1" fillId="18" borderId="34" xfId="0" applyNumberFormat="1" applyFont="1" applyFill="1" applyBorder="1" applyProtection="1">
      <protection locked="0"/>
    </xf>
    <xf numFmtId="39" fontId="1" fillId="19" borderId="34" xfId="0" applyNumberFormat="1" applyFont="1" applyFill="1" applyBorder="1" applyProtection="1">
      <protection locked="0"/>
    </xf>
    <xf numFmtId="39" fontId="1" fillId="11" borderId="34" xfId="0" applyNumberFormat="1" applyFont="1" applyFill="1" applyBorder="1" applyProtection="1">
      <protection locked="0"/>
    </xf>
    <xf numFmtId="39" fontId="1" fillId="9" borderId="34" xfId="0" applyNumberFormat="1" applyFont="1" applyFill="1" applyBorder="1" applyProtection="1">
      <protection locked="0"/>
    </xf>
    <xf numFmtId="39" fontId="1" fillId="18" borderId="74" xfId="0" applyNumberFormat="1" applyFont="1" applyFill="1" applyBorder="1" applyProtection="1">
      <protection locked="0"/>
    </xf>
    <xf numFmtId="39" fontId="1" fillId="19" borderId="74" xfId="0" applyNumberFormat="1" applyFont="1" applyFill="1" applyBorder="1" applyProtection="1">
      <protection locked="0"/>
    </xf>
    <xf numFmtId="39" fontId="1" fillId="11" borderId="74" xfId="0" applyNumberFormat="1" applyFont="1" applyFill="1" applyBorder="1" applyProtection="1">
      <protection locked="0"/>
    </xf>
    <xf numFmtId="39" fontId="1" fillId="9" borderId="74" xfId="0" applyNumberFormat="1" applyFont="1" applyFill="1" applyBorder="1" applyProtection="1">
      <protection locked="0"/>
    </xf>
    <xf numFmtId="37" fontId="0" fillId="0" borderId="32" xfId="0" applyNumberFormat="1" applyFill="1" applyBorder="1" applyProtection="1">
      <protection locked="0"/>
    </xf>
    <xf numFmtId="39" fontId="0" fillId="18" borderId="4" xfId="0" applyNumberFormat="1" applyFill="1" applyBorder="1" applyProtection="1">
      <protection locked="0"/>
    </xf>
    <xf numFmtId="39" fontId="0" fillId="19" borderId="4" xfId="0" applyNumberFormat="1" applyFill="1" applyBorder="1" applyProtection="1">
      <protection locked="0"/>
    </xf>
    <xf numFmtId="39" fontId="0" fillId="11" borderId="4" xfId="0" applyNumberFormat="1" applyFill="1" applyBorder="1" applyProtection="1">
      <protection locked="0"/>
    </xf>
    <xf numFmtId="39" fontId="0" fillId="9" borderId="4" xfId="0" applyNumberFormat="1" applyFill="1" applyBorder="1" applyProtection="1">
      <protection locked="0"/>
    </xf>
    <xf numFmtId="37" fontId="0" fillId="0" borderId="9" xfId="0" applyNumberFormat="1" applyFill="1" applyBorder="1" applyProtection="1">
      <protection locked="0"/>
    </xf>
    <xf numFmtId="37" fontId="0" fillId="0" borderId="28" xfId="0" applyNumberFormat="1" applyFill="1" applyBorder="1" applyProtection="1">
      <protection locked="0"/>
    </xf>
    <xf numFmtId="164" fontId="0" fillId="0" borderId="9" xfId="1" applyNumberFormat="1" applyFont="1" applyFill="1" applyBorder="1" applyProtection="1">
      <protection locked="0"/>
    </xf>
    <xf numFmtId="37" fontId="0" fillId="11" borderId="9" xfId="0" applyNumberFormat="1" applyFill="1" applyBorder="1" applyProtection="1">
      <protection locked="0"/>
    </xf>
    <xf numFmtId="39" fontId="0" fillId="18" borderId="9" xfId="0" applyNumberFormat="1" applyFill="1" applyBorder="1" applyProtection="1">
      <protection locked="0"/>
    </xf>
    <xf numFmtId="39" fontId="0" fillId="19" borderId="9" xfId="0" applyNumberFormat="1" applyFill="1" applyBorder="1" applyProtection="1">
      <protection locked="0"/>
    </xf>
    <xf numFmtId="39" fontId="0" fillId="11" borderId="9" xfId="0" applyNumberFormat="1" applyFill="1" applyBorder="1" applyProtection="1">
      <protection locked="0"/>
    </xf>
    <xf numFmtId="39" fontId="0" fillId="9" borderId="9" xfId="0" applyNumberFormat="1" applyFill="1" applyBorder="1" applyProtection="1">
      <protection locked="0"/>
    </xf>
    <xf numFmtId="37" fontId="1" fillId="0" borderId="34" xfId="0" applyNumberFormat="1" applyFont="1" applyFill="1" applyBorder="1" applyProtection="1">
      <protection locked="0"/>
    </xf>
    <xf numFmtId="164" fontId="1" fillId="0" borderId="34" xfId="1" applyNumberFormat="1" applyFont="1" applyFill="1" applyBorder="1" applyProtection="1">
      <protection locked="0"/>
    </xf>
    <xf numFmtId="0" fontId="1" fillId="2" borderId="35" xfId="0" applyFont="1" applyFill="1" applyBorder="1" applyProtection="1">
      <protection locked="0"/>
    </xf>
    <xf numFmtId="37" fontId="1" fillId="11" borderId="34" xfId="0" applyNumberFormat="1" applyFont="1" applyFill="1" applyBorder="1" applyProtection="1">
      <protection locked="0"/>
    </xf>
    <xf numFmtId="37" fontId="0" fillId="0" borderId="13" xfId="0" applyNumberFormat="1" applyFill="1" applyBorder="1" applyProtection="1">
      <protection locked="0"/>
    </xf>
    <xf numFmtId="37" fontId="0" fillId="0" borderId="42" xfId="0" applyNumberFormat="1" applyFill="1" applyBorder="1" applyProtection="1">
      <protection locked="0"/>
    </xf>
    <xf numFmtId="164" fontId="0" fillId="0" borderId="13" xfId="1" applyNumberFormat="1" applyFont="1" applyFill="1" applyBorder="1" applyProtection="1">
      <protection locked="0"/>
    </xf>
    <xf numFmtId="37" fontId="0" fillId="11" borderId="13" xfId="0" applyNumberFormat="1" applyFill="1" applyBorder="1" applyProtection="1">
      <protection locked="0"/>
    </xf>
    <xf numFmtId="39" fontId="0" fillId="18" borderId="13" xfId="0" applyNumberFormat="1" applyFill="1" applyBorder="1" applyProtection="1">
      <protection locked="0"/>
    </xf>
    <xf numFmtId="39" fontId="0" fillId="19" borderId="13" xfId="0" applyNumberFormat="1" applyFill="1" applyBorder="1" applyProtection="1">
      <protection locked="0"/>
    </xf>
    <xf numFmtId="39" fontId="0" fillId="11" borderId="13" xfId="0" applyNumberFormat="1" applyFill="1" applyBorder="1" applyProtection="1">
      <protection locked="0"/>
    </xf>
    <xf numFmtId="39" fontId="0" fillId="9" borderId="13" xfId="0" applyNumberFormat="1" applyFill="1" applyBorder="1" applyProtection="1">
      <protection locked="0"/>
    </xf>
    <xf numFmtId="37" fontId="0" fillId="0" borderId="14" xfId="0" applyNumberFormat="1" applyFill="1" applyBorder="1" applyProtection="1">
      <protection locked="0"/>
    </xf>
    <xf numFmtId="164" fontId="0" fillId="0" borderId="14" xfId="1" applyNumberFormat="1" applyFont="1" applyFill="1" applyBorder="1" applyProtection="1">
      <protection locked="0"/>
    </xf>
    <xf numFmtId="37" fontId="0" fillId="11" borderId="14" xfId="0" applyNumberFormat="1" applyFill="1" applyBorder="1" applyProtection="1">
      <protection locked="0"/>
    </xf>
    <xf numFmtId="0" fontId="1" fillId="2" borderId="10" xfId="0" applyFont="1" applyFill="1" applyBorder="1" applyProtection="1">
      <protection locked="0"/>
    </xf>
    <xf numFmtId="37" fontId="1" fillId="11" borderId="12" xfId="0" applyNumberFormat="1" applyFont="1" applyFill="1" applyBorder="1" applyProtection="1">
      <protection locked="0"/>
    </xf>
    <xf numFmtId="39" fontId="1" fillId="18" borderId="12" xfId="0" applyNumberFormat="1" applyFont="1" applyFill="1" applyBorder="1" applyProtection="1">
      <protection locked="0"/>
    </xf>
    <xf numFmtId="39" fontId="1" fillId="19" borderId="12" xfId="0" applyNumberFormat="1" applyFont="1" applyFill="1" applyBorder="1" applyProtection="1">
      <protection locked="0"/>
    </xf>
    <xf numFmtId="39" fontId="1" fillId="11" borderId="12" xfId="0" applyNumberFormat="1" applyFont="1" applyFill="1" applyBorder="1" applyProtection="1">
      <protection locked="0"/>
    </xf>
    <xf numFmtId="39" fontId="1" fillId="9" borderId="12" xfId="0" applyNumberFormat="1" applyFont="1" applyFill="1" applyBorder="1" applyProtection="1">
      <protection locked="0"/>
    </xf>
    <xf numFmtId="0" fontId="8" fillId="2" borderId="0" xfId="0" applyFont="1" applyFill="1" applyProtection="1"/>
    <xf numFmtId="0" fontId="4" fillId="2" borderId="0" xfId="0" applyFont="1" applyFill="1" applyAlignment="1" applyProtection="1">
      <alignment horizontal="center" wrapText="1"/>
    </xf>
    <xf numFmtId="0" fontId="0" fillId="2" borderId="16" xfId="0" applyFill="1" applyBorder="1" applyAlignment="1" applyProtection="1">
      <alignment horizontal="center"/>
    </xf>
    <xf numFmtId="0" fontId="1" fillId="2" borderId="22" xfId="0" applyFont="1" applyFill="1" applyBorder="1" applyAlignment="1" applyProtection="1">
      <alignment horizontal="right"/>
    </xf>
    <xf numFmtId="0" fontId="16" fillId="2" borderId="0" xfId="0" applyFont="1" applyFill="1" applyAlignment="1" applyProtection="1">
      <alignment horizontal="left"/>
    </xf>
    <xf numFmtId="0" fontId="1" fillId="2" borderId="9" xfId="0" applyFont="1" applyFill="1" applyBorder="1" applyAlignment="1" applyProtection="1">
      <alignment horizontal="center"/>
    </xf>
    <xf numFmtId="0" fontId="0" fillId="2" borderId="0" xfId="0" applyFill="1" applyAlignment="1" applyProtection="1">
      <alignment horizontal="left"/>
    </xf>
    <xf numFmtId="164" fontId="3" fillId="15" borderId="4" xfId="1" applyNumberFormat="1" applyFont="1" applyFill="1" applyBorder="1" applyAlignment="1" applyProtection="1"/>
    <xf numFmtId="37" fontId="1" fillId="14" borderId="25" xfId="0" applyNumberFormat="1" applyFont="1" applyFill="1" applyBorder="1" applyAlignment="1" applyProtection="1">
      <protection locked="0"/>
    </xf>
    <xf numFmtId="37" fontId="1" fillId="14" borderId="57" xfId="0" applyNumberFormat="1" applyFont="1" applyFill="1" applyBorder="1" applyAlignment="1" applyProtection="1">
      <protection locked="0"/>
    </xf>
    <xf numFmtId="164" fontId="1" fillId="14" borderId="26" xfId="1" applyNumberFormat="1" applyFont="1" applyFill="1" applyBorder="1" applyProtection="1">
      <protection locked="0"/>
    </xf>
    <xf numFmtId="37" fontId="1" fillId="14" borderId="26" xfId="0" applyNumberFormat="1" applyFont="1" applyFill="1" applyBorder="1" applyAlignment="1" applyProtection="1">
      <protection locked="0"/>
    </xf>
    <xf numFmtId="37" fontId="1" fillId="14" borderId="26" xfId="0" applyNumberFormat="1" applyFont="1" applyFill="1" applyBorder="1" applyProtection="1">
      <protection locked="0"/>
    </xf>
    <xf numFmtId="37" fontId="1" fillId="14" borderId="70" xfId="0" applyNumberFormat="1" applyFont="1" applyFill="1" applyBorder="1" applyProtection="1">
      <protection locked="0"/>
    </xf>
    <xf numFmtId="37" fontId="0" fillId="15" borderId="25" xfId="0" applyNumberFormat="1" applyFont="1" applyFill="1" applyBorder="1" applyAlignment="1" applyProtection="1">
      <protection locked="0"/>
    </xf>
    <xf numFmtId="37" fontId="0" fillId="15" borderId="57" xfId="0" applyNumberFormat="1" applyFont="1" applyFill="1" applyBorder="1" applyAlignment="1" applyProtection="1">
      <protection locked="0"/>
    </xf>
    <xf numFmtId="164" fontId="3" fillId="15" borderId="26" xfId="1" applyNumberFormat="1" applyFont="1" applyFill="1" applyBorder="1" applyProtection="1">
      <protection locked="0"/>
    </xf>
    <xf numFmtId="37" fontId="0" fillId="15" borderId="26" xfId="0" applyNumberFormat="1" applyFont="1" applyFill="1" applyBorder="1" applyAlignment="1" applyProtection="1">
      <protection locked="0"/>
    </xf>
    <xf numFmtId="37" fontId="0" fillId="15" borderId="26" xfId="0" applyNumberFormat="1" applyFont="1" applyFill="1" applyBorder="1" applyProtection="1">
      <protection locked="0"/>
    </xf>
    <xf numFmtId="37" fontId="0" fillId="15" borderId="70" xfId="0" applyNumberFormat="1" applyFont="1" applyFill="1" applyBorder="1" applyProtection="1">
      <protection locked="0"/>
    </xf>
    <xf numFmtId="37" fontId="1" fillId="14" borderId="27" xfId="0" applyNumberFormat="1" applyFont="1" applyFill="1" applyBorder="1" applyAlignment="1" applyProtection="1">
      <protection locked="0"/>
    </xf>
    <xf numFmtId="37" fontId="1" fillId="14" borderId="58" xfId="0" applyNumberFormat="1" applyFont="1" applyFill="1" applyBorder="1" applyAlignment="1" applyProtection="1">
      <protection locked="0"/>
    </xf>
    <xf numFmtId="164" fontId="1" fillId="14" borderId="28" xfId="1" applyNumberFormat="1" applyFont="1" applyFill="1" applyBorder="1" applyProtection="1">
      <protection locked="0"/>
    </xf>
    <xf numFmtId="37" fontId="1" fillId="14" borderId="28" xfId="0" applyNumberFormat="1" applyFont="1" applyFill="1" applyBorder="1" applyAlignment="1" applyProtection="1">
      <protection locked="0"/>
    </xf>
    <xf numFmtId="37" fontId="1" fillId="14" borderId="28" xfId="0" applyNumberFormat="1" applyFont="1" applyFill="1" applyBorder="1" applyProtection="1">
      <protection locked="0"/>
    </xf>
    <xf numFmtId="37" fontId="1" fillId="14" borderId="66" xfId="0" applyNumberFormat="1" applyFont="1" applyFill="1" applyBorder="1" applyProtection="1">
      <protection locked="0"/>
    </xf>
    <xf numFmtId="37" fontId="1" fillId="15" borderId="38" xfId="0" applyNumberFormat="1" applyFont="1" applyFill="1" applyBorder="1" applyAlignment="1" applyProtection="1">
      <protection locked="0"/>
    </xf>
    <xf numFmtId="37" fontId="1" fillId="15" borderId="59" xfId="0" applyNumberFormat="1" applyFont="1" applyFill="1" applyBorder="1" applyAlignment="1" applyProtection="1">
      <protection locked="0"/>
    </xf>
    <xf numFmtId="164" fontId="1" fillId="15" borderId="34" xfId="1" applyNumberFormat="1" applyFont="1" applyFill="1" applyBorder="1" applyProtection="1">
      <protection locked="0"/>
    </xf>
    <xf numFmtId="37" fontId="1" fillId="15" borderId="34" xfId="0" applyNumberFormat="1" applyFont="1" applyFill="1" applyBorder="1" applyAlignment="1" applyProtection="1">
      <protection locked="0"/>
    </xf>
    <xf numFmtId="37" fontId="1" fillId="15" borderId="34" xfId="0" applyNumberFormat="1" applyFont="1" applyFill="1" applyBorder="1" applyProtection="1">
      <protection locked="0"/>
    </xf>
    <xf numFmtId="37" fontId="1" fillId="15" borderId="68" xfId="0" applyNumberFormat="1" applyFont="1" applyFill="1" applyBorder="1" applyProtection="1">
      <protection locked="0"/>
    </xf>
    <xf numFmtId="37" fontId="1" fillId="15" borderId="29" xfId="0" applyNumberFormat="1" applyFont="1" applyFill="1" applyBorder="1" applyAlignment="1" applyProtection="1">
      <protection locked="0"/>
    </xf>
    <xf numFmtId="37" fontId="1" fillId="15" borderId="18" xfId="0" applyNumberFormat="1" applyFont="1" applyFill="1" applyBorder="1" applyAlignment="1" applyProtection="1">
      <protection locked="0"/>
    </xf>
    <xf numFmtId="164" fontId="1" fillId="15" borderId="13" xfId="1" applyNumberFormat="1" applyFont="1" applyFill="1" applyBorder="1" applyProtection="1">
      <protection locked="0"/>
    </xf>
    <xf numFmtId="37" fontId="1" fillId="15" borderId="13" xfId="0" applyNumberFormat="1" applyFont="1" applyFill="1" applyBorder="1" applyAlignment="1" applyProtection="1">
      <protection locked="0"/>
    </xf>
    <xf numFmtId="37" fontId="1" fillId="15" borderId="13" xfId="0" applyNumberFormat="1" applyFont="1" applyFill="1" applyBorder="1" applyProtection="1">
      <protection locked="0"/>
    </xf>
    <xf numFmtId="37" fontId="1" fillId="15" borderId="71" xfId="0" applyNumberFormat="1" applyFont="1" applyFill="1" applyBorder="1" applyProtection="1">
      <protection locked="0"/>
    </xf>
    <xf numFmtId="37" fontId="0" fillId="15" borderId="29" xfId="0" applyNumberFormat="1" applyFont="1" applyFill="1" applyBorder="1" applyAlignment="1" applyProtection="1">
      <protection locked="0"/>
    </xf>
    <xf numFmtId="37" fontId="0" fillId="15" borderId="18" xfId="0" applyNumberFormat="1" applyFont="1" applyFill="1" applyBorder="1" applyAlignment="1" applyProtection="1">
      <protection locked="0"/>
    </xf>
    <xf numFmtId="164" fontId="3" fillId="15" borderId="13" xfId="1" applyNumberFormat="1" applyFont="1" applyFill="1" applyBorder="1" applyProtection="1">
      <protection locked="0"/>
    </xf>
    <xf numFmtId="37" fontId="0" fillId="15" borderId="13" xfId="0" applyNumberFormat="1" applyFont="1" applyFill="1" applyBorder="1" applyAlignment="1" applyProtection="1">
      <protection locked="0"/>
    </xf>
    <xf numFmtId="37" fontId="0" fillId="15" borderId="13" xfId="0" applyNumberFormat="1" applyFont="1" applyFill="1" applyBorder="1" applyProtection="1">
      <protection locked="0"/>
    </xf>
    <xf numFmtId="37" fontId="0" fillId="15" borderId="71" xfId="0" applyNumberFormat="1" applyFont="1" applyFill="1" applyBorder="1" applyProtection="1">
      <protection locked="0"/>
    </xf>
    <xf numFmtId="37" fontId="0" fillId="15" borderId="27" xfId="0" applyNumberFormat="1" applyFont="1" applyFill="1" applyBorder="1" applyAlignment="1" applyProtection="1">
      <protection locked="0"/>
    </xf>
    <xf numFmtId="37" fontId="0" fillId="15" borderId="58" xfId="0" applyNumberFormat="1" applyFont="1" applyFill="1" applyBorder="1" applyAlignment="1" applyProtection="1">
      <protection locked="0"/>
    </xf>
    <xf numFmtId="164" fontId="3" fillId="15" borderId="28" xfId="1" applyNumberFormat="1" applyFont="1" applyFill="1" applyBorder="1" applyProtection="1">
      <protection locked="0"/>
    </xf>
    <xf numFmtId="37" fontId="0" fillId="15" borderId="28" xfId="0" applyNumberFormat="1" applyFont="1" applyFill="1" applyBorder="1" applyAlignment="1" applyProtection="1">
      <protection locked="0"/>
    </xf>
    <xf numFmtId="37" fontId="0" fillId="15" borderId="28" xfId="0" applyNumberFormat="1" applyFont="1" applyFill="1" applyBorder="1" applyProtection="1">
      <protection locked="0"/>
    </xf>
    <xf numFmtId="37" fontId="0" fillId="15" borderId="66" xfId="0" applyNumberFormat="1" applyFont="1" applyFill="1" applyBorder="1" applyProtection="1">
      <protection locked="0"/>
    </xf>
    <xf numFmtId="164" fontId="1" fillId="14" borderId="26" xfId="1" applyNumberFormat="1" applyFont="1" applyFill="1" applyBorder="1" applyAlignment="1" applyProtection="1">
      <alignment horizontal="right"/>
      <protection locked="0"/>
    </xf>
    <xf numFmtId="164" fontId="3" fillId="15" borderId="26" xfId="1" applyNumberFormat="1" applyFont="1" applyFill="1" applyBorder="1" applyAlignment="1" applyProtection="1">
      <alignment horizontal="right"/>
      <protection locked="0"/>
    </xf>
    <xf numFmtId="164" fontId="1" fillId="14" borderId="28" xfId="1" applyNumberFormat="1" applyFont="1" applyFill="1" applyBorder="1" applyAlignment="1" applyProtection="1">
      <alignment horizontal="right"/>
      <protection locked="0"/>
    </xf>
    <xf numFmtId="164" fontId="1" fillId="15" borderId="34" xfId="1" applyNumberFormat="1" applyFont="1" applyFill="1" applyBorder="1" applyAlignment="1" applyProtection="1">
      <alignment horizontal="right"/>
      <protection locked="0"/>
    </xf>
    <xf numFmtId="164" fontId="1" fillId="15" borderId="13" xfId="1" applyNumberFormat="1" applyFont="1" applyFill="1" applyBorder="1" applyAlignment="1" applyProtection="1">
      <alignment horizontal="right"/>
      <protection locked="0"/>
    </xf>
    <xf numFmtId="37" fontId="0" fillId="15" borderId="30" xfId="0" applyNumberFormat="1" applyFont="1" applyFill="1" applyBorder="1" applyAlignment="1" applyProtection="1">
      <protection locked="0"/>
    </xf>
    <xf numFmtId="37" fontId="0" fillId="15" borderId="22" xfId="0" applyNumberFormat="1" applyFont="1" applyFill="1" applyBorder="1" applyAlignment="1" applyProtection="1">
      <protection locked="0"/>
    </xf>
    <xf numFmtId="164" fontId="3" fillId="15" borderId="14" xfId="1" applyNumberFormat="1" applyFont="1" applyFill="1" applyBorder="1" applyAlignment="1" applyProtection="1">
      <alignment horizontal="right"/>
      <protection locked="0"/>
    </xf>
    <xf numFmtId="37" fontId="0" fillId="15" borderId="14" xfId="0" applyNumberFormat="1" applyFont="1" applyFill="1" applyBorder="1" applyAlignment="1" applyProtection="1">
      <protection locked="0"/>
    </xf>
    <xf numFmtId="37" fontId="0" fillId="15" borderId="14" xfId="0" applyNumberFormat="1" applyFont="1" applyFill="1" applyBorder="1" applyProtection="1">
      <protection locked="0"/>
    </xf>
    <xf numFmtId="37" fontId="0" fillId="15" borderId="67" xfId="0" applyNumberFormat="1" applyFont="1" applyFill="1" applyBorder="1" applyProtection="1">
      <protection locked="0"/>
    </xf>
    <xf numFmtId="37" fontId="0" fillId="15" borderId="31" xfId="0" applyNumberFormat="1" applyFont="1" applyFill="1" applyBorder="1" applyAlignment="1" applyProtection="1">
      <protection locked="0"/>
    </xf>
    <xf numFmtId="37" fontId="0" fillId="15" borderId="60" xfId="0" applyNumberFormat="1" applyFont="1" applyFill="1" applyBorder="1" applyAlignment="1" applyProtection="1">
      <protection locked="0"/>
    </xf>
    <xf numFmtId="164" fontId="3" fillId="15" borderId="32" xfId="1" applyNumberFormat="1" applyFont="1" applyFill="1" applyBorder="1" applyAlignment="1" applyProtection="1">
      <alignment horizontal="right"/>
      <protection locked="0"/>
    </xf>
    <xf numFmtId="37" fontId="0" fillId="15" borderId="32" xfId="0" applyNumberFormat="1" applyFont="1" applyFill="1" applyBorder="1" applyAlignment="1" applyProtection="1">
      <protection locked="0"/>
    </xf>
    <xf numFmtId="37" fontId="0" fillId="15" borderId="32" xfId="0" applyNumberFormat="1" applyFont="1" applyFill="1" applyBorder="1" applyProtection="1">
      <protection locked="0"/>
    </xf>
    <xf numFmtId="37" fontId="0" fillId="15" borderId="63" xfId="0" applyNumberFormat="1" applyFont="1" applyFill="1" applyBorder="1" applyProtection="1">
      <protection locked="0"/>
    </xf>
    <xf numFmtId="44" fontId="1" fillId="14" borderId="25" xfId="0" applyNumberFormat="1" applyFont="1" applyFill="1" applyBorder="1" applyAlignment="1" applyProtection="1">
      <protection locked="0"/>
    </xf>
    <xf numFmtId="44" fontId="1" fillId="14" borderId="57" xfId="0" applyNumberFormat="1" applyFont="1" applyFill="1" applyBorder="1" applyAlignment="1" applyProtection="1">
      <protection locked="0"/>
    </xf>
    <xf numFmtId="164" fontId="1" fillId="14" borderId="26" xfId="1" applyNumberFormat="1" applyFont="1" applyFill="1" applyBorder="1" applyAlignment="1" applyProtection="1">
      <protection locked="0"/>
    </xf>
    <xf numFmtId="44" fontId="1" fillId="14" borderId="26" xfId="0" applyNumberFormat="1" applyFont="1" applyFill="1" applyBorder="1" applyProtection="1">
      <protection locked="0"/>
    </xf>
    <xf numFmtId="44" fontId="1" fillId="14" borderId="70" xfId="0" applyNumberFormat="1" applyFont="1" applyFill="1" applyBorder="1" applyProtection="1">
      <protection locked="0"/>
    </xf>
    <xf numFmtId="44" fontId="0" fillId="15" borderId="25" xfId="0" applyNumberFormat="1" applyFont="1" applyFill="1" applyBorder="1" applyAlignment="1" applyProtection="1">
      <protection locked="0"/>
    </xf>
    <xf numFmtId="44" fontId="0" fillId="15" borderId="57" xfId="0" applyNumberFormat="1" applyFont="1" applyFill="1" applyBorder="1" applyAlignment="1" applyProtection="1">
      <protection locked="0"/>
    </xf>
    <xf numFmtId="164" fontId="3" fillId="15" borderId="26" xfId="1" applyNumberFormat="1" applyFont="1" applyFill="1" applyBorder="1" applyAlignment="1" applyProtection="1">
      <protection locked="0"/>
    </xf>
    <xf numFmtId="44" fontId="0" fillId="15" borderId="26" xfId="0" applyNumberFormat="1" applyFont="1" applyFill="1" applyBorder="1" applyProtection="1">
      <protection locked="0"/>
    </xf>
    <xf numFmtId="44" fontId="0" fillId="15" borderId="70" xfId="0" applyNumberFormat="1" applyFont="1" applyFill="1" applyBorder="1" applyProtection="1">
      <protection locked="0"/>
    </xf>
    <xf numFmtId="44" fontId="1" fillId="14" borderId="27" xfId="0" applyNumberFormat="1" applyFont="1" applyFill="1" applyBorder="1" applyAlignment="1" applyProtection="1">
      <protection locked="0"/>
    </xf>
    <xf numFmtId="44" fontId="1" fillId="14" borderId="58" xfId="0" applyNumberFormat="1" applyFont="1" applyFill="1" applyBorder="1" applyAlignment="1" applyProtection="1">
      <protection locked="0"/>
    </xf>
    <xf numFmtId="164" fontId="1" fillId="14" borderId="28" xfId="1" applyNumberFormat="1" applyFont="1" applyFill="1" applyBorder="1" applyAlignment="1" applyProtection="1">
      <protection locked="0"/>
    </xf>
    <xf numFmtId="44" fontId="1" fillId="14" borderId="28" xfId="0" applyNumberFormat="1" applyFont="1" applyFill="1" applyBorder="1" applyProtection="1">
      <protection locked="0"/>
    </xf>
    <xf numFmtId="44" fontId="1" fillId="14" borderId="66" xfId="0" applyNumberFormat="1" applyFont="1" applyFill="1" applyBorder="1" applyProtection="1">
      <protection locked="0"/>
    </xf>
    <xf numFmtId="44" fontId="1" fillId="15" borderId="38" xfId="0" applyNumberFormat="1" applyFont="1" applyFill="1" applyBorder="1" applyAlignment="1" applyProtection="1">
      <protection locked="0"/>
    </xf>
    <xf numFmtId="44" fontId="1" fillId="15" borderId="59" xfId="0" applyNumberFormat="1" applyFont="1" applyFill="1" applyBorder="1" applyAlignment="1" applyProtection="1">
      <protection locked="0"/>
    </xf>
    <xf numFmtId="164" fontId="1" fillId="15" borderId="34" xfId="1" applyNumberFormat="1" applyFont="1" applyFill="1" applyBorder="1" applyAlignment="1" applyProtection="1">
      <protection locked="0"/>
    </xf>
    <xf numFmtId="44" fontId="1" fillId="15" borderId="34" xfId="0" applyNumberFormat="1" applyFont="1" applyFill="1" applyBorder="1" applyProtection="1">
      <protection locked="0"/>
    </xf>
    <xf numFmtId="44" fontId="1" fillId="15" borderId="68" xfId="0" applyNumberFormat="1" applyFont="1" applyFill="1" applyBorder="1" applyProtection="1">
      <protection locked="0"/>
    </xf>
    <xf numFmtId="44" fontId="1" fillId="15" borderId="29" xfId="0" applyNumberFormat="1" applyFont="1" applyFill="1" applyBorder="1" applyAlignment="1" applyProtection="1">
      <protection locked="0"/>
    </xf>
    <xf numFmtId="44" fontId="1" fillId="15" borderId="18" xfId="0" applyNumberFormat="1" applyFont="1" applyFill="1" applyBorder="1" applyAlignment="1" applyProtection="1">
      <protection locked="0"/>
    </xf>
    <xf numFmtId="164" fontId="1" fillId="15" borderId="13" xfId="1" applyNumberFormat="1" applyFont="1" applyFill="1" applyBorder="1" applyAlignment="1" applyProtection="1">
      <protection locked="0"/>
    </xf>
    <xf numFmtId="44" fontId="1" fillId="15" borderId="13" xfId="0" applyNumberFormat="1" applyFont="1" applyFill="1" applyBorder="1" applyProtection="1">
      <protection locked="0"/>
    </xf>
    <xf numFmtId="44" fontId="1" fillId="15" borderId="71" xfId="0" applyNumberFormat="1" applyFont="1" applyFill="1" applyBorder="1" applyProtection="1">
      <protection locked="0"/>
    </xf>
    <xf numFmtId="44" fontId="0" fillId="15" borderId="41" xfId="0" applyNumberFormat="1" applyFont="1" applyFill="1" applyBorder="1" applyAlignment="1" applyProtection="1">
      <protection locked="0"/>
    </xf>
    <xf numFmtId="44" fontId="0" fillId="15" borderId="61" xfId="0" applyNumberFormat="1" applyFont="1" applyFill="1" applyBorder="1" applyAlignment="1" applyProtection="1">
      <protection locked="0"/>
    </xf>
    <xf numFmtId="164" fontId="3" fillId="15" borderId="42" xfId="1" applyNumberFormat="1" applyFont="1" applyFill="1" applyBorder="1" applyAlignment="1" applyProtection="1">
      <protection locked="0"/>
    </xf>
    <xf numFmtId="44" fontId="0" fillId="15" borderId="42" xfId="0" applyNumberFormat="1" applyFont="1" applyFill="1" applyBorder="1" applyProtection="1">
      <protection locked="0"/>
    </xf>
    <xf numFmtId="44" fontId="0" fillId="15" borderId="65" xfId="0" applyNumberFormat="1" applyFont="1" applyFill="1" applyBorder="1" applyProtection="1">
      <protection locked="0"/>
    </xf>
    <xf numFmtId="44" fontId="1" fillId="15" borderId="40" xfId="0" applyNumberFormat="1" applyFont="1" applyFill="1" applyBorder="1" applyAlignment="1" applyProtection="1">
      <protection locked="0"/>
    </xf>
    <xf numFmtId="164" fontId="1" fillId="15" borderId="39" xfId="1" applyNumberFormat="1" applyFont="1" applyFill="1" applyBorder="1" applyAlignment="1" applyProtection="1">
      <protection locked="0"/>
    </xf>
    <xf numFmtId="44" fontId="1" fillId="15" borderId="39" xfId="0" applyNumberFormat="1" applyFont="1" applyFill="1" applyBorder="1" applyProtection="1">
      <protection locked="0"/>
    </xf>
    <xf numFmtId="0" fontId="0" fillId="7" borderId="0" xfId="0" applyFill="1" applyAlignment="1" applyProtection="1"/>
    <xf numFmtId="37" fontId="0" fillId="20" borderId="0" xfId="0" applyNumberFormat="1" applyFill="1" applyProtection="1"/>
    <xf numFmtId="0" fontId="0" fillId="2" borderId="0" xfId="0" applyFill="1" applyAlignment="1" applyProtection="1">
      <alignment horizontal="right" wrapText="1"/>
    </xf>
    <xf numFmtId="37" fontId="1" fillId="0" borderId="13" xfId="0" applyNumberFormat="1" applyFont="1" applyFill="1" applyBorder="1" applyProtection="1"/>
    <xf numFmtId="164" fontId="1" fillId="0" borderId="13" xfId="1" applyNumberFormat="1" applyFont="1" applyFill="1" applyBorder="1" applyProtection="1"/>
    <xf numFmtId="37" fontId="1" fillId="11" borderId="13" xfId="0" applyNumberFormat="1" applyFont="1" applyFill="1" applyBorder="1" applyProtection="1"/>
    <xf numFmtId="37" fontId="0" fillId="2" borderId="0" xfId="0" applyNumberFormat="1" applyFill="1" applyAlignment="1" applyProtection="1">
      <alignment horizontal="right"/>
    </xf>
    <xf numFmtId="0" fontId="0" fillId="2" borderId="0" xfId="0" applyFill="1" applyAlignment="1" applyProtection="1"/>
    <xf numFmtId="0" fontId="0" fillId="2" borderId="0" xfId="0" applyFont="1" applyFill="1" applyAlignment="1" applyProtection="1">
      <alignment horizontal="left"/>
    </xf>
    <xf numFmtId="39" fontId="1" fillId="0" borderId="36" xfId="0" applyNumberFormat="1" applyFont="1" applyFill="1" applyBorder="1" applyProtection="1"/>
    <xf numFmtId="164" fontId="1" fillId="0" borderId="36" xfId="1" applyNumberFormat="1" applyFont="1" applyFill="1" applyBorder="1" applyProtection="1"/>
    <xf numFmtId="39" fontId="1" fillId="11" borderId="37" xfId="0" applyNumberFormat="1" applyFont="1" applyFill="1" applyBorder="1" applyProtection="1"/>
    <xf numFmtId="39" fontId="0" fillId="18" borderId="73" xfId="0" applyNumberFormat="1" applyFill="1" applyBorder="1" applyProtection="1">
      <protection locked="0"/>
    </xf>
    <xf numFmtId="39" fontId="0" fillId="19" borderId="73" xfId="0" applyNumberFormat="1" applyFill="1" applyBorder="1" applyProtection="1">
      <protection locked="0"/>
    </xf>
    <xf numFmtId="39" fontId="0" fillId="11" borderId="73" xfId="0" applyNumberFormat="1" applyFill="1" applyBorder="1" applyProtection="1">
      <protection locked="0"/>
    </xf>
    <xf numFmtId="39" fontId="0" fillId="9" borderId="73" xfId="0" applyNumberFormat="1" applyFill="1" applyBorder="1" applyProtection="1">
      <protection locked="0"/>
    </xf>
    <xf numFmtId="37" fontId="1" fillId="0" borderId="33" xfId="0" applyNumberFormat="1" applyFont="1" applyFill="1" applyBorder="1" applyProtection="1">
      <protection locked="0"/>
    </xf>
    <xf numFmtId="164" fontId="1" fillId="0" borderId="33" xfId="1" applyNumberFormat="1" applyFont="1" applyFill="1" applyBorder="1" applyProtection="1">
      <protection locked="0"/>
    </xf>
    <xf numFmtId="37" fontId="1" fillId="11" borderId="33" xfId="0" applyNumberFormat="1" applyFont="1" applyFill="1" applyBorder="1" applyProtection="1">
      <protection locked="0"/>
    </xf>
    <xf numFmtId="39" fontId="0" fillId="18" borderId="23" xfId="0" applyNumberFormat="1" applyFill="1" applyBorder="1" applyProtection="1">
      <protection locked="0"/>
    </xf>
    <xf numFmtId="39" fontId="0" fillId="19" borderId="23" xfId="0" applyNumberFormat="1" applyFill="1" applyBorder="1" applyProtection="1">
      <protection locked="0"/>
    </xf>
    <xf numFmtId="39" fontId="0" fillId="11" borderId="23" xfId="0" applyNumberFormat="1" applyFill="1" applyBorder="1" applyProtection="1">
      <protection locked="0"/>
    </xf>
    <xf numFmtId="39" fontId="0" fillId="9" borderId="23" xfId="0" applyNumberFormat="1" applyFill="1" applyBorder="1" applyProtection="1">
      <protection locked="0"/>
    </xf>
    <xf numFmtId="164" fontId="0" fillId="2" borderId="0" xfId="1" applyNumberFormat="1" applyFont="1" applyFill="1" applyProtection="1"/>
    <xf numFmtId="39" fontId="0" fillId="11" borderId="4" xfId="0" applyNumberFormat="1" applyFill="1" applyBorder="1" applyAlignment="1" applyProtection="1">
      <alignment horizontal="right"/>
    </xf>
    <xf numFmtId="37" fontId="0" fillId="11" borderId="4" xfId="0" applyNumberFormat="1" applyFill="1" applyBorder="1" applyAlignment="1" applyProtection="1">
      <alignment horizontal="right"/>
    </xf>
    <xf numFmtId="10" fontId="0" fillId="2" borderId="0" xfId="0" applyNumberFormat="1" applyFill="1" applyProtection="1"/>
    <xf numFmtId="39" fontId="1" fillId="18" borderId="37" xfId="0" applyNumberFormat="1" applyFont="1" applyFill="1" applyBorder="1" applyProtection="1"/>
    <xf numFmtId="39" fontId="1" fillId="19" borderId="37" xfId="0" applyNumberFormat="1" applyFont="1" applyFill="1" applyBorder="1" applyProtection="1"/>
    <xf numFmtId="39" fontId="1" fillId="9" borderId="37" xfId="0" applyNumberFormat="1" applyFont="1" applyFill="1" applyBorder="1" applyProtection="1"/>
    <xf numFmtId="39" fontId="1" fillId="11" borderId="37" xfId="0" applyNumberFormat="1" applyFont="1" applyFill="1" applyBorder="1" applyAlignment="1" applyProtection="1">
      <alignment horizontal="right"/>
    </xf>
    <xf numFmtId="39" fontId="0" fillId="11" borderId="13" xfId="0" applyNumberFormat="1" applyFill="1" applyBorder="1" applyAlignment="1" applyProtection="1">
      <alignment horizontal="right"/>
    </xf>
    <xf numFmtId="37" fontId="0" fillId="2" borderId="21" xfId="0" applyNumberFormat="1" applyFill="1" applyBorder="1" applyProtection="1"/>
    <xf numFmtId="37" fontId="0" fillId="2" borderId="0" xfId="0" applyNumberFormat="1" applyFill="1" applyBorder="1" applyProtection="1"/>
    <xf numFmtId="37" fontId="0" fillId="15" borderId="4" xfId="0" applyNumberFormat="1" applyFont="1" applyFill="1" applyBorder="1" applyAlignment="1" applyProtection="1"/>
    <xf numFmtId="49" fontId="0" fillId="3" borderId="0" xfId="0" applyNumberFormat="1" applyFont="1" applyFill="1" applyAlignment="1" applyProtection="1">
      <alignment horizontal="left"/>
    </xf>
    <xf numFmtId="39" fontId="0" fillId="18" borderId="26" xfId="0" applyNumberFormat="1" applyFill="1" applyBorder="1" applyProtection="1"/>
    <xf numFmtId="39" fontId="0" fillId="19" borderId="26" xfId="0" applyNumberFormat="1" applyFill="1" applyBorder="1" applyProtection="1"/>
    <xf numFmtId="39" fontId="0" fillId="9" borderId="26" xfId="0" applyNumberFormat="1" applyFill="1" applyBorder="1" applyProtection="1"/>
    <xf numFmtId="39" fontId="0" fillId="11" borderId="26" xfId="0" applyNumberFormat="1" applyFill="1" applyBorder="1" applyAlignment="1" applyProtection="1">
      <alignment horizontal="right"/>
    </xf>
    <xf numFmtId="37" fontId="0" fillId="11" borderId="70" xfId="0" applyNumberFormat="1" applyFill="1" applyBorder="1" applyAlignment="1" applyProtection="1">
      <alignment horizontal="right"/>
    </xf>
    <xf numFmtId="39" fontId="0" fillId="18" borderId="28" xfId="0" applyNumberFormat="1" applyFill="1" applyBorder="1" applyProtection="1"/>
    <xf numFmtId="39" fontId="0" fillId="19" borderId="28" xfId="0" applyNumberFormat="1" applyFill="1" applyBorder="1" applyProtection="1"/>
    <xf numFmtId="39" fontId="0" fillId="9" borderId="28" xfId="0" applyNumberFormat="1" applyFill="1" applyBorder="1" applyProtection="1"/>
    <xf numFmtId="39" fontId="0" fillId="11" borderId="28" xfId="0" applyNumberFormat="1" applyFill="1" applyBorder="1" applyAlignment="1" applyProtection="1">
      <alignment horizontal="right"/>
    </xf>
    <xf numFmtId="37" fontId="0" fillId="11" borderId="66" xfId="0" applyNumberFormat="1" applyFill="1" applyBorder="1" applyAlignment="1" applyProtection="1">
      <alignment horizontal="right"/>
    </xf>
    <xf numFmtId="39" fontId="1" fillId="11" borderId="34" xfId="0" applyNumberFormat="1" applyFont="1" applyFill="1" applyBorder="1" applyAlignment="1" applyProtection="1">
      <alignment horizontal="right"/>
    </xf>
    <xf numFmtId="37" fontId="1" fillId="11" borderId="68" xfId="0" applyNumberFormat="1" applyFont="1" applyFill="1" applyBorder="1" applyAlignment="1" applyProtection="1">
      <alignment horizontal="right"/>
    </xf>
    <xf numFmtId="37" fontId="0" fillId="11" borderId="71" xfId="0" applyNumberFormat="1" applyFill="1" applyBorder="1" applyAlignment="1" applyProtection="1">
      <alignment horizontal="right"/>
    </xf>
    <xf numFmtId="10" fontId="0" fillId="2" borderId="22" xfId="1" applyNumberFormat="1" applyFont="1" applyFill="1" applyBorder="1" applyProtection="1"/>
    <xf numFmtId="10" fontId="0" fillId="2" borderId="21" xfId="1" applyNumberFormat="1" applyFont="1" applyFill="1" applyBorder="1" applyProtection="1"/>
    <xf numFmtId="10" fontId="0" fillId="2" borderId="0" xfId="1" applyNumberFormat="1" applyFont="1" applyFill="1" applyBorder="1" applyProtection="1"/>
    <xf numFmtId="37" fontId="0" fillId="2" borderId="15" xfId="0" applyNumberFormat="1" applyFill="1" applyBorder="1" applyProtection="1"/>
    <xf numFmtId="37" fontId="0" fillId="2" borderId="19" xfId="0" applyNumberFormat="1" applyFill="1" applyBorder="1" applyProtection="1"/>
    <xf numFmtId="39" fontId="1" fillId="18" borderId="33" xfId="0" applyNumberFormat="1" applyFont="1" applyFill="1" applyBorder="1" applyProtection="1"/>
    <xf numFmtId="39" fontId="1" fillId="19" borderId="33" xfId="0" applyNumberFormat="1" applyFont="1" applyFill="1" applyBorder="1" applyProtection="1"/>
    <xf numFmtId="39" fontId="1" fillId="9" borderId="33" xfId="0" applyNumberFormat="1" applyFont="1" applyFill="1" applyBorder="1" applyProtection="1"/>
    <xf numFmtId="39" fontId="1" fillId="11" borderId="33" xfId="0" applyNumberFormat="1" applyFont="1" applyFill="1" applyBorder="1" applyAlignment="1" applyProtection="1">
      <alignment horizontal="right"/>
    </xf>
    <xf numFmtId="39" fontId="1" fillId="18" borderId="23" xfId="0" applyNumberFormat="1" applyFont="1" applyFill="1" applyBorder="1" applyProtection="1"/>
    <xf numFmtId="39" fontId="1" fillId="19" borderId="23" xfId="0" applyNumberFormat="1" applyFont="1" applyFill="1" applyBorder="1" applyProtection="1"/>
    <xf numFmtId="39" fontId="1" fillId="9" borderId="23" xfId="0" applyNumberFormat="1" applyFont="1" applyFill="1" applyBorder="1" applyProtection="1"/>
    <xf numFmtId="39" fontId="1" fillId="11" borderId="23" xfId="0" applyNumberFormat="1" applyFont="1" applyFill="1" applyBorder="1" applyAlignment="1" applyProtection="1">
      <alignment horizontal="right"/>
    </xf>
    <xf numFmtId="39" fontId="0" fillId="11" borderId="4" xfId="0" applyNumberFormat="1" applyFill="1" applyBorder="1" applyAlignment="1" applyProtection="1">
      <alignment horizontal="right"/>
      <protection locked="0"/>
    </xf>
    <xf numFmtId="37" fontId="0" fillId="11" borderId="4" xfId="0" applyNumberFormat="1" applyFill="1" applyBorder="1" applyAlignment="1" applyProtection="1">
      <alignment horizontal="right"/>
      <protection locked="0"/>
    </xf>
    <xf numFmtId="39" fontId="0" fillId="11" borderId="9" xfId="0" applyNumberFormat="1" applyFill="1" applyBorder="1" applyAlignment="1" applyProtection="1">
      <alignment horizontal="right"/>
      <protection locked="0"/>
    </xf>
    <xf numFmtId="37" fontId="0" fillId="11" borderId="9" xfId="0" applyNumberFormat="1" applyFill="1" applyBorder="1" applyAlignment="1" applyProtection="1">
      <alignment horizontal="right"/>
      <protection locked="0"/>
    </xf>
    <xf numFmtId="39" fontId="1" fillId="11" borderId="34" xfId="0" applyNumberFormat="1" applyFont="1" applyFill="1" applyBorder="1" applyAlignment="1" applyProtection="1">
      <alignment horizontal="right"/>
      <protection locked="0"/>
    </xf>
    <xf numFmtId="37" fontId="1" fillId="11" borderId="34" xfId="0" applyNumberFormat="1" applyFont="1" applyFill="1" applyBorder="1" applyAlignment="1" applyProtection="1">
      <alignment horizontal="right"/>
      <protection locked="0"/>
    </xf>
    <xf numFmtId="39" fontId="0" fillId="11" borderId="13" xfId="0" applyNumberFormat="1" applyFill="1" applyBorder="1" applyAlignment="1" applyProtection="1">
      <alignment horizontal="right"/>
      <protection locked="0"/>
    </xf>
    <xf numFmtId="37" fontId="0" fillId="11" borderId="13" xfId="0" applyNumberFormat="1" applyFill="1" applyBorder="1" applyAlignment="1" applyProtection="1">
      <alignment horizontal="right"/>
      <protection locked="0"/>
    </xf>
    <xf numFmtId="39" fontId="1" fillId="11" borderId="12" xfId="0" applyNumberFormat="1" applyFont="1" applyFill="1" applyBorder="1" applyAlignment="1" applyProtection="1">
      <alignment horizontal="right"/>
      <protection locked="0"/>
    </xf>
    <xf numFmtId="37" fontId="1" fillId="11" borderId="12" xfId="0" applyNumberFormat="1" applyFont="1" applyFill="1" applyBorder="1" applyAlignment="1" applyProtection="1">
      <alignment horizontal="right"/>
      <protection locked="0"/>
    </xf>
    <xf numFmtId="39" fontId="1" fillId="11" borderId="11" xfId="0" applyNumberFormat="1" applyFont="1" applyFill="1" applyBorder="1" applyAlignment="1" applyProtection="1">
      <alignment horizontal="right"/>
      <protection locked="0"/>
    </xf>
    <xf numFmtId="37" fontId="1" fillId="11" borderId="11" xfId="0" applyNumberFormat="1" applyFont="1" applyFill="1" applyBorder="1" applyAlignment="1" applyProtection="1">
      <alignment horizontal="right"/>
      <protection locked="0"/>
    </xf>
    <xf numFmtId="39" fontId="1" fillId="18" borderId="33" xfId="0" applyNumberFormat="1" applyFont="1" applyFill="1" applyBorder="1" applyProtection="1">
      <protection locked="0"/>
    </xf>
    <xf numFmtId="39" fontId="1" fillId="19" borderId="33" xfId="0" applyNumberFormat="1" applyFont="1" applyFill="1" applyBorder="1" applyProtection="1">
      <protection locked="0"/>
    </xf>
    <xf numFmtId="39" fontId="1" fillId="9" borderId="33" xfId="0" applyNumberFormat="1" applyFont="1" applyFill="1" applyBorder="1" applyProtection="1">
      <protection locked="0"/>
    </xf>
    <xf numFmtId="39" fontId="1" fillId="11" borderId="33" xfId="0" applyNumberFormat="1" applyFont="1" applyFill="1" applyBorder="1" applyAlignment="1" applyProtection="1">
      <alignment horizontal="right"/>
      <protection locked="0"/>
    </xf>
    <xf numFmtId="37" fontId="1" fillId="11" borderId="33" xfId="0" applyNumberFormat="1" applyFont="1" applyFill="1" applyBorder="1" applyAlignment="1" applyProtection="1">
      <alignment horizontal="right"/>
      <protection locked="0"/>
    </xf>
    <xf numFmtId="37" fontId="0" fillId="2" borderId="0" xfId="0" applyNumberFormat="1" applyFill="1" applyProtection="1">
      <protection locked="0"/>
    </xf>
    <xf numFmtId="39" fontId="1" fillId="18" borderId="37" xfId="0" applyNumberFormat="1" applyFont="1" applyFill="1" applyBorder="1" applyProtection="1">
      <protection locked="0"/>
    </xf>
    <xf numFmtId="39" fontId="1" fillId="19" borderId="37" xfId="0" applyNumberFormat="1" applyFont="1" applyFill="1" applyBorder="1" applyProtection="1">
      <protection locked="0"/>
    </xf>
    <xf numFmtId="39" fontId="1" fillId="9" borderId="37" xfId="0" applyNumberFormat="1" applyFont="1" applyFill="1" applyBorder="1" applyProtection="1">
      <protection locked="0"/>
    </xf>
    <xf numFmtId="39" fontId="1" fillId="11" borderId="37" xfId="0" applyNumberFormat="1" applyFont="1" applyFill="1" applyBorder="1" applyAlignment="1" applyProtection="1">
      <alignment horizontal="right"/>
      <protection locked="0"/>
    </xf>
    <xf numFmtId="37" fontId="1" fillId="11" borderId="37" xfId="0" applyNumberFormat="1" applyFont="1" applyFill="1" applyBorder="1" applyAlignment="1" applyProtection="1">
      <alignment horizontal="right"/>
      <protection locked="0"/>
    </xf>
    <xf numFmtId="39" fontId="1" fillId="18" borderId="23" xfId="0" applyNumberFormat="1" applyFont="1" applyFill="1" applyBorder="1" applyProtection="1">
      <protection locked="0"/>
    </xf>
    <xf numFmtId="39" fontId="1" fillId="19" borderId="23" xfId="0" applyNumberFormat="1" applyFont="1" applyFill="1" applyBorder="1" applyProtection="1">
      <protection locked="0"/>
    </xf>
    <xf numFmtId="39" fontId="1" fillId="9" borderId="23" xfId="0" applyNumberFormat="1" applyFont="1" applyFill="1" applyBorder="1" applyProtection="1">
      <protection locked="0"/>
    </xf>
    <xf numFmtId="39" fontId="1" fillId="11" borderId="23" xfId="0" applyNumberFormat="1" applyFont="1" applyFill="1" applyBorder="1" applyAlignment="1" applyProtection="1">
      <alignment horizontal="right"/>
      <protection locked="0"/>
    </xf>
    <xf numFmtId="37" fontId="1" fillId="11" borderId="23" xfId="0" applyNumberFormat="1" applyFont="1" applyFill="1" applyBorder="1" applyAlignment="1" applyProtection="1">
      <alignment horizontal="right"/>
      <protection locked="0"/>
    </xf>
    <xf numFmtId="166" fontId="1" fillId="11" borderId="37" xfId="0" applyNumberFormat="1" applyFont="1" applyFill="1" applyBorder="1" applyAlignment="1" applyProtection="1">
      <alignment horizontal="right"/>
      <protection locked="0"/>
    </xf>
    <xf numFmtId="37" fontId="1" fillId="0" borderId="21" xfId="0" applyNumberFormat="1" applyFont="1" applyFill="1" applyBorder="1" applyProtection="1">
      <protection locked="0"/>
    </xf>
    <xf numFmtId="37" fontId="1" fillId="0" borderId="0" xfId="0" applyNumberFormat="1" applyFont="1" applyFill="1" applyBorder="1" applyProtection="1">
      <protection locked="0"/>
    </xf>
    <xf numFmtId="164" fontId="1" fillId="0" borderId="22" xfId="1" applyNumberFormat="1" applyFont="1" applyFill="1" applyBorder="1" applyProtection="1">
      <protection locked="0"/>
    </xf>
    <xf numFmtId="164" fontId="1" fillId="0" borderId="0" xfId="1" applyNumberFormat="1" applyFont="1" applyFill="1" applyBorder="1" applyProtection="1">
      <protection locked="0"/>
    </xf>
    <xf numFmtId="37" fontId="1" fillId="11" borderId="22" xfId="0" applyNumberFormat="1" applyFont="1" applyFill="1" applyBorder="1" applyProtection="1">
      <protection locked="0"/>
    </xf>
    <xf numFmtId="37" fontId="0" fillId="0" borderId="31" xfId="0" applyNumberFormat="1" applyFill="1" applyBorder="1" applyProtection="1">
      <protection locked="0"/>
    </xf>
    <xf numFmtId="164" fontId="0" fillId="0" borderId="32" xfId="1" applyNumberFormat="1" applyFont="1" applyFill="1" applyBorder="1" applyProtection="1">
      <protection locked="0"/>
    </xf>
    <xf numFmtId="0" fontId="0" fillId="2" borderId="64" xfId="0" applyFill="1" applyBorder="1" applyProtection="1">
      <protection locked="0"/>
    </xf>
    <xf numFmtId="37" fontId="0" fillId="11" borderId="32" xfId="0" applyNumberFormat="1" applyFill="1" applyBorder="1" applyProtection="1">
      <protection locked="0"/>
    </xf>
    <xf numFmtId="37" fontId="0" fillId="11" borderId="63" xfId="0" applyNumberFormat="1" applyFill="1" applyBorder="1" applyProtection="1">
      <protection locked="0"/>
    </xf>
    <xf numFmtId="39" fontId="0" fillId="18" borderId="26" xfId="0" applyNumberFormat="1" applyFill="1" applyBorder="1" applyProtection="1">
      <protection locked="0"/>
    </xf>
    <xf numFmtId="39" fontId="0" fillId="19" borderId="26" xfId="0" applyNumberFormat="1" applyFill="1" applyBorder="1" applyProtection="1">
      <protection locked="0"/>
    </xf>
    <xf numFmtId="39" fontId="0" fillId="9" borderId="26" xfId="0" applyNumberFormat="1" applyFill="1" applyBorder="1" applyProtection="1">
      <protection locked="0"/>
    </xf>
    <xf numFmtId="39" fontId="0" fillId="11" borderId="26" xfId="0" applyNumberFormat="1" applyFill="1" applyBorder="1" applyAlignment="1" applyProtection="1">
      <alignment horizontal="right"/>
      <protection locked="0"/>
    </xf>
    <xf numFmtId="37" fontId="0" fillId="11" borderId="70" xfId="0" applyNumberFormat="1" applyFill="1" applyBorder="1" applyAlignment="1" applyProtection="1">
      <alignment horizontal="right"/>
      <protection locked="0"/>
    </xf>
    <xf numFmtId="37" fontId="0" fillId="0" borderId="27" xfId="0" applyNumberFormat="1" applyFill="1" applyBorder="1" applyProtection="1">
      <protection locked="0"/>
    </xf>
    <xf numFmtId="164" fontId="0" fillId="0" borderId="28" xfId="1" applyNumberFormat="1" applyFont="1" applyFill="1" applyBorder="1" applyProtection="1">
      <protection locked="0"/>
    </xf>
    <xf numFmtId="37" fontId="0" fillId="11" borderId="28" xfId="0" applyNumberFormat="1" applyFill="1" applyBorder="1" applyProtection="1">
      <protection locked="0"/>
    </xf>
    <xf numFmtId="37" fontId="0" fillId="11" borderId="66" xfId="0" applyNumberFormat="1" applyFill="1" applyBorder="1" applyProtection="1">
      <protection locked="0"/>
    </xf>
    <xf numFmtId="39" fontId="0" fillId="18" borderId="28" xfId="0" applyNumberFormat="1" applyFill="1" applyBorder="1" applyProtection="1">
      <protection locked="0"/>
    </xf>
    <xf numFmtId="39" fontId="0" fillId="19" borderId="28" xfId="0" applyNumberFormat="1" applyFill="1" applyBorder="1" applyProtection="1">
      <protection locked="0"/>
    </xf>
    <xf numFmtId="39" fontId="0" fillId="9" borderId="28" xfId="0" applyNumberFormat="1" applyFill="1" applyBorder="1" applyProtection="1">
      <protection locked="0"/>
    </xf>
    <xf numFmtId="39" fontId="0" fillId="11" borderId="28" xfId="0" applyNumberFormat="1" applyFill="1" applyBorder="1" applyAlignment="1" applyProtection="1">
      <alignment horizontal="right"/>
      <protection locked="0"/>
    </xf>
    <xf numFmtId="37" fontId="0" fillId="11" borderId="66" xfId="0" applyNumberFormat="1" applyFill="1" applyBorder="1" applyAlignment="1" applyProtection="1">
      <alignment horizontal="right"/>
      <protection locked="0"/>
    </xf>
    <xf numFmtId="37" fontId="1" fillId="0" borderId="38" xfId="0" applyNumberFormat="1" applyFont="1" applyFill="1" applyBorder="1" applyProtection="1">
      <protection locked="0"/>
    </xf>
    <xf numFmtId="37" fontId="1" fillId="11" borderId="68" xfId="0" applyNumberFormat="1" applyFont="1" applyFill="1" applyBorder="1" applyProtection="1">
      <protection locked="0"/>
    </xf>
    <xf numFmtId="37" fontId="1" fillId="11" borderId="68" xfId="0" applyNumberFormat="1" applyFont="1" applyFill="1" applyBorder="1" applyAlignment="1" applyProtection="1">
      <alignment horizontal="right"/>
      <protection locked="0"/>
    </xf>
    <xf numFmtId="37" fontId="0" fillId="0" borderId="41" xfId="0" applyNumberFormat="1" applyFill="1" applyBorder="1" applyProtection="1">
      <protection locked="0"/>
    </xf>
    <xf numFmtId="164" fontId="0" fillId="0" borderId="42" xfId="1" applyNumberFormat="1" applyFont="1" applyFill="1" applyBorder="1" applyProtection="1">
      <protection locked="0"/>
    </xf>
    <xf numFmtId="0" fontId="0" fillId="2" borderId="0" xfId="0" applyFill="1" applyBorder="1" applyProtection="1">
      <protection locked="0"/>
    </xf>
    <xf numFmtId="37" fontId="0" fillId="11" borderId="42" xfId="0" applyNumberFormat="1" applyFill="1" applyBorder="1" applyProtection="1">
      <protection locked="0"/>
    </xf>
    <xf numFmtId="37" fontId="0" fillId="11" borderId="65" xfId="0" applyNumberFormat="1" applyFill="1" applyBorder="1" applyProtection="1">
      <protection locked="0"/>
    </xf>
    <xf numFmtId="37" fontId="0" fillId="11" borderId="71" xfId="0" applyNumberFormat="1" applyFill="1" applyBorder="1" applyAlignment="1" applyProtection="1">
      <alignment horizontal="right"/>
      <protection locked="0"/>
    </xf>
    <xf numFmtId="37" fontId="1" fillId="0" borderId="43" xfId="0" applyNumberFormat="1" applyFont="1" applyFill="1" applyBorder="1" applyProtection="1">
      <protection locked="0"/>
    </xf>
    <xf numFmtId="37" fontId="1" fillId="11" borderId="69" xfId="0" applyNumberFormat="1" applyFont="1" applyFill="1" applyBorder="1" applyProtection="1">
      <protection locked="0"/>
    </xf>
    <xf numFmtId="37" fontId="1" fillId="11" borderId="69" xfId="0" applyNumberFormat="1" applyFont="1" applyFill="1" applyBorder="1" applyAlignment="1" applyProtection="1">
      <alignment horizontal="right"/>
      <protection locked="0"/>
    </xf>
    <xf numFmtId="0" fontId="15" fillId="2" borderId="0" xfId="0" applyFont="1" applyFill="1" applyProtection="1"/>
    <xf numFmtId="0" fontId="20" fillId="2" borderId="0" xfId="0" applyFont="1" applyFill="1" applyProtection="1"/>
    <xf numFmtId="0" fontId="0" fillId="10" borderId="0" xfId="0" applyFill="1" applyProtection="1"/>
    <xf numFmtId="0" fontId="19" fillId="2" borderId="0" xfId="0" applyFont="1" applyFill="1" applyAlignment="1" applyProtection="1">
      <alignment horizontal="left" indent="1"/>
    </xf>
    <xf numFmtId="0" fontId="1" fillId="2" borderId="0" xfId="0" applyFont="1" applyFill="1" applyAlignment="1" applyProtection="1">
      <alignment horizontal="left" indent="2"/>
    </xf>
    <xf numFmtId="0" fontId="0" fillId="3" borderId="0" xfId="0" applyNumberFormat="1" applyFill="1" applyAlignment="1" applyProtection="1">
      <alignment horizontal="left"/>
    </xf>
    <xf numFmtId="44" fontId="1" fillId="0" borderId="4" xfId="7" applyFont="1" applyFill="1" applyBorder="1" applyProtection="1">
      <protection locked="0"/>
    </xf>
    <xf numFmtId="44" fontId="1" fillId="11" borderId="4" xfId="7" applyFont="1" applyFill="1" applyBorder="1" applyProtection="1">
      <protection locked="0"/>
    </xf>
    <xf numFmtId="44" fontId="19" fillId="2" borderId="15" xfId="7" applyFont="1" applyFill="1" applyBorder="1" applyProtection="1">
      <protection locked="0"/>
    </xf>
    <xf numFmtId="44" fontId="19" fillId="2" borderId="19" xfId="7" applyFont="1" applyFill="1" applyBorder="1" applyProtection="1">
      <protection locked="0"/>
    </xf>
    <xf numFmtId="44" fontId="19" fillId="2" borderId="16" xfId="7" applyFont="1" applyFill="1" applyBorder="1" applyProtection="1">
      <protection locked="0"/>
    </xf>
    <xf numFmtId="0" fontId="19" fillId="2" borderId="17" xfId="0" applyFont="1" applyFill="1" applyBorder="1" applyProtection="1">
      <protection locked="0"/>
    </xf>
    <xf numFmtId="0" fontId="19" fillId="2" borderId="20" xfId="0" applyFont="1" applyFill="1" applyBorder="1" applyProtection="1">
      <protection locked="0"/>
    </xf>
    <xf numFmtId="0" fontId="19" fillId="2" borderId="18" xfId="0" applyFont="1" applyFill="1" applyBorder="1" applyProtection="1">
      <protection locked="0"/>
    </xf>
    <xf numFmtId="0" fontId="19" fillId="2" borderId="0" xfId="0" applyFont="1" applyFill="1" applyProtection="1">
      <protection locked="0"/>
    </xf>
    <xf numFmtId="44" fontId="19" fillId="2" borderId="21" xfId="7" applyFont="1" applyFill="1" applyBorder="1" applyProtection="1">
      <protection locked="0"/>
    </xf>
    <xf numFmtId="44" fontId="19" fillId="2" borderId="0" xfId="7" applyFont="1" applyFill="1" applyBorder="1" applyProtection="1">
      <protection locked="0"/>
    </xf>
    <xf numFmtId="44" fontId="19" fillId="2" borderId="22" xfId="7" applyFont="1" applyFill="1" applyBorder="1" applyProtection="1">
      <protection locked="0"/>
    </xf>
    <xf numFmtId="37" fontId="1" fillId="0" borderId="4" xfId="0" applyNumberFormat="1" applyFont="1" applyFill="1" applyBorder="1" applyProtection="1">
      <protection locked="0"/>
    </xf>
    <xf numFmtId="164" fontId="1" fillId="0" borderId="4" xfId="1" applyNumberFormat="1" applyFont="1" applyFill="1" applyBorder="1" applyProtection="1">
      <protection locked="0"/>
    </xf>
    <xf numFmtId="37" fontId="1" fillId="11" borderId="4" xfId="0" applyNumberFormat="1" applyFont="1" applyFill="1" applyBorder="1" applyProtection="1">
      <protection locked="0"/>
    </xf>
    <xf numFmtId="39" fontId="0" fillId="0" borderId="4" xfId="0" applyNumberFormat="1" applyFill="1" applyBorder="1" applyProtection="1">
      <protection locked="0"/>
    </xf>
    <xf numFmtId="39" fontId="0" fillId="0" borderId="4" xfId="1" applyNumberFormat="1" applyFont="1" applyFill="1" applyBorder="1" applyProtection="1">
      <protection locked="0"/>
    </xf>
    <xf numFmtId="37" fontId="0" fillId="2" borderId="21" xfId="0" applyNumberFormat="1" applyFill="1" applyBorder="1" applyProtection="1">
      <protection locked="0"/>
    </xf>
    <xf numFmtId="37" fontId="0" fillId="2" borderId="0" xfId="0" applyNumberFormat="1" applyFill="1" applyBorder="1" applyProtection="1">
      <protection locked="0"/>
    </xf>
    <xf numFmtId="0" fontId="0" fillId="2" borderId="21" xfId="0" applyFill="1" applyBorder="1" applyProtection="1">
      <protection locked="0"/>
    </xf>
    <xf numFmtId="10" fontId="0" fillId="2" borderId="22" xfId="1" applyNumberFormat="1" applyFont="1" applyFill="1" applyBorder="1" applyProtection="1">
      <protection locked="0"/>
    </xf>
    <xf numFmtId="10" fontId="0" fillId="2" borderId="21" xfId="1" applyNumberFormat="1" applyFont="1" applyFill="1" applyBorder="1" applyProtection="1">
      <protection locked="0"/>
    </xf>
    <xf numFmtId="10" fontId="0" fillId="2" borderId="0" xfId="1" applyNumberFormat="1" applyFont="1" applyFill="1" applyBorder="1" applyProtection="1">
      <protection locked="0"/>
    </xf>
    <xf numFmtId="0" fontId="13" fillId="13" borderId="44" xfId="0" applyNumberFormat="1" applyFont="1" applyFill="1" applyBorder="1" applyAlignment="1" applyProtection="1">
      <alignment horizontal="center"/>
      <protection locked="0"/>
    </xf>
    <xf numFmtId="0" fontId="13" fillId="13" borderId="45" xfId="0" applyNumberFormat="1" applyFont="1" applyFill="1" applyBorder="1" applyAlignment="1" applyProtection="1">
      <alignment horizontal="center"/>
      <protection locked="0"/>
    </xf>
    <xf numFmtId="0" fontId="13" fillId="13" borderId="46" xfId="0" applyNumberFormat="1" applyFont="1" applyFill="1" applyBorder="1" applyAlignment="1" applyProtection="1">
      <alignment horizontal="center"/>
      <protection locked="0"/>
    </xf>
    <xf numFmtId="164" fontId="1" fillId="11" borderId="4" xfId="1" applyNumberFormat="1" applyFont="1" applyFill="1" applyBorder="1" applyProtection="1">
      <protection locked="0"/>
    </xf>
    <xf numFmtId="0" fontId="0" fillId="8" borderId="2" xfId="0" applyFill="1" applyBorder="1" applyProtection="1"/>
    <xf numFmtId="39" fontId="0" fillId="18" borderId="14" xfId="0" applyNumberFormat="1" applyFill="1" applyBorder="1" applyProtection="1"/>
    <xf numFmtId="39" fontId="0" fillId="19" borderId="14" xfId="0" applyNumberFormat="1" applyFill="1" applyBorder="1" applyProtection="1"/>
    <xf numFmtId="39" fontId="0" fillId="9" borderId="14" xfId="0" applyNumberFormat="1" applyFill="1" applyBorder="1" applyProtection="1"/>
    <xf numFmtId="39" fontId="0" fillId="11" borderId="14" xfId="0" applyNumberFormat="1" applyFill="1" applyBorder="1" applyAlignment="1" applyProtection="1">
      <alignment horizontal="right"/>
    </xf>
    <xf numFmtId="37" fontId="0" fillId="11" borderId="67" xfId="0" applyNumberFormat="1" applyFill="1" applyBorder="1" applyAlignment="1" applyProtection="1">
      <alignment horizontal="right"/>
    </xf>
    <xf numFmtId="39" fontId="1" fillId="18" borderId="24" xfId="0" applyNumberFormat="1" applyFont="1" applyFill="1" applyBorder="1" applyProtection="1">
      <protection locked="0"/>
    </xf>
    <xf numFmtId="39" fontId="1" fillId="19" borderId="24" xfId="0" applyNumberFormat="1" applyFont="1" applyFill="1" applyBorder="1" applyProtection="1">
      <protection locked="0"/>
    </xf>
    <xf numFmtId="39" fontId="1" fillId="9" borderId="24" xfId="0" applyNumberFormat="1" applyFont="1" applyFill="1" applyBorder="1" applyProtection="1">
      <protection locked="0"/>
    </xf>
    <xf numFmtId="39" fontId="1" fillId="11" borderId="24" xfId="0" applyNumberFormat="1" applyFont="1" applyFill="1" applyBorder="1" applyAlignment="1" applyProtection="1">
      <alignment horizontal="right"/>
      <protection locked="0"/>
    </xf>
    <xf numFmtId="37" fontId="1" fillId="11" borderId="24" xfId="0" applyNumberFormat="1" applyFont="1" applyFill="1" applyBorder="1" applyAlignment="1" applyProtection="1">
      <alignment horizontal="right"/>
      <protection locked="0"/>
    </xf>
    <xf numFmtId="0" fontId="0" fillId="2" borderId="72" xfId="0" applyFill="1" applyBorder="1" applyProtection="1">
      <protection locked="0"/>
    </xf>
    <xf numFmtId="0" fontId="0" fillId="2" borderId="62" xfId="0" applyFill="1" applyBorder="1" applyProtection="1">
      <protection locked="0"/>
    </xf>
    <xf numFmtId="37" fontId="0" fillId="0" borderId="30" xfId="0" applyNumberFormat="1" applyFill="1" applyBorder="1" applyProtection="1">
      <protection locked="0"/>
    </xf>
    <xf numFmtId="37" fontId="0" fillId="11" borderId="67" xfId="0" applyNumberFormat="1" applyFill="1" applyBorder="1" applyProtection="1">
      <protection locked="0"/>
    </xf>
    <xf numFmtId="39" fontId="0" fillId="18" borderId="14" xfId="0" applyNumberFormat="1" applyFill="1" applyBorder="1" applyProtection="1">
      <protection locked="0"/>
    </xf>
    <xf numFmtId="39" fontId="0" fillId="19" borderId="14" xfId="0" applyNumberFormat="1" applyFill="1" applyBorder="1" applyProtection="1">
      <protection locked="0"/>
    </xf>
    <xf numFmtId="39" fontId="0" fillId="9" borderId="14" xfId="0" applyNumberFormat="1" applyFill="1" applyBorder="1" applyProtection="1">
      <protection locked="0"/>
    </xf>
    <xf numFmtId="39" fontId="0" fillId="11" borderId="14" xfId="0" applyNumberFormat="1" applyFill="1" applyBorder="1" applyAlignment="1" applyProtection="1">
      <alignment horizontal="right"/>
      <protection locked="0"/>
    </xf>
    <xf numFmtId="37" fontId="0" fillId="11" borderId="67" xfId="0" applyNumberFormat="1" applyFill="1" applyBorder="1" applyAlignment="1" applyProtection="1">
      <alignment horizontal="right"/>
      <protection locked="0"/>
    </xf>
    <xf numFmtId="0" fontId="0" fillId="3" borderId="0" xfId="0" applyNumberFormat="1" applyFont="1" applyFill="1" applyAlignment="1" applyProtection="1">
      <alignment horizontal="left"/>
    </xf>
    <xf numFmtId="37" fontId="1" fillId="11" borderId="76" xfId="0" applyNumberFormat="1" applyFont="1" applyFill="1" applyBorder="1" applyAlignment="1" applyProtection="1">
      <alignment horizontal="right"/>
    </xf>
    <xf numFmtId="37" fontId="1" fillId="11" borderId="77" xfId="0" applyNumberFormat="1" applyFont="1" applyFill="1" applyBorder="1" applyAlignment="1" applyProtection="1">
      <alignment horizontal="right"/>
    </xf>
    <xf numFmtId="37" fontId="1" fillId="11" borderId="78" xfId="0" applyNumberFormat="1" applyFont="1" applyFill="1" applyBorder="1" applyAlignment="1" applyProtection="1">
      <alignment horizontal="right"/>
    </xf>
    <xf numFmtId="37" fontId="1" fillId="0" borderId="14" xfId="0" applyNumberFormat="1" applyFont="1" applyFill="1" applyBorder="1" applyProtection="1">
      <protection locked="0"/>
    </xf>
    <xf numFmtId="164" fontId="1" fillId="0" borderId="14" xfId="1" applyNumberFormat="1" applyFont="1" applyFill="1" applyBorder="1" applyProtection="1">
      <protection locked="0"/>
    </xf>
    <xf numFmtId="0" fontId="1" fillId="2" borderId="0" xfId="0" applyFont="1" applyFill="1" applyBorder="1" applyProtection="1">
      <protection locked="0"/>
    </xf>
    <xf numFmtId="37" fontId="1" fillId="11" borderId="14" xfId="0" applyNumberFormat="1" applyFont="1" applyFill="1" applyBorder="1" applyProtection="1">
      <protection locked="0"/>
    </xf>
    <xf numFmtId="39" fontId="1" fillId="18" borderId="14" xfId="0" applyNumberFormat="1" applyFont="1" applyFill="1" applyBorder="1" applyProtection="1">
      <protection locked="0"/>
    </xf>
    <xf numFmtId="39" fontId="1" fillId="19" borderId="14" xfId="0" applyNumberFormat="1" applyFont="1" applyFill="1" applyBorder="1" applyProtection="1">
      <protection locked="0"/>
    </xf>
    <xf numFmtId="39" fontId="1" fillId="9" borderId="14" xfId="0" applyNumberFormat="1" applyFont="1" applyFill="1" applyBorder="1" applyProtection="1">
      <protection locked="0"/>
    </xf>
    <xf numFmtId="39" fontId="1" fillId="11" borderId="14" xfId="0" applyNumberFormat="1" applyFont="1" applyFill="1" applyBorder="1" applyAlignment="1" applyProtection="1">
      <alignment horizontal="right"/>
      <protection locked="0"/>
    </xf>
    <xf numFmtId="37" fontId="1" fillId="11" borderId="67" xfId="0" applyNumberFormat="1" applyFont="1" applyFill="1" applyBorder="1" applyAlignment="1" applyProtection="1">
      <alignment horizontal="right"/>
      <protection locked="0"/>
    </xf>
    <xf numFmtId="37" fontId="1" fillId="11" borderId="76" xfId="0" applyNumberFormat="1" applyFont="1" applyFill="1" applyBorder="1" applyAlignment="1" applyProtection="1">
      <alignment horizontal="right"/>
      <protection locked="0"/>
    </xf>
    <xf numFmtId="37" fontId="1" fillId="11" borderId="77" xfId="0" applyNumberFormat="1" applyFont="1" applyFill="1" applyBorder="1" applyAlignment="1" applyProtection="1">
      <alignment horizontal="right"/>
      <protection locked="0"/>
    </xf>
    <xf numFmtId="37" fontId="1" fillId="11" borderId="78" xfId="0" applyNumberFormat="1" applyFont="1" applyFill="1" applyBorder="1" applyAlignment="1" applyProtection="1">
      <alignment horizontal="right"/>
      <protection locked="0"/>
    </xf>
    <xf numFmtId="39" fontId="0" fillId="18" borderId="33" xfId="0" applyNumberFormat="1" applyFill="1" applyBorder="1" applyProtection="1">
      <protection locked="0"/>
    </xf>
    <xf numFmtId="39" fontId="0" fillId="19" borderId="33" xfId="0" applyNumberFormat="1" applyFill="1" applyBorder="1" applyProtection="1">
      <protection locked="0"/>
    </xf>
    <xf numFmtId="39" fontId="0" fillId="9" borderId="33" xfId="0" applyNumberFormat="1" applyFill="1" applyBorder="1" applyProtection="1">
      <protection locked="0"/>
    </xf>
    <xf numFmtId="39" fontId="0" fillId="11" borderId="33" xfId="0" applyNumberFormat="1" applyFill="1" applyBorder="1" applyAlignment="1" applyProtection="1">
      <alignment horizontal="right"/>
      <protection locked="0"/>
    </xf>
    <xf numFmtId="37" fontId="0" fillId="11" borderId="76" xfId="0" applyNumberFormat="1" applyFill="1" applyBorder="1" applyAlignment="1" applyProtection="1">
      <alignment horizontal="right"/>
      <protection locked="0"/>
    </xf>
    <xf numFmtId="37" fontId="0" fillId="0" borderId="25" xfId="0" applyNumberFormat="1" applyFill="1" applyBorder="1" applyProtection="1">
      <protection locked="0"/>
    </xf>
    <xf numFmtId="37" fontId="0" fillId="0" borderId="26" xfId="0" applyNumberFormat="1" applyFill="1" applyBorder="1" applyProtection="1">
      <protection locked="0"/>
    </xf>
    <xf numFmtId="164" fontId="0" fillId="0" borderId="26" xfId="1" applyNumberFormat="1" applyFont="1" applyFill="1" applyBorder="1" applyProtection="1">
      <protection locked="0"/>
    </xf>
    <xf numFmtId="37" fontId="0" fillId="11" borderId="26" xfId="0" applyNumberFormat="1" applyFill="1" applyBorder="1" applyProtection="1">
      <protection locked="0"/>
    </xf>
    <xf numFmtId="37" fontId="0" fillId="11" borderId="70" xfId="0" applyNumberFormat="1" applyFill="1" applyBorder="1" applyProtection="1">
      <protection locked="0"/>
    </xf>
    <xf numFmtId="37" fontId="0" fillId="0" borderId="29" xfId="0" applyNumberFormat="1" applyFill="1" applyBorder="1" applyProtection="1">
      <protection locked="0"/>
    </xf>
    <xf numFmtId="37" fontId="0" fillId="11" borderId="71" xfId="0" applyNumberFormat="1" applyFill="1" applyBorder="1" applyProtection="1">
      <protection locked="0"/>
    </xf>
    <xf numFmtId="37" fontId="0" fillId="0" borderId="9" xfId="0" applyNumberFormat="1" applyFont="1" applyFill="1" applyBorder="1" applyAlignment="1" applyProtection="1">
      <alignment horizontal="left" indent="1"/>
      <protection locked="0"/>
    </xf>
    <xf numFmtId="37" fontId="1" fillId="0" borderId="34" xfId="0" applyNumberFormat="1" applyFont="1" applyFill="1" applyBorder="1" applyAlignment="1" applyProtection="1">
      <alignment horizontal="left" indent="1"/>
      <protection locked="0"/>
    </xf>
    <xf numFmtId="37" fontId="0" fillId="0" borderId="14" xfId="0" applyNumberFormat="1" applyFont="1" applyFill="1" applyBorder="1" applyAlignment="1" applyProtection="1">
      <alignment horizontal="left" indent="1"/>
      <protection locked="0"/>
    </xf>
    <xf numFmtId="37" fontId="1" fillId="0" borderId="12" xfId="0" applyNumberFormat="1" applyFont="1" applyFill="1" applyBorder="1" applyAlignment="1" applyProtection="1">
      <alignment horizontal="left" indent="1"/>
      <protection locked="0"/>
    </xf>
    <xf numFmtId="37" fontId="0" fillId="0" borderId="4" xfId="0" applyNumberFormat="1" applyFont="1" applyFill="1" applyBorder="1" applyAlignment="1" applyProtection="1">
      <alignment horizontal="left" indent="1"/>
      <protection locked="0"/>
    </xf>
    <xf numFmtId="37" fontId="0" fillId="0" borderId="13" xfId="0" applyNumberFormat="1" applyFont="1" applyFill="1" applyBorder="1" applyAlignment="1" applyProtection="1">
      <alignment horizontal="left" indent="1"/>
      <protection locked="0"/>
    </xf>
    <xf numFmtId="0" fontId="0" fillId="10" borderId="2" xfId="0" applyFill="1" applyBorder="1" applyAlignment="1" applyProtection="1">
      <alignment horizontal="left"/>
    </xf>
    <xf numFmtId="37" fontId="1" fillId="0" borderId="39" xfId="0" applyNumberFormat="1" applyFont="1" applyFill="1" applyBorder="1" applyProtection="1">
      <protection locked="0"/>
    </xf>
    <xf numFmtId="37" fontId="1" fillId="0" borderId="88" xfId="0" applyNumberFormat="1" applyFont="1" applyFill="1" applyBorder="1" applyProtection="1">
      <protection locked="0"/>
    </xf>
    <xf numFmtId="164" fontId="1" fillId="0" borderId="39" xfId="1" applyNumberFormat="1" applyFont="1" applyFill="1" applyBorder="1" applyProtection="1">
      <protection locked="0"/>
    </xf>
    <xf numFmtId="0" fontId="1" fillId="2" borderId="87" xfId="0" applyFont="1" applyFill="1" applyBorder="1" applyProtection="1">
      <protection locked="0"/>
    </xf>
    <xf numFmtId="37" fontId="1" fillId="11" borderId="39" xfId="0" applyNumberFormat="1" applyFont="1" applyFill="1" applyBorder="1" applyProtection="1">
      <protection locked="0"/>
    </xf>
    <xf numFmtId="39" fontId="1" fillId="18" borderId="88" xfId="0" applyNumberFormat="1" applyFont="1" applyFill="1" applyBorder="1" applyProtection="1">
      <protection locked="0"/>
    </xf>
    <xf numFmtId="39" fontId="1" fillId="19" borderId="88" xfId="0" applyNumberFormat="1" applyFont="1" applyFill="1" applyBorder="1" applyProtection="1">
      <protection locked="0"/>
    </xf>
    <xf numFmtId="39" fontId="1" fillId="9" borderId="88" xfId="0" applyNumberFormat="1" applyFont="1" applyFill="1" applyBorder="1" applyProtection="1">
      <protection locked="0"/>
    </xf>
    <xf numFmtId="39" fontId="1" fillId="11" borderId="88" xfId="0" applyNumberFormat="1" applyFont="1" applyFill="1" applyBorder="1" applyAlignment="1" applyProtection="1">
      <alignment horizontal="right"/>
      <protection locked="0"/>
    </xf>
    <xf numFmtId="37" fontId="1" fillId="11" borderId="89" xfId="0" applyNumberFormat="1" applyFont="1" applyFill="1" applyBorder="1" applyAlignment="1" applyProtection="1">
      <alignment horizontal="right"/>
      <protection locked="0"/>
    </xf>
    <xf numFmtId="0" fontId="0" fillId="2" borderId="2" xfId="0" quotePrefix="1" applyFill="1" applyBorder="1" applyProtection="1"/>
    <xf numFmtId="37" fontId="0" fillId="0" borderId="4" xfId="1" applyNumberFormat="1" applyFont="1" applyFill="1" applyBorder="1" applyProtection="1"/>
    <xf numFmtId="0" fontId="21" fillId="3" borderId="0" xfId="0" applyNumberFormat="1" applyFont="1" applyFill="1" applyAlignment="1" applyProtection="1">
      <alignment horizontal="left" indent="1"/>
    </xf>
    <xf numFmtId="0" fontId="21" fillId="2" borderId="0" xfId="0" applyFont="1" applyFill="1" applyAlignment="1" applyProtection="1">
      <alignment horizontal="left" indent="1"/>
    </xf>
    <xf numFmtId="39" fontId="1" fillId="18" borderId="13" xfId="0" applyNumberFormat="1" applyFont="1" applyFill="1" applyBorder="1" applyProtection="1"/>
    <xf numFmtId="39" fontId="1" fillId="19" borderId="13" xfId="0" applyNumberFormat="1" applyFont="1" applyFill="1" applyBorder="1" applyProtection="1"/>
    <xf numFmtId="39" fontId="1" fillId="9" borderId="13" xfId="0" applyNumberFormat="1" applyFont="1" applyFill="1" applyBorder="1" applyProtection="1"/>
    <xf numFmtId="39" fontId="1" fillId="11" borderId="13" xfId="0" applyNumberFormat="1" applyFont="1" applyFill="1" applyBorder="1" applyAlignment="1" applyProtection="1">
      <alignment horizontal="right"/>
    </xf>
    <xf numFmtId="37" fontId="1" fillId="11" borderId="71" xfId="0" applyNumberFormat="1" applyFont="1" applyFill="1" applyBorder="1" applyAlignment="1" applyProtection="1">
      <alignment horizontal="right"/>
    </xf>
    <xf numFmtId="37" fontId="1" fillId="11" borderId="75" xfId="0" applyNumberFormat="1" applyFont="1" applyFill="1" applyBorder="1" applyAlignment="1" applyProtection="1">
      <alignment horizontal="right"/>
      <protection locked="0"/>
    </xf>
    <xf numFmtId="3" fontId="0" fillId="2" borderId="0" xfId="0" applyNumberFormat="1" applyFill="1" applyAlignment="1" applyProtection="1"/>
    <xf numFmtId="0" fontId="15" fillId="2" borderId="0" xfId="0" applyFont="1" applyFill="1" applyAlignment="1" applyProtection="1">
      <alignment horizontal="center"/>
    </xf>
    <xf numFmtId="0" fontId="0" fillId="8" borderId="55" xfId="0" applyFill="1" applyBorder="1" applyAlignment="1" applyProtection="1">
      <alignment horizontal="center" vertical="center"/>
    </xf>
    <xf numFmtId="0" fontId="0" fillId="8" borderId="56" xfId="0" applyFill="1" applyBorder="1" applyAlignment="1" applyProtection="1">
      <alignment horizontal="center" vertical="center"/>
    </xf>
    <xf numFmtId="39" fontId="0" fillId="18" borderId="44" xfId="0" applyNumberFormat="1" applyFill="1" applyBorder="1" applyAlignment="1" applyProtection="1">
      <alignment horizontal="center"/>
    </xf>
    <xf numFmtId="39" fontId="0" fillId="18" borderId="46" xfId="0" applyNumberFormat="1" applyFill="1" applyBorder="1" applyAlignment="1" applyProtection="1">
      <alignment horizontal="center"/>
    </xf>
    <xf numFmtId="0" fontId="13" fillId="13" borderId="44" xfId="0" applyNumberFormat="1" applyFont="1" applyFill="1" applyBorder="1" applyAlignment="1" applyProtection="1">
      <alignment horizontal="center"/>
    </xf>
    <xf numFmtId="0" fontId="13" fillId="13" borderId="46" xfId="0" applyNumberFormat="1" applyFont="1" applyFill="1" applyBorder="1" applyAlignment="1" applyProtection="1">
      <alignment horizontal="center"/>
    </xf>
    <xf numFmtId="39" fontId="0" fillId="18" borderId="15" xfId="0" applyNumberFormat="1" applyFill="1" applyBorder="1" applyAlignment="1" applyProtection="1">
      <alignment horizontal="center"/>
    </xf>
    <xf numFmtId="39" fontId="0" fillId="18" borderId="16" xfId="0" applyNumberFormat="1" applyFill="1" applyBorder="1" applyAlignment="1" applyProtection="1">
      <alignment horizontal="center"/>
    </xf>
    <xf numFmtId="39" fontId="1" fillId="18" borderId="79" xfId="0" applyNumberFormat="1" applyFont="1" applyFill="1" applyBorder="1" applyAlignment="1" applyProtection="1">
      <alignment horizontal="center"/>
    </xf>
    <xf numFmtId="39" fontId="1" fillId="18" borderId="80" xfId="0" applyNumberFormat="1" applyFont="1" applyFill="1" applyBorder="1" applyAlignment="1" applyProtection="1">
      <alignment horizontal="center"/>
    </xf>
    <xf numFmtId="39" fontId="1" fillId="18" borderId="81" xfId="0" applyNumberFormat="1" applyFont="1" applyFill="1" applyBorder="1" applyAlignment="1" applyProtection="1">
      <alignment horizontal="center"/>
    </xf>
    <xf numFmtId="39" fontId="1" fillId="18" borderId="82" xfId="0" applyNumberFormat="1" applyFont="1" applyFill="1" applyBorder="1" applyAlignment="1" applyProtection="1">
      <alignment horizontal="center"/>
    </xf>
    <xf numFmtId="39" fontId="1" fillId="18" borderId="83" xfId="0" applyNumberFormat="1" applyFont="1" applyFill="1" applyBorder="1" applyAlignment="1" applyProtection="1">
      <alignment horizontal="center"/>
    </xf>
    <xf numFmtId="39" fontId="1" fillId="18" borderId="84" xfId="0" applyNumberFormat="1" applyFont="1" applyFill="1" applyBorder="1" applyAlignment="1" applyProtection="1">
      <alignment horizontal="center"/>
    </xf>
  </cellXfs>
  <cellStyles count="10">
    <cellStyle name="ColumnHeading" xfId="3" xr:uid="{00000000-0005-0000-0000-000000000000}"/>
    <cellStyle name="Comma" xfId="9" builtinId="3"/>
    <cellStyle name="Comma 2" xfId="4" xr:uid="{00000000-0005-0000-0000-000002000000}"/>
    <cellStyle name="Currency" xfId="7" builtinId="4"/>
    <cellStyle name="Currency 2" xfId="5" xr:uid="{00000000-0005-0000-0000-000004000000}"/>
    <cellStyle name="Normal" xfId="0" builtinId="0"/>
    <cellStyle name="Normal 2" xfId="8" xr:uid="{00000000-0005-0000-0000-000006000000}"/>
    <cellStyle name="Normal_Sheet1" xfId="2" xr:uid="{00000000-0005-0000-0000-000007000000}"/>
    <cellStyle name="Percent" xfId="1" builtinId="5"/>
    <cellStyle name="Percent 2" xfId="6" xr:uid="{00000000-0005-0000-0000-000009000000}"/>
  </cellStyles>
  <dxfs count="123"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ont>
        <color rgb="FFC63527"/>
      </font>
    </dxf>
    <dxf>
      <fill>
        <patternFill patternType="mediumGray">
          <fgColor theme="2" tint="-9.9948118533890809E-2"/>
        </patternFill>
      </fill>
    </dxf>
    <dxf>
      <fill>
        <patternFill patternType="mediumGray">
          <fgColor theme="2" tint="-9.9948118533890809E-2"/>
        </patternFill>
      </fill>
    </dxf>
    <dxf>
      <fill>
        <patternFill patternType="mediumGray">
          <fgColor theme="2" tint="-9.9948118533890809E-2"/>
        </patternFill>
      </fill>
    </dxf>
  </dxfs>
  <tableStyles count="0" defaultTableStyle="TableStyleMedium9" defaultPivotStyle="PivotStyleLight16"/>
  <colors>
    <mruColors>
      <color rgb="FFC63527"/>
      <color rgb="FFDBD6D3"/>
      <color rgb="FFCAC3BE"/>
      <color rgb="FF9FF4FF"/>
      <color rgb="FFE1FBFF"/>
      <color rgb="FF6E6259"/>
      <color rgb="FF5F554D"/>
      <color rgb="FF5B5149"/>
      <color rgb="FF00AE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CheckBox" fmlaLink="$O$1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281801</xdr:colOff>
      <xdr:row>12</xdr:row>
      <xdr:rowOff>101664</xdr:rowOff>
    </xdr:from>
    <xdr:to>
      <xdr:col>7</xdr:col>
      <xdr:colOff>324944</xdr:colOff>
      <xdr:row>21</xdr:row>
      <xdr:rowOff>123907</xdr:rowOff>
    </xdr:to>
    <xdr:pic>
      <xdr:nvPicPr>
        <xdr:cNvPr id="2" name="Picture 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801" y="1748929"/>
          <a:ext cx="7259731" cy="173674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280147</xdr:colOff>
      <xdr:row>53</xdr:row>
      <xdr:rowOff>112059</xdr:rowOff>
    </xdr:from>
    <xdr:to>
      <xdr:col>7</xdr:col>
      <xdr:colOff>1140759</xdr:colOff>
      <xdr:row>83</xdr:row>
      <xdr:rowOff>188259</xdr:rowOff>
    </xdr:to>
    <xdr:pic>
      <xdr:nvPicPr>
        <xdr:cNvPr id="5133" name="Picture 13">
          <a:extLst>
            <a:ext uri="{FF2B5EF4-FFF2-40B4-BE49-F238E27FC236}">
              <a16:creationId xmlns:a16="http://schemas.microsoft.com/office/drawing/2014/main" id="{00000000-0008-0000-0000-00000D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80147" y="9681883"/>
          <a:ext cx="8077200" cy="5791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7</xdr:col>
      <xdr:colOff>1434354</xdr:colOff>
      <xdr:row>13</xdr:row>
      <xdr:rowOff>44823</xdr:rowOff>
    </xdr:from>
    <xdr:to>
      <xdr:col>11</xdr:col>
      <xdr:colOff>50578</xdr:colOff>
      <xdr:row>21</xdr:row>
      <xdr:rowOff>112058</xdr:rowOff>
    </xdr:to>
    <xdr:pic>
      <xdr:nvPicPr>
        <xdr:cNvPr id="5134" name="Picture 14">
          <a:extLst>
            <a:ext uri="{FF2B5EF4-FFF2-40B4-BE49-F238E27FC236}">
              <a16:creationId xmlns:a16="http://schemas.microsoft.com/office/drawing/2014/main" id="{00000000-0008-0000-0000-00000E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8650942" y="1882588"/>
          <a:ext cx="4331224" cy="159123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4</xdr:row>
          <xdr:rowOff>171450</xdr:rowOff>
        </xdr:from>
        <xdr:to>
          <xdr:col>15</xdr:col>
          <xdr:colOff>0</xdr:colOff>
          <xdr:row>6</xdr:row>
          <xdr:rowOff>19050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 w="1270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419100</xdr:colOff>
          <xdr:row>0</xdr:row>
          <xdr:rowOff>0</xdr:rowOff>
        </xdr:to>
        <xdr:sp macro="" textlink="">
          <xdr:nvSpPr>
            <xdr:cNvPr id="5131" name="FPMExcelClientSheetOptionstb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515470</xdr:colOff>
      <xdr:row>25</xdr:row>
      <xdr:rowOff>190500</xdr:rowOff>
    </xdr:from>
    <xdr:to>
      <xdr:col>33</xdr:col>
      <xdr:colOff>620804</xdr:colOff>
      <xdr:row>27</xdr:row>
      <xdr:rowOff>110377</xdr:rowOff>
    </xdr:to>
    <xdr:pic>
      <xdr:nvPicPr>
        <xdr:cNvPr id="2" name="Picture 6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382999" y="381000"/>
          <a:ext cx="1472452" cy="435348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13</xdr:col>
          <xdr:colOff>666750</xdr:colOff>
          <xdr:row>0</xdr:row>
          <xdr:rowOff>0</xdr:rowOff>
        </xdr:to>
        <xdr:sp macro="" textlink="">
          <xdr:nvSpPr>
            <xdr:cNvPr id="62467" name="FPMExcelClientSheetOptionstb1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25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13</xdr:col>
          <xdr:colOff>666750</xdr:colOff>
          <xdr:row>0</xdr:row>
          <xdr:rowOff>0</xdr:rowOff>
        </xdr:to>
        <xdr:sp macro="" textlink="">
          <xdr:nvSpPr>
            <xdr:cNvPr id="65543" name="FPMExcelClientSheetOptionstb1" hidden="1">
              <a:extLst>
                <a:ext uri="{63B3BB69-23CF-44E3-9099-C40C66FF867C}">
                  <a14:compatExt spid="_x0000_s65543"/>
                </a:ext>
                <a:ext uri="{FF2B5EF4-FFF2-40B4-BE49-F238E27FC236}">
                  <a16:creationId xmlns:a16="http://schemas.microsoft.com/office/drawing/2014/main" id="{00000000-0008-0000-2700-00000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customProperty" Target="../customProperty2.bin"/><Relationship Id="rId7" Type="http://schemas.openxmlformats.org/officeDocument/2006/relationships/control" Target="../activeX/activeX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7" Type="http://schemas.openxmlformats.org/officeDocument/2006/relationships/comments" Target="../comments1.x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2.bin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customProperty" Target="../customProperty6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vmlDrawing" Target="../drawings/vmlDrawing3.vml"/><Relationship Id="rId4" Type="http://schemas.openxmlformats.org/officeDocument/2006/relationships/customProperty" Target="../customProperty9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1.bin"/><Relationship Id="rId2" Type="http://schemas.openxmlformats.org/officeDocument/2006/relationships/customProperty" Target="../customProperty10.bin"/><Relationship Id="rId1" Type="http://schemas.openxmlformats.org/officeDocument/2006/relationships/printerSettings" Target="../printerSettings/printerSettings4.bin"/><Relationship Id="rId4" Type="http://schemas.openxmlformats.org/officeDocument/2006/relationships/customProperty" Target="../customProperty1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4.bin"/><Relationship Id="rId2" Type="http://schemas.openxmlformats.org/officeDocument/2006/relationships/customProperty" Target="../customProperty13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3.xml"/><Relationship Id="rId5" Type="http://schemas.openxmlformats.org/officeDocument/2006/relationships/vmlDrawing" Target="../drawings/vmlDrawing4.vml"/><Relationship Id="rId4" Type="http://schemas.openxmlformats.org/officeDocument/2006/relationships/customProperty" Target="../customProperty1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7.bin"/><Relationship Id="rId2" Type="http://schemas.openxmlformats.org/officeDocument/2006/relationships/customProperty" Target="../customProperty16.bin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vmlDrawing" Target="../drawings/vmlDrawing5.vml"/><Relationship Id="rId4" Type="http://schemas.openxmlformats.org/officeDocument/2006/relationships/customProperty" Target="../customProperty18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0.bin"/><Relationship Id="rId2" Type="http://schemas.openxmlformats.org/officeDocument/2006/relationships/customProperty" Target="../customProperty19.bin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5.xml"/><Relationship Id="rId5" Type="http://schemas.openxmlformats.org/officeDocument/2006/relationships/vmlDrawing" Target="../drawings/vmlDrawing6.vml"/><Relationship Id="rId4" Type="http://schemas.openxmlformats.org/officeDocument/2006/relationships/customProperty" Target="../customProperty2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3.bin"/><Relationship Id="rId2" Type="http://schemas.openxmlformats.org/officeDocument/2006/relationships/customProperty" Target="../customProperty22.bin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6.xml"/><Relationship Id="rId5" Type="http://schemas.openxmlformats.org/officeDocument/2006/relationships/vmlDrawing" Target="../drawings/vmlDrawing7.vml"/><Relationship Id="rId4" Type="http://schemas.openxmlformats.org/officeDocument/2006/relationships/customProperty" Target="../customProperty2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6.bin"/><Relationship Id="rId2" Type="http://schemas.openxmlformats.org/officeDocument/2006/relationships/customProperty" Target="../customProperty25.bin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7.xml"/><Relationship Id="rId5" Type="http://schemas.openxmlformats.org/officeDocument/2006/relationships/vmlDrawing" Target="../drawings/vmlDrawing8.vml"/><Relationship Id="rId4" Type="http://schemas.openxmlformats.org/officeDocument/2006/relationships/customProperty" Target="../customProperty2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9.bin"/><Relationship Id="rId2" Type="http://schemas.openxmlformats.org/officeDocument/2006/relationships/customProperty" Target="../customProperty28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8.xml"/><Relationship Id="rId5" Type="http://schemas.openxmlformats.org/officeDocument/2006/relationships/vmlDrawing" Target="../drawings/vmlDrawing9.vml"/><Relationship Id="rId4" Type="http://schemas.openxmlformats.org/officeDocument/2006/relationships/customProperty" Target="../customProperty3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2.bin"/><Relationship Id="rId2" Type="http://schemas.openxmlformats.org/officeDocument/2006/relationships/customProperty" Target="../customProperty31.bin"/><Relationship Id="rId1" Type="http://schemas.openxmlformats.org/officeDocument/2006/relationships/printerSettings" Target="../printerSettings/printerSettings11.bin"/><Relationship Id="rId6" Type="http://schemas.openxmlformats.org/officeDocument/2006/relationships/comments" Target="../comments9.xml"/><Relationship Id="rId5" Type="http://schemas.openxmlformats.org/officeDocument/2006/relationships/vmlDrawing" Target="../drawings/vmlDrawing10.vml"/><Relationship Id="rId4" Type="http://schemas.openxmlformats.org/officeDocument/2006/relationships/customProperty" Target="../customProperty33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5.bin"/><Relationship Id="rId2" Type="http://schemas.openxmlformats.org/officeDocument/2006/relationships/customProperty" Target="../customProperty34.bin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10.xml"/><Relationship Id="rId5" Type="http://schemas.openxmlformats.org/officeDocument/2006/relationships/vmlDrawing" Target="../drawings/vmlDrawing11.vml"/><Relationship Id="rId4" Type="http://schemas.openxmlformats.org/officeDocument/2006/relationships/customProperty" Target="../customProperty3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8.bin"/><Relationship Id="rId2" Type="http://schemas.openxmlformats.org/officeDocument/2006/relationships/customProperty" Target="../customProperty37.bin"/><Relationship Id="rId1" Type="http://schemas.openxmlformats.org/officeDocument/2006/relationships/printerSettings" Target="../printerSettings/printerSettings13.bin"/><Relationship Id="rId6" Type="http://schemas.openxmlformats.org/officeDocument/2006/relationships/comments" Target="../comments11.xml"/><Relationship Id="rId5" Type="http://schemas.openxmlformats.org/officeDocument/2006/relationships/vmlDrawing" Target="../drawings/vmlDrawing12.vml"/><Relationship Id="rId4" Type="http://schemas.openxmlformats.org/officeDocument/2006/relationships/customProperty" Target="../customProperty3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1.bin"/><Relationship Id="rId2" Type="http://schemas.openxmlformats.org/officeDocument/2006/relationships/customProperty" Target="../customProperty40.bin"/><Relationship Id="rId1" Type="http://schemas.openxmlformats.org/officeDocument/2006/relationships/printerSettings" Target="../printerSettings/printerSettings14.bin"/><Relationship Id="rId6" Type="http://schemas.openxmlformats.org/officeDocument/2006/relationships/comments" Target="../comments12.xml"/><Relationship Id="rId5" Type="http://schemas.openxmlformats.org/officeDocument/2006/relationships/vmlDrawing" Target="../drawings/vmlDrawing13.vml"/><Relationship Id="rId4" Type="http://schemas.openxmlformats.org/officeDocument/2006/relationships/customProperty" Target="../customProperty4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4.bin"/><Relationship Id="rId2" Type="http://schemas.openxmlformats.org/officeDocument/2006/relationships/customProperty" Target="../customProperty43.bin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13.xml"/><Relationship Id="rId5" Type="http://schemas.openxmlformats.org/officeDocument/2006/relationships/vmlDrawing" Target="../drawings/vmlDrawing14.vml"/><Relationship Id="rId4" Type="http://schemas.openxmlformats.org/officeDocument/2006/relationships/customProperty" Target="../customProperty4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7.bin"/><Relationship Id="rId2" Type="http://schemas.openxmlformats.org/officeDocument/2006/relationships/customProperty" Target="../customProperty46.bin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14.xml"/><Relationship Id="rId5" Type="http://schemas.openxmlformats.org/officeDocument/2006/relationships/vmlDrawing" Target="../drawings/vmlDrawing15.vml"/><Relationship Id="rId4" Type="http://schemas.openxmlformats.org/officeDocument/2006/relationships/customProperty" Target="../customProperty48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0.bin"/><Relationship Id="rId2" Type="http://schemas.openxmlformats.org/officeDocument/2006/relationships/customProperty" Target="../customProperty49.bin"/><Relationship Id="rId1" Type="http://schemas.openxmlformats.org/officeDocument/2006/relationships/printerSettings" Target="../printerSettings/printerSettings17.bin"/><Relationship Id="rId6" Type="http://schemas.openxmlformats.org/officeDocument/2006/relationships/comments" Target="../comments15.xml"/><Relationship Id="rId5" Type="http://schemas.openxmlformats.org/officeDocument/2006/relationships/vmlDrawing" Target="../drawings/vmlDrawing16.vml"/><Relationship Id="rId4" Type="http://schemas.openxmlformats.org/officeDocument/2006/relationships/customProperty" Target="../customProperty51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3.bin"/><Relationship Id="rId2" Type="http://schemas.openxmlformats.org/officeDocument/2006/relationships/customProperty" Target="../customProperty52.bin"/><Relationship Id="rId1" Type="http://schemas.openxmlformats.org/officeDocument/2006/relationships/printerSettings" Target="../printerSettings/printerSettings18.bin"/><Relationship Id="rId6" Type="http://schemas.openxmlformats.org/officeDocument/2006/relationships/comments" Target="../comments16.xml"/><Relationship Id="rId5" Type="http://schemas.openxmlformats.org/officeDocument/2006/relationships/vmlDrawing" Target="../drawings/vmlDrawing17.vml"/><Relationship Id="rId4" Type="http://schemas.openxmlformats.org/officeDocument/2006/relationships/customProperty" Target="../customProperty54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6.bin"/><Relationship Id="rId2" Type="http://schemas.openxmlformats.org/officeDocument/2006/relationships/customProperty" Target="../customProperty55.bin"/><Relationship Id="rId1" Type="http://schemas.openxmlformats.org/officeDocument/2006/relationships/printerSettings" Target="../printerSettings/printerSettings19.bin"/><Relationship Id="rId6" Type="http://schemas.openxmlformats.org/officeDocument/2006/relationships/comments" Target="../comments17.xml"/><Relationship Id="rId5" Type="http://schemas.openxmlformats.org/officeDocument/2006/relationships/vmlDrawing" Target="../drawings/vmlDrawing18.vml"/><Relationship Id="rId4" Type="http://schemas.openxmlformats.org/officeDocument/2006/relationships/customProperty" Target="../customProperty5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9.bin"/><Relationship Id="rId2" Type="http://schemas.openxmlformats.org/officeDocument/2006/relationships/customProperty" Target="../customProperty58.bin"/><Relationship Id="rId1" Type="http://schemas.openxmlformats.org/officeDocument/2006/relationships/printerSettings" Target="../printerSettings/printerSettings20.bin"/><Relationship Id="rId6" Type="http://schemas.openxmlformats.org/officeDocument/2006/relationships/comments" Target="../comments18.xml"/><Relationship Id="rId5" Type="http://schemas.openxmlformats.org/officeDocument/2006/relationships/vmlDrawing" Target="../drawings/vmlDrawing19.vml"/><Relationship Id="rId4" Type="http://schemas.openxmlformats.org/officeDocument/2006/relationships/customProperty" Target="../customProperty6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2.bin"/><Relationship Id="rId2" Type="http://schemas.openxmlformats.org/officeDocument/2006/relationships/customProperty" Target="../customProperty61.bin"/><Relationship Id="rId1" Type="http://schemas.openxmlformats.org/officeDocument/2006/relationships/printerSettings" Target="../printerSettings/printerSettings21.bin"/><Relationship Id="rId6" Type="http://schemas.openxmlformats.org/officeDocument/2006/relationships/comments" Target="../comments19.xml"/><Relationship Id="rId5" Type="http://schemas.openxmlformats.org/officeDocument/2006/relationships/vmlDrawing" Target="../drawings/vmlDrawing20.vml"/><Relationship Id="rId4" Type="http://schemas.openxmlformats.org/officeDocument/2006/relationships/customProperty" Target="../customProperty63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5.bin"/><Relationship Id="rId2" Type="http://schemas.openxmlformats.org/officeDocument/2006/relationships/customProperty" Target="../customProperty64.bin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20.xml"/><Relationship Id="rId5" Type="http://schemas.openxmlformats.org/officeDocument/2006/relationships/vmlDrawing" Target="../drawings/vmlDrawing21.vml"/><Relationship Id="rId4" Type="http://schemas.openxmlformats.org/officeDocument/2006/relationships/customProperty" Target="../customProperty66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8.bin"/><Relationship Id="rId2" Type="http://schemas.openxmlformats.org/officeDocument/2006/relationships/customProperty" Target="../customProperty67.bin"/><Relationship Id="rId1" Type="http://schemas.openxmlformats.org/officeDocument/2006/relationships/printerSettings" Target="../printerSettings/printerSettings23.bin"/><Relationship Id="rId6" Type="http://schemas.openxmlformats.org/officeDocument/2006/relationships/comments" Target="../comments21.xml"/><Relationship Id="rId5" Type="http://schemas.openxmlformats.org/officeDocument/2006/relationships/vmlDrawing" Target="../drawings/vmlDrawing22.vml"/><Relationship Id="rId4" Type="http://schemas.openxmlformats.org/officeDocument/2006/relationships/customProperty" Target="../customProperty69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71.bin"/><Relationship Id="rId2" Type="http://schemas.openxmlformats.org/officeDocument/2006/relationships/customProperty" Target="../customProperty70.bin"/><Relationship Id="rId1" Type="http://schemas.openxmlformats.org/officeDocument/2006/relationships/printerSettings" Target="../printerSettings/printerSettings24.bin"/><Relationship Id="rId6" Type="http://schemas.openxmlformats.org/officeDocument/2006/relationships/comments" Target="../comments22.xml"/><Relationship Id="rId5" Type="http://schemas.openxmlformats.org/officeDocument/2006/relationships/vmlDrawing" Target="../drawings/vmlDrawing23.vml"/><Relationship Id="rId4" Type="http://schemas.openxmlformats.org/officeDocument/2006/relationships/customProperty" Target="../customProperty72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74.bin"/><Relationship Id="rId2" Type="http://schemas.openxmlformats.org/officeDocument/2006/relationships/customProperty" Target="../customProperty73.bin"/><Relationship Id="rId1" Type="http://schemas.openxmlformats.org/officeDocument/2006/relationships/printerSettings" Target="../printerSettings/printerSettings25.bin"/><Relationship Id="rId6" Type="http://schemas.openxmlformats.org/officeDocument/2006/relationships/comments" Target="../comments23.xml"/><Relationship Id="rId5" Type="http://schemas.openxmlformats.org/officeDocument/2006/relationships/vmlDrawing" Target="../drawings/vmlDrawing24.vml"/><Relationship Id="rId4" Type="http://schemas.openxmlformats.org/officeDocument/2006/relationships/customProperty" Target="../customProperty7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77.bin"/><Relationship Id="rId2" Type="http://schemas.openxmlformats.org/officeDocument/2006/relationships/customProperty" Target="../customProperty76.bin"/><Relationship Id="rId1" Type="http://schemas.openxmlformats.org/officeDocument/2006/relationships/printerSettings" Target="../printerSettings/printerSettings26.bin"/><Relationship Id="rId6" Type="http://schemas.openxmlformats.org/officeDocument/2006/relationships/comments" Target="../comments24.xml"/><Relationship Id="rId5" Type="http://schemas.openxmlformats.org/officeDocument/2006/relationships/vmlDrawing" Target="../drawings/vmlDrawing25.vml"/><Relationship Id="rId4" Type="http://schemas.openxmlformats.org/officeDocument/2006/relationships/customProperty" Target="../customProperty78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0.bin"/><Relationship Id="rId2" Type="http://schemas.openxmlformats.org/officeDocument/2006/relationships/customProperty" Target="../customProperty79.bin"/><Relationship Id="rId1" Type="http://schemas.openxmlformats.org/officeDocument/2006/relationships/printerSettings" Target="../printerSettings/printerSettings27.bin"/><Relationship Id="rId6" Type="http://schemas.openxmlformats.org/officeDocument/2006/relationships/comments" Target="../comments25.xml"/><Relationship Id="rId5" Type="http://schemas.openxmlformats.org/officeDocument/2006/relationships/vmlDrawing" Target="../drawings/vmlDrawing26.vml"/><Relationship Id="rId4" Type="http://schemas.openxmlformats.org/officeDocument/2006/relationships/customProperty" Target="../customProperty81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3.bin"/><Relationship Id="rId2" Type="http://schemas.openxmlformats.org/officeDocument/2006/relationships/customProperty" Target="../customProperty82.bin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26.xml"/><Relationship Id="rId5" Type="http://schemas.openxmlformats.org/officeDocument/2006/relationships/vmlDrawing" Target="../drawings/vmlDrawing27.vml"/><Relationship Id="rId4" Type="http://schemas.openxmlformats.org/officeDocument/2006/relationships/customProperty" Target="../customProperty84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6.bin"/><Relationship Id="rId2" Type="http://schemas.openxmlformats.org/officeDocument/2006/relationships/customProperty" Target="../customProperty85.bin"/><Relationship Id="rId1" Type="http://schemas.openxmlformats.org/officeDocument/2006/relationships/printerSettings" Target="../printerSettings/printerSettings29.bin"/><Relationship Id="rId6" Type="http://schemas.openxmlformats.org/officeDocument/2006/relationships/comments" Target="../comments27.xml"/><Relationship Id="rId5" Type="http://schemas.openxmlformats.org/officeDocument/2006/relationships/vmlDrawing" Target="../drawings/vmlDrawing28.vml"/><Relationship Id="rId4" Type="http://schemas.openxmlformats.org/officeDocument/2006/relationships/customProperty" Target="../customProperty87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9.bin"/><Relationship Id="rId2" Type="http://schemas.openxmlformats.org/officeDocument/2006/relationships/customProperty" Target="../customProperty88.bin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8.xml"/><Relationship Id="rId5" Type="http://schemas.openxmlformats.org/officeDocument/2006/relationships/vmlDrawing" Target="../drawings/vmlDrawing29.vml"/><Relationship Id="rId4" Type="http://schemas.openxmlformats.org/officeDocument/2006/relationships/customProperty" Target="../customProperty9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92.bin"/><Relationship Id="rId2" Type="http://schemas.openxmlformats.org/officeDocument/2006/relationships/customProperty" Target="../customProperty91.bin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9.xml"/><Relationship Id="rId5" Type="http://schemas.openxmlformats.org/officeDocument/2006/relationships/vmlDrawing" Target="../drawings/vmlDrawing30.vml"/><Relationship Id="rId4" Type="http://schemas.openxmlformats.org/officeDocument/2006/relationships/customProperty" Target="../customProperty93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95.bin"/><Relationship Id="rId2" Type="http://schemas.openxmlformats.org/officeDocument/2006/relationships/customProperty" Target="../customProperty94.bin"/><Relationship Id="rId1" Type="http://schemas.openxmlformats.org/officeDocument/2006/relationships/printerSettings" Target="../printerSettings/printerSettings32.bin"/><Relationship Id="rId6" Type="http://schemas.openxmlformats.org/officeDocument/2006/relationships/comments" Target="../comments30.xml"/><Relationship Id="rId5" Type="http://schemas.openxmlformats.org/officeDocument/2006/relationships/vmlDrawing" Target="../drawings/vmlDrawing31.vml"/><Relationship Id="rId4" Type="http://schemas.openxmlformats.org/officeDocument/2006/relationships/customProperty" Target="../customProperty96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98.bin"/><Relationship Id="rId2" Type="http://schemas.openxmlformats.org/officeDocument/2006/relationships/customProperty" Target="../customProperty97.bin"/><Relationship Id="rId1" Type="http://schemas.openxmlformats.org/officeDocument/2006/relationships/printerSettings" Target="../printerSettings/printerSettings33.bin"/><Relationship Id="rId6" Type="http://schemas.openxmlformats.org/officeDocument/2006/relationships/comments" Target="../comments31.xml"/><Relationship Id="rId5" Type="http://schemas.openxmlformats.org/officeDocument/2006/relationships/vmlDrawing" Target="../drawings/vmlDrawing32.vml"/><Relationship Id="rId4" Type="http://schemas.openxmlformats.org/officeDocument/2006/relationships/customProperty" Target="../customProperty99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1.bin"/><Relationship Id="rId2" Type="http://schemas.openxmlformats.org/officeDocument/2006/relationships/customProperty" Target="../customProperty100.bin"/><Relationship Id="rId1" Type="http://schemas.openxmlformats.org/officeDocument/2006/relationships/printerSettings" Target="../printerSettings/printerSettings34.bin"/><Relationship Id="rId6" Type="http://schemas.openxmlformats.org/officeDocument/2006/relationships/comments" Target="../comments32.xml"/><Relationship Id="rId5" Type="http://schemas.openxmlformats.org/officeDocument/2006/relationships/vmlDrawing" Target="../drawings/vmlDrawing33.vml"/><Relationship Id="rId4" Type="http://schemas.openxmlformats.org/officeDocument/2006/relationships/customProperty" Target="../customProperty102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4.bin"/><Relationship Id="rId2" Type="http://schemas.openxmlformats.org/officeDocument/2006/relationships/customProperty" Target="../customProperty103.bin"/><Relationship Id="rId1" Type="http://schemas.openxmlformats.org/officeDocument/2006/relationships/printerSettings" Target="../printerSettings/printerSettings35.bin"/><Relationship Id="rId6" Type="http://schemas.openxmlformats.org/officeDocument/2006/relationships/comments" Target="../comments33.xml"/><Relationship Id="rId5" Type="http://schemas.openxmlformats.org/officeDocument/2006/relationships/vmlDrawing" Target="../drawings/vmlDrawing34.vml"/><Relationship Id="rId4" Type="http://schemas.openxmlformats.org/officeDocument/2006/relationships/customProperty" Target="../customProperty10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7.bin"/><Relationship Id="rId2" Type="http://schemas.openxmlformats.org/officeDocument/2006/relationships/customProperty" Target="../customProperty106.bin"/><Relationship Id="rId1" Type="http://schemas.openxmlformats.org/officeDocument/2006/relationships/printerSettings" Target="../printerSettings/printerSettings36.bin"/><Relationship Id="rId6" Type="http://schemas.openxmlformats.org/officeDocument/2006/relationships/comments" Target="../comments34.xml"/><Relationship Id="rId5" Type="http://schemas.openxmlformats.org/officeDocument/2006/relationships/vmlDrawing" Target="../drawings/vmlDrawing35.vml"/><Relationship Id="rId4" Type="http://schemas.openxmlformats.org/officeDocument/2006/relationships/customProperty" Target="../customProperty108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10.bin"/><Relationship Id="rId2" Type="http://schemas.openxmlformats.org/officeDocument/2006/relationships/customProperty" Target="../customProperty109.bin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5.xml"/><Relationship Id="rId5" Type="http://schemas.openxmlformats.org/officeDocument/2006/relationships/vmlDrawing" Target="../drawings/vmlDrawing36.vml"/><Relationship Id="rId4" Type="http://schemas.openxmlformats.org/officeDocument/2006/relationships/customProperty" Target="../customProperty111.bin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customProperty" Target="../customProperty113.bin"/><Relationship Id="rId7" Type="http://schemas.openxmlformats.org/officeDocument/2006/relationships/control" Target="../activeX/activeX2.xml"/><Relationship Id="rId2" Type="http://schemas.openxmlformats.org/officeDocument/2006/relationships/customProperty" Target="../customProperty112.bin"/><Relationship Id="rId1" Type="http://schemas.openxmlformats.org/officeDocument/2006/relationships/printerSettings" Target="../printerSettings/printerSettings38.bin"/><Relationship Id="rId6" Type="http://schemas.openxmlformats.org/officeDocument/2006/relationships/vmlDrawing" Target="../drawings/vmlDrawing37.vml"/><Relationship Id="rId5" Type="http://schemas.openxmlformats.org/officeDocument/2006/relationships/drawing" Target="../drawings/drawing3.xml"/><Relationship Id="rId4" Type="http://schemas.openxmlformats.org/officeDocument/2006/relationships/customProperty" Target="../customProperty114.bin"/><Relationship Id="rId9" Type="http://schemas.openxmlformats.org/officeDocument/2006/relationships/comments" Target="../comments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16.bin"/><Relationship Id="rId2" Type="http://schemas.openxmlformats.org/officeDocument/2006/relationships/customProperty" Target="../customProperty115.bin"/><Relationship Id="rId1" Type="http://schemas.openxmlformats.org/officeDocument/2006/relationships/printerSettings" Target="../printerSettings/printerSettings39.bin"/><Relationship Id="rId6" Type="http://schemas.openxmlformats.org/officeDocument/2006/relationships/comments" Target="../comments37.xml"/><Relationship Id="rId5" Type="http://schemas.openxmlformats.org/officeDocument/2006/relationships/vmlDrawing" Target="../drawings/vmlDrawing38.vml"/><Relationship Id="rId4" Type="http://schemas.openxmlformats.org/officeDocument/2006/relationships/customProperty" Target="../customProperty117.bin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customProperty" Target="../customProperty119.bin"/><Relationship Id="rId7" Type="http://schemas.openxmlformats.org/officeDocument/2006/relationships/control" Target="../activeX/activeX3.xml"/><Relationship Id="rId2" Type="http://schemas.openxmlformats.org/officeDocument/2006/relationships/customProperty" Target="../customProperty118.bin"/><Relationship Id="rId1" Type="http://schemas.openxmlformats.org/officeDocument/2006/relationships/printerSettings" Target="../printerSettings/printerSettings40.bin"/><Relationship Id="rId6" Type="http://schemas.openxmlformats.org/officeDocument/2006/relationships/vmlDrawing" Target="../drawings/vmlDrawing39.vml"/><Relationship Id="rId5" Type="http://schemas.openxmlformats.org/officeDocument/2006/relationships/drawing" Target="../drawings/drawing4.xml"/><Relationship Id="rId4" Type="http://schemas.openxmlformats.org/officeDocument/2006/relationships/customProperty" Target="../customProperty120.bin"/><Relationship Id="rId9" Type="http://schemas.openxmlformats.org/officeDocument/2006/relationships/comments" Target="../comments38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22.bin"/><Relationship Id="rId2" Type="http://schemas.openxmlformats.org/officeDocument/2006/relationships/customProperty" Target="../customProperty121.bin"/><Relationship Id="rId1" Type="http://schemas.openxmlformats.org/officeDocument/2006/relationships/printerSettings" Target="../printerSettings/printerSettings41.bin"/><Relationship Id="rId6" Type="http://schemas.openxmlformats.org/officeDocument/2006/relationships/comments" Target="../comments39.xml"/><Relationship Id="rId5" Type="http://schemas.openxmlformats.org/officeDocument/2006/relationships/vmlDrawing" Target="../drawings/vmlDrawing40.vml"/><Relationship Id="rId4" Type="http://schemas.openxmlformats.org/officeDocument/2006/relationships/customProperty" Target="../customProperty1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52"/>
  <sheetViews>
    <sheetView topLeftCell="A3" zoomScale="85" zoomScaleNormal="85" workbookViewId="0">
      <selection activeCell="F33" sqref="F33"/>
    </sheetView>
  </sheetViews>
  <sheetFormatPr defaultRowHeight="15" outlineLevelRow="1" outlineLevelCol="1" x14ac:dyDescent="0.25"/>
  <cols>
    <col min="1" max="1" width="4.7109375" style="3" customWidth="1"/>
    <col min="2" max="2" width="2.7109375" style="3" customWidth="1"/>
    <col min="3" max="3" width="21.42578125" style="3" bestFit="1" customWidth="1"/>
    <col min="4" max="4" width="16.7109375" style="3" customWidth="1"/>
    <col min="5" max="5" width="24.7109375" style="3" customWidth="1"/>
    <col min="6" max="6" width="21.28515625" style="3" bestFit="1" customWidth="1"/>
    <col min="7" max="7" width="16.7109375" style="3" customWidth="1"/>
    <col min="8" max="8" width="22.7109375" style="3" customWidth="1"/>
    <col min="9" max="9" width="21.7109375" style="3" customWidth="1"/>
    <col min="10" max="10" width="16.7109375" style="3" customWidth="1"/>
    <col min="11" max="11" width="24.7109375" style="3" customWidth="1"/>
    <col min="12" max="12" width="2.7109375" style="3" customWidth="1"/>
    <col min="13" max="13" width="5.7109375" style="3" customWidth="1"/>
    <col min="14" max="14" width="2.7109375" style="3" customWidth="1"/>
    <col min="15" max="15" width="9.140625" style="3"/>
    <col min="16" max="16" width="17.7109375" style="3" customWidth="1"/>
    <col min="17" max="17" width="14.7109375" style="3" customWidth="1"/>
    <col min="18" max="18" width="2.7109375" style="3" customWidth="1"/>
    <col min="19" max="19" width="14.28515625" style="3" hidden="1" customWidth="1" outlineLevel="1"/>
    <col min="20" max="20" width="0" style="3" hidden="1" customWidth="1" outlineLevel="1"/>
    <col min="21" max="21" width="9.140625" style="3" collapsed="1"/>
    <col min="22" max="16384" width="9.140625" style="3"/>
  </cols>
  <sheetData>
    <row r="1" spans="1:23" hidden="1" outlineLevel="1" x14ac:dyDescent="0.25">
      <c r="A1" s="9"/>
      <c r="B1" s="9"/>
      <c r="C1" s="10" t="str">
        <f>IF(_epmOfflineCondition_,"20200100",_xll.EVPRO("FINANCE","CURRENT","STARTMTH"))</f>
        <v>20200100</v>
      </c>
      <c r="D1" s="10" t="str">
        <f>LEFT($C$1,4)&amp;".TOTAL"</f>
        <v>2020.TOTAL</v>
      </c>
      <c r="E1" s="11" t="s">
        <v>114</v>
      </c>
      <c r="F1" s="10" t="str">
        <f>IF(_epmOfflineCondition_,"2019.TOTAL",_xll.EVTIM("FINANCE",$D$1,-1,"YEAR"))</f>
        <v>2019.TOTAL</v>
      </c>
      <c r="G1" s="11" t="s">
        <v>114</v>
      </c>
      <c r="H1" s="9"/>
      <c r="I1" s="9"/>
      <c r="J1" s="9"/>
      <c r="K1" s="9"/>
      <c r="L1" s="9"/>
      <c r="M1" s="9"/>
      <c r="N1" s="9"/>
      <c r="O1" s="10" t="b">
        <v>0</v>
      </c>
      <c r="P1" s="11" t="s">
        <v>114</v>
      </c>
      <c r="Q1" s="9"/>
      <c r="R1" s="9"/>
      <c r="S1" s="9"/>
      <c r="T1" s="9"/>
      <c r="U1" s="9"/>
      <c r="V1" s="9"/>
      <c r="W1" s="9"/>
    </row>
    <row r="2" spans="1:23" hidden="1" outlineLevel="1" x14ac:dyDescent="0.25">
      <c r="A2" s="9"/>
      <c r="B2" s="9"/>
      <c r="C2" s="11"/>
      <c r="D2" s="11"/>
      <c r="E2" s="11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</row>
    <row r="3" spans="1:23" ht="15.75" collapsed="1" thickBot="1" x14ac:dyDescent="0.3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</row>
    <row r="4" spans="1:23" x14ac:dyDescent="0.25">
      <c r="A4" s="9"/>
      <c r="B4" s="12" t="s">
        <v>113</v>
      </c>
      <c r="C4" s="13"/>
      <c r="D4" s="14"/>
      <c r="E4" s="14"/>
      <c r="F4" s="15"/>
      <c r="G4" s="15"/>
      <c r="H4" s="15"/>
      <c r="I4" s="15"/>
      <c r="J4" s="15"/>
      <c r="K4" s="15"/>
      <c r="L4" s="16"/>
      <c r="M4" s="9"/>
      <c r="N4" s="17" t="s">
        <v>113</v>
      </c>
      <c r="O4" s="18"/>
      <c r="P4" s="15"/>
      <c r="Q4" s="15"/>
      <c r="R4" s="16"/>
      <c r="S4" s="9"/>
      <c r="T4" s="9"/>
      <c r="U4" s="9"/>
      <c r="V4" s="9"/>
      <c r="W4" s="9"/>
    </row>
    <row r="5" spans="1:23" x14ac:dyDescent="0.25">
      <c r="A5" s="9"/>
      <c r="B5" s="19"/>
      <c r="C5" s="20"/>
      <c r="D5" s="21"/>
      <c r="E5" s="21"/>
      <c r="F5" s="22"/>
      <c r="G5" s="22"/>
      <c r="H5" s="20"/>
      <c r="I5" s="20"/>
      <c r="J5" s="20"/>
      <c r="K5" s="20"/>
      <c r="L5" s="23"/>
      <c r="M5" s="9"/>
      <c r="N5" s="19"/>
      <c r="O5" s="20"/>
      <c r="P5" s="20"/>
      <c r="Q5" s="20"/>
      <c r="R5" s="23"/>
      <c r="S5" s="9"/>
      <c r="T5" s="9"/>
      <c r="U5" s="9"/>
      <c r="V5" s="9"/>
      <c r="W5" s="9"/>
    </row>
    <row r="6" spans="1:23" x14ac:dyDescent="0.25">
      <c r="A6" s="9"/>
      <c r="B6" s="19"/>
      <c r="C6" s="594" t="s">
        <v>628</v>
      </c>
      <c r="D6" s="24" t="str">
        <f>IF(_epmOfflineCondition_,"CURRENT",_xll.EVMBR("FINANCE","CURRENT","FCFILTER1=Y"))</f>
        <v>CURRENT</v>
      </c>
      <c r="E6" s="20" t="s">
        <v>112</v>
      </c>
      <c r="F6" s="594" t="s">
        <v>630</v>
      </c>
      <c r="G6" s="24" t="str">
        <f>IF(_epmOfflineCondition_,"BUDGET",_xll.EVMBR("FINANCE","BUDGET","FCFILTER1=Y"))</f>
        <v>BUDGET</v>
      </c>
      <c r="H6" s="20" t="s">
        <v>112</v>
      </c>
      <c r="I6" s="594" t="s">
        <v>631</v>
      </c>
      <c r="J6" s="24" t="str">
        <f>IF(_epmOfflineCondition_,"ACTUAL",_xll.EVMBR("FINANCE","ACTUAL","FCFILTER1=Y"))</f>
        <v>ACTUAL</v>
      </c>
      <c r="K6" s="20" t="s">
        <v>112</v>
      </c>
      <c r="L6" s="23"/>
      <c r="M6" s="9"/>
      <c r="N6" s="19"/>
      <c r="O6" s="20"/>
      <c r="P6" s="20" t="s">
        <v>633</v>
      </c>
      <c r="Q6" s="24" t="str">
        <f>IF(_epmOfflineCondition_,"2014.DEC",_xll.EVMBR("FINANCE","2014.DEC","LEVEL=MONTH;YEAR&lt;&gt;NONE"))</f>
        <v>2014.DEC</v>
      </c>
      <c r="R6" s="23"/>
      <c r="S6" s="9"/>
      <c r="T6" s="9"/>
      <c r="U6" s="9"/>
      <c r="V6" s="9"/>
      <c r="W6" s="9"/>
    </row>
    <row r="7" spans="1:23" ht="15" customHeight="1" x14ac:dyDescent="0.25">
      <c r="A7" s="9"/>
      <c r="B7" s="19"/>
      <c r="C7" s="595"/>
      <c r="D7" s="24" t="str">
        <f>IF(_epmOfflineCondition_,"2019.TOTAL",_xll.EPMSelectMember("FINANCE","[TIME].[H1].[2019.TOTAL]","LEVEL=YEAR;YEAR&lt;&gt;NONE","",FALSE))</f>
        <v>2019.TOTAL</v>
      </c>
      <c r="E7" s="20" t="s">
        <v>629</v>
      </c>
      <c r="F7" s="595"/>
      <c r="G7" s="24" t="str">
        <f>IF(_epmOfflineCondition_,"2019.TOTAL",_xll.EPMSelectMember("FINANCE","[TIME].[H1].[2019.TOTAL]","LEVEL=YEAR;YEAR&lt;&gt;NONE","",FALSE))</f>
        <v>2019.TOTAL</v>
      </c>
      <c r="H7" s="20" t="s">
        <v>629</v>
      </c>
      <c r="I7" s="595"/>
      <c r="J7" s="24" t="str">
        <f>IF(_epmOfflineCondition_,"2018.TOTAL",_xll.EPMSelectMember("FINANCE","[TIME].[H1].[2018.TOTAL]","LEVEL=YEAR;YEAR&lt;&gt;NONE","",FALSE))</f>
        <v>2018.TOTAL</v>
      </c>
      <c r="K7" s="20" t="s">
        <v>629</v>
      </c>
      <c r="L7" s="23"/>
      <c r="M7" s="9"/>
      <c r="N7" s="25" t="s">
        <v>634</v>
      </c>
      <c r="O7" s="26"/>
      <c r="P7" s="26"/>
      <c r="Q7" s="26"/>
      <c r="R7" s="23"/>
      <c r="S7" s="9"/>
      <c r="T7" s="9"/>
      <c r="U7" s="9"/>
      <c r="V7" s="9"/>
      <c r="W7" s="9"/>
    </row>
    <row r="8" spans="1:23" x14ac:dyDescent="0.25">
      <c r="A8" s="9"/>
      <c r="B8" s="19"/>
      <c r="C8" s="27"/>
      <c r="D8" s="20"/>
      <c r="E8" s="20"/>
      <c r="F8" s="20"/>
      <c r="G8" s="20"/>
      <c r="H8" s="20"/>
      <c r="I8" s="20"/>
      <c r="J8" s="20"/>
      <c r="K8" s="20"/>
      <c r="L8" s="23"/>
      <c r="M8" s="9"/>
      <c r="N8" s="25" t="s">
        <v>636</v>
      </c>
      <c r="O8" s="26"/>
      <c r="P8" s="26"/>
      <c r="Q8" s="26"/>
      <c r="R8" s="23"/>
      <c r="S8" s="9"/>
      <c r="T8" s="9"/>
      <c r="U8" s="9"/>
      <c r="V8" s="9"/>
      <c r="W8" s="9"/>
    </row>
    <row r="9" spans="1:23" x14ac:dyDescent="0.25">
      <c r="A9" s="9"/>
      <c r="B9" s="19"/>
      <c r="C9" s="28" t="s">
        <v>781</v>
      </c>
      <c r="D9" s="24" t="str">
        <f>IF(_epmOfflineCondition_,"LC",_xll.EVMBR("FINANCE","LC"))</f>
        <v>LC</v>
      </c>
      <c r="E9" s="20" t="s">
        <v>782</v>
      </c>
      <c r="F9" s="20"/>
      <c r="G9" s="20"/>
      <c r="H9" s="20"/>
      <c r="I9" s="20"/>
      <c r="J9" s="20"/>
      <c r="K9" s="20"/>
      <c r="L9" s="23"/>
      <c r="M9" s="9"/>
      <c r="N9" s="25"/>
      <c r="O9" s="26"/>
      <c r="P9" s="26"/>
      <c r="Q9" s="26"/>
      <c r="R9" s="23"/>
      <c r="S9" s="9"/>
      <c r="T9" s="9"/>
      <c r="U9" s="9"/>
      <c r="V9" s="9"/>
      <c r="W9" s="9"/>
    </row>
    <row r="10" spans="1:23" ht="15.75" thickBot="1" x14ac:dyDescent="0.3">
      <c r="A10" s="9"/>
      <c r="B10" s="29"/>
      <c r="C10" s="30"/>
      <c r="D10" s="31"/>
      <c r="E10" s="32"/>
      <c r="F10" s="32"/>
      <c r="G10" s="32"/>
      <c r="H10" s="32"/>
      <c r="I10" s="32"/>
      <c r="J10" s="32"/>
      <c r="K10" s="32"/>
      <c r="L10" s="33"/>
      <c r="M10" s="9"/>
      <c r="N10" s="29" t="s">
        <v>635</v>
      </c>
      <c r="O10" s="34"/>
      <c r="P10" s="34"/>
      <c r="Q10" s="34"/>
      <c r="R10" s="35"/>
      <c r="S10" s="9"/>
      <c r="T10" s="9"/>
      <c r="U10" s="9"/>
      <c r="V10" s="9"/>
      <c r="W10" s="9"/>
    </row>
    <row r="11" spans="1:23" ht="15.75" thickBot="1" x14ac:dyDescent="0.3">
      <c r="A11" s="9"/>
      <c r="B11" s="20"/>
      <c r="C11" s="21"/>
      <c r="D11" s="20"/>
      <c r="E11" s="36"/>
      <c r="F11" s="36"/>
      <c r="G11" s="36"/>
      <c r="H11" s="36"/>
      <c r="I11" s="36"/>
      <c r="J11" s="36"/>
      <c r="K11" s="36"/>
      <c r="L11" s="36"/>
      <c r="M11" s="9"/>
      <c r="N11" s="20"/>
      <c r="O11" s="20"/>
      <c r="P11" s="20"/>
      <c r="Q11" s="20"/>
      <c r="R11" s="20"/>
      <c r="S11" s="9"/>
      <c r="T11" s="9"/>
      <c r="U11" s="9"/>
      <c r="V11" s="9"/>
      <c r="W11" s="9"/>
    </row>
    <row r="12" spans="1:23" ht="40.5" customHeight="1" thickBot="1" x14ac:dyDescent="0.3">
      <c r="A12" s="9"/>
      <c r="B12" s="9"/>
      <c r="C12" s="37" t="str">
        <f>IF(_epmOfflineCondition_,"Expand All",_xll.EPMExecuteAPI("ExpandActiveWorkBook","Expand All"))</f>
        <v>Expand All</v>
      </c>
      <c r="D12" s="38" t="s">
        <v>785</v>
      </c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</row>
    <row r="13" spans="1:23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</row>
    <row r="14" spans="1:23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</row>
    <row r="15" spans="1:23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</row>
    <row r="16" spans="1:23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</row>
    <row r="17" spans="1:23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</row>
    <row r="18" spans="1:23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</row>
    <row r="19" spans="1:23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</row>
    <row r="20" spans="1:23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</row>
    <row r="21" spans="1:23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</row>
    <row r="22" spans="1:23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</row>
    <row r="23" spans="1:23" x14ac:dyDescent="0.25">
      <c r="A23" s="9"/>
      <c r="B23" s="9"/>
      <c r="C23" s="9"/>
      <c r="D23" s="9"/>
      <c r="E23" s="39" t="str">
        <f>C6</f>
        <v>Monthly Data Columns</v>
      </c>
      <c r="F23" s="40"/>
      <c r="G23" s="41"/>
      <c r="H23" s="9"/>
      <c r="I23" s="42" t="str">
        <f>F6</f>
        <v>Comparison 1 Column</v>
      </c>
      <c r="J23" s="9"/>
      <c r="K23" s="42" t="str">
        <f>I6</f>
        <v>Comparison 2 Column</v>
      </c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</row>
    <row r="24" spans="1:23" ht="15.75" thickBot="1" x14ac:dyDescent="0.3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</row>
    <row r="25" spans="1:23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</row>
    <row r="26" spans="1:23" ht="15.75" x14ac:dyDescent="0.25">
      <c r="A26" s="9"/>
      <c r="B26" s="44" t="s">
        <v>670</v>
      </c>
      <c r="C26" s="9"/>
      <c r="D26" s="9"/>
      <c r="E26" s="9"/>
      <c r="F26" s="9"/>
      <c r="G26" s="9"/>
      <c r="H26" s="9"/>
      <c r="I26" s="44" t="s">
        <v>671</v>
      </c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</row>
    <row r="27" spans="1:23" ht="15.75" x14ac:dyDescent="0.25">
      <c r="A27" s="9"/>
      <c r="B27" s="45" t="s">
        <v>669</v>
      </c>
      <c r="C27" s="9"/>
      <c r="D27" s="9"/>
      <c r="E27" s="9"/>
      <c r="F27" s="9"/>
      <c r="G27" s="9"/>
      <c r="H27" s="9"/>
      <c r="I27" s="46" t="str">
        <f t="shared" ref="I27:I45" si="0">S27&amp;" - "&amp;T27</f>
        <v>ACTUAL_CON - Actual</v>
      </c>
      <c r="J27" s="47"/>
      <c r="K27" s="46" t="s">
        <v>701</v>
      </c>
      <c r="L27" s="48"/>
      <c r="M27" s="48"/>
      <c r="N27" s="48"/>
      <c r="O27" s="48"/>
      <c r="P27" s="47"/>
      <c r="Q27" s="9"/>
      <c r="R27" s="9"/>
      <c r="S27" s="9" t="s">
        <v>683</v>
      </c>
      <c r="T27" s="9" t="str">
        <f>IF(_epmOfflineCondition_,"Actual",_xll.EVDES(S27))</f>
        <v>Actual</v>
      </c>
      <c r="U27" s="9"/>
      <c r="V27" s="9"/>
      <c r="W27" s="9"/>
    </row>
    <row r="28" spans="1:23" ht="15.75" x14ac:dyDescent="0.25">
      <c r="A28" s="9"/>
      <c r="B28" s="45" t="s">
        <v>777</v>
      </c>
      <c r="C28" s="9"/>
      <c r="D28" s="9"/>
      <c r="E28" s="9"/>
      <c r="F28" s="9"/>
      <c r="G28" s="9"/>
      <c r="H28" s="9"/>
      <c r="I28" s="46" t="str">
        <f t="shared" si="0"/>
        <v>ACTUAL - Actual</v>
      </c>
      <c r="J28" s="47"/>
      <c r="K28" s="46" t="s">
        <v>702</v>
      </c>
      <c r="L28" s="48"/>
      <c r="M28" s="48"/>
      <c r="N28" s="48"/>
      <c r="O28" s="48"/>
      <c r="P28" s="47"/>
      <c r="Q28" s="9"/>
      <c r="R28" s="9"/>
      <c r="S28" s="9" t="s">
        <v>684</v>
      </c>
      <c r="T28" s="9" t="str">
        <f>IF(_epmOfflineCondition_,"Actual",_xll.EVDES(S28))</f>
        <v>Actual</v>
      </c>
      <c r="U28" s="9"/>
      <c r="V28" s="9"/>
      <c r="W28" s="9"/>
    </row>
    <row r="29" spans="1:23" ht="15.75" x14ac:dyDescent="0.25">
      <c r="A29" s="9"/>
      <c r="B29" s="45" t="s">
        <v>778</v>
      </c>
      <c r="C29" s="9"/>
      <c r="D29" s="9"/>
      <c r="E29" s="9"/>
      <c r="F29" s="9"/>
      <c r="G29" s="9"/>
      <c r="H29" s="9"/>
      <c r="I29" s="46" t="str">
        <f t="shared" si="0"/>
        <v>HISTORY - GL History- Pre_Kimpton</v>
      </c>
      <c r="J29" s="47"/>
      <c r="K29" s="46" t="s">
        <v>703</v>
      </c>
      <c r="L29" s="48"/>
      <c r="M29" s="48"/>
      <c r="N29" s="48"/>
      <c r="O29" s="48"/>
      <c r="P29" s="47"/>
      <c r="Q29" s="9"/>
      <c r="R29" s="9"/>
      <c r="S29" s="9" t="s">
        <v>685</v>
      </c>
      <c r="T29" s="9" t="str">
        <f>IF(_epmOfflineCondition_,"GL History- Pre_Kimpton",_xll.EVDES(S29))</f>
        <v>GL History- Pre_Kimpton</v>
      </c>
      <c r="U29" s="9"/>
      <c r="V29" s="9"/>
      <c r="W29" s="9"/>
    </row>
    <row r="30" spans="1:23" ht="15.75" x14ac:dyDescent="0.25">
      <c r="A30" s="9"/>
      <c r="B30" s="45"/>
      <c r="C30" s="45" t="s">
        <v>721</v>
      </c>
      <c r="D30" s="9"/>
      <c r="E30" s="9"/>
      <c r="F30" s="9"/>
      <c r="G30" s="9"/>
      <c r="H30" s="9"/>
      <c r="I30" s="46" t="str">
        <f t="shared" si="0"/>
        <v>BUDGET - Budget</v>
      </c>
      <c r="J30" s="47"/>
      <c r="K30" s="46" t="s">
        <v>704</v>
      </c>
      <c r="L30" s="48"/>
      <c r="M30" s="48"/>
      <c r="N30" s="48"/>
      <c r="O30" s="48"/>
      <c r="P30" s="47"/>
      <c r="Q30" s="9"/>
      <c r="R30" s="9"/>
      <c r="S30" s="9" t="s">
        <v>686</v>
      </c>
      <c r="T30" s="9" t="str">
        <f>IF(_epmOfflineCondition_,"Budget",_xll.EVDES(S30))</f>
        <v>Budget</v>
      </c>
      <c r="U30" s="9"/>
      <c r="V30" s="9"/>
      <c r="W30" s="9"/>
    </row>
    <row r="31" spans="1:23" ht="15.75" x14ac:dyDescent="0.25">
      <c r="A31" s="9"/>
      <c r="B31" s="45"/>
      <c r="C31" s="45" t="s">
        <v>774</v>
      </c>
      <c r="D31" s="9"/>
      <c r="E31" s="9"/>
      <c r="F31" s="9"/>
      <c r="G31" s="9"/>
      <c r="H31" s="9"/>
      <c r="I31" s="46" t="str">
        <f t="shared" si="0"/>
        <v>CURRENT - Forecast</v>
      </c>
      <c r="J31" s="47"/>
      <c r="K31" s="46" t="s">
        <v>705</v>
      </c>
      <c r="L31" s="48"/>
      <c r="M31" s="48"/>
      <c r="N31" s="48"/>
      <c r="O31" s="48"/>
      <c r="P31" s="47"/>
      <c r="Q31" s="9"/>
      <c r="R31" s="9"/>
      <c r="S31" s="9" t="s">
        <v>255</v>
      </c>
      <c r="T31" s="9" t="str">
        <f>IF(_epmOfflineCondition_,"Forecast",_xll.EVDES(S31))</f>
        <v>Forecast</v>
      </c>
      <c r="U31" s="9"/>
      <c r="V31" s="9"/>
      <c r="W31" s="9"/>
    </row>
    <row r="32" spans="1:23" ht="15.75" x14ac:dyDescent="0.25">
      <c r="A32" s="9"/>
      <c r="B32" s="45"/>
      <c r="C32" s="45" t="s">
        <v>722</v>
      </c>
      <c r="D32" s="9"/>
      <c r="E32" s="9"/>
      <c r="F32" s="9"/>
      <c r="G32" s="9"/>
      <c r="H32" s="9"/>
      <c r="I32" s="46" t="str">
        <f t="shared" si="0"/>
        <v>BUD_PROOF - Budget Proof</v>
      </c>
      <c r="J32" s="47"/>
      <c r="K32" s="46" t="s">
        <v>706</v>
      </c>
      <c r="L32" s="48"/>
      <c r="M32" s="48"/>
      <c r="N32" s="48"/>
      <c r="O32" s="48"/>
      <c r="P32" s="47"/>
      <c r="Q32" s="9"/>
      <c r="R32" s="9"/>
      <c r="S32" s="9" t="s">
        <v>687</v>
      </c>
      <c r="T32" s="9" t="str">
        <f>IF(_epmOfflineCondition_,"Budget Proof",_xll.EVDES(S32))</f>
        <v>Budget Proof</v>
      </c>
      <c r="U32" s="9"/>
      <c r="V32" s="9"/>
      <c r="W32" s="9"/>
    </row>
    <row r="33" spans="1:23" ht="15.75" x14ac:dyDescent="0.25">
      <c r="A33" s="9"/>
      <c r="B33" s="45"/>
      <c r="C33" s="45" t="s">
        <v>723</v>
      </c>
      <c r="D33" s="9"/>
      <c r="E33" s="9"/>
      <c r="F33" s="9"/>
      <c r="G33" s="9"/>
      <c r="H33" s="9"/>
      <c r="I33" s="46" t="str">
        <f t="shared" si="0"/>
        <v>JANFORECAST - JANUARY FORECAST</v>
      </c>
      <c r="J33" s="47"/>
      <c r="K33" s="46" t="s">
        <v>725</v>
      </c>
      <c r="L33" s="48"/>
      <c r="M33" s="48"/>
      <c r="N33" s="48"/>
      <c r="O33" s="48"/>
      <c r="P33" s="47"/>
      <c r="Q33" s="9"/>
      <c r="R33" s="9"/>
      <c r="S33" s="9" t="s">
        <v>688</v>
      </c>
      <c r="T33" s="9" t="str">
        <f>IF(_epmOfflineCondition_,"JANUARY FORECAST",_xll.EVDES(S33))</f>
        <v>JANUARY FORECAST</v>
      </c>
      <c r="U33" s="9"/>
      <c r="V33" s="9"/>
      <c r="W33" s="9"/>
    </row>
    <row r="34" spans="1:23" ht="15.75" x14ac:dyDescent="0.25">
      <c r="A34" s="9"/>
      <c r="B34" s="45" t="s">
        <v>779</v>
      </c>
      <c r="C34" s="45"/>
      <c r="D34" s="9"/>
      <c r="E34" s="9"/>
      <c r="F34" s="9"/>
      <c r="G34" s="9"/>
      <c r="H34" s="9"/>
      <c r="I34" s="46" t="str">
        <f t="shared" si="0"/>
        <v>FEBFORECAST - FEBRUARY FORECAST</v>
      </c>
      <c r="J34" s="47"/>
      <c r="K34" s="46" t="s">
        <v>715</v>
      </c>
      <c r="L34" s="48"/>
      <c r="M34" s="48"/>
      <c r="N34" s="48"/>
      <c r="O34" s="48"/>
      <c r="P34" s="47"/>
      <c r="Q34" s="9"/>
      <c r="R34" s="9"/>
      <c r="S34" s="9" t="s">
        <v>689</v>
      </c>
      <c r="T34" s="9" t="str">
        <f>IF(_epmOfflineCondition_,"FEBRUARY FORECAST",_xll.EVDES(S34))</f>
        <v>FEBRUARY FORECAST</v>
      </c>
      <c r="U34" s="9"/>
      <c r="V34" s="9"/>
      <c r="W34" s="9"/>
    </row>
    <row r="35" spans="1:23" ht="15.75" x14ac:dyDescent="0.25">
      <c r="A35" s="9"/>
      <c r="B35" s="45"/>
      <c r="C35" s="45" t="s">
        <v>786</v>
      </c>
      <c r="D35" s="9"/>
      <c r="E35" s="9"/>
      <c r="F35" s="9"/>
      <c r="G35" s="9"/>
      <c r="H35" s="9"/>
      <c r="I35" s="46" t="str">
        <f t="shared" si="0"/>
        <v>MARFORECAST - MARCH FORECAST</v>
      </c>
      <c r="J35" s="47"/>
      <c r="K35" s="46" t="s">
        <v>707</v>
      </c>
      <c r="L35" s="48"/>
      <c r="M35" s="48"/>
      <c r="N35" s="48"/>
      <c r="O35" s="48"/>
      <c r="P35" s="47"/>
      <c r="Q35" s="9"/>
      <c r="R35" s="9"/>
      <c r="S35" s="9" t="s">
        <v>690</v>
      </c>
      <c r="T35" s="9" t="str">
        <f>IF(_epmOfflineCondition_,"MARCH FORECAST",_xll.EVDES(S35))</f>
        <v>MARCH FORECAST</v>
      </c>
      <c r="U35" s="9"/>
      <c r="V35" s="9"/>
      <c r="W35" s="9"/>
    </row>
    <row r="36" spans="1:23" ht="15.75" x14ac:dyDescent="0.25">
      <c r="A36" s="9"/>
      <c r="B36" s="45"/>
      <c r="C36" s="45" t="s">
        <v>724</v>
      </c>
      <c r="D36" s="9"/>
      <c r="E36" s="9"/>
      <c r="F36" s="9"/>
      <c r="G36" s="9"/>
      <c r="H36" s="9"/>
      <c r="I36" s="46" t="str">
        <f t="shared" si="0"/>
        <v>APRFORECAST - APRIL FORECAST</v>
      </c>
      <c r="J36" s="47"/>
      <c r="K36" s="46" t="s">
        <v>708</v>
      </c>
      <c r="L36" s="48"/>
      <c r="M36" s="48"/>
      <c r="N36" s="48"/>
      <c r="O36" s="48"/>
      <c r="P36" s="47"/>
      <c r="Q36" s="9"/>
      <c r="R36" s="9"/>
      <c r="S36" s="9" t="s">
        <v>691</v>
      </c>
      <c r="T36" s="9" t="str">
        <f>IF(_epmOfflineCondition_,"APRIL FORECAST",_xll.EVDES(S36))</f>
        <v>APRIL FORECAST</v>
      </c>
      <c r="U36" s="9"/>
      <c r="V36" s="9"/>
      <c r="W36" s="9"/>
    </row>
    <row r="37" spans="1:23" ht="15.75" x14ac:dyDescent="0.25">
      <c r="A37" s="9"/>
      <c r="B37" s="45" t="s">
        <v>780</v>
      </c>
      <c r="C37" s="9"/>
      <c r="D37" s="9"/>
      <c r="E37" s="9"/>
      <c r="F37" s="9"/>
      <c r="G37" s="9"/>
      <c r="H37" s="9"/>
      <c r="I37" s="46" t="str">
        <f t="shared" si="0"/>
        <v>MAYFORECAST - MAY FORECAST</v>
      </c>
      <c r="J37" s="47"/>
      <c r="K37" s="46" t="s">
        <v>709</v>
      </c>
      <c r="L37" s="48"/>
      <c r="M37" s="48"/>
      <c r="N37" s="48"/>
      <c r="O37" s="48"/>
      <c r="P37" s="47"/>
      <c r="Q37" s="9"/>
      <c r="R37" s="9"/>
      <c r="S37" s="9" t="s">
        <v>692</v>
      </c>
      <c r="T37" s="9" t="str">
        <f>IF(_epmOfflineCondition_,"MAY FORECAST",_xll.EVDES(S37))</f>
        <v>MAY FORECAST</v>
      </c>
      <c r="U37" s="9"/>
      <c r="V37" s="9"/>
      <c r="W37" s="9"/>
    </row>
    <row r="38" spans="1:23" ht="15.75" x14ac:dyDescent="0.25">
      <c r="A38" s="9"/>
      <c r="B38" s="45" t="s">
        <v>784</v>
      </c>
      <c r="C38" s="45"/>
      <c r="D38" s="9"/>
      <c r="E38" s="9"/>
      <c r="F38" s="9"/>
      <c r="G38" s="9"/>
      <c r="H38" s="9"/>
      <c r="I38" s="46" t="str">
        <f t="shared" si="0"/>
        <v>JUNFORECAST - JUNE FORECAST</v>
      </c>
      <c r="J38" s="47"/>
      <c r="K38" s="46" t="s">
        <v>710</v>
      </c>
      <c r="L38" s="48"/>
      <c r="M38" s="48"/>
      <c r="N38" s="48"/>
      <c r="O38" s="48"/>
      <c r="P38" s="47"/>
      <c r="Q38" s="9"/>
      <c r="R38" s="9"/>
      <c r="S38" s="9" t="s">
        <v>693</v>
      </c>
      <c r="T38" s="9" t="str">
        <f>IF(_epmOfflineCondition_,"JUNE FORECAST",_xll.EVDES(S38))</f>
        <v>JUNE FORECAST</v>
      </c>
      <c r="U38" s="9"/>
      <c r="V38" s="9"/>
      <c r="W38" s="9"/>
    </row>
    <row r="39" spans="1:23" ht="15.75" x14ac:dyDescent="0.25">
      <c r="A39" s="9"/>
      <c r="B39" s="9"/>
      <c r="C39" s="9"/>
      <c r="D39" s="9"/>
      <c r="E39" s="9"/>
      <c r="F39" s="9"/>
      <c r="G39" s="9"/>
      <c r="H39" s="9"/>
      <c r="I39" s="46" t="str">
        <f t="shared" si="0"/>
        <v>JULFORECAST - JULY FORECAST</v>
      </c>
      <c r="J39" s="47"/>
      <c r="K39" s="46" t="s">
        <v>711</v>
      </c>
      <c r="L39" s="48"/>
      <c r="M39" s="48"/>
      <c r="N39" s="48"/>
      <c r="O39" s="48"/>
      <c r="P39" s="47"/>
      <c r="Q39" s="9"/>
      <c r="R39" s="9"/>
      <c r="S39" s="9" t="s">
        <v>694</v>
      </c>
      <c r="T39" s="9" t="str">
        <f>IF(_epmOfflineCondition_,"JULY FORECAST",_xll.EVDES(S39))</f>
        <v>JULY FORECAST</v>
      </c>
      <c r="U39" s="9"/>
      <c r="V39" s="9"/>
      <c r="W39" s="9"/>
    </row>
    <row r="40" spans="1:23" ht="15.75" x14ac:dyDescent="0.25">
      <c r="A40" s="9"/>
      <c r="B40" s="44" t="s">
        <v>672</v>
      </c>
      <c r="C40" s="45"/>
      <c r="D40" s="9"/>
      <c r="E40" s="9"/>
      <c r="F40" s="9"/>
      <c r="G40" s="9"/>
      <c r="H40" s="9"/>
      <c r="I40" s="46" t="str">
        <f t="shared" si="0"/>
        <v>AUGFORECAST - AUGUST FORECAST</v>
      </c>
      <c r="J40" s="47"/>
      <c r="K40" s="46" t="s">
        <v>712</v>
      </c>
      <c r="L40" s="48"/>
      <c r="M40" s="48"/>
      <c r="N40" s="48"/>
      <c r="O40" s="48"/>
      <c r="P40" s="47"/>
      <c r="Q40" s="9"/>
      <c r="R40" s="9"/>
      <c r="S40" s="9" t="s">
        <v>695</v>
      </c>
      <c r="T40" s="9" t="str">
        <f>IF(_epmOfflineCondition_,"AUGUST FORECAST",_xll.EVDES(S40))</f>
        <v>AUGUST FORECAST</v>
      </c>
      <c r="U40" s="9"/>
      <c r="V40" s="9"/>
      <c r="W40" s="9"/>
    </row>
    <row r="41" spans="1:23" ht="15.75" x14ac:dyDescent="0.25">
      <c r="A41" s="9"/>
      <c r="B41" s="45" t="s">
        <v>682</v>
      </c>
      <c r="C41" s="45"/>
      <c r="D41" s="9"/>
      <c r="E41" s="9"/>
      <c r="F41" s="9"/>
      <c r="G41" s="9"/>
      <c r="H41" s="9"/>
      <c r="I41" s="46" t="str">
        <f t="shared" si="0"/>
        <v>SEPFORECAST - SEPTEMBER FORECAST</v>
      </c>
      <c r="J41" s="47"/>
      <c r="K41" s="46" t="s">
        <v>713</v>
      </c>
      <c r="L41" s="48"/>
      <c r="M41" s="48"/>
      <c r="N41" s="48"/>
      <c r="O41" s="48"/>
      <c r="P41" s="47"/>
      <c r="Q41" s="9"/>
      <c r="R41" s="9"/>
      <c r="S41" s="9" t="s">
        <v>696</v>
      </c>
      <c r="T41" s="9" t="str">
        <f>IF(_epmOfflineCondition_,"SEPTEMBER FORECAST",_xll.EVDES(S41))</f>
        <v>SEPTEMBER FORECAST</v>
      </c>
      <c r="U41" s="9"/>
      <c r="V41" s="9"/>
      <c r="W41" s="9"/>
    </row>
    <row r="42" spans="1:23" ht="15.75" x14ac:dyDescent="0.25">
      <c r="A42" s="9"/>
      <c r="B42" s="45" t="s">
        <v>716</v>
      </c>
      <c r="C42" s="45"/>
      <c r="D42" s="9"/>
      <c r="E42" s="9"/>
      <c r="F42" s="9"/>
      <c r="G42" s="9"/>
      <c r="H42" s="9"/>
      <c r="I42" s="46" t="str">
        <f t="shared" si="0"/>
        <v>OCTFORECAST - OCTOBER FORECAST</v>
      </c>
      <c r="J42" s="47"/>
      <c r="K42" s="46" t="s">
        <v>714</v>
      </c>
      <c r="L42" s="48"/>
      <c r="M42" s="48"/>
      <c r="N42" s="48"/>
      <c r="O42" s="48"/>
      <c r="P42" s="47"/>
      <c r="Q42" s="9"/>
      <c r="R42" s="9"/>
      <c r="S42" s="9" t="s">
        <v>697</v>
      </c>
      <c r="T42" s="9" t="str">
        <f>IF(_epmOfflineCondition_,"OCTOBER FORECAST",_xll.EVDES(S42))</f>
        <v>OCTOBER FORECAST</v>
      </c>
      <c r="U42" s="9"/>
      <c r="V42" s="9"/>
      <c r="W42" s="9"/>
    </row>
    <row r="43" spans="1:23" ht="15.75" x14ac:dyDescent="0.25">
      <c r="A43" s="9"/>
      <c r="B43" s="45" t="s">
        <v>673</v>
      </c>
      <c r="C43" s="45"/>
      <c r="D43" s="9"/>
      <c r="E43" s="9"/>
      <c r="F43" s="9"/>
      <c r="G43" s="9"/>
      <c r="H43" s="9"/>
      <c r="I43" s="46" t="str">
        <f t="shared" si="0"/>
        <v>NOVFORECAST - NOVEMBER FORECAST</v>
      </c>
      <c r="J43" s="47"/>
      <c r="K43" s="46" t="s">
        <v>717</v>
      </c>
      <c r="L43" s="48"/>
      <c r="M43" s="48"/>
      <c r="N43" s="48"/>
      <c r="O43" s="48"/>
      <c r="P43" s="47"/>
      <c r="Q43" s="9"/>
      <c r="R43" s="9"/>
      <c r="S43" s="9" t="s">
        <v>698</v>
      </c>
      <c r="T43" s="9" t="str">
        <f>IF(_epmOfflineCondition_,"NOVEMBER FORECAST",_xll.EVDES(S43))</f>
        <v>NOVEMBER FORECAST</v>
      </c>
      <c r="U43" s="9"/>
      <c r="V43" s="9"/>
      <c r="W43" s="9"/>
    </row>
    <row r="44" spans="1:23" ht="15.75" x14ac:dyDescent="0.25">
      <c r="A44" s="9"/>
      <c r="B44" s="45" t="s">
        <v>679</v>
      </c>
      <c r="C44" s="45"/>
      <c r="D44" s="9"/>
      <c r="E44" s="9"/>
      <c r="F44" s="9"/>
      <c r="G44" s="9"/>
      <c r="H44" s="9"/>
      <c r="I44" s="46" t="str">
        <f t="shared" si="0"/>
        <v>DECFORECAST - DECEMBER FORECAST</v>
      </c>
      <c r="J44" s="47"/>
      <c r="K44" s="46" t="s">
        <v>718</v>
      </c>
      <c r="L44" s="48"/>
      <c r="M44" s="48"/>
      <c r="N44" s="48"/>
      <c r="O44" s="48"/>
      <c r="P44" s="47"/>
      <c r="Q44" s="9"/>
      <c r="R44" s="9"/>
      <c r="S44" s="9" t="s">
        <v>699</v>
      </c>
      <c r="T44" s="9" t="str">
        <f>IF(_epmOfflineCondition_,"DECEMBER FORECAST",_xll.EVDES(S44))</f>
        <v>DECEMBER FORECAST</v>
      </c>
      <c r="U44" s="9"/>
      <c r="V44" s="9"/>
      <c r="W44" s="9"/>
    </row>
    <row r="45" spans="1:23" ht="15.75" x14ac:dyDescent="0.25">
      <c r="A45" s="9"/>
      <c r="B45" s="45" t="s">
        <v>674</v>
      </c>
      <c r="C45" s="45"/>
      <c r="D45" s="9"/>
      <c r="E45" s="9"/>
      <c r="F45" s="9"/>
      <c r="G45" s="9"/>
      <c r="H45" s="9"/>
      <c r="I45" s="46" t="str">
        <f t="shared" si="0"/>
        <v>BUDSNAP - Forecast Snapshot</v>
      </c>
      <c r="J45" s="47"/>
      <c r="K45" s="46" t="s">
        <v>719</v>
      </c>
      <c r="L45" s="48"/>
      <c r="M45" s="48"/>
      <c r="N45" s="48"/>
      <c r="O45" s="48"/>
      <c r="P45" s="47"/>
      <c r="Q45" s="9"/>
      <c r="R45" s="9"/>
      <c r="S45" s="9" t="s">
        <v>700</v>
      </c>
      <c r="T45" s="9" t="str">
        <f>IF(_epmOfflineCondition_,"Forecast Snapshot",_xll.EVDES(S45))</f>
        <v>Forecast Snapshot</v>
      </c>
      <c r="U45" s="9"/>
      <c r="V45" s="9"/>
      <c r="W45" s="9"/>
    </row>
    <row r="46" spans="1:23" ht="15.75" x14ac:dyDescent="0.25">
      <c r="A46" s="9"/>
      <c r="B46" s="45" t="s">
        <v>675</v>
      </c>
      <c r="C46" s="45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</row>
    <row r="47" spans="1:23" ht="15.75" x14ac:dyDescent="0.25">
      <c r="A47" s="9"/>
      <c r="B47" s="45"/>
      <c r="C47" s="45" t="s">
        <v>676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</row>
    <row r="48" spans="1:23" ht="15.75" x14ac:dyDescent="0.25">
      <c r="A48" s="9"/>
      <c r="B48" s="45"/>
      <c r="C48" s="45" t="s">
        <v>677</v>
      </c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</row>
    <row r="49" spans="1:23" ht="15.75" x14ac:dyDescent="0.25">
      <c r="A49" s="9"/>
      <c r="B49" s="45"/>
      <c r="C49" s="45" t="s">
        <v>720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</row>
    <row r="50" spans="1:23" ht="15.75" x14ac:dyDescent="0.25">
      <c r="A50" s="9"/>
      <c r="B50" s="45"/>
      <c r="C50" s="45" t="s">
        <v>678</v>
      </c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</row>
    <row r="51" spans="1:23" ht="15.75" x14ac:dyDescent="0.25">
      <c r="A51" s="9"/>
      <c r="B51" s="45" t="s">
        <v>680</v>
      </c>
      <c r="C51" s="45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</row>
    <row r="52" spans="1:23" ht="15.75" x14ac:dyDescent="0.25">
      <c r="A52" s="9"/>
      <c r="B52" s="45" t="s">
        <v>681</v>
      </c>
      <c r="C52" s="45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</row>
  </sheetData>
  <sheetProtection algorithmName="SHA-512" hashValue="GAeaw4NgLvFAjxYUj2HftszhsQbDLJpphXSbQnRG9d+c32x7FGPYYAbZjfeH730WOxFkNSEIMpzzs6Q1USV5SA==" saltValue="4OAwqtvpYXNRCLICzZm7Yg==" spinCount="100000" sheet="1" scenarios="1"/>
  <mergeCells count="3">
    <mergeCell ref="C6:C7"/>
    <mergeCell ref="F6:F7"/>
    <mergeCell ref="I6:I7"/>
  </mergeCells>
  <pageMargins left="0.25" right="0.25" top="0.5" bottom="0.5" header="0.3" footer="0.3"/>
  <pageSetup scale="45" orientation="landscape" r:id="rId1"/>
  <customProperties>
    <customPr name="EpmWorksheetKeyString_GUID" r:id="rId2"/>
    <customPr name="FPMExcelClientCellBasedFunctionStatus" r:id="rId3"/>
    <customPr name="FPMExcelClientRefreshTime" r:id="rId4"/>
  </customProperties>
  <drawing r:id="rId5"/>
  <legacyDrawing r:id="rId6"/>
  <controls>
    <mc:AlternateContent xmlns:mc="http://schemas.openxmlformats.org/markup-compatibility/2006">
      <mc:Choice Requires="x14">
        <control shapeId="5131" r:id="rId7" name="FPMExcelClientSheetOptionstb1">
          <controlPr defaultSize="0" autoLine="0" r:id="rId8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419100</xdr:colOff>
                <xdr:row>0</xdr:row>
                <xdr:rowOff>0</xdr:rowOff>
              </to>
            </anchor>
          </controlPr>
        </control>
      </mc:Choice>
      <mc:Fallback>
        <control shapeId="5131" r:id="rId7" name="FPMExcelClientSheetOptionstb1"/>
      </mc:Fallback>
    </mc:AlternateContent>
    <mc:AlternateContent xmlns:mc="http://schemas.openxmlformats.org/markup-compatibility/2006">
      <mc:Choice Requires="x14">
        <control shapeId="5130" r:id="rId9" name="Check Box 10">
          <controlPr defaultSize="0" print="0" autoFill="0" autoLine="0" autoPict="0">
            <anchor moveWithCells="1">
              <from>
                <xdr:col>14</xdr:col>
                <xdr:colOff>47625</xdr:colOff>
                <xdr:row>4</xdr:row>
                <xdr:rowOff>171450</xdr:rowOff>
              </from>
              <to>
                <xdr:col>15</xdr:col>
                <xdr:colOff>0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3">
    <pageSetUpPr fitToPage="1"/>
  </sheetPr>
  <dimension ref="A1:AO114"/>
  <sheetViews>
    <sheetView tabSelected="1" topLeftCell="K25" zoomScale="85" zoomScaleNormal="85" workbookViewId="0">
      <pane xSplit="3" ySplit="8" topLeftCell="N33" activePane="bottomRight" state="frozen"/>
      <selection activeCell="K25" sqref="K25"/>
      <selection pane="topRight" activeCell="K25" sqref="K25"/>
      <selection pane="bottomLeft" activeCell="K25" sqref="K25"/>
      <selection pane="bottomRight" activeCell="Q46" sqref="Q46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2" width="9.7109375" style="2" hidden="1" customWidth="1" outlineLevel="1" collapsed="1"/>
    <col min="13" max="13" width="38.7109375" style="1" customWidth="1" collapsed="1"/>
    <col min="14" max="25" width="11.7109375" style="1" customWidth="1" outlineLevel="1"/>
    <col min="26" max="26" width="12.7109375" style="1" customWidth="1"/>
    <col min="27" max="27" width="7.7109375" style="1" customWidth="1"/>
    <col min="28" max="28" width="1.7109375" style="1" customWidth="1"/>
    <col min="29" max="29" width="12.7109375" style="1" customWidth="1"/>
    <col min="30" max="30" width="7.7109375" style="1" customWidth="1"/>
    <col min="31" max="31" width="11.7109375" style="1" customWidth="1"/>
    <col min="32" max="32" width="12.7109375" style="1" customWidth="1"/>
    <col min="33" max="33" width="7.7109375" style="1" customWidth="1"/>
    <col min="34" max="34" width="11.7109375" style="1" customWidth="1"/>
    <col min="35" max="38" width="9.140625" style="1" hidden="1" customWidth="1" outlineLevel="1"/>
    <col min="39" max="39" width="9.140625" style="1" collapsed="1"/>
    <col min="40" max="40" width="14.28515625" style="1" bestFit="1" customWidth="1"/>
    <col min="41" max="16384" width="9.140625" style="1"/>
  </cols>
  <sheetData>
    <row r="1" spans="1:41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11"/>
      <c r="H1" s="11"/>
      <c r="I1" s="11"/>
      <c r="J1" s="11"/>
      <c r="K1" s="11"/>
      <c r="L1" s="11"/>
      <c r="M1" s="5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</row>
    <row r="2" spans="1:41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</row>
    <row r="3" spans="1:41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/>
      <c r="G4" s="11"/>
      <c r="H4" s="11"/>
      <c r="I4" s="55"/>
      <c r="J4" s="55"/>
      <c r="K4" s="11"/>
      <c r="L4" s="55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11"/>
      <c r="H5" s="11"/>
      <c r="I5" s="55"/>
      <c r="J5" s="55"/>
      <c r="K5" s="11"/>
      <c r="L5" s="55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idden="1" outlineLevel="1" x14ac:dyDescent="0.25">
      <c r="A6" s="49" t="s">
        <v>52</v>
      </c>
      <c r="B6" s="52" t="s">
        <v>499</v>
      </c>
      <c r="C6" s="11" t="str">
        <f>IF(_epmOfflineCondition_,"Consolidated Hotel &amp; F&amp;B Departments",_xll.EVDES(B6,$B$1))</f>
        <v>Consolidated Hotel &amp; F&amp;B Departments</v>
      </c>
      <c r="D6" s="11"/>
      <c r="E6" s="54" t="str">
        <f>IF(_epmOfflineCondition_,"",_xll.EVPRO($B$1,$B$6,$F$6))</f>
        <v/>
      </c>
      <c r="F6" s="11" t="s">
        <v>278</v>
      </c>
      <c r="G6" s="11"/>
      <c r="H6" s="11"/>
      <c r="I6" s="55"/>
      <c r="J6" s="55"/>
      <c r="K6" s="11"/>
      <c r="L6" s="55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11"/>
      <c r="H7" s="11"/>
      <c r="I7" s="55"/>
      <c r="J7" s="55"/>
      <c r="K7" s="11"/>
      <c r="L7" s="55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11"/>
      <c r="H8" s="11"/>
      <c r="I8" s="55"/>
      <c r="J8" s="55"/>
      <c r="K8" s="11"/>
      <c r="L8" s="55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55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55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55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55"/>
      <c r="M12" s="11" t="s">
        <v>597</v>
      </c>
      <c r="N12" s="4" t="str">
        <f>IF(_epmOfflineCondition_,"Y",_xll.EVPRO($B$1,N$16,$M$12))</f>
        <v>Y</v>
      </c>
      <c r="O12" s="4" t="str">
        <f>IF(_epmOfflineCondition_,"Y",_xll.EVPRO($B$1,O$16,$M$12))</f>
        <v>Y</v>
      </c>
      <c r="P12" s="4" t="str">
        <f>IF(_epmOfflineCondition_,"Y",_xll.EVPRO($B$1,P$16,$M$12))</f>
        <v>Y</v>
      </c>
      <c r="Q12" s="4" t="str">
        <f>IF(_epmOfflineCondition_,"Y",_xll.EVPRO($B$1,Q$16,$M$12))</f>
        <v>Y</v>
      </c>
      <c r="R12" s="4" t="str">
        <f>IF(_epmOfflineCondition_,"Y",_xll.EVPRO($B$1,R$16,$M$12))</f>
        <v>Y</v>
      </c>
      <c r="S12" s="4" t="str">
        <f>IF(_epmOfflineCondition_,"Y",_xll.EVPRO($B$1,S$16,$M$12))</f>
        <v>Y</v>
      </c>
      <c r="T12" s="4" t="str">
        <f>IF(_epmOfflineCondition_,"Y",_xll.EVPRO($B$1,T$16,$M$12))</f>
        <v>Y</v>
      </c>
      <c r="U12" s="4" t="str">
        <f>IF(_epmOfflineCondition_,"Y",_xll.EVPRO($B$1,U$16,$M$12))</f>
        <v>Y</v>
      </c>
      <c r="V12" s="4" t="str">
        <f>IF(_epmOfflineCondition_,"Y",_xll.EVPRO($B$1,V$16,$M$12))</f>
        <v>Y</v>
      </c>
      <c r="W12" s="4" t="str">
        <f>IF(_epmOfflineCondition_,"Y",_xll.EVPRO($B$1,W$16,$M$12))</f>
        <v>Y</v>
      </c>
      <c r="X12" s="4" t="str">
        <f>IF(_epmOfflineCondition_,"Y",_xll.EVPRO($B$1,X$16,$M$12))</f>
        <v>Y</v>
      </c>
      <c r="Y12" s="4" t="str">
        <f>IF(_epmOfflineCondition_,"Y",_xll.EVPRO($B$1,Y$16,$M$12))</f>
        <v>Y</v>
      </c>
      <c r="Z12" s="4" t="str">
        <f>IF(_epmOfflineCondition_,"",_xll.EVPRO($B$1,Z$16,$M$12))</f>
        <v/>
      </c>
      <c r="AA12" s="11"/>
      <c r="AB12" s="11"/>
      <c r="AC12" s="4" t="str">
        <f>IF(_epmOfflineCondition_,"",_xll.EVPRO($B$1,AC$16,$M$12))</f>
        <v/>
      </c>
      <c r="AD12" s="11"/>
      <c r="AE12" s="11"/>
      <c r="AF12" s="4" t="str">
        <f>IF(_epmOfflineCondition_,"",_xll.EVPRO($B$1,AF$16,$M$12))</f>
        <v/>
      </c>
      <c r="AG12" s="11"/>
      <c r="AH12" s="11"/>
      <c r="AI12" s="11"/>
      <c r="AJ12" s="11"/>
      <c r="AK12" s="11"/>
      <c r="AL12" s="11"/>
      <c r="AM12" s="11"/>
      <c r="AN12" s="11"/>
      <c r="AO12" s="11"/>
    </row>
    <row r="13" spans="1:41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55"/>
      <c r="M13" s="11" t="s">
        <v>598</v>
      </c>
      <c r="N13" s="5" t="str">
        <f>IF(_epmOfflineCondition_,"20190100",_xll.EVPRO($B$1,N16,"TIMEID"))</f>
        <v>20190100</v>
      </c>
      <c r="O13" s="5" t="str">
        <f>IF(_epmOfflineCondition_,"20190200",_xll.EVPRO($B$1,O16,"TIMEID"))</f>
        <v>20190200</v>
      </c>
      <c r="P13" s="5" t="str">
        <f>IF(_epmOfflineCondition_,"20190300",_xll.EVPRO($B$1,P16,"TIMEID"))</f>
        <v>20190300</v>
      </c>
      <c r="Q13" s="5" t="str">
        <f>IF(_epmOfflineCondition_,"20190400",_xll.EVPRO($B$1,Q16,"TIMEID"))</f>
        <v>20190400</v>
      </c>
      <c r="R13" s="5" t="str">
        <f>IF(_epmOfflineCondition_,"20190500",_xll.EVPRO($B$1,R16,"TIMEID"))</f>
        <v>20190500</v>
      </c>
      <c r="S13" s="5" t="str">
        <f>IF(_epmOfflineCondition_,"20190600",_xll.EVPRO($B$1,S16,"TIMEID"))</f>
        <v>20190600</v>
      </c>
      <c r="T13" s="5" t="str">
        <f>IF(_epmOfflineCondition_,"20190700",_xll.EVPRO($B$1,T16,"TIMEID"))</f>
        <v>20190700</v>
      </c>
      <c r="U13" s="5" t="str">
        <f>IF(_epmOfflineCondition_,"20190800",_xll.EVPRO($B$1,U16,"TIMEID"))</f>
        <v>20190800</v>
      </c>
      <c r="V13" s="5" t="str">
        <f>IF(_epmOfflineCondition_,"20190900",_xll.EVPRO($B$1,V16,"TIMEID"))</f>
        <v>20190900</v>
      </c>
      <c r="W13" s="5" t="str">
        <f>IF(_epmOfflineCondition_,"20191000",_xll.EVPRO($B$1,W16,"TIMEID"))</f>
        <v>20191000</v>
      </c>
      <c r="X13" s="5" t="str">
        <f>IF(_epmOfflineCondition_,"20191100",_xll.EVPRO($B$1,X16,"TIMEID"))</f>
        <v>20191100</v>
      </c>
      <c r="Y13" s="5" t="str">
        <f>IF(_epmOfflineCondition_,"20191200",_xll.EVPRO($B$1,Y16,"TIMEID"))</f>
        <v>20191200</v>
      </c>
      <c r="Z13" s="5" t="str">
        <f>IF(_epmOfflineCondition_,"10000149",_xll.EVPRO($B$1,Z16,"TIMEID"))</f>
        <v>10000149</v>
      </c>
      <c r="AA13" s="11"/>
      <c r="AB13" s="11"/>
      <c r="AC13" s="5" t="str">
        <f>IF(_epmOfflineCondition_,"10000149",_xll.EVPRO($B$1,AC16,"TIMEID"))</f>
        <v>10000149</v>
      </c>
      <c r="AD13" s="11"/>
      <c r="AE13" s="11"/>
      <c r="AF13" s="5" t="str">
        <f>IF(_epmOfflineCondition_,"10000139",_xll.EVPRO($B$1,AF16,"TIMEID"))</f>
        <v>10000139</v>
      </c>
      <c r="AG13" s="11"/>
      <c r="AH13" s="11"/>
      <c r="AI13" s="11"/>
      <c r="AJ13" s="11"/>
      <c r="AK13" s="11"/>
      <c r="AL13" s="11"/>
      <c r="AM13" s="11"/>
      <c r="AN13" s="11"/>
      <c r="AO13" s="11"/>
    </row>
    <row r="14" spans="1:41" hidden="1" outlineLevel="1" x14ac:dyDescent="0.25">
      <c r="A14" s="56" t="str">
        <f>IF(_epmOfflineCondition_,"Evdre:Ok",_xll.EVDRE($B$1,A17:B24))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55"/>
      <c r="M14" s="11" t="s">
        <v>599</v>
      </c>
      <c r="N14" s="5" t="s">
        <v>604</v>
      </c>
      <c r="O14" s="5" t="s">
        <v>605</v>
      </c>
      <c r="P14" s="5" t="s">
        <v>606</v>
      </c>
      <c r="Q14" s="5" t="s">
        <v>607</v>
      </c>
      <c r="R14" s="5" t="s">
        <v>608</v>
      </c>
      <c r="S14" s="5" t="s">
        <v>609</v>
      </c>
      <c r="T14" s="5" t="s">
        <v>610</v>
      </c>
      <c r="U14" s="5" t="s">
        <v>611</v>
      </c>
      <c r="V14" s="5" t="s">
        <v>612</v>
      </c>
      <c r="W14" s="5" t="s">
        <v>613</v>
      </c>
      <c r="X14" s="5" t="s">
        <v>614</v>
      </c>
      <c r="Y14" s="5" t="s">
        <v>615</v>
      </c>
      <c r="Z14" s="5" t="s">
        <v>116</v>
      </c>
      <c r="AA14" s="11"/>
      <c r="AB14" s="11"/>
      <c r="AC14" s="5" t="s">
        <v>116</v>
      </c>
      <c r="AD14" s="11"/>
      <c r="AE14" s="11"/>
      <c r="AF14" s="5" t="s">
        <v>116</v>
      </c>
      <c r="AG14" s="11"/>
      <c r="AH14" s="11"/>
      <c r="AI14" s="11"/>
      <c r="AJ14" s="11"/>
      <c r="AK14" s="11"/>
      <c r="AL14" s="11"/>
      <c r="AM14" s="11"/>
      <c r="AN14" s="11"/>
      <c r="AO14" s="11"/>
    </row>
    <row r="15" spans="1:41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55"/>
      <c r="M15" s="11" t="s">
        <v>600</v>
      </c>
      <c r="N15" s="6" t="s">
        <v>616</v>
      </c>
      <c r="O15" s="6" t="s">
        <v>617</v>
      </c>
      <c r="P15" s="7" t="s">
        <v>618</v>
      </c>
      <c r="Q15" s="7" t="s">
        <v>619</v>
      </c>
      <c r="R15" s="7" t="s">
        <v>620</v>
      </c>
      <c r="S15" s="7" t="s">
        <v>621</v>
      </c>
      <c r="T15" s="7" t="s">
        <v>622</v>
      </c>
      <c r="U15" s="7" t="s">
        <v>623</v>
      </c>
      <c r="V15" s="7" t="s">
        <v>624</v>
      </c>
      <c r="W15" s="7" t="s">
        <v>625</v>
      </c>
      <c r="X15" s="7" t="s">
        <v>626</v>
      </c>
      <c r="Y15" s="7" t="s">
        <v>627</v>
      </c>
      <c r="Z15" s="5" t="s">
        <v>116</v>
      </c>
      <c r="AA15" s="11"/>
      <c r="AB15" s="11"/>
      <c r="AC15" s="5" t="s">
        <v>116</v>
      </c>
      <c r="AD15" s="11"/>
      <c r="AE15" s="11"/>
      <c r="AF15" s="5" t="s">
        <v>116</v>
      </c>
      <c r="AG15" s="11"/>
      <c r="AH15" s="11"/>
      <c r="AI15" s="11"/>
      <c r="AJ15" s="11"/>
      <c r="AK15" s="11"/>
      <c r="AL15" s="11"/>
      <c r="AM15" s="11"/>
      <c r="AN15" s="11"/>
      <c r="AO15" s="11"/>
    </row>
    <row r="16" spans="1:41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55"/>
      <c r="M16" s="11" t="s">
        <v>18</v>
      </c>
      <c r="N16" s="59" t="str">
        <f>IF(_epmOfflineCondition_,"2019.JAN",IF(SetUp!$O$1=TRUE,_xll.EVTIM($B$1,O16,-1),IF($D$10="FY",LEFT($B$10,6)&amp;"."&amp;N15,$B$12&amp;"."&amp;N14)))</f>
        <v>2019.JAN</v>
      </c>
      <c r="O16" s="59" t="str">
        <f>IF(_epmOfflineCondition_,"2019.FEB",IF(SetUp!$O$1=TRUE,_xll.EVTIM($B$1,P16,-1),IF($D$10="FY",LEFT($B$10,6)&amp;"."&amp;O15,$B$12&amp;"."&amp;O14)))</f>
        <v>2019.FEB</v>
      </c>
      <c r="P16" s="59" t="str">
        <f>IF(_epmOfflineCondition_,"2019.MAR",IF(SetUp!$O$1=TRUE,_xll.EVTIM($B$1,Q16,-1),IF($D$10="FY",LEFT($B$10,6)&amp;"."&amp;P15,$B$12&amp;"."&amp;P14)))</f>
        <v>2019.MAR</v>
      </c>
      <c r="Q16" s="59" t="str">
        <f>IF(_epmOfflineCondition_,"2019.APR",IF(SetUp!$O$1=TRUE,_xll.EVTIM($B$1,R16,-1),IF($D$10="FY",LEFT($B$10,6)&amp;"."&amp;Q15,$B$12&amp;"."&amp;Q14)))</f>
        <v>2019.APR</v>
      </c>
      <c r="R16" s="59" t="str">
        <f>IF(_epmOfflineCondition_,"2019.MAY",IF(SetUp!$O$1=TRUE,_xll.EVTIM($B$1,S16,-1),IF($D$10="FY",LEFT($B$10,6)&amp;"."&amp;R15,$B$12&amp;"."&amp;R14)))</f>
        <v>2019.MAY</v>
      </c>
      <c r="S16" s="59" t="str">
        <f>IF(_epmOfflineCondition_,"2019.JUN",IF(SetUp!$O$1=TRUE,_xll.EVTIM($B$1,T16,-1),IF($D$10="FY",LEFT($B$10,6)&amp;"."&amp;S15,$B$12&amp;"."&amp;S14)))</f>
        <v>2019.JUN</v>
      </c>
      <c r="T16" s="59" t="str">
        <f>IF(_epmOfflineCondition_,"2019.JUL",IF(SetUp!$O$1=TRUE,_xll.EVTIM($B$1,U16,-1),IF($D$10="FY",LEFT($B$10,6)&amp;"."&amp;T15,$B$12&amp;"."&amp;T14)))</f>
        <v>2019.JUL</v>
      </c>
      <c r="U16" s="59" t="str">
        <f>IF(_epmOfflineCondition_,"2019.AUG",IF(SetUp!$O$1=TRUE,_xll.EVTIM($B$1,V16,-1),IF($D$10="FY",LEFT($B$10,6)&amp;"."&amp;U15,$B$12&amp;"."&amp;U14)))</f>
        <v>2019.AUG</v>
      </c>
      <c r="V16" s="59" t="str">
        <f>IF(_epmOfflineCondition_,"2019.SEP",IF(SetUp!$O$1=TRUE,_xll.EVTIM($B$1,W16,-1),IF($D$10="FY",LEFT($B$10,6)&amp;"."&amp;V15,$B$12&amp;"."&amp;V14)))</f>
        <v>2019.SEP</v>
      </c>
      <c r="W16" s="59" t="str">
        <f>IF(_epmOfflineCondition_,"2019.OCT",IF(SetUp!$O$1=TRUE,_xll.EVTIM($B$1,X16,-1),IF($D$10="FY",LEFT($B$10,6)&amp;"."&amp;W15,$B$12&amp;"."&amp;W14)))</f>
        <v>2019.OCT</v>
      </c>
      <c r="X16" s="59" t="str">
        <f>IF(_epmOfflineCondition_,"2019.NOV",IF(SetUp!$O$1=TRUE,_xll.EVTIM($B$1,Y16,-1),IF($D$10="FY",LEFT($B$10,6)&amp;"."&amp;X15,$B$12&amp;"."&amp;X14)))</f>
        <v>2019.NOV</v>
      </c>
      <c r="Y16" s="59" t="str">
        <f>IF(SetUp!$O$1=TRUE,SetUp!$Q$6,IF($D$10="FY",LEFT($B$10,6)&amp;"."&amp;Y15,$B$12&amp;"."&amp;Y14))</f>
        <v>2019.DEC</v>
      </c>
      <c r="Z16" s="59" t="str">
        <f>IF($D$10="FY",LEFT($B$10,6)&amp;"."&amp;Z15,$B$12&amp;"."&amp;Z14)</f>
        <v>2019.TOTAL</v>
      </c>
      <c r="AA16" s="60"/>
      <c r="AB16" s="60"/>
      <c r="AC16" s="59" t="str">
        <f>IF(SetUp!$O$1=TRUE,SetUp!$Q$6,SetUp!$G$7)</f>
        <v>2019.TOTAL</v>
      </c>
      <c r="AD16" s="60"/>
      <c r="AE16" s="60"/>
      <c r="AF16" s="59" t="str">
        <f>IF(_epmOfflineCondition_,"2018.TOTAL",IF(SetUp!$O$1=TRUE,_xll.EVTIM($B$1,AC16,-1,"YEAR"),SetUp!$J$7))</f>
        <v>2018.TOTAL</v>
      </c>
      <c r="AG16" s="60"/>
      <c r="AH16" s="60"/>
      <c r="AI16" s="11"/>
      <c r="AJ16" s="11"/>
      <c r="AK16" s="11"/>
      <c r="AL16" s="11"/>
      <c r="AM16" s="11"/>
      <c r="AN16" s="11"/>
      <c r="AO16" s="11"/>
    </row>
    <row r="17" spans="1:41" hidden="1" outlineLevel="1" x14ac:dyDescent="0.25">
      <c r="A17" s="61" t="s">
        <v>2</v>
      </c>
      <c r="B17" s="62" t="str">
        <f>IF(_epmOfflineCondition_,"'Summary'!$B$2:$B$10",_xll.EVRNG($B$2:$B$10))</f>
        <v>'Summary'!$B$2:$B$10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55"/>
      <c r="M17" s="11" t="s">
        <v>19</v>
      </c>
      <c r="N17" s="59" t="str">
        <f>IF(_epmOfflineCondition_,"ACTUAL_CON",IF(N13&lt;$E$4,_xll.EVPRO($B$1,$B$4,"COMPARISON"),$B$4))</f>
        <v>ACTUAL_CON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/>
      <c r="AA17" s="60"/>
      <c r="AB17" s="60"/>
      <c r="AC17" s="59" t="str">
        <f>SetUp!$G$6</f>
        <v>BUDGET</v>
      </c>
      <c r="AD17" s="60"/>
      <c r="AE17" s="60"/>
      <c r="AF17" s="59" t="str">
        <f>SetUp!$J$6</f>
        <v>ACTUAL</v>
      </c>
      <c r="AG17" s="60"/>
      <c r="AH17" s="60"/>
      <c r="AI17" s="11"/>
      <c r="AJ17" s="11"/>
      <c r="AK17" s="11"/>
      <c r="AL17" s="11"/>
      <c r="AM17" s="11"/>
      <c r="AN17" s="11"/>
      <c r="AO17" s="11"/>
    </row>
    <row r="18" spans="1:41" hidden="1" outlineLevel="1" x14ac:dyDescent="0.25">
      <c r="A18" s="61" t="s">
        <v>3</v>
      </c>
      <c r="B18" s="62" t="str">
        <f>IF(_epmOfflineCondition_,"'Summary'!$N$16:$AH$18",_xll.EVRNG(N16:AH18))</f>
        <v>'Summary'!$N$16:$AH$18</v>
      </c>
      <c r="C18" s="11"/>
      <c r="D18" s="11"/>
      <c r="E18" s="11"/>
      <c r="F18" s="11"/>
      <c r="G18" s="11"/>
      <c r="H18" s="11"/>
      <c r="I18" s="55"/>
      <c r="J18" s="55"/>
      <c r="K18" s="11"/>
      <c r="L18" s="55"/>
      <c r="M18" s="11" t="s">
        <v>601</v>
      </c>
      <c r="N18" s="60" t="s">
        <v>55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/>
      <c r="AA18" s="60"/>
      <c r="AB18" s="60"/>
      <c r="AC18" s="59" t="str">
        <f>IF(SetUp!$O$1=TRUE,"TRAILING12",IF(AC17="CURRENT","ROLLINGFORECAST","PERIODIC"))</f>
        <v>PERIODIC</v>
      </c>
      <c r="AD18" s="60"/>
      <c r="AE18" s="60"/>
      <c r="AF18" s="59" t="str">
        <f>IF(SetUp!$O$1=TRUE,"TRAILING12",IF(AF17="CURRENT","ROLLINGFORECAST","PERIODIC"))</f>
        <v>PERIODIC</v>
      </c>
      <c r="AG18" s="60"/>
      <c r="AH18" s="60"/>
      <c r="AI18" s="11"/>
      <c r="AJ18" s="11"/>
      <c r="AK18" s="11"/>
      <c r="AL18" s="11"/>
      <c r="AM18" s="11"/>
      <c r="AN18" s="11"/>
      <c r="AO18" s="11"/>
    </row>
    <row r="19" spans="1:41" hidden="1" outlineLevel="1" x14ac:dyDescent="0.25">
      <c r="A19" s="61" t="s">
        <v>4</v>
      </c>
      <c r="B19" s="62" t="str">
        <f>IF(_epmOfflineCondition_,"'Summary'!$G$33:$H$88",_xll.EVRNG(G33:H88))</f>
        <v>'Summary'!$G$33:$H$88</v>
      </c>
      <c r="C19" s="11"/>
      <c r="D19" s="11"/>
      <c r="E19" s="11"/>
      <c r="F19" s="11"/>
      <c r="G19" s="63" t="s">
        <v>499</v>
      </c>
      <c r="H19" s="63">
        <v>400000</v>
      </c>
      <c r="I19" s="64"/>
      <c r="J19" s="64"/>
      <c r="K19" s="63"/>
      <c r="L19" s="64"/>
      <c r="M19" s="63" t="str">
        <f>IF(_epmOfflineCondition_,"Total Revenue",_xll.EVDES(H19))</f>
        <v>Total Revenue</v>
      </c>
      <c r="N19" s="65">
        <f>IF(_epmOfflineCondition_,816981.25,_xll.EVGTS($B$1,1,$B$3,$B$5,$B$7,$B$9,N$16,N$17,N$18,$G$19,$H$19))</f>
        <v>816981.25</v>
      </c>
      <c r="O19" s="65">
        <f>IF(_epmOfflineCondition_,866773.26,_xll.EVGTS($B$1,1,$B$3,$B$5,$B$7,$B$9,O$16,O$17,O$18,$G$19,$H$19))</f>
        <v>866773.26</v>
      </c>
      <c r="P19" s="65">
        <f>IF(_epmOfflineCondition_,969793.68,_xll.EVGTS($B$1,1,$B$3,$B$5,$B$7,$B$9,P$16,P$17,P$18,$G$19,$H$19))</f>
        <v>969793.68</v>
      </c>
      <c r="Q19" s="65">
        <f>IF(_epmOfflineCondition_,760228.83,_xll.EVGTS($B$1,1,$B$3,$B$5,$B$7,$B$9,Q$16,Q$17,Q$18,$G$19,$H$19))</f>
        <v>760228.83</v>
      </c>
      <c r="R19" s="65">
        <f>IF(_epmOfflineCondition_,618655.29,_xll.EVGTS($B$1,1,$B$3,$B$5,$B$7,$B$9,R$16,R$17,R$18,$G$19,$H$19))</f>
        <v>618655.29</v>
      </c>
      <c r="S19" s="65">
        <f>IF(_epmOfflineCondition_,453678.77,_xll.EVGTS($B$1,1,$B$3,$B$5,$B$7,$B$9,S$16,S$17,S$18,$G$19,$H$19))</f>
        <v>453678.77</v>
      </c>
      <c r="T19" s="65">
        <f>IF(_epmOfflineCondition_,542439.38,_xll.EVGTS($B$1,1,$B$3,$B$5,$B$7,$B$9,T$16,T$17,T$18,$G$19,$H$19))</f>
        <v>542439.38</v>
      </c>
      <c r="U19" s="65">
        <f>IF(_epmOfflineCondition_,530393.92,_xll.EVGTS($B$1,1,$B$3,$B$5,$B$7,$B$9,U$16,U$17,U$18,$G$19,$H$19))</f>
        <v>530393.92000000004</v>
      </c>
      <c r="V19" s="65">
        <f>IF(_epmOfflineCondition_,366989.98,_xll.EVGTS($B$1,1,$B$3,$B$5,$B$7,$B$9,V$16,V$17,V$18,$G$19,$H$19))</f>
        <v>366989.98</v>
      </c>
      <c r="W19" s="65">
        <f>IF(_epmOfflineCondition_,549087,_xll.EVGTS($B$1,1,$B$3,$B$5,$B$7,$B$9,W$16,W$17,W$18,$G$19,$H$19))</f>
        <v>549087</v>
      </c>
      <c r="X19" s="65">
        <f>IF(_epmOfflineCondition_,756850.37,_xll.EVGTS($B$1,1,$B$3,$B$5,$B$7,$B$9,X$16,X$17,X$18,$G$19,$H$19))</f>
        <v>756850.37</v>
      </c>
      <c r="Y19" s="65">
        <f>IF(_epmOfflineCondition_,1154118.08,_xll.EVGTS($B$1,1,$B$3,$B$5,$B$7,$B$9,Y$16,Y$17,Y$18,$G$19,$H$19))</f>
        <v>1154118.08</v>
      </c>
      <c r="Z19" s="65">
        <f>SUM(N19:Y19)</f>
        <v>8385989.8099999996</v>
      </c>
      <c r="AA19" s="63"/>
      <c r="AB19" s="63"/>
      <c r="AC19" s="65">
        <f>IF(_epmOfflineCondition_,13047408.7892219,_xll.EVGTS($B$1,1,$B$3,$B$5,$B$7,$B$9,AC$16,AC$17,AC$18,$G$19,$H$19))</f>
        <v>13047408.7892219</v>
      </c>
      <c r="AD19" s="63"/>
      <c r="AE19" s="63"/>
      <c r="AF19" s="65">
        <f>IF(_epmOfflineCondition_,3258668.97,_xll.EVGTS($B$1,1,$B$3,$B$5,$B$7,$B$9,AF$16,AF$17,AF$18,$G$19,$H$19))</f>
        <v>3258668.97</v>
      </c>
      <c r="AG19" s="63"/>
      <c r="AH19" s="63"/>
      <c r="AI19" s="11"/>
      <c r="AJ19" s="11"/>
      <c r="AK19" s="11"/>
      <c r="AL19" s="11"/>
      <c r="AM19" s="11"/>
      <c r="AN19" s="11"/>
      <c r="AO19" s="11"/>
    </row>
    <row r="20" spans="1:41" hidden="1" outlineLevel="1" x14ac:dyDescent="0.25">
      <c r="A20" s="61" t="s">
        <v>5</v>
      </c>
      <c r="B20" s="62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</row>
    <row r="21" spans="1:41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55"/>
      <c r="J21" s="55"/>
      <c r="K21" s="11"/>
      <c r="L21" s="55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idden="1" outlineLevel="1" x14ac:dyDescent="0.25">
      <c r="A22" s="61" t="s">
        <v>7</v>
      </c>
      <c r="B22" s="62"/>
      <c r="C22" s="11"/>
      <c r="D22" s="11"/>
      <c r="E22" s="11"/>
      <c r="F22" s="11"/>
      <c r="G22" s="11"/>
      <c r="H22" s="11"/>
      <c r="I22" s="55"/>
      <c r="J22" s="55"/>
      <c r="K22" s="11"/>
      <c r="L22" s="55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idden="1" outlineLevel="1" x14ac:dyDescent="0.25">
      <c r="A23" s="61" t="s">
        <v>47</v>
      </c>
      <c r="B23" s="62" t="str">
        <f>IF(_epmOfflineCondition_,"'Summary'!$A$58:$B$79",_xll.EVRNG($A$58:$B$79))</f>
        <v>'Summary'!$A$58:$B$79</v>
      </c>
      <c r="C23" s="11"/>
      <c r="D23" s="11"/>
      <c r="E23" s="11"/>
      <c r="F23" s="11"/>
      <c r="G23" s="11"/>
      <c r="H23" s="11"/>
      <c r="I23" s="55"/>
      <c r="J23" s="55"/>
      <c r="K23" s="6"/>
      <c r="L23" s="55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55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55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22.5" x14ac:dyDescent="0.3">
      <c r="A26" s="57" t="s">
        <v>9</v>
      </c>
      <c r="B26" s="58" t="s">
        <v>10</v>
      </c>
      <c r="C26" s="11"/>
      <c r="D26" s="11"/>
      <c r="E26" s="11"/>
      <c r="F26" s="11"/>
      <c r="G26" s="11"/>
      <c r="H26" s="11"/>
      <c r="I26" s="55"/>
      <c r="J26" s="55"/>
      <c r="K26" s="11"/>
      <c r="L26" s="55"/>
      <c r="M26" s="66" t="str">
        <f>IF(_epmOfflineCondition_,"Anglers Boutique Resorts LLC",IF(_xll.EVDES(B3,$B$1)="#NODATA","",_xll.EVDES(B3,$B$1)))</f>
        <v>Anglers Boutique Resorts LLC</v>
      </c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8" x14ac:dyDescent="0.25">
      <c r="A27" s="61" t="s">
        <v>11</v>
      </c>
      <c r="B27" s="62" t="s">
        <v>21</v>
      </c>
      <c r="C27" s="11"/>
      <c r="D27" s="11"/>
      <c r="E27" s="11"/>
      <c r="F27" s="11"/>
      <c r="G27" s="11"/>
      <c r="H27" s="11"/>
      <c r="I27" s="55"/>
      <c r="J27" s="55"/>
      <c r="K27" s="11"/>
      <c r="L27" s="55"/>
      <c r="M27" s="67" t="str">
        <f>IF(_epmOfflineCondition_,"Consolidated Hotel &amp; F&amp;B Departments",IF(_xll.EVDES(B6,$B$1)="#NODATA","",_xll.EVDES(B6,$B$1)))</f>
        <v>Consolidated Hotel &amp; F&amp;B Departments</v>
      </c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x14ac:dyDescent="0.25">
      <c r="A28" s="61" t="s">
        <v>12</v>
      </c>
      <c r="B28" s="62" t="s">
        <v>22</v>
      </c>
      <c r="C28" s="11"/>
      <c r="D28" s="11"/>
      <c r="E28" s="11"/>
      <c r="F28" s="11"/>
      <c r="G28" s="11"/>
      <c r="H28" s="11"/>
      <c r="I28" s="55"/>
      <c r="J28" s="55"/>
      <c r="K28" s="11"/>
      <c r="L28" s="55"/>
      <c r="M28" s="68" t="str">
        <f>IF(_epmOfflineCondition_,"For the Period ended 2019 TOTAL","For the Period ended"&amp;" "&amp;IF(_xll.EVDES($B$10,$B$1)="#NODATA","",_xll.EVDES($B$10,$B$1)))</f>
        <v>For the Period ended 2019 TOTAL</v>
      </c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" customHeight="1" x14ac:dyDescent="0.25">
      <c r="A29" s="61" t="s">
        <v>13</v>
      </c>
      <c r="B29" s="62" t="s">
        <v>293</v>
      </c>
      <c r="C29" s="11"/>
      <c r="D29" s="11"/>
      <c r="E29" s="11"/>
      <c r="F29" s="11"/>
      <c r="G29" s="11"/>
      <c r="H29" s="11"/>
      <c r="I29" s="55"/>
      <c r="J29" s="55"/>
      <c r="K29" s="11"/>
      <c r="L29" s="55"/>
      <c r="M29" s="68" t="str">
        <f>IF(_epmOfflineCondition_,"Local Currency",_xll.EVDES(B9,B1))</f>
        <v>Local Currency</v>
      </c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x14ac:dyDescent="0.25">
      <c r="A30" s="61" t="s">
        <v>14</v>
      </c>
      <c r="B30" s="62"/>
      <c r="C30" s="11"/>
      <c r="D30" s="11"/>
      <c r="E30" s="11"/>
      <c r="F30" s="11"/>
      <c r="G30" s="11"/>
      <c r="H30" s="11"/>
      <c r="I30" s="55"/>
      <c r="J30" s="55"/>
      <c r="K30" s="11"/>
      <c r="L30" s="55"/>
      <c r="M30" s="11"/>
      <c r="N30" s="69"/>
      <c r="O30" s="70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1"/>
      <c r="AB30" s="11"/>
      <c r="AC30" s="70"/>
      <c r="AD30" s="70"/>
      <c r="AE30" s="70"/>
      <c r="AF30" s="70"/>
      <c r="AG30" s="70"/>
      <c r="AH30" s="70"/>
      <c r="AI30" s="69"/>
      <c r="AJ30" s="70"/>
      <c r="AK30" s="70"/>
      <c r="AL30" s="71"/>
      <c r="AM30" s="11"/>
      <c r="AN30" s="11"/>
      <c r="AO30" s="11"/>
    </row>
    <row r="31" spans="1:41" x14ac:dyDescent="0.25">
      <c r="A31" s="61" t="s">
        <v>15</v>
      </c>
      <c r="B31" s="62"/>
      <c r="C31" s="11"/>
      <c r="D31" s="11"/>
      <c r="E31" s="11"/>
      <c r="F31" s="11"/>
      <c r="G31" s="72"/>
      <c r="H31" s="11"/>
      <c r="I31" s="55"/>
      <c r="J31" s="55"/>
      <c r="K31" s="11"/>
      <c r="L31" s="55"/>
      <c r="M31" s="11"/>
      <c r="N31" s="73" t="str">
        <f>IF(_epmOfflineCondition_,"JAN",IF($D$10="FY",_xll.EVPRO($B$1,N$16,"PERIOD")&amp;" "&amp;LEFT(N$13,4),_xll.EVPRO($B$1,N$16,"PERIOD")))</f>
        <v>JAN</v>
      </c>
      <c r="O31" s="73" t="str">
        <f>IF(_epmOfflineCondition_,"FEB",IF($D$10="FY",_xll.EVPRO($B$1,O$16,"PERIOD")&amp;" "&amp;LEFT(O$13,4),_xll.EVPRO($B$1,O$16,"PERIOD")))</f>
        <v>FEB</v>
      </c>
      <c r="P31" s="73" t="str">
        <f>IF(_epmOfflineCondition_,"MAR",IF($D$10="FY",_xll.EVPRO($B$1,P$16,"PERIOD")&amp;" "&amp;LEFT(P$13,4),_xll.EVPRO($B$1,P$16,"PERIOD")))</f>
        <v>MAR</v>
      </c>
      <c r="Q31" s="73" t="str">
        <f>IF(_epmOfflineCondition_,"APR",IF($D$10="FY",_xll.EVPRO($B$1,Q$16,"PERIOD")&amp;" "&amp;LEFT(Q$13,4),_xll.EVPRO($B$1,Q$16,"PERIOD")))</f>
        <v>APR</v>
      </c>
      <c r="R31" s="73" t="str">
        <f>IF(_epmOfflineCondition_,"MAY",IF($D$10="FY",_xll.EVPRO($B$1,R$16,"PERIOD")&amp;" "&amp;LEFT(R$13,4),_xll.EVPRO($B$1,R$16,"PERIOD")))</f>
        <v>MAY</v>
      </c>
      <c r="S31" s="73" t="str">
        <f>IF(_epmOfflineCondition_,"JUN",IF($D$10="FY",_xll.EVPRO($B$1,S$16,"PERIOD")&amp;" "&amp;LEFT(S$13,4),_xll.EVPRO($B$1,S$16,"PERIOD")))</f>
        <v>JUN</v>
      </c>
      <c r="T31" s="73" t="str">
        <f>IF(_epmOfflineCondition_,"JUL",IF($D$10="FY",_xll.EVPRO($B$1,T$16,"PERIOD")&amp;" "&amp;LEFT(T$13,4),_xll.EVPRO($B$1,T$16,"PERIOD")))</f>
        <v>JUL</v>
      </c>
      <c r="U31" s="73" t="str">
        <f>IF(_epmOfflineCondition_,"AUG",IF($D$10="FY",_xll.EVPRO($B$1,U$16,"PERIOD")&amp;" "&amp;LEFT(U$13,4),_xll.EVPRO($B$1,U$16,"PERIOD")))</f>
        <v>AUG</v>
      </c>
      <c r="V31" s="73" t="str">
        <f>IF(_epmOfflineCondition_,"SEP",IF($D$10="FY",_xll.EVPRO($B$1,V$16,"PERIOD")&amp;" "&amp;LEFT(V$13,4),_xll.EVPRO($B$1,V$16,"PERIOD")))</f>
        <v>SEP</v>
      </c>
      <c r="W31" s="73" t="str">
        <f>IF(_epmOfflineCondition_,"OCT",IF($D$10="FY",_xll.EVPRO($B$1,W$16,"PERIOD")&amp;" "&amp;LEFT(W$13,4),_xll.EVPRO($B$1,W$16,"PERIOD")))</f>
        <v>OCT</v>
      </c>
      <c r="X31" s="73" t="str">
        <f>IF(_epmOfflineCondition_,"NOV",IF($D$10="FY",_xll.EVPRO($B$1,X$16,"PERIOD")&amp;" "&amp;LEFT(X$13,4),_xll.EVPRO($B$1,X$16,"PERIOD")))</f>
        <v>NOV</v>
      </c>
      <c r="Y31" s="73" t="str">
        <f>IF(_epmOfflineCondition_,"DEC",IF($D$10="FY",_xll.EVPRO($B$1,Y$16,"PERIOD")&amp;" "&amp;LEFT(Y$13,4),_xll.EVPRO($B$1,Y$16,"PERIOD")))</f>
        <v>DEC</v>
      </c>
      <c r="Z31" s="73" t="str">
        <f>Z14</f>
        <v>TOTAL</v>
      </c>
      <c r="AA31" s="74"/>
      <c r="AB31" s="11"/>
      <c r="AC31" s="598" t="str">
        <f>IF(_epmOfflineCondition_,"2019 TOTAL",IF(_xll.EVDES(AC16,$B$1)="#NODATA","",_xll.EVDES(AC16,$B$1)))</f>
        <v>2019 TOTAL</v>
      </c>
      <c r="AD31" s="599"/>
      <c r="AE31" s="73" t="s">
        <v>632</v>
      </c>
      <c r="AF31" s="598" t="str">
        <f>IF(_epmOfflineCondition_,"2018 TOTAL",IF(_xll.EVDES(AF16,$B$1)="#NODATA","",_xll.EVDES(AF16,$B$1)))</f>
        <v>2018 TOTAL</v>
      </c>
      <c r="AG31" s="599"/>
      <c r="AH31" s="73" t="s">
        <v>632</v>
      </c>
      <c r="AI31" s="75" t="str">
        <f>IF(_epmOfflineCondition_,"2019 vs 2019",_xll.EVPRO($B$1,Z$16,"YEAR")&amp;" vs "&amp;_xll.EVPRO($B$1,AC$16,"YEAR"))</f>
        <v>2019 vs 2019</v>
      </c>
      <c r="AJ31" s="76"/>
      <c r="AK31" s="75" t="str">
        <f>IF(_epmOfflineCondition_,"2019 vs 2018",_xll.EVPRO($B$1,Z$16,"YEAR")&amp;" vs "&amp;_xll.EVPRO($B$1,AF$16,"YEAR"))</f>
        <v>2019 vs 2018</v>
      </c>
      <c r="AL31" s="76"/>
      <c r="AM31" s="11"/>
      <c r="AN31" s="11"/>
      <c r="AO31" s="11"/>
    </row>
    <row r="32" spans="1:41" s="8" customFormat="1" ht="30" customHeight="1" x14ac:dyDescent="0.25">
      <c r="A32" s="77" t="s">
        <v>16</v>
      </c>
      <c r="B32" s="78"/>
      <c r="C32" s="79"/>
      <c r="D32" s="79"/>
      <c r="E32" s="79"/>
      <c r="F32" s="79"/>
      <c r="G32" s="79"/>
      <c r="H32" s="80"/>
      <c r="I32" s="81"/>
      <c r="J32" s="81"/>
      <c r="K32" s="79"/>
      <c r="L32" s="81"/>
      <c r="M32" s="82"/>
      <c r="N32" s="83" t="str">
        <f>IF(_epmOfflineCondition_,"Actual",IF(_xll.EVDES(N17,$B$1)="#NODATA","",_xll.EVDES(N17,$B$1)))</f>
        <v>Actual</v>
      </c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76"/>
      <c r="AA32" s="76" t="s">
        <v>58</v>
      </c>
      <c r="AB32" s="79"/>
      <c r="AC32" s="83" t="str">
        <f>IF(_epmOfflineCondition_,"Budget",IF(_xll.EVDES(AC17,$B$1)="#NODATA","",_xll.EVDES(AC17,$B$1)))</f>
        <v>Budget</v>
      </c>
      <c r="AD32" s="76" t="s">
        <v>58</v>
      </c>
      <c r="AE32" s="83" t="s">
        <v>57</v>
      </c>
      <c r="AF32" s="83" t="str">
        <f>IF(_epmOfflineCondition_,"Actual",IF(_xll.EVDES(AF17,$B$1)="#NODATA","",_xll.EVDES(AF17,$B$1)))</f>
        <v>Actual</v>
      </c>
      <c r="AG32" s="76" t="s">
        <v>58</v>
      </c>
      <c r="AH32" s="83" t="s">
        <v>57</v>
      </c>
      <c r="AI32" s="76" t="s">
        <v>751</v>
      </c>
      <c r="AJ32" s="76"/>
      <c r="AK32" s="76" t="s">
        <v>751</v>
      </c>
      <c r="AL32" s="76"/>
      <c r="AM32" s="79"/>
      <c r="AN32" s="79"/>
      <c r="AO32" s="79"/>
    </row>
    <row r="33" spans="1:41" x14ac:dyDescent="0.25">
      <c r="A33" s="61" t="s">
        <v>17</v>
      </c>
      <c r="B33" s="62"/>
      <c r="C33" s="11"/>
      <c r="D33" s="11"/>
      <c r="E33" s="11"/>
      <c r="F33" s="11"/>
      <c r="G33" s="84" t="s">
        <v>60</v>
      </c>
      <c r="H33" s="84" t="s">
        <v>211</v>
      </c>
      <c r="I33" s="85" t="str">
        <f>IF(_epmOfflineCondition_,"N",_xll.EVPRO($B$1,$H33,"STYLE"))</f>
        <v>N</v>
      </c>
      <c r="J33" s="85" t="str">
        <f>IF(_epmOfflineCondition_,"N",_xll.EVPRO($B$1,$H33,"CALC"))</f>
        <v>N</v>
      </c>
      <c r="K33" s="11"/>
      <c r="L33" s="55"/>
      <c r="M33" s="86" t="str">
        <f>IF(_epmOfflineCondition_,"Available rooms",IF(_xll.EVDES(H33,$B$1)="#NODATA","",_xll.EVDES(H33,$B$1)))</f>
        <v>Available rooms</v>
      </c>
      <c r="N33" s="134">
        <v>4092</v>
      </c>
      <c r="O33" s="134">
        <v>3696</v>
      </c>
      <c r="P33" s="134">
        <v>4092</v>
      </c>
      <c r="Q33" s="134">
        <v>3960</v>
      </c>
      <c r="R33" s="134">
        <v>4092</v>
      </c>
      <c r="S33" s="134">
        <v>3960</v>
      </c>
      <c r="T33" s="134">
        <v>4092</v>
      </c>
      <c r="U33" s="134">
        <v>4092</v>
      </c>
      <c r="V33" s="134">
        <v>3960</v>
      </c>
      <c r="W33" s="134">
        <v>4092</v>
      </c>
      <c r="X33" s="134">
        <v>3960</v>
      </c>
      <c r="Y33" s="134">
        <v>4092</v>
      </c>
      <c r="Z33" s="134">
        <f>SUM(N33:Y33)</f>
        <v>48180</v>
      </c>
      <c r="AA33" s="135"/>
      <c r="AB33" s="136"/>
      <c r="AC33" s="134">
        <v>48180</v>
      </c>
      <c r="AD33" s="135"/>
      <c r="AE33" s="137">
        <f>IF(AND($Z33="",AC33=""),"",$Z33-AC33)</f>
        <v>0</v>
      </c>
      <c r="AF33" s="134">
        <v>37251</v>
      </c>
      <c r="AG33" s="135"/>
      <c r="AH33" s="137">
        <f>IF(AND($Z33="",AF33=""),"",$Z33-AF33)</f>
        <v>10929</v>
      </c>
      <c r="AI33" s="89"/>
      <c r="AJ33" s="90"/>
      <c r="AK33" s="89"/>
      <c r="AL33" s="90"/>
      <c r="AM33" s="11"/>
      <c r="AN33" s="11"/>
      <c r="AO33" s="11"/>
    </row>
    <row r="34" spans="1:41" x14ac:dyDescent="0.25">
      <c r="A34" s="11"/>
      <c r="B34" s="11"/>
      <c r="C34" s="11"/>
      <c r="D34" s="11"/>
      <c r="E34" s="11"/>
      <c r="F34" s="11"/>
      <c r="G34" s="84" t="s">
        <v>60</v>
      </c>
      <c r="H34" s="84" t="s">
        <v>257</v>
      </c>
      <c r="I34" s="85" t="str">
        <f>IF(_epmOfflineCondition_,"T2",_xll.EVPRO($B$1,$H34,"STYLE"))</f>
        <v>T2</v>
      </c>
      <c r="J34" s="85" t="str">
        <f>IF(_epmOfflineCondition_,"Y",_xll.EVPRO($B$1,$H34,"CALC"))</f>
        <v>Y</v>
      </c>
      <c r="K34" s="11"/>
      <c r="L34" s="55"/>
      <c r="M34" s="86" t="str">
        <f>IF(_epmOfflineCondition_,"Total Rooms Sold",IF(_xll.EVDES(H34,$B$1)="#NODATA","",_xll.EVDES(H34,$B$1)))</f>
        <v>Total Rooms Sold</v>
      </c>
      <c r="N34" s="134">
        <v>2844</v>
      </c>
      <c r="O34" s="134">
        <v>2635</v>
      </c>
      <c r="P34" s="134">
        <v>3023</v>
      </c>
      <c r="Q34" s="134">
        <v>2720</v>
      </c>
      <c r="R34" s="134">
        <v>2573</v>
      </c>
      <c r="S34" s="134">
        <v>2176</v>
      </c>
      <c r="T34" s="134">
        <v>2500</v>
      </c>
      <c r="U34" s="134">
        <v>2797</v>
      </c>
      <c r="V34" s="134">
        <v>2114</v>
      </c>
      <c r="W34" s="134">
        <v>2731</v>
      </c>
      <c r="X34" s="134">
        <v>2966</v>
      </c>
      <c r="Y34" s="134">
        <v>3485</v>
      </c>
      <c r="Z34" s="134">
        <f>SUM(N34:Y34)</f>
        <v>32564</v>
      </c>
      <c r="AA34" s="135"/>
      <c r="AB34" s="136"/>
      <c r="AC34" s="134">
        <v>36290</v>
      </c>
      <c r="AD34" s="135"/>
      <c r="AE34" s="137">
        <f>IF(AND($Z34="",AC34=""),"",$Z34-AC34)</f>
        <v>-3726</v>
      </c>
      <c r="AF34" s="134">
        <v>14728</v>
      </c>
      <c r="AG34" s="135"/>
      <c r="AH34" s="137">
        <f>IF(AND($Z34="",AF34=""),"",$Z34-AF34)</f>
        <v>17836</v>
      </c>
      <c r="AI34" s="91">
        <f>IFERROR((Z34-AC34)/AC34,0)</f>
        <v>-0.10267291264811243</v>
      </c>
      <c r="AJ34" s="92" t="s">
        <v>754</v>
      </c>
      <c r="AK34" s="91">
        <f>IFERROR((Z34-AF34)/AF34,0)</f>
        <v>1.2110266159695817</v>
      </c>
      <c r="AL34" s="92" t="s">
        <v>754</v>
      </c>
      <c r="AM34" s="11"/>
      <c r="AN34" s="11"/>
      <c r="AO34" s="11"/>
    </row>
    <row r="35" spans="1:41" x14ac:dyDescent="0.25">
      <c r="A35" s="93" t="s">
        <v>92</v>
      </c>
      <c r="B35" s="94" t="s">
        <v>93</v>
      </c>
      <c r="C35" s="94" t="s">
        <v>94</v>
      </c>
      <c r="D35" s="94" t="s">
        <v>95</v>
      </c>
      <c r="E35" s="94" t="s">
        <v>96</v>
      </c>
      <c r="F35" s="95" t="s">
        <v>97</v>
      </c>
      <c r="G35" s="84" t="s">
        <v>60</v>
      </c>
      <c r="H35" s="84" t="s">
        <v>495</v>
      </c>
      <c r="I35" s="85" t="str">
        <f>IF(_epmOfflineCondition_,"T2",_xll.EVPRO($B$1,$H35,"STYLE"))</f>
        <v>T2</v>
      </c>
      <c r="J35" s="85" t="str">
        <f>IF(_epmOfflineCondition_,"Y",_xll.EVPRO($B$1,$H35,"CALC"))</f>
        <v>Y</v>
      </c>
      <c r="K35" s="11"/>
      <c r="L35" s="55"/>
      <c r="M35" s="86" t="str">
        <f>IF(_epmOfflineCondition_,"Total Occupancy",IF(_xll.EVDES(H35,$B$1)="#NODATA","",_xll.EVDES(H35,$B$1)))</f>
        <v>Total Occupancy</v>
      </c>
      <c r="N35" s="138">
        <v>0.69501466275659796</v>
      </c>
      <c r="O35" s="138">
        <v>0.71293290043290003</v>
      </c>
      <c r="P35" s="138">
        <v>0.73875855327468198</v>
      </c>
      <c r="Q35" s="138">
        <v>0.68686868686868696</v>
      </c>
      <c r="R35" s="138">
        <v>0.62878787878787901</v>
      </c>
      <c r="S35" s="138">
        <v>0.54949494949494904</v>
      </c>
      <c r="T35" s="138">
        <v>0.61094819159335301</v>
      </c>
      <c r="U35" s="138">
        <v>0.68352883675464304</v>
      </c>
      <c r="V35" s="138">
        <v>0.533838383838384</v>
      </c>
      <c r="W35" s="138">
        <v>0.66739980449657899</v>
      </c>
      <c r="X35" s="138">
        <v>0.74898989898989898</v>
      </c>
      <c r="Y35" s="138">
        <v>0.85166177908113405</v>
      </c>
      <c r="Z35" s="138">
        <f>IFERROR(Z34/Z33,"")</f>
        <v>0.67588210875882104</v>
      </c>
      <c r="AA35" s="135"/>
      <c r="AB35" s="136"/>
      <c r="AC35" s="138">
        <v>0.753217102532171</v>
      </c>
      <c r="AD35" s="135"/>
      <c r="AE35" s="139">
        <f>IF(AND($Z35="",AC35=""),"",$Z35-AC35)</f>
        <v>-7.7334993773349958E-2</v>
      </c>
      <c r="AF35" s="138">
        <v>0.39537193632385698</v>
      </c>
      <c r="AG35" s="135"/>
      <c r="AH35" s="139">
        <f>IF(AND($Z35="",AF35=""),"",$Z35-AF35)</f>
        <v>0.28051017243496407</v>
      </c>
      <c r="AI35" s="91">
        <f>IFERROR((Z35-AC35)/AC35,0)</f>
        <v>-0.10267291264811246</v>
      </c>
      <c r="AJ35" s="92" t="s">
        <v>754</v>
      </c>
      <c r="AK35" s="91">
        <f>IFERROR((Z35-AF35)/AF35,0)</f>
        <v>0.70948427711670625</v>
      </c>
      <c r="AL35" s="92" t="s">
        <v>754</v>
      </c>
      <c r="AM35" s="11"/>
      <c r="AN35" s="97"/>
      <c r="AO35" s="11"/>
    </row>
    <row r="36" spans="1:41" x14ac:dyDescent="0.25">
      <c r="A36" s="11"/>
      <c r="B36" s="11"/>
      <c r="C36" s="11"/>
      <c r="D36" s="11"/>
      <c r="E36" s="11"/>
      <c r="F36" s="11"/>
      <c r="G36" s="84" t="s">
        <v>60</v>
      </c>
      <c r="H36" s="84" t="s">
        <v>208</v>
      </c>
      <c r="I36" s="85" t="str">
        <f>IF(_epmOfflineCondition_,"T2",_xll.EVPRO($B$1,$H36,"STYLE"))</f>
        <v>T2</v>
      </c>
      <c r="J36" s="85" t="str">
        <f>IF(_epmOfflineCondition_,"Y",_xll.EVPRO($B$1,$H36,"CALC"))</f>
        <v>Y</v>
      </c>
      <c r="K36" s="11"/>
      <c r="L36" s="55"/>
      <c r="M36" s="86" t="str">
        <f>IF(_epmOfflineCondition_,"Average Daily Rate",IF(_xll.EVDES(H36,$B$1)="#NODATA","",_xll.EVDES(H36,$B$1)))</f>
        <v>Average Daily Rate</v>
      </c>
      <c r="N36" s="140">
        <v>225.91060829817201</v>
      </c>
      <c r="O36" s="140">
        <v>261.598227703985</v>
      </c>
      <c r="P36" s="140">
        <v>262.75976182600101</v>
      </c>
      <c r="Q36" s="140">
        <v>220.483628676471</v>
      </c>
      <c r="R36" s="140">
        <v>185.051255343956</v>
      </c>
      <c r="S36" s="140">
        <v>153.271328125</v>
      </c>
      <c r="T36" s="140">
        <v>157.45975999999999</v>
      </c>
      <c r="U36" s="140">
        <v>135.797983553808</v>
      </c>
      <c r="V36" s="140">
        <v>123.77185903500499</v>
      </c>
      <c r="W36" s="140">
        <v>143.733760527279</v>
      </c>
      <c r="X36" s="140">
        <v>169.707559002023</v>
      </c>
      <c r="Y36" s="140">
        <v>250.62563271162099</v>
      </c>
      <c r="Z36" s="140">
        <f>IFERROR(Z$39/Z34,"")</f>
        <v>194.69182348605824</v>
      </c>
      <c r="AA36" s="135"/>
      <c r="AB36" s="136"/>
      <c r="AC36" s="140">
        <v>249.014199503996</v>
      </c>
      <c r="AD36" s="135"/>
      <c r="AE36" s="141">
        <f>IF(AND($Z36="",AC36=""),"",$Z36-AC36)</f>
        <v>-54.322376017937756</v>
      </c>
      <c r="AF36" s="140">
        <v>180.13812262357399</v>
      </c>
      <c r="AG36" s="135"/>
      <c r="AH36" s="142">
        <f>IF(AND($Z36="",AF36=""),"",$Z36-AF36)</f>
        <v>14.553700862484249</v>
      </c>
      <c r="AI36" s="91">
        <f>IFERROR((Z36-AC36)/AC36,0)</f>
        <v>-0.21814971245069914</v>
      </c>
      <c r="AJ36" s="92" t="s">
        <v>754</v>
      </c>
      <c r="AK36" s="91">
        <f>IFERROR((Z36-AF36)/AF36,0)</f>
        <v>8.0791898186351255E-2</v>
      </c>
      <c r="AL36" s="92" t="s">
        <v>754</v>
      </c>
      <c r="AM36" s="11"/>
      <c r="AN36" s="99"/>
      <c r="AO36" s="11"/>
    </row>
    <row r="37" spans="1:41" x14ac:dyDescent="0.25">
      <c r="A37" s="11" t="s">
        <v>105</v>
      </c>
      <c r="B37" s="11"/>
      <c r="C37" s="100" t="s">
        <v>101</v>
      </c>
      <c r="D37" s="11" t="s">
        <v>106</v>
      </c>
      <c r="E37" s="11"/>
      <c r="F37" s="11" t="s">
        <v>98</v>
      </c>
      <c r="G37" s="84" t="s">
        <v>60</v>
      </c>
      <c r="H37" s="84" t="s">
        <v>582</v>
      </c>
      <c r="I37" s="85" t="str">
        <f>IF(_epmOfflineCondition_,"N",_xll.EVPRO($B$1,$H37,"STYLE"))</f>
        <v>N</v>
      </c>
      <c r="J37" s="85" t="str">
        <f>IF(_epmOfflineCondition_,"Y",_xll.EVPRO($B$1,$H37,"CALC"))</f>
        <v>Y</v>
      </c>
      <c r="K37" s="11"/>
      <c r="L37" s="55"/>
      <c r="M37" s="86" t="str">
        <f>IF(_epmOfflineCondition_,"Revenue Per Available Room",IF(_xll.EVDES(H37,$B$1)="#NODATA","",_xll.EVDES(H37,$B$1)))</f>
        <v>Revenue Per Available Room</v>
      </c>
      <c r="N37" s="140">
        <v>157.01118523949199</v>
      </c>
      <c r="O37" s="140">
        <v>186.50198322510801</v>
      </c>
      <c r="P37" s="140">
        <v>194.11602150537601</v>
      </c>
      <c r="Q37" s="140">
        <v>151.44330050505101</v>
      </c>
      <c r="R37" s="140">
        <v>116.35798631476101</v>
      </c>
      <c r="S37" s="140">
        <v>84.221820707070705</v>
      </c>
      <c r="T37" s="140">
        <v>96.199755620723394</v>
      </c>
      <c r="U37" s="140">
        <v>92.821837732160304</v>
      </c>
      <c r="V37" s="140">
        <v>66.074169191919196</v>
      </c>
      <c r="W37" s="140">
        <v>95.927883675464301</v>
      </c>
      <c r="X37" s="140">
        <v>127.10924747474699</v>
      </c>
      <c r="Y37" s="140">
        <v>213.44827223851399</v>
      </c>
      <c r="Z37" s="140">
        <f>IFERROR(Z$39/Z33,"")</f>
        <v>131.58872021585722</v>
      </c>
      <c r="AA37" s="135"/>
      <c r="AB37" s="136"/>
      <c r="AC37" s="140">
        <v>187.56175383976799</v>
      </c>
      <c r="AD37" s="135"/>
      <c r="AE37" s="141">
        <f>IF(AND($Z37="",AC37=""),"",$Z37-AC37)</f>
        <v>-55.973033623910766</v>
      </c>
      <c r="AF37" s="140">
        <v>71.221558347426907</v>
      </c>
      <c r="AG37" s="135"/>
      <c r="AH37" s="142">
        <f>IF(AND($Z37="",AF37=""),"",$Z37-AF37)</f>
        <v>60.367161868430316</v>
      </c>
      <c r="AI37" s="91">
        <f>IFERROR((Z37-AC37)/AC37,0)</f>
        <v>-0.2984245587281506</v>
      </c>
      <c r="AJ37" s="92" t="s">
        <v>754</v>
      </c>
      <c r="AK37" s="91">
        <f>IFERROR((Z37-AF37)/AF37,0)</f>
        <v>0.84759675678468582</v>
      </c>
      <c r="AL37" s="92" t="s">
        <v>754</v>
      </c>
      <c r="AM37" s="11"/>
      <c r="AN37" s="99"/>
      <c r="AO37" s="97"/>
    </row>
    <row r="38" spans="1:41" x14ac:dyDescent="0.25">
      <c r="A38" s="11" t="s">
        <v>102</v>
      </c>
      <c r="B38" s="11"/>
      <c r="C38" s="100" t="s">
        <v>101</v>
      </c>
      <c r="D38" s="11" t="s">
        <v>106</v>
      </c>
      <c r="E38" s="11"/>
      <c r="F38" s="11" t="s">
        <v>98</v>
      </c>
      <c r="G38" s="11"/>
      <c r="H38" s="11" t="s">
        <v>69</v>
      </c>
      <c r="I38" s="55" t="str">
        <f>IF(_epmOfflineCondition_,"B1",_xll.EVPRO($B$1,$H38,"STYLE"))</f>
        <v>B1</v>
      </c>
      <c r="J38" s="55" t="str">
        <f>IF(_epmOfflineCondition_,"Y",_xll.EVPRO($B$1,$H38,"CALC"))</f>
        <v>Y</v>
      </c>
      <c r="K38" s="11"/>
      <c r="L38" s="55"/>
      <c r="M38" s="101" t="str">
        <f>IF(_epmOfflineCondition_,"Revenues",IF(_xll.EVDES(H38,$B$1)="#NODATA","",_xll.EVDES(H38,$B$1)))</f>
        <v>Revenues</v>
      </c>
      <c r="N38" s="143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5"/>
      <c r="AB38" s="136"/>
      <c r="AC38" s="143"/>
      <c r="AD38" s="144"/>
      <c r="AE38" s="145"/>
      <c r="AF38" s="143"/>
      <c r="AG38" s="144"/>
      <c r="AH38" s="145"/>
      <c r="AI38" s="11"/>
      <c r="AJ38" s="11"/>
      <c r="AK38" s="11"/>
      <c r="AL38" s="11"/>
      <c r="AM38" s="11"/>
      <c r="AN38" s="11"/>
      <c r="AO38" s="11"/>
    </row>
    <row r="39" spans="1:41" x14ac:dyDescent="0.25">
      <c r="A39" s="11" t="s">
        <v>108</v>
      </c>
      <c r="B39" s="11"/>
      <c r="C39" s="102" t="s">
        <v>101</v>
      </c>
      <c r="D39" s="11" t="s">
        <v>106</v>
      </c>
      <c r="E39" s="11"/>
      <c r="F39" s="11" t="s">
        <v>98</v>
      </c>
      <c r="G39" s="84" t="s">
        <v>60</v>
      </c>
      <c r="H39" s="84" t="s">
        <v>280</v>
      </c>
      <c r="I39" s="85" t="str">
        <f>IF(_epmOfflineCondition_,"T3",_xll.EVPRO($B$1,$H39,"STYLE"))</f>
        <v>T3</v>
      </c>
      <c r="J39" s="85" t="str">
        <f>IF(_epmOfflineCondition_,"Y",_xll.EVPRO($B$1,$H39,"CALC"))</f>
        <v>Y</v>
      </c>
      <c r="K39" s="103"/>
      <c r="L39" s="102"/>
      <c r="M39" s="86" t="str">
        <f>IF(_epmOfflineCondition_,"Rooms",IF(_xll.EVDES(G39,$B$1)="#NODATA","",_xll.EVDES(G39,$B$1)))</f>
        <v>Rooms</v>
      </c>
      <c r="N39" s="134">
        <v>642489.77</v>
      </c>
      <c r="O39" s="134">
        <v>689311.33</v>
      </c>
      <c r="P39" s="134">
        <v>794322.76</v>
      </c>
      <c r="Q39" s="134">
        <v>599715.47</v>
      </c>
      <c r="R39" s="134">
        <v>476136.88</v>
      </c>
      <c r="S39" s="134">
        <v>333518.40999999997</v>
      </c>
      <c r="T39" s="134">
        <v>393649.4</v>
      </c>
      <c r="U39" s="134">
        <v>379826.96</v>
      </c>
      <c r="V39" s="134">
        <v>261653.71</v>
      </c>
      <c r="W39" s="134">
        <v>392536.9</v>
      </c>
      <c r="X39" s="134">
        <v>503352.62</v>
      </c>
      <c r="Y39" s="134">
        <v>873430.33</v>
      </c>
      <c r="Z39" s="134">
        <f>SUM(N39:Y39)</f>
        <v>6339944.540000001</v>
      </c>
      <c r="AA39" s="138">
        <f>IF(Z39=0,"",IFERROR(Z39/Z$19,""))</f>
        <v>0.7560162465782917</v>
      </c>
      <c r="AB39" s="136"/>
      <c r="AC39" s="134">
        <v>9036725.3000000007</v>
      </c>
      <c r="AD39" s="138">
        <f>IF(AC39=0,"",IFERROR(AC39/AC$19,""))</f>
        <v>0.69260689582018675</v>
      </c>
      <c r="AE39" s="137">
        <f>IF(AND($Z39="",AC39=""),"",$Z39-AC39)</f>
        <v>-2696780.76</v>
      </c>
      <c r="AF39" s="134">
        <v>2653074.27</v>
      </c>
      <c r="AG39" s="138">
        <f>IF(AF39=0,"",IFERROR(AF39/AF$19,""))</f>
        <v>0.81415887726699654</v>
      </c>
      <c r="AH39" s="137">
        <f>IF(AND($Z39="",AF39=""),"",$Z39-AF39)</f>
        <v>3686870.2700000009</v>
      </c>
      <c r="AI39" s="91">
        <f>IFERROR((Z39-AC39)/AC39,0)</f>
        <v>-0.29842455872814894</v>
      </c>
      <c r="AJ39" s="92" t="s">
        <v>754</v>
      </c>
      <c r="AK39" s="91">
        <f>IFERROR((Z39-AF39)/AF39,0)</f>
        <v>1.3896596532143071</v>
      </c>
      <c r="AL39" s="92" t="s">
        <v>754</v>
      </c>
      <c r="AM39" s="11"/>
      <c r="AN39" s="104"/>
      <c r="AO39" s="11"/>
    </row>
    <row r="40" spans="1:41" x14ac:dyDescent="0.25">
      <c r="A40" s="11" t="s">
        <v>108</v>
      </c>
      <c r="B40" s="11"/>
      <c r="C40" s="105" t="s">
        <v>101</v>
      </c>
      <c r="D40" s="11" t="s">
        <v>107</v>
      </c>
      <c r="E40" s="11"/>
      <c r="F40" s="11" t="s">
        <v>99</v>
      </c>
      <c r="G40" s="84" t="s">
        <v>358</v>
      </c>
      <c r="H40" s="84" t="s">
        <v>280</v>
      </c>
      <c r="I40" s="85" t="str">
        <f>IF(_epmOfflineCondition_,"T3",_xll.EVPRO($B$1,$H40,"STYLE"))</f>
        <v>T3</v>
      </c>
      <c r="J40" s="85" t="str">
        <f>IF(_epmOfflineCondition_,"Y",_xll.EVPRO($B$1,$H40,"CALC"))</f>
        <v>Y</v>
      </c>
      <c r="K40" s="103"/>
      <c r="L40" s="102"/>
      <c r="M40" s="86" t="str">
        <f>IF(_epmOfflineCondition_,"Food &amp; Beverage",IF(_xll.EVDES(G40,$B$1)="#NODATA","",_xll.EVDES(G40,$B$1)))</f>
        <v>Food &amp; Beverage</v>
      </c>
      <c r="N40" s="134">
        <v>88536.8</v>
      </c>
      <c r="O40" s="134">
        <v>96922.69</v>
      </c>
      <c r="P40" s="134">
        <v>101270.57</v>
      </c>
      <c r="Q40" s="134">
        <v>67971.03</v>
      </c>
      <c r="R40" s="134">
        <v>61227.66</v>
      </c>
      <c r="S40" s="134">
        <v>54970.39</v>
      </c>
      <c r="T40" s="134">
        <v>72423.600000000006</v>
      </c>
      <c r="U40" s="134">
        <v>59755.69</v>
      </c>
      <c r="V40" s="134">
        <v>38088.800000000003</v>
      </c>
      <c r="W40" s="134">
        <v>76017.710000000006</v>
      </c>
      <c r="X40" s="134">
        <v>132416.51</v>
      </c>
      <c r="Y40" s="134">
        <v>178512.27</v>
      </c>
      <c r="Z40" s="134">
        <f>SUM(N40:Y40)</f>
        <v>1028113.72</v>
      </c>
      <c r="AA40" s="138">
        <f>IF(Z40=0,"",IFERROR(Z40/Z$19,""))</f>
        <v>0.12259897081844892</v>
      </c>
      <c r="AB40" s="136"/>
      <c r="AC40" s="134">
        <v>2913428.6175060002</v>
      </c>
      <c r="AD40" s="138">
        <f>IF(AC40=0,"",IFERROR(AC40/AC$19,""))</f>
        <v>0.22329557267437672</v>
      </c>
      <c r="AE40" s="137">
        <f>IF(AND($Z40="",AC40=""),"",$Z40-AC40)</f>
        <v>-1885314.8975060002</v>
      </c>
      <c r="AF40" s="134">
        <v>277955.40000000002</v>
      </c>
      <c r="AG40" s="138">
        <f>IF(AF40=0,"",IFERROR(AF40/AF$19,""))</f>
        <v>8.5297218759842308E-2</v>
      </c>
      <c r="AH40" s="137">
        <f>IF(AND($Z40="",AF40=""),"",$Z40-AF40)</f>
        <v>750158.32</v>
      </c>
      <c r="AI40" s="91">
        <f>IFERROR((Z40-AC40)/AC40,0)</f>
        <v>-0.64711209541145298</v>
      </c>
      <c r="AJ40" s="92" t="s">
        <v>754</v>
      </c>
      <c r="AK40" s="91">
        <f>IFERROR((Z40-AF40)/AF40,0)</f>
        <v>2.698844203062793</v>
      </c>
      <c r="AL40" s="92" t="s">
        <v>754</v>
      </c>
      <c r="AM40" s="11"/>
      <c r="AN40" s="104"/>
      <c r="AO40" s="11"/>
    </row>
    <row r="41" spans="1:41" x14ac:dyDescent="0.25">
      <c r="A41" s="11"/>
      <c r="B41" s="11"/>
      <c r="C41" s="11"/>
      <c r="D41" s="11"/>
      <c r="E41" s="11"/>
      <c r="F41" s="11"/>
      <c r="G41" s="84" t="s">
        <v>463</v>
      </c>
      <c r="H41" s="84" t="s">
        <v>280</v>
      </c>
      <c r="I41" s="85" t="str">
        <f>IF(_epmOfflineCondition_,"T3",_xll.EVPRO($B$1,$H41,"STYLE"))</f>
        <v>T3</v>
      </c>
      <c r="J41" s="85" t="str">
        <f>IF(_epmOfflineCondition_,"Y",_xll.EVPRO($B$1,$H41,"CALC"))</f>
        <v>Y</v>
      </c>
      <c r="K41" s="103"/>
      <c r="L41" s="102"/>
      <c r="M41" s="86" t="str">
        <f>IF(_epmOfflineCondition_,"Other Operated Departments",IF(_xll.EVDES(G41,$B$1)="#NODATA","",_xll.EVDES(G41,$B$1)))</f>
        <v>Other Operated Departments</v>
      </c>
      <c r="N41" s="134">
        <v>22021.48</v>
      </c>
      <c r="O41" s="134">
        <v>17748.009999999998</v>
      </c>
      <c r="P41" s="134">
        <v>19776.21</v>
      </c>
      <c r="Q41" s="134">
        <v>23529.74</v>
      </c>
      <c r="R41" s="134">
        <v>19740.59</v>
      </c>
      <c r="S41" s="134">
        <v>16670.509999999998</v>
      </c>
      <c r="T41" s="134">
        <v>21067.08</v>
      </c>
      <c r="U41" s="134">
        <v>22378.51</v>
      </c>
      <c r="V41" s="134">
        <v>14207.35</v>
      </c>
      <c r="W41" s="134">
        <v>20314.580000000002</v>
      </c>
      <c r="X41" s="134">
        <v>22223.23</v>
      </c>
      <c r="Y41" s="134">
        <v>25851.48</v>
      </c>
      <c r="Z41" s="134">
        <f>SUM(N41:Y41)</f>
        <v>245528.77000000002</v>
      </c>
      <c r="AA41" s="138">
        <f>IF(Z41=0,"",IFERROR(Z41/Z$19,""))</f>
        <v>2.9278448407749739E-2</v>
      </c>
      <c r="AB41" s="136"/>
      <c r="AC41" s="134">
        <v>297029.365715886</v>
      </c>
      <c r="AD41" s="138">
        <f>IF(AC41=0,"",IFERROR(AC41/AC$19,""))</f>
        <v>2.2765391237013564E-2</v>
      </c>
      <c r="AE41" s="137">
        <f>IF(AND($Z41="",AC41=""),"",$Z41-AC41)</f>
        <v>-51500.595715885982</v>
      </c>
      <c r="AF41" s="134">
        <v>93974.11</v>
      </c>
      <c r="AG41" s="138">
        <f>IF(AF41=0,"",IFERROR(AF41/AF$19,""))</f>
        <v>2.8838188495102033E-2</v>
      </c>
      <c r="AH41" s="137">
        <f>IF(AND($Z41="",AF41=""),"",$Z41-AF41)</f>
        <v>151554.66000000003</v>
      </c>
      <c r="AI41" s="91">
        <f>IFERROR((Z41-AC41)/AC41,0)</f>
        <v>-0.17338553577610652</v>
      </c>
      <c r="AJ41" s="92" t="s">
        <v>754</v>
      </c>
      <c r="AK41" s="91">
        <f>IFERROR((Z41-AF41)/AF41,0)</f>
        <v>1.6127278034343717</v>
      </c>
      <c r="AL41" s="92" t="s">
        <v>754</v>
      </c>
      <c r="AM41" s="11"/>
      <c r="AN41" s="104"/>
      <c r="AO41" s="11"/>
    </row>
    <row r="42" spans="1:41" x14ac:dyDescent="0.25">
      <c r="A42" s="11"/>
      <c r="B42" s="11"/>
      <c r="C42" s="11"/>
      <c r="D42" s="11"/>
      <c r="E42" s="11"/>
      <c r="F42" s="11"/>
      <c r="G42" s="84" t="s">
        <v>472</v>
      </c>
      <c r="H42" s="84" t="s">
        <v>280</v>
      </c>
      <c r="I42" s="85" t="str">
        <f>IF(_epmOfflineCondition_,"T3",_xll.EVPRO($B$1,$H42,"STYLE"))</f>
        <v>T3</v>
      </c>
      <c r="J42" s="85" t="str">
        <f>IF(_epmOfflineCondition_,"Y",_xll.EVPRO($B$1,$H42,"CALC"))</f>
        <v>Y</v>
      </c>
      <c r="K42" s="103"/>
      <c r="L42" s="102"/>
      <c r="M42" s="86" t="str">
        <f>IF(_epmOfflineCondition_,"Miscellaneous Income",IF(_xll.EVDES(G42,$B$1)="#NODATA","",_xll.EVDES(G42,$B$1)))</f>
        <v>Miscellaneous Income</v>
      </c>
      <c r="N42" s="134">
        <v>63933.2</v>
      </c>
      <c r="O42" s="134">
        <v>62791.23</v>
      </c>
      <c r="P42" s="134">
        <v>54424.14</v>
      </c>
      <c r="Q42" s="134">
        <v>69012.59</v>
      </c>
      <c r="R42" s="134">
        <v>61550.16</v>
      </c>
      <c r="S42" s="134">
        <v>48519.46</v>
      </c>
      <c r="T42" s="134">
        <v>55299.3</v>
      </c>
      <c r="U42" s="134">
        <v>68432.759999999995</v>
      </c>
      <c r="V42" s="134">
        <v>53040.12</v>
      </c>
      <c r="W42" s="134">
        <v>60217.81</v>
      </c>
      <c r="X42" s="134">
        <v>98858.01</v>
      </c>
      <c r="Y42" s="134">
        <v>76324</v>
      </c>
      <c r="Z42" s="134">
        <f>SUM(N42:Y42)</f>
        <v>772402.78</v>
      </c>
      <c r="AA42" s="138">
        <f>IF(Z42=0,"",IFERROR(Z42/Z$19,""))</f>
        <v>9.2106334195509842E-2</v>
      </c>
      <c r="AB42" s="136"/>
      <c r="AC42" s="134">
        <v>800225.505999999</v>
      </c>
      <c r="AD42" s="138">
        <f>IF(AC42=0,"",IFERROR(AC42/AC$19,""))</f>
        <v>6.1332140268421952E-2</v>
      </c>
      <c r="AE42" s="137">
        <f>IF(AND($Z42="",AC42=""),"",$Z42-AC42)</f>
        <v>-27822.725999998976</v>
      </c>
      <c r="AF42" s="134">
        <v>233665.19</v>
      </c>
      <c r="AG42" s="138">
        <f>IF(AF42=0,"",IFERROR(AF42/AF$19,""))</f>
        <v>7.1705715478059123E-2</v>
      </c>
      <c r="AH42" s="137">
        <f>IF(AND($Z42="",AF42=""),"",$Z42-AF42)</f>
        <v>538737.59000000008</v>
      </c>
      <c r="AI42" s="106">
        <f>IFERROR((Z42-AC42)/AC42,0)</f>
        <v>-3.4768606838181698E-2</v>
      </c>
      <c r="AJ42" s="107" t="s">
        <v>754</v>
      </c>
      <c r="AK42" s="106">
        <f>IFERROR((Z42-AF42)/AF42,0)</f>
        <v>2.3055962678908233</v>
      </c>
      <c r="AL42" s="107" t="s">
        <v>754</v>
      </c>
      <c r="AM42" s="11"/>
      <c r="AN42" s="104"/>
      <c r="AO42" s="11"/>
    </row>
    <row r="43" spans="1:41" x14ac:dyDescent="0.25">
      <c r="A43" s="11"/>
      <c r="B43" s="11"/>
      <c r="C43" s="11"/>
      <c r="D43" s="11"/>
      <c r="E43" s="11"/>
      <c r="F43" s="11"/>
      <c r="G43" s="103"/>
      <c r="H43" s="103"/>
      <c r="I43" s="103"/>
      <c r="J43" s="103"/>
      <c r="K43" s="103"/>
      <c r="L43" s="102"/>
      <c r="M43" s="102" t="str">
        <f>"Total "&amp;M38</f>
        <v>Total Revenues</v>
      </c>
      <c r="N43" s="146">
        <f t="shared" ref="N43:Y43" si="0">SUM(N39:N42)</f>
        <v>816981.25</v>
      </c>
      <c r="O43" s="146">
        <f t="shared" si="0"/>
        <v>866773.26</v>
      </c>
      <c r="P43" s="146">
        <f t="shared" si="0"/>
        <v>969793.68</v>
      </c>
      <c r="Q43" s="146">
        <f t="shared" si="0"/>
        <v>760228.83</v>
      </c>
      <c r="R43" s="146">
        <f t="shared" si="0"/>
        <v>618655.29</v>
      </c>
      <c r="S43" s="146">
        <f t="shared" si="0"/>
        <v>453678.77</v>
      </c>
      <c r="T43" s="146">
        <f t="shared" si="0"/>
        <v>542439.38</v>
      </c>
      <c r="U43" s="146">
        <f t="shared" si="0"/>
        <v>530393.92000000004</v>
      </c>
      <c r="V43" s="146">
        <f t="shared" si="0"/>
        <v>366989.98</v>
      </c>
      <c r="W43" s="146">
        <f t="shared" si="0"/>
        <v>549087</v>
      </c>
      <c r="X43" s="146">
        <f t="shared" si="0"/>
        <v>756850.37</v>
      </c>
      <c r="Y43" s="146">
        <f t="shared" si="0"/>
        <v>1154118.0799999998</v>
      </c>
      <c r="Z43" s="146">
        <f>SUM(N43:Y43)</f>
        <v>8385989.8099999996</v>
      </c>
      <c r="AA43" s="147">
        <f>IF(Z43=0,"",IFERROR(Z43/Z$19,""))</f>
        <v>1</v>
      </c>
      <c r="AB43" s="136"/>
      <c r="AC43" s="146">
        <f>SUM(AC39:AC42)</f>
        <v>13047408.789221887</v>
      </c>
      <c r="AD43" s="147">
        <f>IF(AC43=0,"",IFERROR(AC43/AC$19,""))</f>
        <v>0.999999999999999</v>
      </c>
      <c r="AE43" s="148">
        <f>IF(AND($Z43="",AC43=""),"",$Z43-AC43)</f>
        <v>-4661418.979221887</v>
      </c>
      <c r="AF43" s="146">
        <f>SUM(AF39:AF42)</f>
        <v>3258668.9699999997</v>
      </c>
      <c r="AG43" s="147">
        <f>IF(AF43=0,"",IFERROR(AF43/AF$19,""))</f>
        <v>0.99999999999999989</v>
      </c>
      <c r="AH43" s="148">
        <f>IF(AND($Z43="",AF43=""),"",$Z43-AF43)</f>
        <v>5127320.84</v>
      </c>
      <c r="AI43" s="111">
        <f>IFERROR((Z43-AC43)/AC43,0)</f>
        <v>-0.35726779581494833</v>
      </c>
      <c r="AJ43" s="112" t="s">
        <v>754</v>
      </c>
      <c r="AK43" s="111">
        <f>IFERROR((Z43-AF43)/AF43,0)</f>
        <v>1.5734402258109699</v>
      </c>
      <c r="AL43" s="112" t="s">
        <v>754</v>
      </c>
      <c r="AM43" s="11"/>
      <c r="AN43" s="104"/>
      <c r="AO43" s="11"/>
    </row>
    <row r="44" spans="1:41" x14ac:dyDescent="0.25">
      <c r="A44" s="56" t="str">
        <f>IF(_epmOfflineCondition_,"Evdre:Ok",_xll.EVDRE($B$1,A47:B54))</f>
        <v>Evdre:Ok</v>
      </c>
      <c r="B44" s="11"/>
      <c r="C44" s="11"/>
      <c r="D44" s="11"/>
      <c r="E44" s="11"/>
      <c r="F44" s="11"/>
      <c r="G44" s="103"/>
      <c r="H44" s="103"/>
      <c r="I44" s="103"/>
      <c r="J44" s="103"/>
      <c r="K44" s="103"/>
      <c r="L44" s="11">
        <f>COUNTIF(N44:AH44,FALSE)</f>
        <v>0</v>
      </c>
      <c r="M44" s="113" t="str">
        <f>IF(L44=0,"","Revenue - database validation failed")</f>
        <v/>
      </c>
      <c r="N44" s="149" t="str">
        <f t="shared" ref="N44:Z44" si="1">IF(ROUND(N43,2)&lt;&gt;ROUND(N97,2),N43-N97,"")</f>
        <v/>
      </c>
      <c r="O44" s="150" t="str">
        <f t="shared" si="1"/>
        <v/>
      </c>
      <c r="P44" s="150" t="str">
        <f t="shared" si="1"/>
        <v/>
      </c>
      <c r="Q44" s="150" t="str">
        <f t="shared" si="1"/>
        <v/>
      </c>
      <c r="R44" s="150" t="str">
        <f t="shared" si="1"/>
        <v/>
      </c>
      <c r="S44" s="150" t="str">
        <f t="shared" si="1"/>
        <v/>
      </c>
      <c r="T44" s="150" t="str">
        <f t="shared" si="1"/>
        <v/>
      </c>
      <c r="U44" s="150" t="str">
        <f t="shared" si="1"/>
        <v/>
      </c>
      <c r="V44" s="150" t="str">
        <f t="shared" si="1"/>
        <v/>
      </c>
      <c r="W44" s="150" t="str">
        <f t="shared" si="1"/>
        <v/>
      </c>
      <c r="X44" s="150" t="str">
        <f t="shared" si="1"/>
        <v/>
      </c>
      <c r="Y44" s="150" t="str">
        <f t="shared" si="1"/>
        <v/>
      </c>
      <c r="Z44" s="150" t="str">
        <f t="shared" si="1"/>
        <v/>
      </c>
      <c r="AA44" s="151" t="b">
        <f>Z44=""</f>
        <v>1</v>
      </c>
      <c r="AB44" s="136"/>
      <c r="AC44" s="149" t="str">
        <f>IF(ROUND(AC43,2)&lt;&gt;ROUND(AC97,2),AC43-AC97,"")</f>
        <v/>
      </c>
      <c r="AD44" s="152" t="b">
        <f>AC44=""</f>
        <v>1</v>
      </c>
      <c r="AE44" s="153"/>
      <c r="AF44" s="150" t="str">
        <f>IF(ROUND(AF43,2)&lt;&gt;ROUND(AF97,2),AF43-AF97,"")</f>
        <v/>
      </c>
      <c r="AG44" s="152" t="b">
        <f>AF44=""</f>
        <v>1</v>
      </c>
      <c r="AH44" s="153"/>
      <c r="AI44" s="11"/>
      <c r="AJ44" s="11"/>
      <c r="AK44" s="11"/>
      <c r="AL44" s="11"/>
      <c r="AM44" s="11"/>
      <c r="AN44" s="11"/>
      <c r="AO44" s="11"/>
    </row>
    <row r="45" spans="1:41" x14ac:dyDescent="0.25">
      <c r="A45" s="11"/>
      <c r="B45" s="11"/>
      <c r="C45" s="11"/>
      <c r="D45" s="11"/>
      <c r="E45" s="11"/>
      <c r="F45" s="11"/>
      <c r="G45" s="11"/>
      <c r="H45" s="11" t="s">
        <v>564</v>
      </c>
      <c r="I45" s="55" t="str">
        <f>IF(_epmOfflineCondition_,"B1",_xll.EVPRO($B$1,$H45,"STYLE"))</f>
        <v>B1</v>
      </c>
      <c r="J45" s="55" t="str">
        <f>IF(_epmOfflineCondition_,"Y",_xll.EVPRO($B$1,$H45,"CALC"))</f>
        <v>Y</v>
      </c>
      <c r="K45" s="11"/>
      <c r="L45" s="55"/>
      <c r="M45" s="101" t="str">
        <f>IF(_epmOfflineCondition_,"Departmental Expense",IF(_xll.EVDES(H45,$B$1)="#NODATA","",_xll.EVDES(H45,$B$1)))</f>
        <v>Departmental Expense</v>
      </c>
      <c r="N45" s="154"/>
      <c r="O45" s="155"/>
      <c r="P45" s="155"/>
      <c r="Q45" s="155"/>
      <c r="R45" s="155"/>
      <c r="S45" s="155"/>
      <c r="T45" s="155"/>
      <c r="U45" s="155"/>
      <c r="V45" s="155"/>
      <c r="W45" s="155"/>
      <c r="X45" s="155"/>
      <c r="Y45" s="155"/>
      <c r="Z45" s="155"/>
      <c r="AA45" s="156"/>
      <c r="AB45" s="136"/>
      <c r="AC45" s="154"/>
      <c r="AD45" s="155"/>
      <c r="AE45" s="156"/>
      <c r="AF45" s="154"/>
      <c r="AG45" s="155"/>
      <c r="AH45" s="156"/>
      <c r="AI45" s="11"/>
      <c r="AJ45" s="11"/>
      <c r="AK45" s="11"/>
      <c r="AL45" s="11"/>
      <c r="AM45" s="11"/>
      <c r="AN45" s="11"/>
      <c r="AO45" s="11"/>
    </row>
    <row r="46" spans="1:41" x14ac:dyDescent="0.25">
      <c r="A46" s="57" t="s">
        <v>0</v>
      </c>
      <c r="B46" s="58" t="s">
        <v>1</v>
      </c>
      <c r="C46" s="11"/>
      <c r="D46" s="11"/>
      <c r="E46" s="11"/>
      <c r="F46" s="11"/>
      <c r="G46" s="84" t="s">
        <v>60</v>
      </c>
      <c r="H46" s="84" t="s">
        <v>464</v>
      </c>
      <c r="I46" s="85" t="str">
        <f>IF(_epmOfflineCondition_,"T3",_xll.EVPRO($B$1,$H46,"STYLE"))</f>
        <v>T3</v>
      </c>
      <c r="J46" s="85" t="str">
        <f>IF(_epmOfflineCondition_,"Y",_xll.EVPRO($B$1,$H46,"CALC"))</f>
        <v>Y</v>
      </c>
      <c r="K46" s="103"/>
      <c r="L46" s="102"/>
      <c r="M46" s="86" t="str">
        <f>IF(_epmOfflineCondition_,"Rooms",IF(_xll.EVDES(G46,$B$1)="#NODATA","",_xll.EVDES(G46,$B$1)))</f>
        <v>Rooms</v>
      </c>
      <c r="N46" s="134">
        <v>159111.96</v>
      </c>
      <c r="O46" s="134">
        <v>149434.85999999999</v>
      </c>
      <c r="P46" s="134">
        <v>163737.07</v>
      </c>
      <c r="Q46" s="134">
        <v>153760.56</v>
      </c>
      <c r="R46" s="134">
        <v>148317.25</v>
      </c>
      <c r="S46" s="134">
        <v>149032.16</v>
      </c>
      <c r="T46" s="134">
        <v>130807.1</v>
      </c>
      <c r="U46" s="134">
        <v>131535.87</v>
      </c>
      <c r="V46" s="134">
        <v>118084.62</v>
      </c>
      <c r="W46" s="134">
        <v>140341.38</v>
      </c>
      <c r="X46" s="134">
        <v>147773.76000000001</v>
      </c>
      <c r="Y46" s="134">
        <v>171768.94</v>
      </c>
      <c r="Z46" s="134">
        <f>SUM(N46:Y46)</f>
        <v>1763705.53</v>
      </c>
      <c r="AA46" s="138">
        <f>IF(Z46=0,"",IFERROR(Z46/Z39,""))</f>
        <v>0.27818942561286186</v>
      </c>
      <c r="AB46" s="136"/>
      <c r="AC46" s="134">
        <v>2098502.4295451301</v>
      </c>
      <c r="AD46" s="138">
        <f>IF(AC46=0,"",IFERROR(AC46/AC39,""))</f>
        <v>0.23221934493738899</v>
      </c>
      <c r="AE46" s="137">
        <f>IF(AND($Z46="",AC46=""),"",$Z46-AC46)</f>
        <v>-334796.89954513009</v>
      </c>
      <c r="AF46" s="134">
        <v>1248251.17</v>
      </c>
      <c r="AG46" s="138">
        <f>IF(AF46=0,"",IFERROR(AF46/AF39,""))</f>
        <v>0.47049235828592162</v>
      </c>
      <c r="AH46" s="137">
        <f>IF(AND($Z46="",AF46=""),"",$Z46-AF46)</f>
        <v>515454.3600000001</v>
      </c>
      <c r="AI46" s="596" t="str">
        <f>+IFERROR(ROUND(($AA46-AD46)*100,2)&amp;" pts.",0)</f>
        <v>4.6 pts.</v>
      </c>
      <c r="AJ46" s="597"/>
      <c r="AK46" s="596" t="str">
        <f>+IFERROR(ROUND(($AA46-AG46)*100,2)&amp;" pts.",0)</f>
        <v>-19.23 pts.</v>
      </c>
      <c r="AL46" s="597"/>
      <c r="AM46" s="11"/>
      <c r="AN46" s="11"/>
      <c r="AO46" s="11"/>
    </row>
    <row r="47" spans="1:41" x14ac:dyDescent="0.25">
      <c r="A47" s="61" t="s">
        <v>2</v>
      </c>
      <c r="B47" s="62" t="str">
        <f>IF(_epmOfflineCondition_,"'Summary'!$B$2:$B$10",_xll.EVRNG($B$2:$B$10))</f>
        <v>'Summary'!$B$2:$B$10</v>
      </c>
      <c r="C47" s="11"/>
      <c r="D47" s="11"/>
      <c r="E47" s="11"/>
      <c r="F47" s="11"/>
      <c r="G47" s="84" t="s">
        <v>358</v>
      </c>
      <c r="H47" s="84" t="s">
        <v>464</v>
      </c>
      <c r="I47" s="85" t="str">
        <f>IF(_epmOfflineCondition_,"T3",_xll.EVPRO($B$1,$H47,"STYLE"))</f>
        <v>T3</v>
      </c>
      <c r="J47" s="85" t="str">
        <f>IF(_epmOfflineCondition_,"Y",_xll.EVPRO($B$1,$H47,"CALC"))</f>
        <v>Y</v>
      </c>
      <c r="K47" s="103"/>
      <c r="L47" s="102"/>
      <c r="M47" s="86" t="str">
        <f>IF(_epmOfflineCondition_,"Food &amp; Beverage",IF(_xll.EVDES(G47,$B$1)="#NODATA","",_xll.EVDES(G47,$B$1)))</f>
        <v>Food &amp; Beverage</v>
      </c>
      <c r="N47" s="134">
        <v>90710.61</v>
      </c>
      <c r="O47" s="134">
        <v>108592.53</v>
      </c>
      <c r="P47" s="134">
        <v>109846.51</v>
      </c>
      <c r="Q47" s="134">
        <v>80522.58</v>
      </c>
      <c r="R47" s="134">
        <v>86634.05</v>
      </c>
      <c r="S47" s="134">
        <v>88506.57</v>
      </c>
      <c r="T47" s="134">
        <v>74970.880000000005</v>
      </c>
      <c r="U47" s="134">
        <v>82236.53</v>
      </c>
      <c r="V47" s="134">
        <v>88326.32</v>
      </c>
      <c r="W47" s="134">
        <v>137750.82999999999</v>
      </c>
      <c r="X47" s="134">
        <v>210041.92</v>
      </c>
      <c r="Y47" s="134">
        <v>198693.78</v>
      </c>
      <c r="Z47" s="134">
        <f>SUM(N47:Y47)</f>
        <v>1356833.11</v>
      </c>
      <c r="AA47" s="138">
        <f>IF(Z47=0,"",IFERROR(Z47/Z40,""))</f>
        <v>1.3197305741625549</v>
      </c>
      <c r="AB47" s="136"/>
      <c r="AC47" s="134">
        <v>2264342.7524504801</v>
      </c>
      <c r="AD47" s="138">
        <f>IF(AC47=0,"",IFERROR(AC47/AC40,""))</f>
        <v>0.7772089348078276</v>
      </c>
      <c r="AE47" s="137">
        <f>IF(AND($Z47="",AC47=""),"",$Z47-AC47)</f>
        <v>-907509.64245048002</v>
      </c>
      <c r="AF47" s="134">
        <v>593784.68999999994</v>
      </c>
      <c r="AG47" s="138">
        <f>IF(AF47=0,"",IFERROR(AF47/AF40,""))</f>
        <v>2.1362588746252094</v>
      </c>
      <c r="AH47" s="137">
        <f>IF(AND($Z47="",AF47=""),"",$Z47-AF47)</f>
        <v>763048.42000000016</v>
      </c>
      <c r="AI47" s="596" t="str">
        <f>+IFERROR(ROUND(($AA47-AD47)*100,2)&amp;" pts.",0)</f>
        <v>54.25 pts.</v>
      </c>
      <c r="AJ47" s="597"/>
      <c r="AK47" s="596" t="str">
        <f>+IFERROR(ROUND(($AA47-AG47)*100,2)&amp;" pts.",0)</f>
        <v>-81.65 pts.</v>
      </c>
      <c r="AL47" s="597"/>
      <c r="AM47" s="11"/>
      <c r="AN47" s="11"/>
      <c r="AO47" s="11"/>
    </row>
    <row r="48" spans="1:41" x14ac:dyDescent="0.25">
      <c r="A48" s="61" t="s">
        <v>3</v>
      </c>
      <c r="B48" s="62" t="str">
        <f>IF(_epmOfflineCondition_,"'Summary'!$N$16:$AH$18",_xll.EVRNG(N16:AH18))</f>
        <v>'Summary'!$N$16:$AH$18</v>
      </c>
      <c r="C48" s="11"/>
      <c r="D48" s="11"/>
      <c r="E48" s="11"/>
      <c r="F48" s="11"/>
      <c r="G48" s="84" t="s">
        <v>463</v>
      </c>
      <c r="H48" s="84" t="s">
        <v>464</v>
      </c>
      <c r="I48" s="85" t="str">
        <f>IF(_epmOfflineCondition_,"T3",_xll.EVPRO($B$1,$H48,"STYLE"))</f>
        <v>T3</v>
      </c>
      <c r="J48" s="85" t="str">
        <f>IF(_epmOfflineCondition_,"Y",_xll.EVPRO($B$1,$H48,"CALC"))</f>
        <v>Y</v>
      </c>
      <c r="K48" s="103"/>
      <c r="L48" s="102"/>
      <c r="M48" s="86" t="str">
        <f>IF(_epmOfflineCondition_,"Other Operated Departments",IF(_xll.EVDES(G48,$B$1)="#NODATA","",_xll.EVDES(G48,$B$1)))</f>
        <v>Other Operated Departments</v>
      </c>
      <c r="N48" s="134">
        <v>18220.63</v>
      </c>
      <c r="O48" s="134">
        <v>22768.799999999999</v>
      </c>
      <c r="P48" s="134">
        <v>30526.400000000001</v>
      </c>
      <c r="Q48" s="134">
        <v>21786.84</v>
      </c>
      <c r="R48" s="134">
        <v>26266.84</v>
      </c>
      <c r="S48" s="134">
        <v>24260.32</v>
      </c>
      <c r="T48" s="134">
        <v>22646.639999999999</v>
      </c>
      <c r="U48" s="134">
        <v>28736.41</v>
      </c>
      <c r="V48" s="134">
        <v>20260.43</v>
      </c>
      <c r="W48" s="134">
        <v>17081.72</v>
      </c>
      <c r="X48" s="134">
        <v>10808.33</v>
      </c>
      <c r="Y48" s="134">
        <v>34967.949999999997</v>
      </c>
      <c r="Z48" s="134">
        <f>SUM(N48:Y48)</f>
        <v>278331.30999999994</v>
      </c>
      <c r="AA48" s="138">
        <f>IF(Z48=0,"",IFERROR(Z48/Z41,""))</f>
        <v>1.1335995777602761</v>
      </c>
      <c r="AB48" s="136"/>
      <c r="AC48" s="134">
        <v>209830.808745713</v>
      </c>
      <c r="AD48" s="138">
        <f>IF(AC48=0,"",IFERROR(AC48/AC41,""))</f>
        <v>0.70643119154225309</v>
      </c>
      <c r="AE48" s="137">
        <f>IF(AND($Z48="",AC48=""),"",$Z48-AC48)</f>
        <v>68500.501254286937</v>
      </c>
      <c r="AF48" s="134">
        <v>157032.74</v>
      </c>
      <c r="AG48" s="138">
        <f>IF(AF48=0,"",IFERROR(AF48/AF41,""))</f>
        <v>1.6710213057617678</v>
      </c>
      <c r="AH48" s="137">
        <f>IF(AND($Z48="",AF48=""),"",$Z48-AF48)</f>
        <v>121298.56999999995</v>
      </c>
      <c r="AI48" s="600" t="str">
        <f>+IFERROR(ROUND(($AA48-AD48)*100,2)&amp;" pts.",0)</f>
        <v>42.72 pts.</v>
      </c>
      <c r="AJ48" s="601"/>
      <c r="AK48" s="600" t="str">
        <f>+IFERROR(ROUND(($AA48-AG48)*100,2)&amp;" pts.",0)</f>
        <v>-53.74 pts.</v>
      </c>
      <c r="AL48" s="601"/>
      <c r="AM48" s="11"/>
      <c r="AN48" s="11"/>
      <c r="AO48" s="11"/>
    </row>
    <row r="49" spans="1:41" x14ac:dyDescent="0.25">
      <c r="A49" s="61" t="s">
        <v>4</v>
      </c>
      <c r="B49" s="62" t="str">
        <f>IF(_epmOfflineCondition_,"'Summary'!$G$93:$H$105",_xll.EVRNG(G93:H105))</f>
        <v>'Summary'!$G$93:$H$105</v>
      </c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02" t="str">
        <f>"Total "&amp;M45</f>
        <v>Total Departmental Expense</v>
      </c>
      <c r="N49" s="146">
        <f t="shared" ref="N49:Y49" si="2">SUM(N46:N48)</f>
        <v>268043.2</v>
      </c>
      <c r="O49" s="146">
        <f t="shared" si="2"/>
        <v>280796.19</v>
      </c>
      <c r="P49" s="146">
        <f t="shared" si="2"/>
        <v>304109.98000000004</v>
      </c>
      <c r="Q49" s="146">
        <f t="shared" si="2"/>
        <v>256069.98</v>
      </c>
      <c r="R49" s="146">
        <f t="shared" si="2"/>
        <v>261218.13999999998</v>
      </c>
      <c r="S49" s="146">
        <f t="shared" si="2"/>
        <v>261799.05000000002</v>
      </c>
      <c r="T49" s="146">
        <f t="shared" si="2"/>
        <v>228424.62</v>
      </c>
      <c r="U49" s="146">
        <f t="shared" si="2"/>
        <v>242508.81</v>
      </c>
      <c r="V49" s="146">
        <f t="shared" si="2"/>
        <v>226671.37</v>
      </c>
      <c r="W49" s="146">
        <f t="shared" si="2"/>
        <v>295173.92999999993</v>
      </c>
      <c r="X49" s="146">
        <f t="shared" si="2"/>
        <v>368624.01000000007</v>
      </c>
      <c r="Y49" s="146">
        <f t="shared" si="2"/>
        <v>405430.67</v>
      </c>
      <c r="Z49" s="146">
        <f>SUM(N49:Y49)</f>
        <v>3398869.9500000007</v>
      </c>
      <c r="AA49" s="147">
        <f>IF(Z49=0,"",IFERROR(Z49/Z$43,""))</f>
        <v>0.4053033722920778</v>
      </c>
      <c r="AB49" s="136"/>
      <c r="AC49" s="146">
        <f>SUM(AC46:AC48)</f>
        <v>4572675.9907413227</v>
      </c>
      <c r="AD49" s="147">
        <f>IF(AC49=0,"",IFERROR(AC49/AC$43,""))</f>
        <v>0.35046621628952773</v>
      </c>
      <c r="AE49" s="148">
        <f>IF(AND($Z49="",AC49=""),"",$Z49-AC49)</f>
        <v>-1173806.0407413221</v>
      </c>
      <c r="AF49" s="146">
        <f>SUM(AF46:AF48)</f>
        <v>1999068.5999999999</v>
      </c>
      <c r="AG49" s="147">
        <f>IF(AF49=0,"",IFERROR(AF49/AF$43,""))</f>
        <v>0.61346169813621787</v>
      </c>
      <c r="AH49" s="148">
        <f>IF(AND($Z49="",AF49=""),"",$Z49-AF49)</f>
        <v>1399801.3500000008</v>
      </c>
      <c r="AI49" s="602" t="str">
        <f>+IFERROR(ROUND(($AA49-AD49)*100,2)&amp;" pts.",0)</f>
        <v>5.48 pts.</v>
      </c>
      <c r="AJ49" s="603"/>
      <c r="AK49" s="602" t="str">
        <f>+IFERROR(ROUND(($AA49-AG49)*100,2)&amp;" pts.",0)</f>
        <v>-20.82 pts.</v>
      </c>
      <c r="AL49" s="603"/>
      <c r="AM49" s="11"/>
      <c r="AN49" s="11"/>
      <c r="AO49" s="11"/>
    </row>
    <row r="50" spans="1:41" x14ac:dyDescent="0.25">
      <c r="A50" s="61" t="s">
        <v>5</v>
      </c>
      <c r="B50" s="62"/>
      <c r="C50" s="11"/>
      <c r="D50" s="11"/>
      <c r="E50" s="11"/>
      <c r="F50" s="11"/>
      <c r="G50" s="11"/>
      <c r="H50" s="11"/>
      <c r="I50" s="11"/>
      <c r="J50" s="11"/>
      <c r="K50" s="11"/>
      <c r="L50" s="11">
        <f>COUNTIF(N50:AH50,FALSE)</f>
        <v>0</v>
      </c>
      <c r="M50" s="113" t="str">
        <f>IF(L50=0,"","Expense - database validation failed")</f>
        <v/>
      </c>
      <c r="N50" s="149" t="str">
        <f t="shared" ref="N50:Z50" si="3">IF(ROUND(N49,2)&lt;&gt;ROUND(N98,2),N49-N98,"")</f>
        <v/>
      </c>
      <c r="O50" s="150" t="str">
        <f t="shared" si="3"/>
        <v/>
      </c>
      <c r="P50" s="150" t="str">
        <f t="shared" si="3"/>
        <v/>
      </c>
      <c r="Q50" s="150" t="str">
        <f t="shared" si="3"/>
        <v/>
      </c>
      <c r="R50" s="150" t="str">
        <f t="shared" si="3"/>
        <v/>
      </c>
      <c r="S50" s="150" t="str">
        <f t="shared" si="3"/>
        <v/>
      </c>
      <c r="T50" s="150" t="str">
        <f t="shared" si="3"/>
        <v/>
      </c>
      <c r="U50" s="150" t="str">
        <f t="shared" si="3"/>
        <v/>
      </c>
      <c r="V50" s="150" t="str">
        <f t="shared" si="3"/>
        <v/>
      </c>
      <c r="W50" s="150" t="str">
        <f t="shared" si="3"/>
        <v/>
      </c>
      <c r="X50" s="150" t="str">
        <f t="shared" si="3"/>
        <v/>
      </c>
      <c r="Y50" s="150" t="str">
        <f t="shared" si="3"/>
        <v/>
      </c>
      <c r="Z50" s="150" t="str">
        <f t="shared" si="3"/>
        <v/>
      </c>
      <c r="AA50" s="157" t="b">
        <f>Z50=""</f>
        <v>1</v>
      </c>
      <c r="AB50" s="136"/>
      <c r="AC50" s="149" t="str">
        <f>IF(ROUND(AC49,2)&lt;&gt;ROUND(AC98,2),AC49-AC98,"")</f>
        <v/>
      </c>
      <c r="AD50" s="152" t="b">
        <f>AC50=""</f>
        <v>1</v>
      </c>
      <c r="AE50" s="153"/>
      <c r="AF50" s="149" t="str">
        <f>IF(ROUND(AF49,2)&lt;&gt;ROUND(AF98,2),AF49-AF98,"")</f>
        <v/>
      </c>
      <c r="AG50" s="152" t="b">
        <f>AF50=""</f>
        <v>1</v>
      </c>
      <c r="AH50" s="153"/>
      <c r="AI50" s="11"/>
      <c r="AJ50" s="11"/>
      <c r="AK50" s="11"/>
      <c r="AL50" s="11"/>
      <c r="AM50" s="11"/>
      <c r="AN50" s="11"/>
      <c r="AO50" s="11"/>
    </row>
    <row r="51" spans="1:41" x14ac:dyDescent="0.25">
      <c r="A51" s="61" t="s">
        <v>6</v>
      </c>
      <c r="B51" s="62"/>
      <c r="C51" s="11"/>
      <c r="D51" s="11"/>
      <c r="E51" s="11"/>
      <c r="F51" s="11"/>
      <c r="G51" s="84"/>
      <c r="H51" s="84"/>
      <c r="I51" s="118"/>
      <c r="J51" s="118"/>
      <c r="K51" s="11"/>
      <c r="L51" s="11"/>
      <c r="M51" s="102" t="s">
        <v>471</v>
      </c>
      <c r="N51" s="158">
        <f t="shared" ref="N51:Y51" si="4">N43-N49</f>
        <v>548938.05000000005</v>
      </c>
      <c r="O51" s="158">
        <f t="shared" si="4"/>
        <v>585977.07000000007</v>
      </c>
      <c r="P51" s="158">
        <f t="shared" si="4"/>
        <v>665683.69999999995</v>
      </c>
      <c r="Q51" s="158">
        <f t="shared" si="4"/>
        <v>504158.85</v>
      </c>
      <c r="R51" s="158">
        <f t="shared" si="4"/>
        <v>357437.15</v>
      </c>
      <c r="S51" s="158">
        <f t="shared" si="4"/>
        <v>191879.72</v>
      </c>
      <c r="T51" s="158">
        <f t="shared" si="4"/>
        <v>314014.76</v>
      </c>
      <c r="U51" s="158">
        <f t="shared" si="4"/>
        <v>287885.11000000004</v>
      </c>
      <c r="V51" s="158">
        <f t="shared" si="4"/>
        <v>140318.60999999999</v>
      </c>
      <c r="W51" s="158">
        <f t="shared" si="4"/>
        <v>253913.07000000007</v>
      </c>
      <c r="X51" s="158">
        <f t="shared" si="4"/>
        <v>388226.35999999993</v>
      </c>
      <c r="Y51" s="158">
        <f t="shared" si="4"/>
        <v>748687.40999999992</v>
      </c>
      <c r="Z51" s="158">
        <f>SUM(N51:Y51)</f>
        <v>4987119.8600000003</v>
      </c>
      <c r="AA51" s="159">
        <f>IF(Z51=0,"",IFERROR(Z51/Z43,""))</f>
        <v>0.59469662770792231</v>
      </c>
      <c r="AB51" s="136"/>
      <c r="AC51" s="158">
        <f>AC43-AC49</f>
        <v>8474732.7984805629</v>
      </c>
      <c r="AD51" s="159">
        <f>IF(AC51=0,"",IFERROR(AC51/AC43,""))</f>
        <v>0.64953378371047221</v>
      </c>
      <c r="AE51" s="160">
        <f>IF(AND($Z51="",AC51=""),"",$Z51-AC51)</f>
        <v>-3487612.9384805625</v>
      </c>
      <c r="AF51" s="158">
        <f>AF43-AF49</f>
        <v>1259600.3699999999</v>
      </c>
      <c r="AG51" s="159">
        <f>IF(AF51=0,"",IFERROR(AF51/AF43,""))</f>
        <v>0.38653830186378213</v>
      </c>
      <c r="AH51" s="160">
        <f>IF(AND($Z51="",AF51=""),"",$Z51-AF51)</f>
        <v>3727519.49</v>
      </c>
      <c r="AI51" s="604" t="str">
        <f>+IFERROR(ROUND(($AA51-AD51)*100,2)&amp;" pts.",0)</f>
        <v>-5.48 pts.</v>
      </c>
      <c r="AJ51" s="605"/>
      <c r="AK51" s="604" t="str">
        <f>+IFERROR(ROUND(($AA51-AG51)*100,2)&amp;" pts.",0)</f>
        <v>20.82 pts.</v>
      </c>
      <c r="AL51" s="605"/>
      <c r="AM51" s="11"/>
      <c r="AN51" s="11"/>
      <c r="AO51" s="11"/>
    </row>
    <row r="52" spans="1:41" x14ac:dyDescent="0.25">
      <c r="A52" s="61" t="s">
        <v>7</v>
      </c>
      <c r="B52" s="62"/>
      <c r="C52" s="11"/>
      <c r="D52" s="11"/>
      <c r="E52" s="11"/>
      <c r="F52" s="11"/>
      <c r="G52" s="11"/>
      <c r="H52" s="11"/>
      <c r="I52" s="11"/>
      <c r="J52" s="11"/>
      <c r="K52" s="11"/>
      <c r="L52" s="11">
        <f>COUNTIF(N52:AH52,FALSE)</f>
        <v>0</v>
      </c>
      <c r="M52" s="113" t="str">
        <f>IF(L52=0,"","Profit - database validation failed")</f>
        <v/>
      </c>
      <c r="N52" s="149" t="str">
        <f t="shared" ref="N52:Z52" si="5">IF(ROUND(N51,2)&lt;&gt;ROUND(N99,2),N51-N99,"")</f>
        <v/>
      </c>
      <c r="O52" s="150" t="str">
        <f t="shared" si="5"/>
        <v/>
      </c>
      <c r="P52" s="150" t="str">
        <f t="shared" si="5"/>
        <v/>
      </c>
      <c r="Q52" s="150" t="str">
        <f t="shared" si="5"/>
        <v/>
      </c>
      <c r="R52" s="150" t="str">
        <f t="shared" si="5"/>
        <v/>
      </c>
      <c r="S52" s="150" t="str">
        <f t="shared" si="5"/>
        <v/>
      </c>
      <c r="T52" s="150" t="str">
        <f t="shared" si="5"/>
        <v/>
      </c>
      <c r="U52" s="150" t="str">
        <f t="shared" si="5"/>
        <v/>
      </c>
      <c r="V52" s="150" t="str">
        <f t="shared" si="5"/>
        <v/>
      </c>
      <c r="W52" s="150" t="str">
        <f t="shared" si="5"/>
        <v/>
      </c>
      <c r="X52" s="150" t="str">
        <f t="shared" si="5"/>
        <v/>
      </c>
      <c r="Y52" s="150" t="str">
        <f t="shared" si="5"/>
        <v/>
      </c>
      <c r="Z52" s="150" t="str">
        <f t="shared" si="5"/>
        <v/>
      </c>
      <c r="AA52" s="157" t="b">
        <f>Z52=""</f>
        <v>1</v>
      </c>
      <c r="AB52" s="136"/>
      <c r="AC52" s="149" t="str">
        <f>IF(ROUND(AC51,2)&lt;&gt;ROUND(AC99,2),AC51-AC99,"")</f>
        <v/>
      </c>
      <c r="AD52" s="152" t="b">
        <f>AC52=""</f>
        <v>1</v>
      </c>
      <c r="AE52" s="153"/>
      <c r="AF52" s="149" t="str">
        <f>IF(ROUND(AF51,2)&lt;&gt;ROUND(AF99,2),AF51-AF99,"")</f>
        <v/>
      </c>
      <c r="AG52" s="152" t="b">
        <f>AF52=""</f>
        <v>1</v>
      </c>
      <c r="AH52" s="153"/>
      <c r="AI52" s="11"/>
      <c r="AJ52" s="11"/>
      <c r="AK52" s="11"/>
      <c r="AL52" s="11"/>
      <c r="AM52" s="11"/>
      <c r="AN52" s="11"/>
      <c r="AO52" s="11"/>
    </row>
    <row r="53" spans="1:41" x14ac:dyDescent="0.25">
      <c r="A53" s="61" t="s">
        <v>47</v>
      </c>
      <c r="B53" s="62" t="str">
        <f>IF(_epmOfflineCondition_,"'Summary'!$A$58:$B$79",_xll.EVRNG($A$58:$B$79))</f>
        <v>'Summary'!$A$58:$B$79</v>
      </c>
      <c r="C53" s="11"/>
      <c r="D53" s="11"/>
      <c r="E53" s="11"/>
      <c r="F53" s="11"/>
      <c r="G53" s="11"/>
      <c r="H53" s="11" t="s">
        <v>565</v>
      </c>
      <c r="I53" s="55" t="str">
        <f>IF(_epmOfflineCondition_,"B1",_xll.EVPRO($B$1,$H53,"STYLE"))</f>
        <v>B1</v>
      </c>
      <c r="J53" s="55" t="str">
        <f>IF(_epmOfflineCondition_,"Y",_xll.EVPRO($B$1,$H53,"CALC"))</f>
        <v>Y</v>
      </c>
      <c r="K53" s="11"/>
      <c r="L53" s="11"/>
      <c r="M53" s="101" t="str">
        <f>IF(_epmOfflineCondition_,"Undistributed Expenses",IF(_xll.EVDES(H53,$B$1)="#NODATA","",_xll.EVDES(H53,$B$1)))</f>
        <v>Undistributed Expenses</v>
      </c>
      <c r="N53" s="154"/>
      <c r="O53" s="155"/>
      <c r="P53" s="155"/>
      <c r="Q53" s="155"/>
      <c r="R53" s="155"/>
      <c r="S53" s="155"/>
      <c r="T53" s="155"/>
      <c r="U53" s="155"/>
      <c r="V53" s="155"/>
      <c r="W53" s="155"/>
      <c r="X53" s="155"/>
      <c r="Y53" s="155"/>
      <c r="Z53" s="155"/>
      <c r="AA53" s="156"/>
      <c r="AB53" s="136"/>
      <c r="AC53" s="154"/>
      <c r="AD53" s="155"/>
      <c r="AE53" s="156"/>
      <c r="AF53" s="154"/>
      <c r="AG53" s="155"/>
      <c r="AH53" s="156"/>
      <c r="AI53" s="11"/>
      <c r="AJ53" s="11"/>
      <c r="AK53" s="11"/>
      <c r="AL53" s="11"/>
      <c r="AM53" s="11"/>
      <c r="AN53" s="11"/>
      <c r="AO53" s="11"/>
    </row>
    <row r="54" spans="1:41" x14ac:dyDescent="0.25">
      <c r="A54" s="61" t="s">
        <v>8</v>
      </c>
      <c r="B54" s="62"/>
      <c r="C54" s="11"/>
      <c r="D54" s="11"/>
      <c r="E54" s="11"/>
      <c r="F54" s="11"/>
      <c r="G54" s="84" t="s">
        <v>497</v>
      </c>
      <c r="H54" s="84" t="s">
        <v>464</v>
      </c>
      <c r="I54" s="118" t="str">
        <f>IF(_epmOfflineCondition_,"T3",_xll.EVPRO($B$1,$H54,"STYLE"))</f>
        <v>T3</v>
      </c>
      <c r="J54" s="118" t="str">
        <f>IF(_epmOfflineCondition_,"Y",_xll.EVPRO($B$1,$H54,"CALC"))</f>
        <v>Y</v>
      </c>
      <c r="K54" s="11"/>
      <c r="L54" s="11"/>
      <c r="M54" s="86" t="str">
        <f>IF(_epmOfflineCondition_,"Administrative &amp; General",IF(_xll.EVDES(G54,$B$1)="#NODATA","",_xll.EVDES(G54,$B$1)))</f>
        <v>Administrative &amp; General</v>
      </c>
      <c r="N54" s="134">
        <v>77459</v>
      </c>
      <c r="O54" s="134">
        <v>102448.24</v>
      </c>
      <c r="P54" s="134">
        <v>105544.25</v>
      </c>
      <c r="Q54" s="134">
        <v>80677.679999999993</v>
      </c>
      <c r="R54" s="134">
        <v>75917.919999999998</v>
      </c>
      <c r="S54" s="134">
        <v>69485.83</v>
      </c>
      <c r="T54" s="134">
        <v>73339.100000000006</v>
      </c>
      <c r="U54" s="134">
        <v>74748.63</v>
      </c>
      <c r="V54" s="134">
        <v>75969</v>
      </c>
      <c r="W54" s="134">
        <v>94727.39</v>
      </c>
      <c r="X54" s="134">
        <v>84564.52</v>
      </c>
      <c r="Y54" s="134">
        <v>112806.84</v>
      </c>
      <c r="Z54" s="134">
        <f t="shared" ref="Z54:Z59" si="6">SUM(N54:Y54)</f>
        <v>1027688.4</v>
      </c>
      <c r="AA54" s="138">
        <f t="shared" ref="AA54:AA59" si="7">IF(Z54=0,"",IFERROR(Z54/Z$43,""))</f>
        <v>0.12254825289371536</v>
      </c>
      <c r="AB54" s="136"/>
      <c r="AC54" s="134">
        <v>1173417.93998133</v>
      </c>
      <c r="AD54" s="138">
        <f t="shared" ref="AD54:AD59" si="8">IF(AC54=0,"",IFERROR(AC54/AC$43,""))</f>
        <v>8.9934941024508941E-2</v>
      </c>
      <c r="AE54" s="137">
        <f t="shared" ref="AE54:AE59" si="9">IF(AND($Z54="",AC54=""),"",$Z54-AC54)</f>
        <v>-145729.53998132993</v>
      </c>
      <c r="AF54" s="134">
        <v>773424.47</v>
      </c>
      <c r="AG54" s="138">
        <f t="shared" ref="AG54:AG59" si="10">IF(AF54=0,"",IFERROR(AF54/AF$43,""))</f>
        <v>0.23734367532274997</v>
      </c>
      <c r="AH54" s="137">
        <f t="shared" ref="AH54:AH59" si="11">IF(AND($Z54="",AF54=""),"",$Z54-AF54)</f>
        <v>254263.93000000005</v>
      </c>
      <c r="AI54" s="596" t="str">
        <f t="shared" ref="AI54:AI59" si="12">+IFERROR(ROUND(($AA54-AD54)*100,2)&amp;" pts.",0)</f>
        <v>3.26 pts.</v>
      </c>
      <c r="AJ54" s="597"/>
      <c r="AK54" s="596" t="str">
        <f t="shared" ref="AK54:AK59" si="13">+IFERROR(ROUND(($AA54-AG54)*100,2)&amp;" pts.",0)</f>
        <v>-11.48 pts.</v>
      </c>
      <c r="AL54" s="597"/>
      <c r="AM54" s="11"/>
      <c r="AN54" s="11"/>
      <c r="AO54" s="11"/>
    </row>
    <row r="55" spans="1:41" x14ac:dyDescent="0.25">
      <c r="A55" s="11"/>
      <c r="B55" s="11"/>
      <c r="C55" s="11"/>
      <c r="D55" s="11" t="s">
        <v>569</v>
      </c>
      <c r="E55" s="11"/>
      <c r="F55" s="11"/>
      <c r="G55" s="84" t="s">
        <v>500</v>
      </c>
      <c r="H55" s="84" t="s">
        <v>464</v>
      </c>
      <c r="I55" s="118" t="str">
        <f>IF(_epmOfflineCondition_,"T3",_xll.EVPRO($B$1,$H55,"STYLE"))</f>
        <v>T3</v>
      </c>
      <c r="J55" s="118" t="str">
        <f>IF(_epmOfflineCondition_,"Y",_xll.EVPRO($B$1,$H55,"CALC"))</f>
        <v>Y</v>
      </c>
      <c r="K55" s="11"/>
      <c r="L55" s="11"/>
      <c r="M55" s="86" t="str">
        <f>IF(_epmOfflineCondition_,"Information &amp; Telecom Systems",IF(_xll.EVDES(G55,$B$1)="#NODATA","",_xll.EVDES(G55,$B$1)))</f>
        <v>Information &amp; Telecom Systems</v>
      </c>
      <c r="N55" s="134">
        <v>13951.27</v>
      </c>
      <c r="O55" s="134">
        <v>17511.259999999998</v>
      </c>
      <c r="P55" s="134">
        <v>18663.25</v>
      </c>
      <c r="Q55" s="134">
        <v>17553.79</v>
      </c>
      <c r="R55" s="134">
        <v>20129.02</v>
      </c>
      <c r="S55" s="134">
        <v>18862.68</v>
      </c>
      <c r="T55" s="134">
        <v>15039.73</v>
      </c>
      <c r="U55" s="134">
        <v>15455.03</v>
      </c>
      <c r="V55" s="134">
        <v>-9006.9</v>
      </c>
      <c r="W55" s="134">
        <v>12609.31</v>
      </c>
      <c r="X55" s="134">
        <v>16232.11</v>
      </c>
      <c r="Y55" s="134">
        <v>18830.87</v>
      </c>
      <c r="Z55" s="134">
        <f t="shared" si="6"/>
        <v>175831.42000000004</v>
      </c>
      <c r="AA55" s="138">
        <f t="shared" si="7"/>
        <v>2.0967282811425219E-2</v>
      </c>
      <c r="AB55" s="136"/>
      <c r="AC55" s="134">
        <v>235641.51859500501</v>
      </c>
      <c r="AD55" s="138">
        <f t="shared" si="8"/>
        <v>1.8060407426619615E-2</v>
      </c>
      <c r="AE55" s="137">
        <f t="shared" si="9"/>
        <v>-59810.098595004965</v>
      </c>
      <c r="AF55" s="134">
        <v>159576.76999999999</v>
      </c>
      <c r="AG55" s="138">
        <f t="shared" si="10"/>
        <v>4.8969923446995599E-2</v>
      </c>
      <c r="AH55" s="137">
        <f t="shared" si="11"/>
        <v>16254.650000000052</v>
      </c>
      <c r="AI55" s="596" t="str">
        <f t="shared" si="12"/>
        <v>0.29 pts.</v>
      </c>
      <c r="AJ55" s="597"/>
      <c r="AK55" s="596" t="str">
        <f t="shared" si="13"/>
        <v>-2.8 pts.</v>
      </c>
      <c r="AL55" s="597"/>
      <c r="AM55" s="11"/>
      <c r="AN55" s="11"/>
      <c r="AO55" s="11"/>
    </row>
    <row r="56" spans="1:41" x14ac:dyDescent="0.25">
      <c r="A56" s="11"/>
      <c r="B56" s="11"/>
      <c r="C56" s="11"/>
      <c r="D56" s="11"/>
      <c r="E56" s="11"/>
      <c r="F56" s="11"/>
      <c r="G56" s="84" t="s">
        <v>512</v>
      </c>
      <c r="H56" s="84" t="s">
        <v>464</v>
      </c>
      <c r="I56" s="118" t="str">
        <f>IF(_epmOfflineCondition_,"T3",_xll.EVPRO($B$1,$H56,"STYLE"))</f>
        <v>T3</v>
      </c>
      <c r="J56" s="118" t="str">
        <f>IF(_epmOfflineCondition_,"Y",_xll.EVPRO($B$1,$H56,"CALC"))</f>
        <v>Y</v>
      </c>
      <c r="K56" s="11"/>
      <c r="L56" s="11"/>
      <c r="M56" s="86" t="str">
        <f>IF(_epmOfflineCondition_,"Sales &amp; Marketing",IF(_xll.EVDES(G56,$B$1)="#NODATA","",_xll.EVDES(G56,$B$1)))</f>
        <v>Sales &amp; Marketing</v>
      </c>
      <c r="N56" s="134">
        <v>77478.87</v>
      </c>
      <c r="O56" s="134">
        <v>99759.31</v>
      </c>
      <c r="P56" s="134">
        <v>112768.44</v>
      </c>
      <c r="Q56" s="134">
        <v>92905.11</v>
      </c>
      <c r="R56" s="134">
        <v>91102.2</v>
      </c>
      <c r="S56" s="134">
        <v>109591.86</v>
      </c>
      <c r="T56" s="134">
        <v>78389.45</v>
      </c>
      <c r="U56" s="134">
        <v>76633.58</v>
      </c>
      <c r="V56" s="134">
        <v>87442.36</v>
      </c>
      <c r="W56" s="134">
        <v>95214.98</v>
      </c>
      <c r="X56" s="134">
        <v>104134.98</v>
      </c>
      <c r="Y56" s="134">
        <v>123084.67</v>
      </c>
      <c r="Z56" s="134">
        <f t="shared" si="6"/>
        <v>1148505.8099999998</v>
      </c>
      <c r="AA56" s="138">
        <f t="shared" si="7"/>
        <v>0.13695530712790122</v>
      </c>
      <c r="AB56" s="136"/>
      <c r="AC56" s="134">
        <v>1095457.7419147801</v>
      </c>
      <c r="AD56" s="138">
        <f t="shared" si="8"/>
        <v>8.3959793060190482E-2</v>
      </c>
      <c r="AE56" s="137">
        <f t="shared" si="9"/>
        <v>53048.068085219711</v>
      </c>
      <c r="AF56" s="134">
        <v>731685.45</v>
      </c>
      <c r="AG56" s="138">
        <f t="shared" si="10"/>
        <v>0.22453506530919587</v>
      </c>
      <c r="AH56" s="137">
        <f t="shared" si="11"/>
        <v>416820.35999999987</v>
      </c>
      <c r="AI56" s="596" t="str">
        <f t="shared" si="12"/>
        <v>5.3 pts.</v>
      </c>
      <c r="AJ56" s="597"/>
      <c r="AK56" s="596" t="str">
        <f t="shared" si="13"/>
        <v>-8.76 pts.</v>
      </c>
      <c r="AL56" s="597"/>
      <c r="AM56" s="11"/>
      <c r="AN56" s="11"/>
      <c r="AO56" s="11"/>
    </row>
    <row r="57" spans="1:41" x14ac:dyDescent="0.25">
      <c r="A57" s="57" t="s">
        <v>23</v>
      </c>
      <c r="B57" s="58" t="s">
        <v>24</v>
      </c>
      <c r="C57" s="11"/>
      <c r="D57" s="11"/>
      <c r="E57" s="11"/>
      <c r="F57" s="11"/>
      <c r="G57" s="84" t="s">
        <v>513</v>
      </c>
      <c r="H57" s="84" t="s">
        <v>464</v>
      </c>
      <c r="I57" s="118" t="str">
        <f>IF(_epmOfflineCondition_,"T3",_xll.EVPRO($B$1,$H57,"STYLE"))</f>
        <v>T3</v>
      </c>
      <c r="J57" s="118" t="str">
        <f>IF(_epmOfflineCondition_,"Y",_xll.EVPRO($B$1,$H57,"CALC"))</f>
        <v>Y</v>
      </c>
      <c r="K57" s="11"/>
      <c r="L57" s="11"/>
      <c r="M57" s="86" t="str">
        <f>IF(_epmOfflineCondition_,"Property Operation &amp; Maintenance",IF(_xll.EVDES(G57,$B$1)="#NODATA","",_xll.EVDES(G57,$B$1)))</f>
        <v>Property Operation &amp; Maintenance</v>
      </c>
      <c r="N57" s="134">
        <v>43781</v>
      </c>
      <c r="O57" s="134">
        <v>50924.28</v>
      </c>
      <c r="P57" s="134">
        <v>43487.35</v>
      </c>
      <c r="Q57" s="134">
        <v>48201.79</v>
      </c>
      <c r="R57" s="134">
        <v>48405.84</v>
      </c>
      <c r="S57" s="134">
        <v>45096.23</v>
      </c>
      <c r="T57" s="134">
        <v>44740.15</v>
      </c>
      <c r="U57" s="134">
        <v>37520.449999999997</v>
      </c>
      <c r="V57" s="134">
        <v>42780.92</v>
      </c>
      <c r="W57" s="134">
        <v>36516.699999999997</v>
      </c>
      <c r="X57" s="134">
        <v>42872.76</v>
      </c>
      <c r="Y57" s="134">
        <v>49886.43</v>
      </c>
      <c r="Z57" s="134">
        <f t="shared" si="6"/>
        <v>534213.9</v>
      </c>
      <c r="AA57" s="138">
        <f t="shared" si="7"/>
        <v>6.3703142038518651E-2</v>
      </c>
      <c r="AB57" s="136"/>
      <c r="AC57" s="134">
        <v>547403.05867977499</v>
      </c>
      <c r="AD57" s="138">
        <f t="shared" si="8"/>
        <v>4.1954925113710698E-2</v>
      </c>
      <c r="AE57" s="137">
        <f t="shared" si="9"/>
        <v>-13189.158679774962</v>
      </c>
      <c r="AF57" s="134">
        <v>409470.62</v>
      </c>
      <c r="AG57" s="138">
        <f t="shared" si="10"/>
        <v>0.12565578884190867</v>
      </c>
      <c r="AH57" s="137">
        <f t="shared" si="11"/>
        <v>124743.28000000003</v>
      </c>
      <c r="AI57" s="596" t="str">
        <f t="shared" si="12"/>
        <v>2.17 pts.</v>
      </c>
      <c r="AJ57" s="597"/>
      <c r="AK57" s="596" t="str">
        <f t="shared" si="13"/>
        <v>-6.2 pts.</v>
      </c>
      <c r="AL57" s="597"/>
      <c r="AM57" s="11"/>
      <c r="AN57" s="11"/>
      <c r="AO57" s="11"/>
    </row>
    <row r="58" spans="1:41" x14ac:dyDescent="0.25">
      <c r="A58" s="61" t="s">
        <v>25</v>
      </c>
      <c r="B58" s="62"/>
      <c r="C58" s="11"/>
      <c r="D58" s="11"/>
      <c r="E58" s="11"/>
      <c r="F58" s="11"/>
      <c r="G58" s="84" t="s">
        <v>514</v>
      </c>
      <c r="H58" s="84" t="s">
        <v>464</v>
      </c>
      <c r="I58" s="118" t="str">
        <f>IF(_epmOfflineCondition_,"T3",_xll.EVPRO($B$1,$H58,"STYLE"))</f>
        <v>T3</v>
      </c>
      <c r="J58" s="118" t="str">
        <f>IF(_epmOfflineCondition_,"Y",_xll.EVPRO($B$1,$H58,"CALC"))</f>
        <v>Y</v>
      </c>
      <c r="K58" s="11"/>
      <c r="L58" s="11"/>
      <c r="M58" s="86" t="str">
        <f>IF(_epmOfflineCondition_,"Utilities",IF(_xll.EVDES(G58,$B$1)="#NODATA","",_xll.EVDES(G58,$B$1)))</f>
        <v>Utilities</v>
      </c>
      <c r="N58" s="134">
        <v>11990.02</v>
      </c>
      <c r="O58" s="134">
        <v>10814.01</v>
      </c>
      <c r="P58" s="134">
        <v>12837.87</v>
      </c>
      <c r="Q58" s="134">
        <v>10083.57</v>
      </c>
      <c r="R58" s="134">
        <v>12816.81</v>
      </c>
      <c r="S58" s="134">
        <v>15471.67</v>
      </c>
      <c r="T58" s="134">
        <v>14351.78</v>
      </c>
      <c r="U58" s="134">
        <v>15453.86</v>
      </c>
      <c r="V58" s="134">
        <v>11859.97</v>
      </c>
      <c r="W58" s="134">
        <v>16942.12</v>
      </c>
      <c r="X58" s="134">
        <v>16096.28</v>
      </c>
      <c r="Y58" s="134">
        <v>13812.56</v>
      </c>
      <c r="Z58" s="134">
        <f t="shared" si="6"/>
        <v>162530.51999999999</v>
      </c>
      <c r="AA58" s="138">
        <f t="shared" si="7"/>
        <v>1.9381196934700307E-2</v>
      </c>
      <c r="AB58" s="136"/>
      <c r="AC58" s="134">
        <v>293998.88</v>
      </c>
      <c r="AD58" s="138">
        <f t="shared" si="8"/>
        <v>2.2533123990325539E-2</v>
      </c>
      <c r="AE58" s="137">
        <f t="shared" si="9"/>
        <v>-131468.36000000002</v>
      </c>
      <c r="AF58" s="134">
        <v>120577.54</v>
      </c>
      <c r="AG58" s="138">
        <f t="shared" si="10"/>
        <v>3.7002083092840206E-2</v>
      </c>
      <c r="AH58" s="137">
        <f t="shared" si="11"/>
        <v>41952.979999999996</v>
      </c>
      <c r="AI58" s="596" t="str">
        <f t="shared" si="12"/>
        <v>-0.32 pts.</v>
      </c>
      <c r="AJ58" s="597"/>
      <c r="AK58" s="596" t="str">
        <f t="shared" si="13"/>
        <v>-1.76 pts.</v>
      </c>
      <c r="AL58" s="597"/>
      <c r="AM58" s="11"/>
      <c r="AN58" s="11"/>
      <c r="AO58" s="11"/>
    </row>
    <row r="59" spans="1:41" x14ac:dyDescent="0.25">
      <c r="A59" s="61" t="s">
        <v>26</v>
      </c>
      <c r="B59" s="62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02" t="str">
        <f>"Total "&amp;M53</f>
        <v>Total Undistributed Expenses</v>
      </c>
      <c r="N59" s="146">
        <f t="shared" ref="N59:Y59" si="14">SUM(N54:N58)</f>
        <v>224660.16</v>
      </c>
      <c r="O59" s="146">
        <f t="shared" si="14"/>
        <v>281457.09999999998</v>
      </c>
      <c r="P59" s="146">
        <f t="shared" si="14"/>
        <v>293301.15999999997</v>
      </c>
      <c r="Q59" s="146">
        <f t="shared" si="14"/>
        <v>249421.94000000003</v>
      </c>
      <c r="R59" s="146">
        <f t="shared" si="14"/>
        <v>248371.79</v>
      </c>
      <c r="S59" s="146">
        <f t="shared" si="14"/>
        <v>258508.27000000002</v>
      </c>
      <c r="T59" s="146">
        <f t="shared" si="14"/>
        <v>225860.21</v>
      </c>
      <c r="U59" s="146">
        <f t="shared" si="14"/>
        <v>219811.55</v>
      </c>
      <c r="V59" s="146">
        <f t="shared" si="14"/>
        <v>209045.35</v>
      </c>
      <c r="W59" s="146">
        <f t="shared" si="14"/>
        <v>256010.5</v>
      </c>
      <c r="X59" s="146">
        <f t="shared" si="14"/>
        <v>263900.65000000002</v>
      </c>
      <c r="Y59" s="146">
        <f t="shared" si="14"/>
        <v>318421.37</v>
      </c>
      <c r="Z59" s="146">
        <f t="shared" si="6"/>
        <v>3048770.05</v>
      </c>
      <c r="AA59" s="147">
        <f t="shared" si="7"/>
        <v>0.36355518180626073</v>
      </c>
      <c r="AB59" s="136"/>
      <c r="AC59" s="146">
        <f>SUM(AC54:AC58)</f>
        <v>3345919.1391708897</v>
      </c>
      <c r="AD59" s="147">
        <f t="shared" si="8"/>
        <v>0.25644319061535525</v>
      </c>
      <c r="AE59" s="148">
        <f t="shared" si="9"/>
        <v>-297149.08917088993</v>
      </c>
      <c r="AF59" s="146">
        <f>SUM(AF54:AF58)</f>
        <v>2194734.85</v>
      </c>
      <c r="AG59" s="147">
        <f t="shared" si="10"/>
        <v>0.67350653601369037</v>
      </c>
      <c r="AH59" s="148">
        <f t="shared" si="11"/>
        <v>854035.19999999972</v>
      </c>
      <c r="AI59" s="602" t="str">
        <f t="shared" si="12"/>
        <v>10.71 pts.</v>
      </c>
      <c r="AJ59" s="603"/>
      <c r="AK59" s="602" t="str">
        <f t="shared" si="13"/>
        <v>-31 pts.</v>
      </c>
      <c r="AL59" s="603"/>
      <c r="AM59" s="11"/>
      <c r="AN59" s="11"/>
      <c r="AO59" s="11"/>
    </row>
    <row r="60" spans="1:41" x14ac:dyDescent="0.25">
      <c r="A60" s="61" t="s">
        <v>27</v>
      </c>
      <c r="B60" s="62"/>
      <c r="C60" s="11"/>
      <c r="D60" s="11"/>
      <c r="E60" s="11"/>
      <c r="F60" s="11"/>
      <c r="G60" s="102"/>
      <c r="H60" s="102"/>
      <c r="I60" s="102"/>
      <c r="J60" s="102"/>
      <c r="K60" s="11"/>
      <c r="L60" s="11">
        <f>COUNTIF(N60:AH60,FALSE)</f>
        <v>0</v>
      </c>
      <c r="M60" s="113" t="str">
        <f>IF(L60=0,"","Expense - database validation failed")</f>
        <v/>
      </c>
      <c r="N60" s="149" t="str">
        <f t="shared" ref="N60:Z60" si="15">IF(ROUND(N59,2)&lt;&gt;ROUND(N100,2),N59-N100,"")</f>
        <v/>
      </c>
      <c r="O60" s="150" t="str">
        <f t="shared" si="15"/>
        <v/>
      </c>
      <c r="P60" s="150" t="str">
        <f t="shared" si="15"/>
        <v/>
      </c>
      <c r="Q60" s="150" t="str">
        <f t="shared" si="15"/>
        <v/>
      </c>
      <c r="R60" s="150" t="str">
        <f t="shared" si="15"/>
        <v/>
      </c>
      <c r="S60" s="150" t="str">
        <f t="shared" si="15"/>
        <v/>
      </c>
      <c r="T60" s="150" t="str">
        <f t="shared" si="15"/>
        <v/>
      </c>
      <c r="U60" s="150" t="str">
        <f t="shared" si="15"/>
        <v/>
      </c>
      <c r="V60" s="150" t="str">
        <f t="shared" si="15"/>
        <v/>
      </c>
      <c r="W60" s="150" t="str">
        <f t="shared" si="15"/>
        <v/>
      </c>
      <c r="X60" s="150" t="str">
        <f t="shared" si="15"/>
        <v/>
      </c>
      <c r="Y60" s="150" t="str">
        <f t="shared" si="15"/>
        <v/>
      </c>
      <c r="Z60" s="150" t="str">
        <f t="shared" si="15"/>
        <v/>
      </c>
      <c r="AA60" s="157" t="b">
        <f>Z60=""</f>
        <v>1</v>
      </c>
      <c r="AB60" s="136"/>
      <c r="AC60" s="149" t="str">
        <f>IF(ROUND(AC59,2)&lt;&gt;ROUND(AC100,2),AC59-AC100,"")</f>
        <v/>
      </c>
      <c r="AD60" s="152" t="b">
        <f>AC60=""</f>
        <v>1</v>
      </c>
      <c r="AE60" s="153"/>
      <c r="AF60" s="149" t="str">
        <f>IF(ROUND(AF59,2)&lt;&gt;ROUND(AF100,2),AF59-AF100,"")</f>
        <v/>
      </c>
      <c r="AG60" s="152" t="b">
        <f>AF60=""</f>
        <v>1</v>
      </c>
      <c r="AH60" s="153"/>
      <c r="AI60" s="11"/>
      <c r="AJ60" s="11"/>
      <c r="AK60" s="11"/>
      <c r="AL60" s="11"/>
      <c r="AM60" s="11"/>
      <c r="AN60" s="11"/>
      <c r="AO60" s="11"/>
    </row>
    <row r="61" spans="1:41" ht="15.75" thickBot="1" x14ac:dyDescent="0.3">
      <c r="A61" s="61" t="s">
        <v>28</v>
      </c>
      <c r="B61" s="62"/>
      <c r="C61" s="11"/>
      <c r="D61" s="11"/>
      <c r="E61" s="11"/>
      <c r="F61" s="84" t="s">
        <v>567</v>
      </c>
      <c r="G61" s="11"/>
      <c r="H61" s="11"/>
      <c r="I61" s="11"/>
      <c r="J61" s="11"/>
      <c r="K61" s="11"/>
      <c r="L61" s="11"/>
      <c r="M61" s="102" t="str">
        <f>IF(_epmOfflineCondition_,"Gross Operating Profit",IF(_xll.EVDES(F61,$B$1)="#NODATA","",_xll.EVDES(F61,$B$1)))</f>
        <v>Gross Operating Profit</v>
      </c>
      <c r="N61" s="161">
        <f t="shared" ref="N61:Y61" si="16">N43-N49-N59</f>
        <v>324277.89</v>
      </c>
      <c r="O61" s="161">
        <f t="shared" si="16"/>
        <v>304519.97000000009</v>
      </c>
      <c r="P61" s="161">
        <f t="shared" si="16"/>
        <v>372382.54</v>
      </c>
      <c r="Q61" s="161">
        <f t="shared" si="16"/>
        <v>254736.90999999995</v>
      </c>
      <c r="R61" s="161">
        <f t="shared" si="16"/>
        <v>109065.36000000002</v>
      </c>
      <c r="S61" s="161">
        <f t="shared" si="16"/>
        <v>-66628.550000000017</v>
      </c>
      <c r="T61" s="161">
        <f t="shared" si="16"/>
        <v>88154.550000000017</v>
      </c>
      <c r="U61" s="161">
        <f t="shared" si="16"/>
        <v>68073.560000000056</v>
      </c>
      <c r="V61" s="161">
        <f t="shared" si="16"/>
        <v>-68726.74000000002</v>
      </c>
      <c r="W61" s="161">
        <f t="shared" si="16"/>
        <v>-2097.4299999999348</v>
      </c>
      <c r="X61" s="161">
        <f t="shared" si="16"/>
        <v>124325.7099999999</v>
      </c>
      <c r="Y61" s="161">
        <f t="shared" si="16"/>
        <v>430266.03999999992</v>
      </c>
      <c r="Z61" s="161">
        <f>SUM(N61:Y61)</f>
        <v>1938349.81</v>
      </c>
      <c r="AA61" s="162">
        <f>IF(Z61=0,"",IFERROR(Z61/Z$43,""))</f>
        <v>0.23114144590166155</v>
      </c>
      <c r="AB61" s="136"/>
      <c r="AC61" s="161">
        <f>AC43-AC49-AC59</f>
        <v>5128813.6593096731</v>
      </c>
      <c r="AD61" s="162">
        <f>IF(AC61=0,"",IFERROR(AC61/AC$43,""))</f>
        <v>0.39309059309511696</v>
      </c>
      <c r="AE61" s="163">
        <f>IF(AND($Z61="",AC61=""),"",$Z61-AC61)</f>
        <v>-3190463.8493096731</v>
      </c>
      <c r="AF61" s="161">
        <f>AF43-AF49-AF59</f>
        <v>-935134.48000000021</v>
      </c>
      <c r="AG61" s="162">
        <f>IF(AF61=0,"",IFERROR(AF61/AF$43,""))</f>
        <v>-0.28696823414990824</v>
      </c>
      <c r="AH61" s="163">
        <f>IF(AND($Z61="",AF61=""),"",$Z61-AF61)</f>
        <v>2873484.29</v>
      </c>
      <c r="AI61" s="606" t="str">
        <f>+IFERROR(ROUND(($AA61-AD61)*100,2)&amp;" pts.",0)</f>
        <v>-16.19 pts.</v>
      </c>
      <c r="AJ61" s="607"/>
      <c r="AK61" s="606" t="str">
        <f>+IFERROR(ROUND(($AA61-AG61)*100,2)&amp;" pts.",0)</f>
        <v>51.81 pts.</v>
      </c>
      <c r="AL61" s="607"/>
      <c r="AM61" s="11"/>
      <c r="AN61" s="11"/>
      <c r="AO61" s="11"/>
    </row>
    <row r="62" spans="1:41" ht="15.75" thickTop="1" x14ac:dyDescent="0.25">
      <c r="A62" s="61" t="s">
        <v>29</v>
      </c>
      <c r="B62" s="62"/>
      <c r="C62" s="11"/>
      <c r="D62" s="11"/>
      <c r="E62" s="11"/>
      <c r="F62" s="11"/>
      <c r="G62" s="11"/>
      <c r="H62" s="11"/>
      <c r="I62" s="11"/>
      <c r="J62" s="11"/>
      <c r="K62" s="11"/>
      <c r="L62" s="11">
        <f>COUNTIF(N62:AH62,FALSE)</f>
        <v>0</v>
      </c>
      <c r="M62" s="113" t="str">
        <f>IF(L62=0,"","GOP - database validation failed")</f>
        <v/>
      </c>
      <c r="N62" s="149" t="str">
        <f t="shared" ref="N62:Z62" si="17">IF(ROUND(N61,2)&lt;&gt;ROUND(N101,2),N61-N101,"")</f>
        <v/>
      </c>
      <c r="O62" s="150" t="str">
        <f t="shared" si="17"/>
        <v/>
      </c>
      <c r="P62" s="150" t="str">
        <f t="shared" si="17"/>
        <v/>
      </c>
      <c r="Q62" s="150" t="str">
        <f t="shared" si="17"/>
        <v/>
      </c>
      <c r="R62" s="150" t="str">
        <f t="shared" si="17"/>
        <v/>
      </c>
      <c r="S62" s="150" t="str">
        <f t="shared" si="17"/>
        <v/>
      </c>
      <c r="T62" s="150" t="str">
        <f t="shared" si="17"/>
        <v/>
      </c>
      <c r="U62" s="150" t="str">
        <f t="shared" si="17"/>
        <v/>
      </c>
      <c r="V62" s="150" t="str">
        <f t="shared" si="17"/>
        <v/>
      </c>
      <c r="W62" s="150" t="str">
        <f t="shared" si="17"/>
        <v/>
      </c>
      <c r="X62" s="150" t="str">
        <f t="shared" si="17"/>
        <v/>
      </c>
      <c r="Y62" s="150" t="str">
        <f t="shared" si="17"/>
        <v/>
      </c>
      <c r="Z62" s="150" t="str">
        <f t="shared" si="17"/>
        <v/>
      </c>
      <c r="AA62" s="157" t="b">
        <f>Z62=""</f>
        <v>1</v>
      </c>
      <c r="AB62" s="136"/>
      <c r="AC62" s="149" t="str">
        <f>IF(ROUND(AC61,2)&lt;&gt;ROUND(AC101,2),AC61-AC101,"")</f>
        <v/>
      </c>
      <c r="AD62" s="152" t="b">
        <f>AC62=""</f>
        <v>1</v>
      </c>
      <c r="AE62" s="153"/>
      <c r="AF62" s="149" t="str">
        <f>IF(ROUND(AF61,2)&lt;&gt;ROUND(AF101,2),AF61-AF101,"")</f>
        <v/>
      </c>
      <c r="AG62" s="152" t="b">
        <f>AF62=""</f>
        <v>1</v>
      </c>
      <c r="AH62" s="153"/>
      <c r="AI62" s="11"/>
      <c r="AJ62" s="11"/>
      <c r="AK62" s="11"/>
      <c r="AL62" s="11"/>
      <c r="AM62" s="11"/>
      <c r="AN62" s="11"/>
      <c r="AO62" s="11"/>
    </row>
    <row r="63" spans="1:41" x14ac:dyDescent="0.25">
      <c r="A63" s="61" t="s">
        <v>30</v>
      </c>
      <c r="B63" s="62" t="s">
        <v>78</v>
      </c>
      <c r="C63" s="11"/>
      <c r="D63" s="11"/>
      <c r="E63" s="11"/>
      <c r="F63" s="11"/>
      <c r="G63" s="84" t="s">
        <v>516</v>
      </c>
      <c r="H63" s="84" t="s">
        <v>79</v>
      </c>
      <c r="I63" s="118" t="str">
        <f>IF(_epmOfflineCondition_,"T3",_xll.EVPRO($B$1,$H63,"STYLE"))</f>
        <v>T3</v>
      </c>
      <c r="J63" s="118" t="str">
        <f>IF(_epmOfflineCondition_,"Y",_xll.EVPRO($B$1,$H63,"CALC"))</f>
        <v>Y</v>
      </c>
      <c r="K63" s="11"/>
      <c r="L63" s="11"/>
      <c r="M63" s="86" t="str">
        <f>IF(_epmOfflineCondition_,"Management Fees",IF(_xll.EVDES(G63,$B$1)="#NODATA","",_xll.EVDES(G63,$B$1)))</f>
        <v>Management Fees</v>
      </c>
      <c r="N63" s="134">
        <v>26131.68</v>
      </c>
      <c r="O63" s="134">
        <v>27583.69</v>
      </c>
      <c r="P63" s="134">
        <v>31125.34</v>
      </c>
      <c r="Q63" s="134">
        <v>24733.43</v>
      </c>
      <c r="R63" s="134">
        <v>19629.86</v>
      </c>
      <c r="S63" s="134">
        <v>14390.97</v>
      </c>
      <c r="T63" s="134">
        <v>17183.54</v>
      </c>
      <c r="U63" s="134">
        <v>17059.52</v>
      </c>
      <c r="V63" s="134">
        <v>11795.89</v>
      </c>
      <c r="W63" s="134">
        <v>17571.45</v>
      </c>
      <c r="X63" s="134">
        <v>24459.73</v>
      </c>
      <c r="Y63" s="134">
        <v>36081.26</v>
      </c>
      <c r="Z63" s="134">
        <f>SUM(N63:Y63)</f>
        <v>267746.36</v>
      </c>
      <c r="AA63" s="138">
        <f>IF(Z63=0,"",IFERROR(Z63/Z$43,""))</f>
        <v>3.1927818428865939E-2</v>
      </c>
      <c r="AB63" s="136"/>
      <c r="AC63" s="134">
        <v>410632.592975026</v>
      </c>
      <c r="AD63" s="138">
        <f>IF(AC63=0,"",IFERROR(AC63/AC$43,""))</f>
        <v>3.1472348234711442E-2</v>
      </c>
      <c r="AE63" s="137">
        <f>IF(AND($Z63="",AC63=""),"",$Z63-AC63)</f>
        <v>-142886.23297502601</v>
      </c>
      <c r="AF63" s="134">
        <v>112730.68</v>
      </c>
      <c r="AG63" s="138">
        <f>IF(AF63=0,"",IFERROR(AF63/AF$43,""))</f>
        <v>3.4594087659048103E-2</v>
      </c>
      <c r="AH63" s="137">
        <f>IF(AND($Z63="",AF63=""),"",$Z63-AF63)</f>
        <v>155015.67999999999</v>
      </c>
      <c r="AI63" s="596" t="str">
        <f>+IFERROR(ROUND(($AA63-AD63)*100,2)&amp;" pts.",0)</f>
        <v>0.05 pts.</v>
      </c>
      <c r="AJ63" s="597"/>
      <c r="AK63" s="596" t="str">
        <f>+IFERROR(ROUND(($AA63-AG63)*100,2)&amp;" pts.",0)</f>
        <v>-0.27 pts.</v>
      </c>
      <c r="AL63" s="597"/>
      <c r="AM63" s="11"/>
      <c r="AN63" s="11"/>
      <c r="AO63" s="11"/>
    </row>
    <row r="64" spans="1:41" x14ac:dyDescent="0.25">
      <c r="A64" s="61" t="s">
        <v>31</v>
      </c>
      <c r="B64" s="62" t="s">
        <v>78</v>
      </c>
      <c r="C64" s="11"/>
      <c r="D64" s="11"/>
      <c r="E64" s="11"/>
      <c r="F64" s="84" t="s">
        <v>574</v>
      </c>
      <c r="G64" s="11"/>
      <c r="H64" s="11"/>
      <c r="I64" s="11"/>
      <c r="J64" s="11"/>
      <c r="K64" s="11"/>
      <c r="L64" s="11"/>
      <c r="M64" s="102" t="str">
        <f>IF(_epmOfflineCondition_,"Income Before Non-Operataing Inc. &amp; Exp.",IF(_xll.EVDES(F64,$B$1)="#NODATA","",_xll.EVDES(F64,$B$1)))</f>
        <v>Income Before Non-Operataing Inc. &amp; Exp.</v>
      </c>
      <c r="N64" s="158">
        <f t="shared" ref="N64:Y64" si="18">N61-N63</f>
        <v>298146.21000000002</v>
      </c>
      <c r="O64" s="158">
        <f t="shared" si="18"/>
        <v>276936.28000000009</v>
      </c>
      <c r="P64" s="158">
        <f t="shared" si="18"/>
        <v>341257.19999999995</v>
      </c>
      <c r="Q64" s="158">
        <f t="shared" si="18"/>
        <v>230003.47999999995</v>
      </c>
      <c r="R64" s="158">
        <f t="shared" si="18"/>
        <v>89435.500000000015</v>
      </c>
      <c r="S64" s="158">
        <f t="shared" si="18"/>
        <v>-81019.520000000019</v>
      </c>
      <c r="T64" s="158">
        <f t="shared" si="18"/>
        <v>70971.010000000009</v>
      </c>
      <c r="U64" s="158">
        <f t="shared" si="18"/>
        <v>51014.040000000052</v>
      </c>
      <c r="V64" s="158">
        <f t="shared" si="18"/>
        <v>-80522.630000000019</v>
      </c>
      <c r="W64" s="158">
        <f t="shared" si="18"/>
        <v>-19668.879999999936</v>
      </c>
      <c r="X64" s="158">
        <f t="shared" si="18"/>
        <v>99865.979999999909</v>
      </c>
      <c r="Y64" s="158">
        <f t="shared" si="18"/>
        <v>394184.77999999991</v>
      </c>
      <c r="Z64" s="158">
        <f>SUM(N64:Y64)</f>
        <v>1670603.4499999997</v>
      </c>
      <c r="AA64" s="159">
        <f>IF(Z64=0,"",IFERROR(Z64/Z$43,""))</f>
        <v>0.19921362747279558</v>
      </c>
      <c r="AB64" s="136"/>
      <c r="AC64" s="158">
        <f>AC61-AC63</f>
        <v>4718181.0663346471</v>
      </c>
      <c r="AD64" s="159">
        <f>IF(AC64=0,"",IFERROR(AC64/AC$43,""))</f>
        <v>0.3616182448604055</v>
      </c>
      <c r="AE64" s="160">
        <f>IF(AND($Z64="",AC64=""),"",$Z64-AC64)</f>
        <v>-3047577.6163346474</v>
      </c>
      <c r="AF64" s="158">
        <f>AF61-AF63</f>
        <v>-1047865.1600000001</v>
      </c>
      <c r="AG64" s="159">
        <f>IF(AF64=0,"",IFERROR(AF64/AF$43,""))</f>
        <v>-0.32156232180895633</v>
      </c>
      <c r="AH64" s="160">
        <f>IF(AND($Z64="",AF64=""),"",$Z64-AF64)</f>
        <v>2718468.61</v>
      </c>
      <c r="AI64" s="604" t="str">
        <f>+IFERROR(ROUND(($AA64-AD64)*100,2)&amp;" pts.",0)</f>
        <v>-16.24 pts.</v>
      </c>
      <c r="AJ64" s="605"/>
      <c r="AK64" s="604" t="str">
        <f>+IFERROR(ROUND(($AA64-AG64)*100,2)&amp;" pts.",0)</f>
        <v>52.08 pts.</v>
      </c>
      <c r="AL64" s="605"/>
      <c r="AM64" s="11"/>
      <c r="AN64" s="11"/>
      <c r="AO64" s="11"/>
    </row>
    <row r="65" spans="1:41" x14ac:dyDescent="0.25">
      <c r="A65" s="61" t="s">
        <v>32</v>
      </c>
      <c r="B65" s="62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3"/>
      <c r="N65" s="164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Y65" s="165"/>
      <c r="Z65" s="165"/>
      <c r="AA65" s="157"/>
      <c r="AB65" s="136"/>
      <c r="AC65" s="164"/>
      <c r="AD65" s="152"/>
      <c r="AE65" s="153"/>
      <c r="AF65" s="164"/>
      <c r="AG65" s="152"/>
      <c r="AH65" s="153"/>
      <c r="AI65" s="11"/>
      <c r="AJ65" s="11"/>
      <c r="AK65" s="11"/>
      <c r="AL65" s="11"/>
      <c r="AM65" s="11"/>
      <c r="AN65" s="11"/>
      <c r="AO65" s="11"/>
    </row>
    <row r="66" spans="1:41" x14ac:dyDescent="0.25">
      <c r="A66" s="61" t="s">
        <v>33</v>
      </c>
      <c r="B66" s="62"/>
      <c r="C66" s="11"/>
      <c r="D66" s="11"/>
      <c r="E66" s="11"/>
      <c r="F66" s="11"/>
      <c r="G66" s="11"/>
      <c r="H66" s="11" t="s">
        <v>575</v>
      </c>
      <c r="I66" s="55" t="str">
        <f>IF(_epmOfflineCondition_,"B1",_xll.EVPRO($B$1,$H66,"STYLE"))</f>
        <v>B1</v>
      </c>
      <c r="J66" s="55" t="str">
        <f>IF(_epmOfflineCondition_,"Y",_xll.EVPRO($B$1,$H66,"CALC"))</f>
        <v>Y</v>
      </c>
      <c r="K66" s="11"/>
      <c r="L66" s="11"/>
      <c r="M66" s="101" t="str">
        <f>IF(_epmOfflineCondition_,"Non-Operating Income &amp; Expenses",IF(_xll.EVDES(H66,$B$1)="#NODATA","",_xll.EVDES(H66,$B$1)))</f>
        <v>Non-Operating Income &amp; Expenses</v>
      </c>
      <c r="N66" s="154"/>
      <c r="O66" s="155"/>
      <c r="P66" s="155"/>
      <c r="Q66" s="155"/>
      <c r="R66" s="155"/>
      <c r="S66" s="155"/>
      <c r="T66" s="155"/>
      <c r="U66" s="155"/>
      <c r="V66" s="155"/>
      <c r="W66" s="155"/>
      <c r="X66" s="155"/>
      <c r="Y66" s="155"/>
      <c r="Z66" s="155"/>
      <c r="AA66" s="156"/>
      <c r="AB66" s="136"/>
      <c r="AC66" s="154"/>
      <c r="AD66" s="155"/>
      <c r="AE66" s="156"/>
      <c r="AF66" s="154"/>
      <c r="AG66" s="155"/>
      <c r="AH66" s="156"/>
      <c r="AI66" s="11"/>
      <c r="AJ66" s="11"/>
      <c r="AK66" s="11"/>
      <c r="AL66" s="11"/>
      <c r="AM66" s="11"/>
      <c r="AN66" s="11"/>
      <c r="AO66" s="11"/>
    </row>
    <row r="67" spans="1:41" x14ac:dyDescent="0.25">
      <c r="A67" s="61" t="s">
        <v>34</v>
      </c>
      <c r="B67" s="62"/>
      <c r="C67" s="11"/>
      <c r="D67" s="11"/>
      <c r="E67" s="11"/>
      <c r="F67" s="11"/>
      <c r="G67" s="84" t="s">
        <v>519</v>
      </c>
      <c r="H67" s="84" t="s">
        <v>525</v>
      </c>
      <c r="I67" s="118" t="str">
        <f>IF(_epmOfflineCondition_,"T3",_xll.EVPRO($B$1,$H67,"STYLE"))</f>
        <v>T3</v>
      </c>
      <c r="J67" s="118" t="str">
        <f>IF(_epmOfflineCondition_,"Y",_xll.EVPRO($B$1,$H67,"CALC"))</f>
        <v>Y</v>
      </c>
      <c r="K67" s="11"/>
      <c r="L67" s="11"/>
      <c r="M67" s="86" t="str">
        <f>IF(_epmOfflineCondition_,"Income ",IF(_xll.EVDES(H67,$B$1)="#NODATA","",REPLACE(_xll.EVDES(H67,$B$1),1,6,"")))</f>
        <v xml:space="preserve">Income </v>
      </c>
      <c r="N67" s="134"/>
      <c r="O67" s="134"/>
      <c r="P67" s="134"/>
      <c r="Q67" s="134"/>
      <c r="R67" s="134"/>
      <c r="S67" s="134"/>
      <c r="T67" s="134"/>
      <c r="U67" s="134"/>
      <c r="V67" s="134"/>
      <c r="W67" s="134"/>
      <c r="X67" s="134"/>
      <c r="Y67" s="134"/>
      <c r="Z67" s="134">
        <f t="shared" ref="Z67:Z72" si="19">SUM(N67:Y67)</f>
        <v>0</v>
      </c>
      <c r="AA67" s="138" t="str">
        <f t="shared" ref="AA67:AA72" si="20">IF(Z67=0,"",IFERROR(Z67/Z$43,""))</f>
        <v/>
      </c>
      <c r="AB67" s="136"/>
      <c r="AC67" s="134">
        <v>-42000</v>
      </c>
      <c r="AD67" s="138">
        <f t="shared" ref="AD67:AD72" si="21">IF(AC67=0,"",IFERROR(AC67/AC$43,""))</f>
        <v>-3.2190299758749854E-3</v>
      </c>
      <c r="AE67" s="137">
        <f t="shared" ref="AE67:AE72" si="22">IF(AND($Z67="",AC67=""),"",$Z67-AC67)</f>
        <v>42000</v>
      </c>
      <c r="AF67" s="134"/>
      <c r="AG67" s="138" t="str">
        <f t="shared" ref="AG67:AG72" si="23">IF(AF67=0,"",IFERROR(AF67/AF$43,""))</f>
        <v/>
      </c>
      <c r="AH67" s="137">
        <f t="shared" ref="AH67:AH72" si="24">IF(AND($Z67="",AF67=""),"",$Z67-AF67)</f>
        <v>0</v>
      </c>
      <c r="AI67" s="596">
        <f t="shared" ref="AI67:AI72" si="25">+IFERROR(ROUND(($AA67-AD67)*100,2)&amp;" pts.",0)</f>
        <v>0</v>
      </c>
      <c r="AJ67" s="597"/>
      <c r="AK67" s="596">
        <f t="shared" ref="AK67:AK72" si="26">+IFERROR(ROUND(($AA67-AG67)*100,2)&amp;" pts.",0)</f>
        <v>0</v>
      </c>
      <c r="AL67" s="597"/>
      <c r="AM67" s="11"/>
      <c r="AN67" s="11"/>
      <c r="AO67" s="11"/>
    </row>
    <row r="68" spans="1:41" x14ac:dyDescent="0.25">
      <c r="A68" s="61" t="s">
        <v>35</v>
      </c>
      <c r="B68" s="62"/>
      <c r="C68" s="11"/>
      <c r="D68" s="11"/>
      <c r="E68" s="11"/>
      <c r="F68" s="11"/>
      <c r="G68" s="84" t="s">
        <v>519</v>
      </c>
      <c r="H68" s="84" t="s">
        <v>520</v>
      </c>
      <c r="I68" s="118" t="str">
        <f>IF(_epmOfflineCondition_,"T3",_xll.EVPRO($B$1,$H68,"STYLE"))</f>
        <v>T3</v>
      </c>
      <c r="J68" s="118" t="str">
        <f>IF(_epmOfflineCondition_,"Y",_xll.EVPRO($B$1,$H68,"CALC"))</f>
        <v>Y</v>
      </c>
      <c r="K68" s="11"/>
      <c r="L68" s="11"/>
      <c r="M68" s="86" t="str">
        <f>IF(_epmOfflineCondition_,"Rent",IF(_xll.EVDES(H68,$B$1)="#NODATA","",REPLACE(_xll.EVDES(H68,$B$1),1,6,"")))</f>
        <v>Rent</v>
      </c>
      <c r="N68" s="134">
        <v>721.81</v>
      </c>
      <c r="O68" s="134">
        <v>834.55</v>
      </c>
      <c r="P68" s="134">
        <v>685.8</v>
      </c>
      <c r="Q68" s="134">
        <v>580.75</v>
      </c>
      <c r="R68" s="134">
        <v>697.2</v>
      </c>
      <c r="S68" s="134">
        <v>917.23</v>
      </c>
      <c r="T68" s="134">
        <v>1346.39</v>
      </c>
      <c r="U68" s="134">
        <v>453.5</v>
      </c>
      <c r="V68" s="134">
        <v>386.07</v>
      </c>
      <c r="W68" s="134">
        <v>2287.23</v>
      </c>
      <c r="X68" s="134">
        <v>814.51</v>
      </c>
      <c r="Y68" s="134">
        <v>994.02</v>
      </c>
      <c r="Z68" s="134">
        <f t="shared" si="19"/>
        <v>10719.060000000001</v>
      </c>
      <c r="AA68" s="138">
        <f t="shared" si="20"/>
        <v>1.2782104728076222E-3</v>
      </c>
      <c r="AB68" s="136"/>
      <c r="AC68" s="134">
        <v>20714</v>
      </c>
      <c r="AD68" s="138">
        <f t="shared" si="21"/>
        <v>1.587594926673201E-3</v>
      </c>
      <c r="AE68" s="137">
        <f t="shared" si="22"/>
        <v>-9994.9399999999987</v>
      </c>
      <c r="AF68" s="134">
        <v>7228.74</v>
      </c>
      <c r="AG68" s="138">
        <f t="shared" si="23"/>
        <v>2.2183106251507344E-3</v>
      </c>
      <c r="AH68" s="137">
        <f t="shared" si="24"/>
        <v>3490.3200000000015</v>
      </c>
      <c r="AI68" s="596" t="str">
        <f t="shared" si="25"/>
        <v>-0.03 pts.</v>
      </c>
      <c r="AJ68" s="597"/>
      <c r="AK68" s="596" t="str">
        <f t="shared" si="26"/>
        <v>-0.09 pts.</v>
      </c>
      <c r="AL68" s="597"/>
      <c r="AM68" s="11"/>
      <c r="AN68" s="11"/>
      <c r="AO68" s="11"/>
    </row>
    <row r="69" spans="1:41" x14ac:dyDescent="0.25">
      <c r="A69" s="61" t="s">
        <v>36</v>
      </c>
      <c r="B69" s="62"/>
      <c r="C69" s="11"/>
      <c r="D69" s="11"/>
      <c r="E69" s="11"/>
      <c r="F69" s="11"/>
      <c r="G69" s="84" t="s">
        <v>519</v>
      </c>
      <c r="H69" s="84" t="s">
        <v>521</v>
      </c>
      <c r="I69" s="118" t="str">
        <f>IF(_epmOfflineCondition_,"T3",_xll.EVPRO($B$1,$H69,"STYLE"))</f>
        <v>T3</v>
      </c>
      <c r="J69" s="118" t="str">
        <f>IF(_epmOfflineCondition_,"Y",_xll.EVPRO($B$1,$H69,"CALC"))</f>
        <v>Y</v>
      </c>
      <c r="K69" s="11"/>
      <c r="L69" s="11"/>
      <c r="M69" s="86" t="str">
        <f>IF(_epmOfflineCondition_,"Property &amp; Other Taxes",IF(_xll.EVDES(H69,$B$1)="#NODATA","",REPLACE(_xll.EVDES(H69,$B$1),1,6,"")))</f>
        <v>Property &amp; Other Taxes</v>
      </c>
      <c r="N69" s="134">
        <v>34673</v>
      </c>
      <c r="O69" s="134">
        <v>34673</v>
      </c>
      <c r="P69" s="134">
        <v>34673</v>
      </c>
      <c r="Q69" s="134">
        <v>54062.2</v>
      </c>
      <c r="R69" s="134">
        <v>31873</v>
      </c>
      <c r="S69" s="134">
        <v>34673</v>
      </c>
      <c r="T69" s="134">
        <v>34673</v>
      </c>
      <c r="U69" s="134">
        <v>35423</v>
      </c>
      <c r="V69" s="134">
        <v>35303</v>
      </c>
      <c r="W69" s="134">
        <v>34673</v>
      </c>
      <c r="X69" s="134">
        <v>107530.46</v>
      </c>
      <c r="Y69" s="134">
        <v>75172.350000000006</v>
      </c>
      <c r="Z69" s="134">
        <f t="shared" si="19"/>
        <v>547402.01</v>
      </c>
      <c r="AA69" s="138">
        <f t="shared" si="20"/>
        <v>6.5275778101619233E-2</v>
      </c>
      <c r="AB69" s="136"/>
      <c r="AC69" s="134">
        <v>416072.04</v>
      </c>
      <c r="AD69" s="138">
        <f t="shared" si="21"/>
        <v>3.188924687817752E-2</v>
      </c>
      <c r="AE69" s="137">
        <f t="shared" si="22"/>
        <v>131329.97000000003</v>
      </c>
      <c r="AF69" s="134">
        <v>200042.8</v>
      </c>
      <c r="AG69" s="138">
        <f t="shared" si="23"/>
        <v>6.1387886232580416E-2</v>
      </c>
      <c r="AH69" s="137">
        <f t="shared" si="24"/>
        <v>347359.21</v>
      </c>
      <c r="AI69" s="596" t="str">
        <f t="shared" si="25"/>
        <v>3.34 pts.</v>
      </c>
      <c r="AJ69" s="597"/>
      <c r="AK69" s="596" t="str">
        <f t="shared" si="26"/>
        <v>0.39 pts.</v>
      </c>
      <c r="AL69" s="597"/>
      <c r="AM69" s="11"/>
      <c r="AN69" s="11"/>
      <c r="AO69" s="11"/>
    </row>
    <row r="70" spans="1:41" x14ac:dyDescent="0.25">
      <c r="A70" s="61" t="s">
        <v>37</v>
      </c>
      <c r="B70" s="62"/>
      <c r="C70" s="11"/>
      <c r="D70" s="11"/>
      <c r="E70" s="11"/>
      <c r="F70" s="11"/>
      <c r="G70" s="84" t="s">
        <v>519</v>
      </c>
      <c r="H70" s="84" t="s">
        <v>537</v>
      </c>
      <c r="I70" s="118" t="str">
        <f>IF(_epmOfflineCondition_,"T3",_xll.EVPRO($B$1,$H70,"STYLE"))</f>
        <v>T3</v>
      </c>
      <c r="J70" s="118" t="str">
        <f>IF(_epmOfflineCondition_,"Y",_xll.EVPRO($B$1,$H70,"CALC"))</f>
        <v>Y</v>
      </c>
      <c r="K70" s="11"/>
      <c r="L70" s="11"/>
      <c r="M70" s="86" t="str">
        <f>IF(_epmOfflineCondition_,"Insurance",IF(_xll.EVDES(H70,$B$1)="#NODATA","",REPLACE(_xll.EVDES(H70,$B$1),1,6,"")))</f>
        <v>Insurance</v>
      </c>
      <c r="N70" s="134">
        <v>50766.64</v>
      </c>
      <c r="O70" s="134">
        <v>50358.75</v>
      </c>
      <c r="P70" s="134">
        <v>50717.33</v>
      </c>
      <c r="Q70" s="134">
        <v>49993.55</v>
      </c>
      <c r="R70" s="134">
        <v>50358.75</v>
      </c>
      <c r="S70" s="134">
        <v>49971.61</v>
      </c>
      <c r="T70" s="134">
        <v>49971.58</v>
      </c>
      <c r="U70" s="134">
        <v>58801.09</v>
      </c>
      <c r="V70" s="134">
        <v>68325.399999999994</v>
      </c>
      <c r="W70" s="134">
        <v>61201.4</v>
      </c>
      <c r="X70" s="134">
        <v>61201.43</v>
      </c>
      <c r="Y70" s="134">
        <v>60758.81</v>
      </c>
      <c r="Z70" s="134">
        <f t="shared" si="19"/>
        <v>662426.34000000008</v>
      </c>
      <c r="AA70" s="138">
        <f t="shared" si="20"/>
        <v>7.8992027775907844E-2</v>
      </c>
      <c r="AB70" s="136"/>
      <c r="AC70" s="134">
        <v>621544.87749999994</v>
      </c>
      <c r="AD70" s="138">
        <f t="shared" si="21"/>
        <v>4.7637418857715372E-2</v>
      </c>
      <c r="AE70" s="137">
        <f t="shared" si="22"/>
        <v>40881.46250000014</v>
      </c>
      <c r="AF70" s="134">
        <v>350732.12</v>
      </c>
      <c r="AG70" s="138">
        <f t="shared" si="23"/>
        <v>0.10763048447968007</v>
      </c>
      <c r="AH70" s="137">
        <f t="shared" si="24"/>
        <v>311694.22000000009</v>
      </c>
      <c r="AI70" s="596" t="str">
        <f t="shared" si="25"/>
        <v>3.14 pts.</v>
      </c>
      <c r="AJ70" s="597"/>
      <c r="AK70" s="596" t="str">
        <f t="shared" si="26"/>
        <v>-2.86 pts.</v>
      </c>
      <c r="AL70" s="597"/>
      <c r="AM70" s="11"/>
      <c r="AN70" s="11"/>
      <c r="AO70" s="11"/>
    </row>
    <row r="71" spans="1:41" x14ac:dyDescent="0.25">
      <c r="A71" s="61" t="s">
        <v>38</v>
      </c>
      <c r="B71" s="62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00" t="s">
        <v>586</v>
      </c>
      <c r="N71" s="134">
        <f t="shared" ref="N71:Y71" si="27">N95</f>
        <v>0</v>
      </c>
      <c r="O71" s="134">
        <f t="shared" si="27"/>
        <v>0</v>
      </c>
      <c r="P71" s="134">
        <f t="shared" si="27"/>
        <v>0</v>
      </c>
      <c r="Q71" s="134">
        <f t="shared" si="27"/>
        <v>0</v>
      </c>
      <c r="R71" s="134">
        <f t="shared" si="27"/>
        <v>0</v>
      </c>
      <c r="S71" s="134">
        <f t="shared" si="27"/>
        <v>0</v>
      </c>
      <c r="T71" s="134">
        <f t="shared" si="27"/>
        <v>0</v>
      </c>
      <c r="U71" s="134">
        <f t="shared" si="27"/>
        <v>0</v>
      </c>
      <c r="V71" s="134">
        <f t="shared" si="27"/>
        <v>0</v>
      </c>
      <c r="W71" s="134">
        <f t="shared" si="27"/>
        <v>0</v>
      </c>
      <c r="X71" s="134">
        <f t="shared" si="27"/>
        <v>0</v>
      </c>
      <c r="Y71" s="134">
        <f t="shared" si="27"/>
        <v>2450</v>
      </c>
      <c r="Z71" s="134">
        <f t="shared" si="19"/>
        <v>2450</v>
      </c>
      <c r="AA71" s="138">
        <f t="shared" si="20"/>
        <v>2.9215394431775493E-4</v>
      </c>
      <c r="AB71" s="136"/>
      <c r="AC71" s="134">
        <f>AC95</f>
        <v>0</v>
      </c>
      <c r="AD71" s="138" t="str">
        <f t="shared" si="21"/>
        <v/>
      </c>
      <c r="AE71" s="137">
        <f t="shared" si="22"/>
        <v>2450</v>
      </c>
      <c r="AF71" s="134">
        <f>AF95</f>
        <v>89724.9</v>
      </c>
      <c r="AG71" s="138">
        <f t="shared" si="23"/>
        <v>2.7534217444615126E-2</v>
      </c>
      <c r="AH71" s="137">
        <f t="shared" si="24"/>
        <v>-87274.9</v>
      </c>
      <c r="AI71" s="596">
        <f t="shared" si="25"/>
        <v>0</v>
      </c>
      <c r="AJ71" s="597"/>
      <c r="AK71" s="596" t="str">
        <f t="shared" si="26"/>
        <v>-2.72 pts.</v>
      </c>
      <c r="AL71" s="597"/>
      <c r="AM71" s="11"/>
      <c r="AN71" s="11"/>
      <c r="AO71" s="11"/>
    </row>
    <row r="72" spans="1:41" x14ac:dyDescent="0.25">
      <c r="A72" s="61" t="s">
        <v>39</v>
      </c>
      <c r="B72" s="62"/>
      <c r="C72" s="11"/>
      <c r="D72" s="11"/>
      <c r="E72" s="11"/>
      <c r="F72" s="11"/>
      <c r="G72" s="11"/>
      <c r="H72" s="11"/>
      <c r="I72" s="11"/>
      <c r="J72" s="11"/>
      <c r="K72" s="11"/>
      <c r="L72" s="55"/>
      <c r="M72" s="102" t="str">
        <f>"Total "&amp;M66</f>
        <v>Total Non-Operating Income &amp; Expenses</v>
      </c>
      <c r="N72" s="146">
        <f t="shared" ref="N72:Y72" si="28">SUM(N67:N71)</f>
        <v>86161.45</v>
      </c>
      <c r="O72" s="146">
        <f t="shared" si="28"/>
        <v>85866.3</v>
      </c>
      <c r="P72" s="146">
        <f t="shared" si="28"/>
        <v>86076.13</v>
      </c>
      <c r="Q72" s="146">
        <f t="shared" si="28"/>
        <v>104636.5</v>
      </c>
      <c r="R72" s="146">
        <f t="shared" si="28"/>
        <v>82928.95</v>
      </c>
      <c r="S72" s="146">
        <f t="shared" si="28"/>
        <v>85561.84</v>
      </c>
      <c r="T72" s="146">
        <f t="shared" si="28"/>
        <v>85990.97</v>
      </c>
      <c r="U72" s="146">
        <f t="shared" si="28"/>
        <v>94677.59</v>
      </c>
      <c r="V72" s="146">
        <f t="shared" si="28"/>
        <v>104014.47</v>
      </c>
      <c r="W72" s="146">
        <f t="shared" si="28"/>
        <v>98161.63</v>
      </c>
      <c r="X72" s="146">
        <f t="shared" si="28"/>
        <v>169546.4</v>
      </c>
      <c r="Y72" s="146">
        <f t="shared" si="28"/>
        <v>139375.18</v>
      </c>
      <c r="Z72" s="146">
        <f t="shared" si="19"/>
        <v>1222997.4099999999</v>
      </c>
      <c r="AA72" s="147">
        <f t="shared" si="20"/>
        <v>0.14583817029465243</v>
      </c>
      <c r="AB72" s="136"/>
      <c r="AC72" s="146">
        <f>SUM(AC67:AC71)</f>
        <v>1016330.9175</v>
      </c>
      <c r="AD72" s="147">
        <f t="shared" si="21"/>
        <v>7.7895230686691103E-2</v>
      </c>
      <c r="AE72" s="148">
        <f t="shared" si="22"/>
        <v>206666.49249999993</v>
      </c>
      <c r="AF72" s="146">
        <f>SUM(AF67:AF71)</f>
        <v>647728.55999999994</v>
      </c>
      <c r="AG72" s="147">
        <f t="shared" si="23"/>
        <v>0.19877089878202633</v>
      </c>
      <c r="AH72" s="148">
        <f t="shared" si="24"/>
        <v>575268.85</v>
      </c>
      <c r="AI72" s="602" t="str">
        <f t="shared" si="25"/>
        <v>6.79 pts.</v>
      </c>
      <c r="AJ72" s="603"/>
      <c r="AK72" s="602" t="str">
        <f t="shared" si="26"/>
        <v>-5.29 pts.</v>
      </c>
      <c r="AL72" s="603"/>
      <c r="AM72" s="11"/>
      <c r="AN72" s="11"/>
      <c r="AO72" s="11"/>
    </row>
    <row r="73" spans="1:41" x14ac:dyDescent="0.25">
      <c r="A73" s="61" t="s">
        <v>40</v>
      </c>
      <c r="B73" s="62"/>
      <c r="C73" s="11"/>
      <c r="D73" s="11"/>
      <c r="E73" s="11"/>
      <c r="F73" s="11"/>
      <c r="G73" s="11"/>
      <c r="H73" s="11"/>
      <c r="I73" s="55"/>
      <c r="J73" s="55"/>
      <c r="K73" s="11"/>
      <c r="L73" s="55"/>
      <c r="M73" s="11"/>
      <c r="N73" s="166"/>
      <c r="O73" s="167"/>
      <c r="P73" s="167"/>
      <c r="Q73" s="167"/>
      <c r="R73" s="167"/>
      <c r="S73" s="167"/>
      <c r="T73" s="167"/>
      <c r="U73" s="167"/>
      <c r="V73" s="167"/>
      <c r="W73" s="167"/>
      <c r="X73" s="167"/>
      <c r="Y73" s="167"/>
      <c r="Z73" s="167"/>
      <c r="AA73" s="168"/>
      <c r="AB73" s="136"/>
      <c r="AC73" s="166"/>
      <c r="AD73" s="167"/>
      <c r="AE73" s="168"/>
      <c r="AF73" s="166"/>
      <c r="AG73" s="167"/>
      <c r="AH73" s="168"/>
      <c r="AI73" s="11"/>
      <c r="AJ73" s="11"/>
      <c r="AK73" s="11"/>
      <c r="AL73" s="11"/>
      <c r="AM73" s="11"/>
      <c r="AN73" s="11"/>
      <c r="AO73" s="11"/>
    </row>
    <row r="74" spans="1:41" ht="15.75" thickBot="1" x14ac:dyDescent="0.3">
      <c r="A74" s="61" t="s">
        <v>41</v>
      </c>
      <c r="B74" s="62"/>
      <c r="C74" s="11"/>
      <c r="D74" s="11"/>
      <c r="E74" s="11"/>
      <c r="F74" s="84" t="s">
        <v>570</v>
      </c>
      <c r="G74" s="11"/>
      <c r="H74" s="11"/>
      <c r="I74" s="11"/>
      <c r="J74" s="11"/>
      <c r="K74" s="11"/>
      <c r="L74" s="11"/>
      <c r="M74" s="102" t="str">
        <f>IF(_epmOfflineCondition_,"EBITDA",IF(_xll.EVDES(F74,$B$1)="#NODATA","",_xll.EVDES(F74,$B$1)))</f>
        <v>EBITDA</v>
      </c>
      <c r="N74" s="161">
        <f t="shared" ref="N74:Y74" si="29">N64-N72</f>
        <v>211984.76</v>
      </c>
      <c r="O74" s="161">
        <f t="shared" si="29"/>
        <v>191069.9800000001</v>
      </c>
      <c r="P74" s="161">
        <f t="shared" si="29"/>
        <v>255181.06999999995</v>
      </c>
      <c r="Q74" s="161">
        <f t="shared" si="29"/>
        <v>125366.97999999995</v>
      </c>
      <c r="R74" s="161">
        <f t="shared" si="29"/>
        <v>6506.5500000000175</v>
      </c>
      <c r="S74" s="161">
        <f t="shared" si="29"/>
        <v>-166581.36000000002</v>
      </c>
      <c r="T74" s="161">
        <f t="shared" si="29"/>
        <v>-15019.959999999992</v>
      </c>
      <c r="U74" s="161">
        <f t="shared" si="29"/>
        <v>-43663.549999999945</v>
      </c>
      <c r="V74" s="161">
        <f t="shared" si="29"/>
        <v>-184537.10000000003</v>
      </c>
      <c r="W74" s="161">
        <f t="shared" si="29"/>
        <v>-117830.50999999994</v>
      </c>
      <c r="X74" s="161">
        <f t="shared" si="29"/>
        <v>-69680.420000000086</v>
      </c>
      <c r="Y74" s="161">
        <f t="shared" si="29"/>
        <v>254809.59999999992</v>
      </c>
      <c r="Z74" s="161">
        <f>SUM(N74:Y74)</f>
        <v>447606.04000000004</v>
      </c>
      <c r="AA74" s="162">
        <f>IF(Z74=0,"",IFERROR(Z74/Z$43,""))</f>
        <v>5.3375457178143182E-2</v>
      </c>
      <c r="AB74" s="136"/>
      <c r="AC74" s="161">
        <f>AC64-AC72</f>
        <v>3701850.1488346471</v>
      </c>
      <c r="AD74" s="162">
        <f>IF(AC74=0,"",IFERROR(AC74/AC$43,""))</f>
        <v>0.28372301417371437</v>
      </c>
      <c r="AE74" s="163">
        <f>IF(AND($Z74="",AC74=""),"",$Z74-AC74)</f>
        <v>-3254244.1088346471</v>
      </c>
      <c r="AF74" s="161">
        <f>AF64-AF72</f>
        <v>-1695593.7200000002</v>
      </c>
      <c r="AG74" s="162">
        <f>IF(AF74=0,"",IFERROR(AF74/AF$43,""))</f>
        <v>-0.52033322059098264</v>
      </c>
      <c r="AH74" s="163">
        <f>IF(AND($Z74="",AF74=""),"",$Z74-AF74)</f>
        <v>2143199.7600000002</v>
      </c>
      <c r="AI74" s="606" t="str">
        <f>+IFERROR(ROUND(($AA74-AD74)*100,2)&amp;" pts.",0)</f>
        <v>-23.03 pts.</v>
      </c>
      <c r="AJ74" s="607"/>
      <c r="AK74" s="606" t="str">
        <f>+IFERROR(ROUND(($AA74-AG74)*100,2)&amp;" pts.",0)</f>
        <v>57.37 pts.</v>
      </c>
      <c r="AL74" s="607"/>
      <c r="AM74" s="11"/>
      <c r="AN74" s="11"/>
      <c r="AO74" s="11"/>
    </row>
    <row r="75" spans="1:41" ht="15.75" thickTop="1" x14ac:dyDescent="0.25">
      <c r="A75" s="61" t="s">
        <v>42</v>
      </c>
      <c r="B75" s="62"/>
      <c r="C75" s="11"/>
      <c r="D75" s="11"/>
      <c r="E75" s="11"/>
      <c r="F75" s="11"/>
      <c r="G75" s="11"/>
      <c r="H75" s="55"/>
      <c r="I75" s="55"/>
      <c r="J75" s="11"/>
      <c r="K75" s="11"/>
      <c r="L75" s="11">
        <f>COUNTIF(N75:AH75,FALSE)</f>
        <v>0</v>
      </c>
      <c r="M75" s="113" t="str">
        <f>IF(L75=0,"","EBITDA- database validation failed")</f>
        <v/>
      </c>
      <c r="N75" s="149" t="str">
        <f t="shared" ref="N75:Z75" si="30">IF(ROUND(N74,2)&lt;&gt;ROUND(N103,2),N74-N103,"")</f>
        <v/>
      </c>
      <c r="O75" s="150" t="str">
        <f t="shared" si="30"/>
        <v/>
      </c>
      <c r="P75" s="150" t="str">
        <f t="shared" si="30"/>
        <v/>
      </c>
      <c r="Q75" s="150" t="str">
        <f t="shared" si="30"/>
        <v/>
      </c>
      <c r="R75" s="150" t="str">
        <f t="shared" si="30"/>
        <v/>
      </c>
      <c r="S75" s="150" t="str">
        <f t="shared" si="30"/>
        <v/>
      </c>
      <c r="T75" s="150" t="str">
        <f t="shared" si="30"/>
        <v/>
      </c>
      <c r="U75" s="150" t="str">
        <f t="shared" si="30"/>
        <v/>
      </c>
      <c r="V75" s="150" t="str">
        <f t="shared" si="30"/>
        <v/>
      </c>
      <c r="W75" s="150" t="str">
        <f t="shared" si="30"/>
        <v/>
      </c>
      <c r="X75" s="150" t="str">
        <f t="shared" si="30"/>
        <v/>
      </c>
      <c r="Y75" s="150" t="str">
        <f t="shared" si="30"/>
        <v/>
      </c>
      <c r="Z75" s="150" t="str">
        <f t="shared" si="30"/>
        <v/>
      </c>
      <c r="AA75" s="157" t="b">
        <f>Z75=""</f>
        <v>1</v>
      </c>
      <c r="AB75" s="136"/>
      <c r="AC75" s="149" t="str">
        <f>IF(ROUND(AC74,2)&lt;&gt;ROUND(AC103,2),AC74-AC103,"")</f>
        <v/>
      </c>
      <c r="AD75" s="152" t="b">
        <f>AC75=""</f>
        <v>1</v>
      </c>
      <c r="AE75" s="153"/>
      <c r="AF75" s="149" t="str">
        <f>IF(ROUND(AF74,2)&lt;&gt;ROUND(AF103,2),AF74-AF103,"")</f>
        <v/>
      </c>
      <c r="AG75" s="152" t="b">
        <f>AF75=""</f>
        <v>1</v>
      </c>
      <c r="AH75" s="153"/>
      <c r="AI75" s="11"/>
      <c r="AJ75" s="11"/>
      <c r="AK75" s="11"/>
      <c r="AL75" s="11"/>
      <c r="AM75" s="11"/>
      <c r="AN75" s="11"/>
      <c r="AO75" s="11"/>
    </row>
    <row r="76" spans="1:41" x14ac:dyDescent="0.25">
      <c r="A76" s="61" t="s">
        <v>43</v>
      </c>
      <c r="B76" s="62"/>
      <c r="C76" s="11"/>
      <c r="D76" s="11"/>
      <c r="E76" s="11"/>
      <c r="F76" s="11"/>
      <c r="G76" s="11"/>
      <c r="H76" s="11" t="s">
        <v>576</v>
      </c>
      <c r="I76" s="55" t="str">
        <f>IF(_epmOfflineCondition_,"B1",_xll.EVPRO($B$1,$H76,"STYLE"))</f>
        <v>B1</v>
      </c>
      <c r="J76" s="55" t="str">
        <f>IF(_epmOfflineCondition_,"Y",_xll.EVPRO($B$1,$H76,"CALC"))</f>
        <v>Y</v>
      </c>
      <c r="K76" s="11"/>
      <c r="L76" s="11"/>
      <c r="M76" s="101" t="str">
        <f>IF(_epmOfflineCondition_,"Interest, Depreciation &amp; Amortization",IF(_xll.EVDES(H76,$B$1)="#NODATA","",_xll.EVDES(H76,$B$1)))</f>
        <v>Interest, Depreciation &amp; Amortization</v>
      </c>
      <c r="N76" s="154"/>
      <c r="O76" s="155"/>
      <c r="P76" s="155"/>
      <c r="Q76" s="155"/>
      <c r="R76" s="155"/>
      <c r="S76" s="155"/>
      <c r="T76" s="155"/>
      <c r="U76" s="155"/>
      <c r="V76" s="155"/>
      <c r="W76" s="155"/>
      <c r="X76" s="155"/>
      <c r="Y76" s="155"/>
      <c r="Z76" s="155"/>
      <c r="AA76" s="156"/>
      <c r="AB76" s="136"/>
      <c r="AC76" s="154"/>
      <c r="AD76" s="155"/>
      <c r="AE76" s="156"/>
      <c r="AF76" s="154"/>
      <c r="AG76" s="155"/>
      <c r="AH76" s="156"/>
      <c r="AI76" s="11"/>
      <c r="AJ76" s="11"/>
      <c r="AK76" s="11"/>
      <c r="AL76" s="11"/>
      <c r="AM76" s="11"/>
      <c r="AN76" s="11"/>
      <c r="AO76" s="11"/>
    </row>
    <row r="77" spans="1:41" x14ac:dyDescent="0.25">
      <c r="A77" s="61" t="s">
        <v>44</v>
      </c>
      <c r="B77" s="62"/>
      <c r="C77" s="11"/>
      <c r="D77" s="11"/>
      <c r="E77" s="11"/>
      <c r="F77" s="11"/>
      <c r="G77" s="84" t="s">
        <v>519</v>
      </c>
      <c r="H77" s="84" t="s">
        <v>571</v>
      </c>
      <c r="I77" s="118" t="str">
        <f>IF(_epmOfflineCondition_,"T3",_xll.EVPRO($B$1,$H77,"STYLE"))</f>
        <v>T3</v>
      </c>
      <c r="J77" s="118" t="str">
        <f>IF(_epmOfflineCondition_,"Y",_xll.EVPRO($B$1,$H77,"CALC"))</f>
        <v>Y</v>
      </c>
      <c r="K77" s="11"/>
      <c r="L77" s="11"/>
      <c r="M77" s="86" t="str">
        <f>IF(_epmOfflineCondition_,"Total Interest Expense",IF(_xll.EVDES(H77,$B$1)="#NODATA","",_xll.EVDES(H77,$B$1)))</f>
        <v>Total Interest Expense</v>
      </c>
      <c r="N77" s="134">
        <v>150287.37</v>
      </c>
      <c r="O77" s="134">
        <v>289905.71000000002</v>
      </c>
      <c r="P77" s="134">
        <v>464291.98</v>
      </c>
      <c r="Q77" s="134">
        <v>-42836.74</v>
      </c>
      <c r="R77" s="134">
        <v>195125.67</v>
      </c>
      <c r="S77" s="134">
        <v>187265</v>
      </c>
      <c r="T77" s="134">
        <v>191995.92</v>
      </c>
      <c r="U77" s="134">
        <v>220102.99</v>
      </c>
      <c r="V77" s="134">
        <v>189230.81</v>
      </c>
      <c r="W77" s="134">
        <v>185251.94</v>
      </c>
      <c r="X77" s="134">
        <v>169135</v>
      </c>
      <c r="Y77" s="134">
        <v>178361.08</v>
      </c>
      <c r="Z77" s="134">
        <f>SUM(N77:Y77)</f>
        <v>2378116.73</v>
      </c>
      <c r="AA77" s="138">
        <f>IF(Z77=0,"",IFERROR(Z77/Z$43,""))</f>
        <v>0.28358211539491485</v>
      </c>
      <c r="AB77" s="136"/>
      <c r="AC77" s="134">
        <v>2432232</v>
      </c>
      <c r="AD77" s="138">
        <f>IF(AC77=0,"",IFERROR(AC77/AC$43,""))</f>
        <v>0.18641494562577066</v>
      </c>
      <c r="AE77" s="137">
        <f>IF(AND($Z77="",AC77=""),"",$Z77-AC77)</f>
        <v>-54115.270000000019</v>
      </c>
      <c r="AF77" s="134">
        <v>88907.05</v>
      </c>
      <c r="AG77" s="138">
        <f>IF(AF77=0,"",IFERROR(AF77/AF$43,""))</f>
        <v>2.7283240739853366E-2</v>
      </c>
      <c r="AH77" s="137">
        <f>IF(AND($Z77="",AF77=""),"",$Z77-AF77)</f>
        <v>2289209.6800000002</v>
      </c>
      <c r="AI77" s="596" t="str">
        <f>+IFERROR(ROUND(($AA77-AD77)*100,2)&amp;" pts.",0)</f>
        <v>9.72 pts.</v>
      </c>
      <c r="AJ77" s="597"/>
      <c r="AK77" s="596" t="str">
        <f>+IFERROR(ROUND(($AA77-AG77)*100,2)&amp;" pts.",0)</f>
        <v>25.63 pts.</v>
      </c>
      <c r="AL77" s="597"/>
      <c r="AM77" s="11"/>
      <c r="AN77" s="11"/>
      <c r="AO77" s="11"/>
    </row>
    <row r="78" spans="1:41" x14ac:dyDescent="0.25">
      <c r="A78" s="61" t="s">
        <v>45</v>
      </c>
      <c r="B78" s="62"/>
      <c r="C78" s="11"/>
      <c r="D78" s="11"/>
      <c r="E78" s="11"/>
      <c r="F78" s="11"/>
      <c r="G78" s="84" t="s">
        <v>519</v>
      </c>
      <c r="H78" s="84" t="s">
        <v>572</v>
      </c>
      <c r="I78" s="118" t="str">
        <f>IF(_epmOfflineCondition_,"T3",_xll.EVPRO($B$1,$H78,"STYLE"))</f>
        <v>T3</v>
      </c>
      <c r="J78" s="118" t="str">
        <f>IF(_epmOfflineCondition_,"Y",_xll.EVPRO($B$1,$H78,"CALC"))</f>
        <v>Y</v>
      </c>
      <c r="K78" s="11"/>
      <c r="L78" s="11"/>
      <c r="M78" s="86" t="str">
        <f>IF(_epmOfflineCondition_,"Depreciation",IF(_xll.EVDES(H78,$B$1)="#NODATA","",_xll.EVDES(H78,$B$1)))</f>
        <v>Depreciation</v>
      </c>
      <c r="N78" s="134">
        <v>38639.199999999997</v>
      </c>
      <c r="O78" s="134">
        <v>38639.160000000003</v>
      </c>
      <c r="P78" s="134">
        <v>38261.17</v>
      </c>
      <c r="Q78" s="134">
        <v>38261.17</v>
      </c>
      <c r="R78" s="134">
        <v>38261.17</v>
      </c>
      <c r="S78" s="134">
        <v>38261.17</v>
      </c>
      <c r="T78" s="134">
        <v>38261.160000000003</v>
      </c>
      <c r="U78" s="134">
        <v>38094.57</v>
      </c>
      <c r="V78" s="134">
        <v>37969.65</v>
      </c>
      <c r="W78" s="134">
        <v>38940.43</v>
      </c>
      <c r="X78" s="134">
        <v>38940.589999999997</v>
      </c>
      <c r="Y78" s="134">
        <v>38501.19</v>
      </c>
      <c r="Z78" s="134">
        <f>SUM(N78:Y78)</f>
        <v>461030.62999999995</v>
      </c>
      <c r="AA78" s="138">
        <f>IF(Z78=0,"",IFERROR(Z78/Z$43,""))</f>
        <v>5.4976292655428347E-2</v>
      </c>
      <c r="AB78" s="136"/>
      <c r="AC78" s="134">
        <v>694366.92</v>
      </c>
      <c r="AD78" s="138">
        <f>IF(AC78=0,"",IFERROR(AC78/AC$43,""))</f>
        <v>5.3218760231809235E-2</v>
      </c>
      <c r="AE78" s="137">
        <f>IF(AND($Z78="",AC78=""),"",$Z78-AC78)</f>
        <v>-233336.2900000001</v>
      </c>
      <c r="AF78" s="134">
        <v>621368.76</v>
      </c>
      <c r="AG78" s="138">
        <f>IF(AF78=0,"",IFERROR(AF78/AF$43,""))</f>
        <v>0.1906817678384804</v>
      </c>
      <c r="AH78" s="137">
        <f>IF(AND($Z78="",AF78=""),"",$Z78-AF78)</f>
        <v>-160338.13000000006</v>
      </c>
      <c r="AI78" s="596" t="str">
        <f>+IFERROR(ROUND(($AA78-AD78)*100,2)&amp;" pts.",0)</f>
        <v>0.18 pts.</v>
      </c>
      <c r="AJ78" s="597"/>
      <c r="AK78" s="596" t="str">
        <f>+IFERROR(ROUND(($AA78-AG78)*100,2)&amp;" pts.",0)</f>
        <v>-13.57 pts.</v>
      </c>
      <c r="AL78" s="597"/>
      <c r="AM78" s="11"/>
      <c r="AN78" s="11"/>
      <c r="AO78" s="11"/>
    </row>
    <row r="79" spans="1:41" x14ac:dyDescent="0.25">
      <c r="A79" s="61" t="s">
        <v>46</v>
      </c>
      <c r="B79" s="62"/>
      <c r="C79" s="11"/>
      <c r="D79" s="11"/>
      <c r="E79" s="11"/>
      <c r="F79" s="11"/>
      <c r="G79" s="84" t="s">
        <v>519</v>
      </c>
      <c r="H79" s="84" t="s">
        <v>573</v>
      </c>
      <c r="I79" s="118" t="str">
        <f>IF(_epmOfflineCondition_,"T3",_xll.EVPRO($B$1,$H79,"STYLE"))</f>
        <v>T3</v>
      </c>
      <c r="J79" s="118" t="str">
        <f>IF(_epmOfflineCondition_,"Y",_xll.EVPRO($B$1,$H79,"CALC"))</f>
        <v>Y</v>
      </c>
      <c r="K79" s="11"/>
      <c r="L79" s="11"/>
      <c r="M79" s="86" t="str">
        <f>IF(_epmOfflineCondition_,"Amortization",IF(_xll.EVDES(H79,$B$1)="#NODATA","",_xll.EVDES(H79,$B$1)))</f>
        <v>Amortization</v>
      </c>
      <c r="N79" s="134"/>
      <c r="O79" s="134"/>
      <c r="P79" s="134"/>
      <c r="Q79" s="134"/>
      <c r="R79" s="134"/>
      <c r="S79" s="134"/>
      <c r="T79" s="134"/>
      <c r="U79" s="134"/>
      <c r="V79" s="134"/>
      <c r="W79" s="134"/>
      <c r="X79" s="134"/>
      <c r="Y79" s="134"/>
      <c r="Z79" s="134">
        <f>SUM(N79:Y79)</f>
        <v>0</v>
      </c>
      <c r="AA79" s="138" t="str">
        <f>IF(Z79=0,"",IFERROR(Z79/Z$43,""))</f>
        <v/>
      </c>
      <c r="AB79" s="136"/>
      <c r="AC79" s="134"/>
      <c r="AD79" s="138" t="str">
        <f>IF(AC79=0,"",IFERROR(AC79/AC$43,""))</f>
        <v/>
      </c>
      <c r="AE79" s="137">
        <f>IF(AND($Z79="",AC79=""),"",$Z79-AC79)</f>
        <v>0</v>
      </c>
      <c r="AF79" s="134"/>
      <c r="AG79" s="138" t="str">
        <f>IF(AF79=0,"",IFERROR(AF79/AF$43,""))</f>
        <v/>
      </c>
      <c r="AH79" s="137">
        <f>IF(AND($Z79="",AF79=""),"",$Z79-AF79)</f>
        <v>0</v>
      </c>
      <c r="AI79" s="596">
        <f>+IFERROR(ROUND(($AA79-AD79)*100,2)&amp;" pts.",0)</f>
        <v>0</v>
      </c>
      <c r="AJ79" s="597"/>
      <c r="AK79" s="596">
        <f>+IFERROR(ROUND(($AA79-AG79)*100,2)&amp;" pts.",0)</f>
        <v>0</v>
      </c>
      <c r="AL79" s="597"/>
      <c r="AM79" s="11"/>
      <c r="AN79" s="11"/>
      <c r="AO79" s="11"/>
    </row>
    <row r="80" spans="1:41" x14ac:dyDescent="0.2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02" t="str">
        <f>"Total "&amp;M76</f>
        <v>Total Interest, Depreciation &amp; Amortization</v>
      </c>
      <c r="N80" s="146">
        <f t="shared" ref="N80:Y80" si="31">SUM(N77:N79)</f>
        <v>188926.57</v>
      </c>
      <c r="O80" s="146">
        <f t="shared" si="31"/>
        <v>328544.87</v>
      </c>
      <c r="P80" s="146">
        <f t="shared" si="31"/>
        <v>502553.14999999997</v>
      </c>
      <c r="Q80" s="146">
        <f t="shared" si="31"/>
        <v>-4575.57</v>
      </c>
      <c r="R80" s="146">
        <f t="shared" si="31"/>
        <v>233386.84000000003</v>
      </c>
      <c r="S80" s="146">
        <f t="shared" si="31"/>
        <v>225526.16999999998</v>
      </c>
      <c r="T80" s="146">
        <f t="shared" si="31"/>
        <v>230257.08000000002</v>
      </c>
      <c r="U80" s="146">
        <f t="shared" si="31"/>
        <v>258197.56</v>
      </c>
      <c r="V80" s="146">
        <f t="shared" si="31"/>
        <v>227200.46</v>
      </c>
      <c r="W80" s="146">
        <f t="shared" si="31"/>
        <v>224192.37</v>
      </c>
      <c r="X80" s="146">
        <f t="shared" si="31"/>
        <v>208075.59</v>
      </c>
      <c r="Y80" s="146">
        <f t="shared" si="31"/>
        <v>216862.27</v>
      </c>
      <c r="Z80" s="146">
        <f>SUM(N80:Y80)</f>
        <v>2839147.3600000003</v>
      </c>
      <c r="AA80" s="147">
        <f>IF(Z80=0,"",IFERROR(Z80/Z$43,""))</f>
        <v>0.33855840805034326</v>
      </c>
      <c r="AB80" s="136"/>
      <c r="AC80" s="146">
        <f>SUM(AC77:AC79)</f>
        <v>3126598.92</v>
      </c>
      <c r="AD80" s="147">
        <f>IF(AC80=0,"",IFERROR(AC80/AC$43,""))</f>
        <v>0.23963370585757987</v>
      </c>
      <c r="AE80" s="148">
        <f>IF(AND($Z80="",AC80=""),"",$Z80-AC80)</f>
        <v>-287451.55999999959</v>
      </c>
      <c r="AF80" s="146">
        <f>SUM(AF77:AF79)</f>
        <v>710275.81</v>
      </c>
      <c r="AG80" s="147">
        <f>IF(AF80=0,"",IFERROR(AF80/AF$43,""))</f>
        <v>0.21796500857833379</v>
      </c>
      <c r="AH80" s="148">
        <f>IF(AND($Z80="",AF80=""),"",$Z80-AF80)</f>
        <v>2128871.5500000003</v>
      </c>
      <c r="AI80" s="602" t="str">
        <f>+IFERROR(ROUND(($AA80-AD80)*100,2)&amp;" pts.",0)</f>
        <v>9.89 pts.</v>
      </c>
      <c r="AJ80" s="603"/>
      <c r="AK80" s="602" t="str">
        <f>+IFERROR(ROUND(($AA80-AG80)*100,2)&amp;" pts.",0)</f>
        <v>12.06 pts.</v>
      </c>
      <c r="AL80" s="603"/>
      <c r="AM80" s="11"/>
      <c r="AN80" s="11"/>
      <c r="AO80" s="11"/>
    </row>
    <row r="81" spans="1:41" x14ac:dyDescent="0.25">
      <c r="A81" s="11"/>
      <c r="B81" s="11"/>
      <c r="C81" s="11"/>
      <c r="D81" s="11"/>
      <c r="E81" s="11"/>
      <c r="F81" s="11"/>
      <c r="G81" s="11"/>
      <c r="H81" s="55"/>
      <c r="I81" s="55"/>
      <c r="J81" s="11"/>
      <c r="K81" s="11"/>
      <c r="L81" s="55"/>
      <c r="M81" s="11"/>
      <c r="N81" s="166"/>
      <c r="O81" s="167"/>
      <c r="P81" s="167"/>
      <c r="Q81" s="167"/>
      <c r="R81" s="167"/>
      <c r="S81" s="167"/>
      <c r="T81" s="167"/>
      <c r="U81" s="167"/>
      <c r="V81" s="167"/>
      <c r="W81" s="167"/>
      <c r="X81" s="167"/>
      <c r="Y81" s="167"/>
      <c r="Z81" s="167"/>
      <c r="AA81" s="168"/>
      <c r="AB81" s="136"/>
      <c r="AC81" s="166"/>
      <c r="AD81" s="167"/>
      <c r="AE81" s="168"/>
      <c r="AF81" s="166"/>
      <c r="AG81" s="167"/>
      <c r="AH81" s="168"/>
      <c r="AI81" s="11"/>
      <c r="AJ81" s="11"/>
      <c r="AK81" s="11"/>
      <c r="AL81" s="11"/>
      <c r="AM81" s="11"/>
      <c r="AN81" s="11"/>
      <c r="AO81" s="11"/>
    </row>
    <row r="82" spans="1:41" x14ac:dyDescent="0.25">
      <c r="A82" s="11"/>
      <c r="B82" s="11"/>
      <c r="C82" s="11"/>
      <c r="D82" s="11"/>
      <c r="E82" s="11"/>
      <c r="F82" s="84" t="s">
        <v>577</v>
      </c>
      <c r="G82" s="11"/>
      <c r="H82" s="11"/>
      <c r="I82" s="11"/>
      <c r="J82" s="11"/>
      <c r="K82" s="11"/>
      <c r="L82" s="11"/>
      <c r="M82" s="102" t="str">
        <f>IF(_epmOfflineCondition_,"Income Before Income Taxes",IF(_xll.EVDES(F82,$B$1)="#NODATA","",_xll.EVDES(F82,$B$1)))</f>
        <v>Income Before Income Taxes</v>
      </c>
      <c r="N82" s="158">
        <f t="shared" ref="N82:Y82" si="32">N74-N80</f>
        <v>23058.190000000002</v>
      </c>
      <c r="O82" s="158">
        <f t="shared" si="32"/>
        <v>-137474.8899999999</v>
      </c>
      <c r="P82" s="158">
        <f t="shared" si="32"/>
        <v>-247372.08000000002</v>
      </c>
      <c r="Q82" s="158">
        <f t="shared" si="32"/>
        <v>129942.54999999996</v>
      </c>
      <c r="R82" s="158">
        <f t="shared" si="32"/>
        <v>-226880.29</v>
      </c>
      <c r="S82" s="158">
        <f t="shared" si="32"/>
        <v>-392107.53</v>
      </c>
      <c r="T82" s="158">
        <f t="shared" si="32"/>
        <v>-245277.04</v>
      </c>
      <c r="U82" s="158">
        <f t="shared" si="32"/>
        <v>-301861.10999999993</v>
      </c>
      <c r="V82" s="158">
        <f t="shared" si="32"/>
        <v>-411737.56000000006</v>
      </c>
      <c r="W82" s="158">
        <f t="shared" si="32"/>
        <v>-342022.87999999995</v>
      </c>
      <c r="X82" s="158">
        <f t="shared" si="32"/>
        <v>-277756.01000000007</v>
      </c>
      <c r="Y82" s="158">
        <f t="shared" si="32"/>
        <v>37947.329999999929</v>
      </c>
      <c r="Z82" s="158">
        <f>SUM(N82:Y82)</f>
        <v>-2391541.3200000003</v>
      </c>
      <c r="AA82" s="159">
        <f>IF(Z82=0,"",IFERROR(Z82/Z$43,""))</f>
        <v>-0.28518295087220008</v>
      </c>
      <c r="AB82" s="136"/>
      <c r="AC82" s="158">
        <f>AC74-AC80</f>
        <v>575251.22883464722</v>
      </c>
      <c r="AD82" s="159">
        <f>IF(AC82=0,"",IFERROR(AC82/AC$43,""))</f>
        <v>4.4089308316134522E-2</v>
      </c>
      <c r="AE82" s="160">
        <f>IF(AND($Z82="",AC82=""),"",$Z82-AC82)</f>
        <v>-2966792.5488346475</v>
      </c>
      <c r="AF82" s="158">
        <f>AF74-AF80</f>
        <v>-2405869.5300000003</v>
      </c>
      <c r="AG82" s="159">
        <f>IF(AF82=0,"",IFERROR(AF82/AF$43,""))</f>
        <v>-0.73829822916931642</v>
      </c>
      <c r="AH82" s="160">
        <f>IF(AND($Z82="",AF82=""),"",$Z82-AF82)</f>
        <v>14328.209999999963</v>
      </c>
      <c r="AI82" s="604" t="str">
        <f>+IFERROR(ROUND(($AA82-AD82)*100,2)&amp;" pts.",0)</f>
        <v>-32.93 pts.</v>
      </c>
      <c r="AJ82" s="605"/>
      <c r="AK82" s="604" t="str">
        <f>+IFERROR(ROUND(($AA82-AG82)*100,2)&amp;" pts.",0)</f>
        <v>45.31 pts.</v>
      </c>
      <c r="AL82" s="605"/>
      <c r="AM82" s="11"/>
      <c r="AN82" s="11"/>
      <c r="AO82" s="11"/>
    </row>
    <row r="83" spans="1:41" x14ac:dyDescent="0.25">
      <c r="A83" s="11"/>
      <c r="B83" s="11"/>
      <c r="C83" s="11"/>
      <c r="D83" s="11"/>
      <c r="E83" s="11"/>
      <c r="F83" s="11"/>
      <c r="G83" s="84" t="s">
        <v>519</v>
      </c>
      <c r="H83" s="84" t="s">
        <v>578</v>
      </c>
      <c r="I83" s="118" t="str">
        <f>IF(_epmOfflineCondition_,"T3",_xll.EVPRO($B$1,$H83,"STYLE"))</f>
        <v>T3</v>
      </c>
      <c r="J83" s="118" t="str">
        <f>IF(_epmOfflineCondition_,"Y",_xll.EVPRO($B$1,$H83,"CALC"))</f>
        <v>Y</v>
      </c>
      <c r="K83" s="11"/>
      <c r="L83" s="11"/>
      <c r="M83" s="86" t="str">
        <f>IF(_epmOfflineCondition_,"Total Income Taxes",IF(_xll.EVDES(H83,$B$1)="#NODATA","",_xll.EVDES(H83,$B$1)))</f>
        <v>Total Income Taxes</v>
      </c>
      <c r="N83" s="134"/>
      <c r="O83" s="134"/>
      <c r="P83" s="134"/>
      <c r="Q83" s="134"/>
      <c r="R83" s="134"/>
      <c r="S83" s="134"/>
      <c r="T83" s="134"/>
      <c r="U83" s="134"/>
      <c r="V83" s="134"/>
      <c r="W83" s="134"/>
      <c r="X83" s="134"/>
      <c r="Y83" s="134"/>
      <c r="Z83" s="134">
        <f>SUM(N83:Y83)</f>
        <v>0</v>
      </c>
      <c r="AA83" s="138" t="str">
        <f>IF(Z83=0,"",IFERROR(Z83/Z$43,""))</f>
        <v/>
      </c>
      <c r="AB83" s="136"/>
      <c r="AC83" s="134"/>
      <c r="AD83" s="138" t="str">
        <f>IF(AC83=0,"",IFERROR(AC83/AC$43,""))</f>
        <v/>
      </c>
      <c r="AE83" s="137">
        <f>IF(AND($Z83="",AC83=""),"",$Z83-AC83)</f>
        <v>0</v>
      </c>
      <c r="AF83" s="134"/>
      <c r="AG83" s="138" t="str">
        <f>IF(AF83=0,"",IFERROR(AF83/AF$43,""))</f>
        <v/>
      </c>
      <c r="AH83" s="137">
        <f>IF(AND($Z83="",AF83=""),"",$Z83-AF83)</f>
        <v>0</v>
      </c>
      <c r="AI83" s="596">
        <f>+IFERROR(ROUND(($AA83-AD83)*100,2)&amp;" pts.",0)</f>
        <v>0</v>
      </c>
      <c r="AJ83" s="597"/>
      <c r="AK83" s="596">
        <f>+IFERROR(ROUND(($AA83-AG83)*100,2)&amp;" pts.",0)</f>
        <v>0</v>
      </c>
      <c r="AL83" s="597"/>
      <c r="AM83" s="11"/>
      <c r="AN83" s="11"/>
      <c r="AO83" s="11"/>
    </row>
    <row r="84" spans="1:41" ht="15.75" thickBot="1" x14ac:dyDescent="0.3">
      <c r="A84" s="11"/>
      <c r="B84" s="11"/>
      <c r="C84" s="11"/>
      <c r="D84" s="11"/>
      <c r="E84" s="11"/>
      <c r="F84" s="84" t="s">
        <v>579</v>
      </c>
      <c r="G84" s="11"/>
      <c r="H84" s="11"/>
      <c r="I84" s="11"/>
      <c r="J84" s="11"/>
      <c r="K84" s="11"/>
      <c r="L84" s="11"/>
      <c r="M84" s="102" t="str">
        <f>IF(_epmOfflineCondition_,"Net Income",IF(_xll.EVDES(F84,$B$1)="#NODATA","",_xll.EVDES(F84,$B$1)))</f>
        <v>Net Income</v>
      </c>
      <c r="N84" s="161">
        <f t="shared" ref="N84:Y84" si="33">N82-N83</f>
        <v>23058.190000000002</v>
      </c>
      <c r="O84" s="161">
        <f t="shared" si="33"/>
        <v>-137474.8899999999</v>
      </c>
      <c r="P84" s="161">
        <f t="shared" si="33"/>
        <v>-247372.08000000002</v>
      </c>
      <c r="Q84" s="161">
        <f t="shared" si="33"/>
        <v>129942.54999999996</v>
      </c>
      <c r="R84" s="161">
        <f t="shared" si="33"/>
        <v>-226880.29</v>
      </c>
      <c r="S84" s="161">
        <f t="shared" si="33"/>
        <v>-392107.53</v>
      </c>
      <c r="T84" s="161">
        <f t="shared" si="33"/>
        <v>-245277.04</v>
      </c>
      <c r="U84" s="161">
        <f t="shared" si="33"/>
        <v>-301861.10999999993</v>
      </c>
      <c r="V84" s="161">
        <f t="shared" si="33"/>
        <v>-411737.56000000006</v>
      </c>
      <c r="W84" s="161">
        <f t="shared" si="33"/>
        <v>-342022.87999999995</v>
      </c>
      <c r="X84" s="161">
        <f t="shared" si="33"/>
        <v>-277756.01000000007</v>
      </c>
      <c r="Y84" s="161">
        <f t="shared" si="33"/>
        <v>37947.329999999929</v>
      </c>
      <c r="Z84" s="161">
        <f>SUM(N84:Y84)</f>
        <v>-2391541.3200000003</v>
      </c>
      <c r="AA84" s="162">
        <f>IF(Z84=0,"",IFERROR(Z84/Z$43,""))</f>
        <v>-0.28518295087220008</v>
      </c>
      <c r="AB84" s="136"/>
      <c r="AC84" s="161">
        <f>AC82-AC83</f>
        <v>575251.22883464722</v>
      </c>
      <c r="AD84" s="162">
        <f>IF(AC84=0,"",IFERROR(AC84/AC$43,""))</f>
        <v>4.4089308316134522E-2</v>
      </c>
      <c r="AE84" s="163">
        <f>IF(AND($Z84="",AC84=""),"",$Z84-AC84)</f>
        <v>-2966792.5488346475</v>
      </c>
      <c r="AF84" s="161">
        <f>AF82-AF83</f>
        <v>-2405869.5300000003</v>
      </c>
      <c r="AG84" s="162">
        <f>IF(AF84=0,"",IFERROR(AF84/AF$43,""))</f>
        <v>-0.73829822916931642</v>
      </c>
      <c r="AH84" s="163">
        <f>IF(AND($Z84="",AF84=""),"",$Z84-AF84)</f>
        <v>14328.209999999963</v>
      </c>
      <c r="AI84" s="606" t="str">
        <f>+IFERROR(ROUND(($AA84-AD84)*100,2)&amp;" pts.",0)</f>
        <v>-32.93 pts.</v>
      </c>
      <c r="AJ84" s="607"/>
      <c r="AK84" s="606" t="str">
        <f>+IFERROR(ROUND(($AA84-AG84)*100,2)&amp;" pts.",0)</f>
        <v>45.31 pts.</v>
      </c>
      <c r="AL84" s="607"/>
      <c r="AM84" s="11"/>
      <c r="AN84" s="11"/>
      <c r="AO84" s="11"/>
    </row>
    <row r="85" spans="1:41" ht="15.75" thickTop="1" x14ac:dyDescent="0.25">
      <c r="A85" s="11"/>
      <c r="B85" s="11"/>
      <c r="C85" s="11"/>
      <c r="D85" s="11"/>
      <c r="E85" s="11"/>
      <c r="F85" s="11"/>
      <c r="G85" s="11"/>
      <c r="H85" s="55"/>
      <c r="I85" s="55"/>
      <c r="J85" s="11"/>
      <c r="K85" s="11"/>
      <c r="L85" s="11">
        <f>COUNTIF(N85:AH85,FALSE)</f>
        <v>0</v>
      </c>
      <c r="M85" s="113" t="str">
        <f>IF(L85=0,"","Net Income - database validation failed")</f>
        <v/>
      </c>
      <c r="N85" s="149" t="str">
        <f t="shared" ref="N85:Z85" si="34">IF(ROUND(N84,2)&lt;&gt;ROUND(N105,2),N84-N105,"")</f>
        <v/>
      </c>
      <c r="O85" s="149" t="str">
        <f t="shared" si="34"/>
        <v/>
      </c>
      <c r="P85" s="149" t="str">
        <f t="shared" si="34"/>
        <v/>
      </c>
      <c r="Q85" s="149" t="str">
        <f t="shared" si="34"/>
        <v/>
      </c>
      <c r="R85" s="149" t="str">
        <f t="shared" si="34"/>
        <v/>
      </c>
      <c r="S85" s="149" t="str">
        <f t="shared" si="34"/>
        <v/>
      </c>
      <c r="T85" s="149" t="str">
        <f t="shared" si="34"/>
        <v/>
      </c>
      <c r="U85" s="149" t="str">
        <f t="shared" si="34"/>
        <v/>
      </c>
      <c r="V85" s="149" t="str">
        <f t="shared" si="34"/>
        <v/>
      </c>
      <c r="W85" s="149" t="str">
        <f t="shared" si="34"/>
        <v/>
      </c>
      <c r="X85" s="149" t="str">
        <f t="shared" si="34"/>
        <v/>
      </c>
      <c r="Y85" s="149" t="str">
        <f t="shared" si="34"/>
        <v/>
      </c>
      <c r="Z85" s="149" t="str">
        <f t="shared" si="34"/>
        <v/>
      </c>
      <c r="AA85" s="157" t="b">
        <f>Z85=""</f>
        <v>1</v>
      </c>
      <c r="AB85" s="136"/>
      <c r="AC85" s="149" t="str">
        <f>IF(ROUND(AC84,2)&lt;&gt;ROUND(AC105,2),AC84-AC105,"")</f>
        <v/>
      </c>
      <c r="AD85" s="152" t="b">
        <f>AC85=""</f>
        <v>1</v>
      </c>
      <c r="AE85" s="153"/>
      <c r="AF85" s="149" t="str">
        <f>IF(ROUND(AF84,2)&lt;&gt;ROUND(AF105,2),AF84-AF105,"")</f>
        <v/>
      </c>
      <c r="AG85" s="152" t="b">
        <f>AF85=""</f>
        <v>1</v>
      </c>
      <c r="AH85" s="153"/>
      <c r="AI85" s="11"/>
      <c r="AJ85" s="11"/>
      <c r="AK85" s="11"/>
      <c r="AL85" s="11"/>
      <c r="AM85" s="11"/>
      <c r="AN85" s="11"/>
      <c r="AO85" s="11"/>
    </row>
    <row r="86" spans="1:41" x14ac:dyDescent="0.25">
      <c r="A86" s="11"/>
      <c r="B86" s="11"/>
      <c r="C86" s="11"/>
      <c r="D86" s="11"/>
      <c r="E86" s="11"/>
      <c r="F86" s="84" t="s">
        <v>570</v>
      </c>
      <c r="G86" s="11"/>
      <c r="H86" s="11"/>
      <c r="I86" s="11"/>
      <c r="J86" s="11"/>
      <c r="K86" s="11"/>
      <c r="L86" s="11"/>
      <c r="M86" s="102" t="str">
        <f>IF(_epmOfflineCondition_,"EBITDA",IF(_xll.EVDES(F86,$B$1)="#NODATA","",_xll.EVDES(F86,$B$1)))</f>
        <v>EBITDA</v>
      </c>
      <c r="N86" s="158">
        <f t="shared" ref="N86:Y86" si="35">N74</f>
        <v>211984.76</v>
      </c>
      <c r="O86" s="158">
        <f t="shared" si="35"/>
        <v>191069.9800000001</v>
      </c>
      <c r="P86" s="158">
        <f t="shared" si="35"/>
        <v>255181.06999999995</v>
      </c>
      <c r="Q86" s="158">
        <f t="shared" si="35"/>
        <v>125366.97999999995</v>
      </c>
      <c r="R86" s="158">
        <f t="shared" si="35"/>
        <v>6506.5500000000175</v>
      </c>
      <c r="S86" s="158">
        <f t="shared" si="35"/>
        <v>-166581.36000000002</v>
      </c>
      <c r="T86" s="158">
        <f t="shared" si="35"/>
        <v>-15019.959999999992</v>
      </c>
      <c r="U86" s="158">
        <f t="shared" si="35"/>
        <v>-43663.549999999945</v>
      </c>
      <c r="V86" s="158">
        <f t="shared" si="35"/>
        <v>-184537.10000000003</v>
      </c>
      <c r="W86" s="158">
        <f t="shared" si="35"/>
        <v>-117830.50999999994</v>
      </c>
      <c r="X86" s="158">
        <f t="shared" si="35"/>
        <v>-69680.420000000086</v>
      </c>
      <c r="Y86" s="158">
        <f t="shared" si="35"/>
        <v>254809.59999999992</v>
      </c>
      <c r="Z86" s="158">
        <f>SUM(N86:Y86)</f>
        <v>447606.04000000004</v>
      </c>
      <c r="AA86" s="159">
        <f>IF(Z86=0,"",IFERROR(Z86/Z$43,""))</f>
        <v>5.3375457178143182E-2</v>
      </c>
      <c r="AB86" s="136"/>
      <c r="AC86" s="158">
        <f>AC74</f>
        <v>3701850.1488346471</v>
      </c>
      <c r="AD86" s="159">
        <f>IF(AC86=0,"",IFERROR(AC86/AC$43,""))</f>
        <v>0.28372301417371437</v>
      </c>
      <c r="AE86" s="160">
        <f>IF(AND($Z86="",AC86=""),"",$Z86-AC86)</f>
        <v>-3254244.1088346471</v>
      </c>
      <c r="AF86" s="158">
        <f>AF74</f>
        <v>-1695593.7200000002</v>
      </c>
      <c r="AG86" s="159">
        <f>IF(AF86=0,"",IFERROR(AF86/AF$43,""))</f>
        <v>-0.52033322059098264</v>
      </c>
      <c r="AH86" s="160">
        <f>IF(AND($Z86="",AF86=""),"",$Z86-AF86)</f>
        <v>2143199.7600000002</v>
      </c>
      <c r="AI86" s="11"/>
      <c r="AJ86" s="11"/>
      <c r="AK86" s="11"/>
      <c r="AL86" s="11"/>
      <c r="AM86" s="11"/>
      <c r="AN86" s="11"/>
      <c r="AO86" s="11"/>
    </row>
    <row r="87" spans="1:41" x14ac:dyDescent="0.25">
      <c r="A87" s="11"/>
      <c r="B87" s="11"/>
      <c r="C87" s="11"/>
      <c r="D87" s="11"/>
      <c r="E87" s="11"/>
      <c r="F87" s="11"/>
      <c r="G87" s="84" t="s">
        <v>519</v>
      </c>
      <c r="H87" s="84" t="s">
        <v>580</v>
      </c>
      <c r="I87" s="118" t="str">
        <f>IF(_epmOfflineCondition_,"T3",_xll.EVPRO($B$1,$H87,"STYLE"))</f>
        <v>T3</v>
      </c>
      <c r="J87" s="118" t="str">
        <f>IF(_epmOfflineCondition_,"Y",_xll.EVPRO($B$1,$H87,"CALC"))</f>
        <v>Y</v>
      </c>
      <c r="K87" s="11"/>
      <c r="L87" s="55"/>
      <c r="M87" s="86" t="str">
        <f>IF(_epmOfflineCondition_,"FF&amp;E ProForma Calculation",IF(_xll.EVDES(H87,$B$1)="#NODATA","",_xll.EVDES(H87,$B$1)))</f>
        <v>FF&amp;E ProForma Calculation</v>
      </c>
      <c r="N87" s="134">
        <v>32662.51</v>
      </c>
      <c r="O87" s="134">
        <v>34287.31</v>
      </c>
      <c r="P87" s="134">
        <v>39192.11</v>
      </c>
      <c r="Q87" s="134">
        <v>30575.51</v>
      </c>
      <c r="R87" s="134">
        <v>24587.19</v>
      </c>
      <c r="S87" s="134">
        <v>18207</v>
      </c>
      <c r="T87" s="134">
        <v>21618.79</v>
      </c>
      <c r="U87" s="134">
        <v>21227.360000000001</v>
      </c>
      <c r="V87" s="134">
        <v>14713.77</v>
      </c>
      <c r="W87" s="134">
        <v>21984.85</v>
      </c>
      <c r="X87" s="134">
        <v>30384.16</v>
      </c>
      <c r="Y87" s="134">
        <v>45999.03</v>
      </c>
      <c r="Z87" s="134">
        <f>SUM(N87:Y87)</f>
        <v>335439.58999999997</v>
      </c>
      <c r="AA87" s="138">
        <f>IF(Z87=0,"",IFERROR(Z87/Z$43,""))</f>
        <v>3.9999999713808382E-2</v>
      </c>
      <c r="AB87" s="136"/>
      <c r="AC87" s="134">
        <v>521896.35156887601</v>
      </c>
      <c r="AD87" s="138">
        <f>IF(AC87=0,"",IFERROR(AC87/AC$43,""))</f>
        <v>4.0000000000000042E-2</v>
      </c>
      <c r="AE87" s="137">
        <f>IF(AND($Z87="",AC87=""),"",$Z87-AC87)</f>
        <v>-186456.76156887604</v>
      </c>
      <c r="AF87" s="134">
        <v>129829.39</v>
      </c>
      <c r="AG87" s="138">
        <f>IF(AF87=0,"",IFERROR(AF87/AF$43,""))</f>
        <v>3.9841233090945109E-2</v>
      </c>
      <c r="AH87" s="137">
        <f>IF(AND($Z87="",AF87=""),"",$Z87-AF87)</f>
        <v>205610.19999999995</v>
      </c>
      <c r="AI87" s="11"/>
      <c r="AJ87" s="11"/>
      <c r="AK87" s="11"/>
      <c r="AL87" s="11"/>
      <c r="AM87" s="11"/>
      <c r="AN87" s="11"/>
      <c r="AO87" s="11"/>
    </row>
    <row r="88" spans="1:41" ht="15.75" thickBot="1" x14ac:dyDescent="0.3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02" t="s">
        <v>581</v>
      </c>
      <c r="N88" s="161">
        <f t="shared" ref="N88:Y88" si="36">N86-N87</f>
        <v>179322.25</v>
      </c>
      <c r="O88" s="161">
        <f t="shared" si="36"/>
        <v>156782.6700000001</v>
      </c>
      <c r="P88" s="161">
        <f t="shared" si="36"/>
        <v>215988.95999999996</v>
      </c>
      <c r="Q88" s="161">
        <f t="shared" si="36"/>
        <v>94791.469999999958</v>
      </c>
      <c r="R88" s="161">
        <f t="shared" si="36"/>
        <v>-18080.639999999981</v>
      </c>
      <c r="S88" s="161">
        <f t="shared" si="36"/>
        <v>-184788.36000000002</v>
      </c>
      <c r="T88" s="161">
        <f t="shared" si="36"/>
        <v>-36638.749999999993</v>
      </c>
      <c r="U88" s="161">
        <f t="shared" si="36"/>
        <v>-64890.909999999945</v>
      </c>
      <c r="V88" s="161">
        <f t="shared" si="36"/>
        <v>-199250.87000000002</v>
      </c>
      <c r="W88" s="161">
        <f t="shared" si="36"/>
        <v>-139815.35999999993</v>
      </c>
      <c r="X88" s="161">
        <f t="shared" si="36"/>
        <v>-100064.58000000009</v>
      </c>
      <c r="Y88" s="161">
        <f t="shared" si="36"/>
        <v>208810.56999999992</v>
      </c>
      <c r="Z88" s="161">
        <f>SUM(N88:Y88)</f>
        <v>112166.45000000006</v>
      </c>
      <c r="AA88" s="162">
        <f>IF(Z88=0,"",IFERROR(Z88/Z$43,""))</f>
        <v>1.3375457464334798E-2</v>
      </c>
      <c r="AB88" s="136"/>
      <c r="AC88" s="161">
        <f>AC86-AC87</f>
        <v>3179953.7972657713</v>
      </c>
      <c r="AD88" s="162">
        <f>IF(AC88=0,"",IFERROR(AC88/AC$43,""))</f>
        <v>0.24372301417371436</v>
      </c>
      <c r="AE88" s="163">
        <f>IF(AND($Z88="",AC88=""),"",$Z88-AC88)</f>
        <v>-3067787.3472657711</v>
      </c>
      <c r="AF88" s="161">
        <f>AF86-AF87</f>
        <v>-1825423.11</v>
      </c>
      <c r="AG88" s="162">
        <f>IF(AF88=0,"",IFERROR(AF88/AF$43,""))</f>
        <v>-0.56017445368192775</v>
      </c>
      <c r="AH88" s="163">
        <f>IF(AND($Z88="",AF88=""),"",$Z88-AF88)</f>
        <v>1937589.56</v>
      </c>
      <c r="AI88" s="11"/>
      <c r="AJ88" s="11"/>
      <c r="AK88" s="11"/>
      <c r="AL88" s="11"/>
      <c r="AM88" s="11"/>
      <c r="AN88" s="11"/>
      <c r="AO88" s="11"/>
    </row>
    <row r="89" spans="1:41" ht="15.75" thickTop="1" x14ac:dyDescent="0.25">
      <c r="A89" s="11"/>
      <c r="B89" s="11"/>
      <c r="C89" s="11"/>
      <c r="D89" s="11"/>
      <c r="E89" s="11"/>
      <c r="F89" s="11"/>
      <c r="G89" s="11"/>
      <c r="H89" s="55"/>
      <c r="I89" s="55"/>
      <c r="J89" s="11"/>
      <c r="K89" s="11"/>
      <c r="L89" s="55"/>
      <c r="M89" s="49" t="s">
        <v>755</v>
      </c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28">
        <f>+IF(AND(AE43&gt;0,AE61&gt;0),+AE61/+AE43)+IF(AND(AE43&gt;0,AE61&lt;0),AE61/+AE43)+IF(AND(AE43&lt;0,AE61&lt;0),+(1-(AE61/+AE43)))+IF(AND(AE43&lt;0,AE61&gt;0),+(1-(AE61/+AE43)))</f>
        <v>0.31555951877935562</v>
      </c>
      <c r="AE89" s="129" t="str">
        <f>IF(AE43&lt;0,"Flex","")</f>
        <v>Flex</v>
      </c>
      <c r="AF89" s="11"/>
      <c r="AG89" s="128">
        <f>+IF(AND(AH43&gt;0,AH61&gt;0),+AH61/+AH43)+IF(AND(AH43&gt;0,AH61&lt;0),AH61/+AH43)+IF(AND(AH43&lt;0,AH61&lt;0),+(1-(AH61/+AH43)))+IF(AND(AH43&lt;0,AH61&gt;0),+(1-(AH61/+AH43)))</f>
        <v>0.56042607429263191</v>
      </c>
      <c r="AH89" s="129" t="str">
        <f>IF(AH43&lt;0,"Flex","")</f>
        <v/>
      </c>
      <c r="AI89" s="11"/>
      <c r="AJ89" s="11"/>
      <c r="AK89" s="11"/>
      <c r="AL89" s="11"/>
      <c r="AM89" s="11"/>
      <c r="AN89" s="11"/>
      <c r="AO89" s="11"/>
    </row>
    <row r="90" spans="1:41" x14ac:dyDescent="0.25">
      <c r="A90" s="11"/>
      <c r="B90" s="11"/>
      <c r="C90" s="11"/>
      <c r="D90" s="11"/>
      <c r="E90" s="11"/>
      <c r="F90" s="11"/>
      <c r="G90" s="11"/>
      <c r="H90" s="55"/>
      <c r="I90" s="55"/>
      <c r="J90" s="11"/>
      <c r="K90" s="11"/>
      <c r="L90" s="55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hidden="1" outlineLevel="1" x14ac:dyDescent="0.25">
      <c r="A91" s="11"/>
      <c r="B91" s="11"/>
      <c r="C91" s="11"/>
      <c r="D91" s="11"/>
      <c r="E91" s="11"/>
      <c r="F91" s="11"/>
      <c r="G91" s="11"/>
      <c r="H91" s="55"/>
      <c r="I91" s="55"/>
      <c r="J91" s="11"/>
      <c r="K91" s="11"/>
      <c r="L91" s="55"/>
      <c r="M91" s="49" t="str">
        <f>M66</f>
        <v>Non-Operating Income &amp; Expenses</v>
      </c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hidden="1" outlineLevel="1" x14ac:dyDescent="0.25">
      <c r="A92" s="11"/>
      <c r="B92" s="11"/>
      <c r="C92" s="11"/>
      <c r="D92" s="11"/>
      <c r="E92" s="11"/>
      <c r="F92" s="11"/>
      <c r="G92" s="11"/>
      <c r="H92" s="55"/>
      <c r="I92" s="55"/>
      <c r="J92" s="11"/>
      <c r="K92" s="11"/>
      <c r="L92" s="55"/>
      <c r="M92" s="49" t="s">
        <v>587</v>
      </c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hidden="1" outlineLevel="1" x14ac:dyDescent="0.25">
      <c r="A93" s="11"/>
      <c r="B93" s="11"/>
      <c r="C93" s="11"/>
      <c r="D93" s="11"/>
      <c r="E93" s="11"/>
      <c r="F93" s="11"/>
      <c r="G93" s="84" t="s">
        <v>519</v>
      </c>
      <c r="H93" s="84" t="s">
        <v>542</v>
      </c>
      <c r="I93" s="118" t="str">
        <f>IF(_epmOfflineCondition_,"T3",_xll.EVPRO($B$1,$H93,"STYLE"))</f>
        <v>T3</v>
      </c>
      <c r="J93" s="118" t="str">
        <f>IF(_epmOfflineCondition_,"Y",_xll.EVPRO($B$1,$H93,"CALC"))</f>
        <v>Y</v>
      </c>
      <c r="K93" s="11"/>
      <c r="L93" s="11"/>
      <c r="M93" s="130" t="str">
        <f>IF(_epmOfflineCondition_,"Total Other",IF(_xll.EVDES(H93,$B$1)="#NODATA","",_xll.EVDES(H93,$B$1)))</f>
        <v>Total Other</v>
      </c>
      <c r="N93" s="169"/>
      <c r="O93" s="169"/>
      <c r="P93" s="169"/>
      <c r="Q93" s="169"/>
      <c r="R93" s="169"/>
      <c r="S93" s="169"/>
      <c r="T93" s="169"/>
      <c r="U93" s="169"/>
      <c r="V93" s="169"/>
      <c r="W93" s="169"/>
      <c r="X93" s="169"/>
      <c r="Y93" s="169">
        <v>2450</v>
      </c>
      <c r="Z93" s="169">
        <f>SUM(N93:Y93)</f>
        <v>2450</v>
      </c>
      <c r="AA93" s="170"/>
      <c r="AB93" s="136"/>
      <c r="AC93" s="169"/>
      <c r="AD93" s="170"/>
      <c r="AE93" s="169">
        <f>IF(AND($Z93="",AC93=""),"",$Z93-AC93)</f>
        <v>2450</v>
      </c>
      <c r="AF93" s="169">
        <v>89724.9</v>
      </c>
      <c r="AG93" s="170"/>
      <c r="AH93" s="169">
        <f>IF(AND($Z93="",AF93=""),"",$Z93-AF93)</f>
        <v>-87274.9</v>
      </c>
      <c r="AI93" s="11"/>
      <c r="AJ93" s="11"/>
      <c r="AK93" s="11"/>
      <c r="AL93" s="11"/>
      <c r="AM93" s="11"/>
      <c r="AN93" s="11"/>
      <c r="AO93" s="11"/>
    </row>
    <row r="94" spans="1:41" hidden="1" outlineLevel="1" x14ac:dyDescent="0.25">
      <c r="A94" s="11"/>
      <c r="B94" s="11"/>
      <c r="C94" s="11"/>
      <c r="D94" s="11"/>
      <c r="E94" s="11"/>
      <c r="F94" s="11"/>
      <c r="G94" s="84" t="s">
        <v>583</v>
      </c>
      <c r="H94" s="84" t="s">
        <v>584</v>
      </c>
      <c r="I94" s="118" t="str">
        <f>IF(_epmOfflineCondition_,"T1",_xll.EVPRO($B$1,$H94,"STYLE"))</f>
        <v>T1</v>
      </c>
      <c r="J94" s="118" t="str">
        <f>IF(_epmOfflineCondition_,"Y",_xll.EVPRO($B$1,$H94,"CALC"))</f>
        <v>Y</v>
      </c>
      <c r="K94" s="11"/>
      <c r="L94" s="11"/>
      <c r="M94" s="131" t="str">
        <f>IF(_epmOfflineCondition_,"Net Income-Development &amp; Renovation Projects",IF(_xll.EVDES(H94,$B$1)="#NODATA","",_xll.EVDES(H94,$B$1))&amp;"-"&amp;_xll.EVDES(G94))</f>
        <v>Net Income-Development &amp; Renovation Projects</v>
      </c>
      <c r="N94" s="171">
        <f>IF(_epmOfflineCondition_,0,_xll.EVGTS($B$1,1,$B$3,$B$5,$B$7,$B$9,N$16,N$17,N$18,$G$94,$H$94))</f>
        <v>0</v>
      </c>
      <c r="O94" s="171">
        <f>IF(_epmOfflineCondition_,0,_xll.EVGTS($B$1,1,$B$3,$B$5,$B$7,$B$9,O$16,O$17,O$18,$G$94,$H$94))</f>
        <v>0</v>
      </c>
      <c r="P94" s="171">
        <f>IF(_epmOfflineCondition_,0,_xll.EVGTS($B$1,1,$B$3,$B$5,$B$7,$B$9,P$16,P$17,P$18,$G$94,$H$94))</f>
        <v>0</v>
      </c>
      <c r="Q94" s="171">
        <f>IF(_epmOfflineCondition_,0,_xll.EVGTS($B$1,1,$B$3,$B$5,$B$7,$B$9,Q$16,Q$17,Q$18,$G$94,$H$94))</f>
        <v>0</v>
      </c>
      <c r="R94" s="171">
        <f>IF(_epmOfflineCondition_,0,_xll.EVGTS($B$1,1,$B$3,$B$5,$B$7,$B$9,R$16,R$17,R$18,$G$94,$H$94))</f>
        <v>0</v>
      </c>
      <c r="S94" s="171">
        <f>IF(_epmOfflineCondition_,0,_xll.EVGTS($B$1,1,$B$3,$B$5,$B$7,$B$9,S$16,S$17,S$18,$G$94,$H$94))</f>
        <v>0</v>
      </c>
      <c r="T94" s="171">
        <f>IF(_epmOfflineCondition_,0,_xll.EVGTS($B$1,1,$B$3,$B$5,$B$7,$B$9,T$16,T$17,T$18,$G$94,$H$94))</f>
        <v>0</v>
      </c>
      <c r="U94" s="171">
        <f>IF(_epmOfflineCondition_,0,_xll.EVGTS($B$1,1,$B$3,$B$5,$B$7,$B$9,U$16,U$17,U$18,$G$94,$H$94))</f>
        <v>0</v>
      </c>
      <c r="V94" s="171">
        <f>IF(_epmOfflineCondition_,0,_xll.EVGTS($B$1,1,$B$3,$B$5,$B$7,$B$9,V$16,V$17,V$18,$G$94,$H$94))</f>
        <v>0</v>
      </c>
      <c r="W94" s="171">
        <f>IF(_epmOfflineCondition_,0,_xll.EVGTS($B$1,1,$B$3,$B$5,$B$7,$B$9,W$16,W$17,W$18,$G$94,$H$94))</f>
        <v>0</v>
      </c>
      <c r="X94" s="171">
        <f>IF(_epmOfflineCondition_,0,_xll.EVGTS($B$1,1,$B$3,$B$5,$B$7,$B$9,X$16,X$17,X$18,$G$94,$H$94))</f>
        <v>0</v>
      </c>
      <c r="Y94" s="171">
        <f>IF(_epmOfflineCondition_,0,_xll.EVGTS($B$1,1,$B$3,$B$5,$B$7,$B$9,Y$16,Y$17,Y$18,$G$94,$H$94))</f>
        <v>0</v>
      </c>
      <c r="Z94" s="169">
        <f>SUM(N94:Y94)</f>
        <v>0</v>
      </c>
      <c r="AA94" s="172"/>
      <c r="AB94" s="136"/>
      <c r="AC94" s="171">
        <f>IF(_epmOfflineCondition_,0,_xll.EVGTS($B$1,1,$B$3,$B$5,$B$7,$B$9,AC$16,AC$17,AC$18,$G$94,$H$94))</f>
        <v>0</v>
      </c>
      <c r="AD94" s="172"/>
      <c r="AE94" s="169">
        <f>IF(AND($Z94="",AC94=""),"",$Z94-AC94)</f>
        <v>0</v>
      </c>
      <c r="AF94" s="171">
        <f>IF(_epmOfflineCondition_,0,_xll.EVGTS($B$1,1,$B$3,$B$5,$B$7,$B$9,AF$16,AF$17,AF$18,$G$94,$H$94))</f>
        <v>0</v>
      </c>
      <c r="AG94" s="172"/>
      <c r="AH94" s="169">
        <f>IF(AND($Z94="",AF94=""),"",$Z94-AF94)</f>
        <v>0</v>
      </c>
      <c r="AI94" s="11"/>
      <c r="AJ94" s="11"/>
      <c r="AK94" s="11"/>
      <c r="AL94" s="11"/>
      <c r="AM94" s="11"/>
      <c r="AN94" s="11"/>
      <c r="AO94" s="11"/>
    </row>
    <row r="95" spans="1:41" hidden="1" outlineLevel="1" x14ac:dyDescent="0.2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30" t="s">
        <v>585</v>
      </c>
      <c r="N95" s="169">
        <f t="shared" ref="N95:Y95" si="37">IFERROR(N93-N94,"")</f>
        <v>0</v>
      </c>
      <c r="O95" s="169">
        <f t="shared" si="37"/>
        <v>0</v>
      </c>
      <c r="P95" s="169">
        <f t="shared" si="37"/>
        <v>0</v>
      </c>
      <c r="Q95" s="169">
        <f t="shared" si="37"/>
        <v>0</v>
      </c>
      <c r="R95" s="169">
        <f t="shared" si="37"/>
        <v>0</v>
      </c>
      <c r="S95" s="169">
        <f t="shared" si="37"/>
        <v>0</v>
      </c>
      <c r="T95" s="169">
        <f t="shared" si="37"/>
        <v>0</v>
      </c>
      <c r="U95" s="169">
        <f t="shared" si="37"/>
        <v>0</v>
      </c>
      <c r="V95" s="169">
        <f t="shared" si="37"/>
        <v>0</v>
      </c>
      <c r="W95" s="169">
        <f t="shared" si="37"/>
        <v>0</v>
      </c>
      <c r="X95" s="169">
        <f t="shared" si="37"/>
        <v>0</v>
      </c>
      <c r="Y95" s="169">
        <f t="shared" si="37"/>
        <v>2450</v>
      </c>
      <c r="Z95" s="169">
        <f>SUM(N95:Y95)</f>
        <v>2450</v>
      </c>
      <c r="AA95" s="170"/>
      <c r="AB95" s="136"/>
      <c r="AC95" s="169">
        <f>IFERROR(AC93-AC94,"")</f>
        <v>0</v>
      </c>
      <c r="AD95" s="170"/>
      <c r="AE95" s="169">
        <f>IF(AND($Z95="",AC95=""),"",$Z95-AC95)</f>
        <v>2450</v>
      </c>
      <c r="AF95" s="169">
        <f>IFERROR(AF93-AF94,"")</f>
        <v>89724.9</v>
      </c>
      <c r="AG95" s="170"/>
      <c r="AH95" s="169">
        <f>IF(AND($Z95="",AF95=""),"",$Z95-AF95)</f>
        <v>-87274.9</v>
      </c>
      <c r="AI95" s="11"/>
      <c r="AJ95" s="11"/>
      <c r="AK95" s="11"/>
      <c r="AL95" s="11"/>
      <c r="AM95" s="11"/>
      <c r="AN95" s="11"/>
      <c r="AO95" s="11"/>
    </row>
    <row r="96" spans="1:41" hidden="1" outlineLevel="1" x14ac:dyDescent="0.2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36"/>
      <c r="O96" s="136"/>
      <c r="P96" s="136"/>
      <c r="Q96" s="136"/>
      <c r="R96" s="136"/>
      <c r="S96" s="136"/>
      <c r="T96" s="136"/>
      <c r="U96" s="136"/>
      <c r="V96" s="136"/>
      <c r="W96" s="136"/>
      <c r="X96" s="136"/>
      <c r="Y96" s="136"/>
      <c r="Z96" s="136"/>
      <c r="AA96" s="136"/>
      <c r="AB96" s="136"/>
      <c r="AC96" s="136"/>
      <c r="AD96" s="136"/>
      <c r="AE96" s="136"/>
      <c r="AF96" s="136"/>
      <c r="AG96" s="136"/>
      <c r="AH96" s="136"/>
      <c r="AI96" s="11"/>
      <c r="AJ96" s="11"/>
      <c r="AK96" s="11"/>
      <c r="AL96" s="11"/>
      <c r="AM96" s="11"/>
      <c r="AN96" s="11"/>
      <c r="AO96" s="11"/>
    </row>
    <row r="97" spans="1:41" hidden="1" outlineLevel="1" x14ac:dyDescent="0.25">
      <c r="A97" s="11"/>
      <c r="B97" s="11"/>
      <c r="C97" s="11"/>
      <c r="D97" s="11"/>
      <c r="E97" s="11"/>
      <c r="F97" s="11"/>
      <c r="G97" s="84" t="s">
        <v>499</v>
      </c>
      <c r="H97" s="84">
        <v>400000</v>
      </c>
      <c r="I97" s="118" t="str">
        <f>IF(_epmOfflineCondition_,"T3",_xll.EVPRO($B$1,$H97,"STYLE"))</f>
        <v>T3</v>
      </c>
      <c r="J97" s="118" t="str">
        <f>IF(_epmOfflineCondition_,"Y",_xll.EVPRO($B$1,$H97,"CALC"))</f>
        <v>Y</v>
      </c>
      <c r="K97" s="11"/>
      <c r="L97" s="55"/>
      <c r="M97" s="86" t="str">
        <f>IF(_epmOfflineCondition_,"Total Revenue",IF(_xll.EVDES(H97,$B$1)="#NODATA","",_xll.EVDES(H97,$B$1)))</f>
        <v>Total Revenue</v>
      </c>
      <c r="N97" s="134">
        <v>816981.25</v>
      </c>
      <c r="O97" s="134">
        <v>866773.26</v>
      </c>
      <c r="P97" s="134">
        <v>969793.68</v>
      </c>
      <c r="Q97" s="134">
        <v>760228.83</v>
      </c>
      <c r="R97" s="134">
        <v>618655.29</v>
      </c>
      <c r="S97" s="134">
        <v>453678.77</v>
      </c>
      <c r="T97" s="134">
        <v>542439.38</v>
      </c>
      <c r="U97" s="134">
        <v>530393.92000000004</v>
      </c>
      <c r="V97" s="134">
        <v>366989.98</v>
      </c>
      <c r="W97" s="134">
        <v>549087</v>
      </c>
      <c r="X97" s="134">
        <v>756850.37</v>
      </c>
      <c r="Y97" s="134">
        <v>1154118.08</v>
      </c>
      <c r="Z97" s="134">
        <f t="shared" ref="Z97:Z105" si="38">SUM(N97:Y97)</f>
        <v>8385989.8099999996</v>
      </c>
      <c r="AA97" s="138">
        <f t="shared" ref="AA97:AA105" si="39">IF(N97=0,"",IFERROR(N97/N$43,""))</f>
        <v>1</v>
      </c>
      <c r="AB97" s="136"/>
      <c r="AC97" s="134">
        <v>13047408.7892219</v>
      </c>
      <c r="AD97" s="138">
        <f t="shared" ref="AD97:AD105" si="40">IF(AC97=0,"",IFERROR(AC97/AC$43,""))</f>
        <v>1.0000000000000011</v>
      </c>
      <c r="AE97" s="137">
        <f t="shared" ref="AE97:AE105" si="41">IF(AND($Z97="",AC97=""),"",$Z97-AC97)</f>
        <v>-4661418.9792219</v>
      </c>
      <c r="AF97" s="134">
        <v>3258668.97</v>
      </c>
      <c r="AG97" s="138">
        <f t="shared" ref="AG97:AG105" si="42">IF(AF97=0,"",IFERROR(AF97/AF$43,""))</f>
        <v>1.0000000000000002</v>
      </c>
      <c r="AH97" s="137">
        <f t="shared" ref="AH97:AH105" si="43">IF(AND($Z97="",AF97=""),"",$Z97-AF97)</f>
        <v>5127320.84</v>
      </c>
      <c r="AI97" s="11"/>
      <c r="AJ97" s="11"/>
      <c r="AK97" s="11"/>
      <c r="AL97" s="11"/>
      <c r="AM97" s="11"/>
      <c r="AN97" s="11"/>
      <c r="AO97" s="11"/>
    </row>
    <row r="98" spans="1:41" hidden="1" outlineLevel="1" x14ac:dyDescent="0.25">
      <c r="A98" s="11"/>
      <c r="B98" s="11"/>
      <c r="C98" s="11"/>
      <c r="D98" s="11"/>
      <c r="E98" s="11"/>
      <c r="F98" s="11"/>
      <c r="G98" s="84" t="s">
        <v>563</v>
      </c>
      <c r="H98" s="84" t="s">
        <v>464</v>
      </c>
      <c r="I98" s="118" t="str">
        <f>IF(_epmOfflineCondition_,"T3",_xll.EVPRO($B$1,$H98,"STYLE"))</f>
        <v>T3</v>
      </c>
      <c r="J98" s="118" t="str">
        <f>IF(_epmOfflineCondition_,"Y",_xll.EVPRO($B$1,$H98,"CALC"))</f>
        <v>Y</v>
      </c>
      <c r="K98" s="11"/>
      <c r="L98" s="55"/>
      <c r="M98" s="86" t="str">
        <f>IF(_epmOfflineCondition_,"Departmental Expenses (Incl COS)",IF(_xll.EVDES(H98,$B$1)="#NODATA","",_xll.EVDES(H98,$B$1)))</f>
        <v>Departmental Expenses (Incl COS)</v>
      </c>
      <c r="N98" s="134">
        <v>268043.2</v>
      </c>
      <c r="O98" s="134">
        <v>280796.19</v>
      </c>
      <c r="P98" s="134">
        <v>304109.98</v>
      </c>
      <c r="Q98" s="134">
        <v>256069.98</v>
      </c>
      <c r="R98" s="134">
        <v>261218.14</v>
      </c>
      <c r="S98" s="134">
        <v>261799.05</v>
      </c>
      <c r="T98" s="134">
        <v>228424.62</v>
      </c>
      <c r="U98" s="134">
        <v>242508.81</v>
      </c>
      <c r="V98" s="134">
        <v>226671.37</v>
      </c>
      <c r="W98" s="134">
        <v>295173.93</v>
      </c>
      <c r="X98" s="134">
        <v>368624.01</v>
      </c>
      <c r="Y98" s="134">
        <v>405430.67</v>
      </c>
      <c r="Z98" s="134">
        <f t="shared" si="38"/>
        <v>3398869.95</v>
      </c>
      <c r="AA98" s="138">
        <f t="shared" si="39"/>
        <v>0.32808978174223707</v>
      </c>
      <c r="AB98" s="136"/>
      <c r="AC98" s="134">
        <v>4572675.99074132</v>
      </c>
      <c r="AD98" s="138">
        <f t="shared" si="40"/>
        <v>0.35046621628952751</v>
      </c>
      <c r="AE98" s="137">
        <f t="shared" si="41"/>
        <v>-1173806.0407413198</v>
      </c>
      <c r="AF98" s="134">
        <v>1999068.6</v>
      </c>
      <c r="AG98" s="138">
        <f t="shared" si="42"/>
        <v>0.61346169813621798</v>
      </c>
      <c r="AH98" s="137">
        <f t="shared" si="43"/>
        <v>1399801.35</v>
      </c>
      <c r="AI98" s="11"/>
      <c r="AJ98" s="11"/>
      <c r="AK98" s="11"/>
      <c r="AL98" s="11"/>
      <c r="AM98" s="11"/>
      <c r="AN98" s="11"/>
      <c r="AO98" s="11"/>
    </row>
    <row r="99" spans="1:41" hidden="1" outlineLevel="1" x14ac:dyDescent="0.25">
      <c r="A99" s="11"/>
      <c r="B99" s="11"/>
      <c r="C99" s="11"/>
      <c r="D99" s="11"/>
      <c r="E99" s="11"/>
      <c r="F99" s="11"/>
      <c r="G99" s="84" t="s">
        <v>563</v>
      </c>
      <c r="H99" s="84" t="s">
        <v>56</v>
      </c>
      <c r="I99" s="118" t="str">
        <f>IF(_epmOfflineCondition_,"T2",_xll.EVPRO($B$1,$H99,"STYLE"))</f>
        <v>T2</v>
      </c>
      <c r="J99" s="118" t="str">
        <f>IF(_epmOfflineCondition_,"Y",_xll.EVPRO($B$1,$H99,"CALC"))</f>
        <v>Y</v>
      </c>
      <c r="K99" s="11"/>
      <c r="L99" s="55" t="s">
        <v>591</v>
      </c>
      <c r="M99" s="86" t="str">
        <f>IF(_epmOfflineCondition_,"Gross Operating Income",IF(_xll.EVDES(H99,$B$1)="#NODATA","",_xll.EVDES(H99,$B$1)))</f>
        <v>Gross Operating Income</v>
      </c>
      <c r="N99" s="134">
        <v>548938.05000000005</v>
      </c>
      <c r="O99" s="134">
        <v>585977.06999999995</v>
      </c>
      <c r="P99" s="134">
        <v>665683.69999999995</v>
      </c>
      <c r="Q99" s="134">
        <v>504158.85</v>
      </c>
      <c r="R99" s="134">
        <v>357437.15</v>
      </c>
      <c r="S99" s="134">
        <v>191879.72</v>
      </c>
      <c r="T99" s="134">
        <v>314014.76</v>
      </c>
      <c r="U99" s="134">
        <v>287885.11</v>
      </c>
      <c r="V99" s="134">
        <v>140318.60999999999</v>
      </c>
      <c r="W99" s="134">
        <v>253913.07</v>
      </c>
      <c r="X99" s="134">
        <v>388226.36</v>
      </c>
      <c r="Y99" s="134">
        <v>748687.41</v>
      </c>
      <c r="Z99" s="134">
        <f t="shared" si="38"/>
        <v>4987119.8599999994</v>
      </c>
      <c r="AA99" s="138">
        <f t="shared" si="39"/>
        <v>0.67191021825776298</v>
      </c>
      <c r="AB99" s="136"/>
      <c r="AC99" s="134">
        <v>8474732.7984805591</v>
      </c>
      <c r="AD99" s="138">
        <f t="shared" si="40"/>
        <v>0.64953378371047188</v>
      </c>
      <c r="AE99" s="137">
        <f t="shared" si="41"/>
        <v>-3487612.9384805597</v>
      </c>
      <c r="AF99" s="134">
        <v>1259600.3700000001</v>
      </c>
      <c r="AG99" s="138">
        <f t="shared" si="42"/>
        <v>0.38653830186378219</v>
      </c>
      <c r="AH99" s="137">
        <f t="shared" si="43"/>
        <v>3727519.4899999993</v>
      </c>
      <c r="AI99" s="11"/>
      <c r="AJ99" s="11"/>
      <c r="AK99" s="11"/>
      <c r="AL99" s="11"/>
      <c r="AM99" s="11"/>
      <c r="AN99" s="11"/>
      <c r="AO99" s="11"/>
    </row>
    <row r="100" spans="1:41" hidden="1" outlineLevel="1" x14ac:dyDescent="0.25">
      <c r="A100" s="11"/>
      <c r="B100" s="11"/>
      <c r="C100" s="11"/>
      <c r="D100" s="11"/>
      <c r="E100" s="11"/>
      <c r="F100" s="11"/>
      <c r="G100" s="84" t="s">
        <v>566</v>
      </c>
      <c r="H100" s="84" t="s">
        <v>464</v>
      </c>
      <c r="I100" s="118" t="str">
        <f>IF(_epmOfflineCondition_,"T3",_xll.EVPRO($B$1,$H100,"STYLE"))</f>
        <v>T3</v>
      </c>
      <c r="J100" s="118" t="str">
        <f>IF(_epmOfflineCondition_,"Y",_xll.EVPRO($B$1,$H100,"CALC"))</f>
        <v>Y</v>
      </c>
      <c r="K100" s="11"/>
      <c r="L100" s="55"/>
      <c r="M100" s="86" t="str">
        <f>IF(_epmOfflineCondition_,"Departmental Expenses (Incl COS)",IF(_xll.EVDES(H100,$B$1)="#NODATA","",_xll.EVDES(H100,$B$1)))</f>
        <v>Departmental Expenses (Incl COS)</v>
      </c>
      <c r="N100" s="134">
        <v>224660.16</v>
      </c>
      <c r="O100" s="134">
        <v>281457.09999999998</v>
      </c>
      <c r="P100" s="134">
        <v>293301.15999999997</v>
      </c>
      <c r="Q100" s="134">
        <v>249421.94</v>
      </c>
      <c r="R100" s="134">
        <v>248371.79</v>
      </c>
      <c r="S100" s="134">
        <v>258508.27</v>
      </c>
      <c r="T100" s="134">
        <v>225860.21</v>
      </c>
      <c r="U100" s="134">
        <v>219811.55</v>
      </c>
      <c r="V100" s="134">
        <v>209045.35</v>
      </c>
      <c r="W100" s="134">
        <v>256010.5</v>
      </c>
      <c r="X100" s="134">
        <v>263900.65000000002</v>
      </c>
      <c r="Y100" s="134">
        <v>318421.37</v>
      </c>
      <c r="Z100" s="134">
        <f t="shared" si="38"/>
        <v>3048770.05</v>
      </c>
      <c r="AA100" s="138">
        <f t="shared" si="39"/>
        <v>0.27498814691279633</v>
      </c>
      <c r="AB100" s="136"/>
      <c r="AC100" s="134">
        <v>3345919.1391708902</v>
      </c>
      <c r="AD100" s="138">
        <f t="shared" si="40"/>
        <v>0.25644319061535531</v>
      </c>
      <c r="AE100" s="137">
        <f t="shared" si="41"/>
        <v>-297149.08917089039</v>
      </c>
      <c r="AF100" s="134">
        <v>2194734.85</v>
      </c>
      <c r="AG100" s="138">
        <f t="shared" si="42"/>
        <v>0.67350653601369037</v>
      </c>
      <c r="AH100" s="137">
        <f t="shared" si="43"/>
        <v>854035.19999999972</v>
      </c>
      <c r="AI100" s="11"/>
      <c r="AJ100" s="11"/>
      <c r="AK100" s="11"/>
      <c r="AL100" s="11"/>
      <c r="AM100" s="11"/>
      <c r="AN100" s="11"/>
      <c r="AO100" s="11"/>
    </row>
    <row r="101" spans="1:41" hidden="1" outlineLevel="1" x14ac:dyDescent="0.25">
      <c r="A101" s="11"/>
      <c r="B101" s="11"/>
      <c r="C101" s="11"/>
      <c r="D101" s="11"/>
      <c r="E101" s="11"/>
      <c r="F101" s="11"/>
      <c r="G101" s="84" t="s">
        <v>568</v>
      </c>
      <c r="H101" s="84" t="s">
        <v>567</v>
      </c>
      <c r="I101" s="118" t="str">
        <f>IF(_epmOfflineCondition_,"T3",_xll.EVPRO($B$1,$H101,"STYLE"))</f>
        <v>T3</v>
      </c>
      <c r="J101" s="118" t="str">
        <f>IF(_epmOfflineCondition_,"Y",_xll.EVPRO($B$1,$H101,"CALC"))</f>
        <v>Y</v>
      </c>
      <c r="K101" s="11"/>
      <c r="L101" s="55"/>
      <c r="M101" s="86" t="str">
        <f>IF(_epmOfflineCondition_,"Gross Operating Profit",IF(_xll.EVDES(H101,$B$1)="#NODATA","",_xll.EVDES(H101,$B$1)))</f>
        <v>Gross Operating Profit</v>
      </c>
      <c r="N101" s="134">
        <v>324277.89</v>
      </c>
      <c r="O101" s="134">
        <v>304519.96999999997</v>
      </c>
      <c r="P101" s="134">
        <v>372382.54</v>
      </c>
      <c r="Q101" s="134">
        <v>254736.91000000099</v>
      </c>
      <c r="R101" s="134">
        <v>109065.36</v>
      </c>
      <c r="S101" s="134">
        <v>-66628.549999999901</v>
      </c>
      <c r="T101" s="134">
        <v>88154.55</v>
      </c>
      <c r="U101" s="134">
        <v>68073.56</v>
      </c>
      <c r="V101" s="134">
        <v>-68726.739999999903</v>
      </c>
      <c r="W101" s="134">
        <v>-2097.4299999999098</v>
      </c>
      <c r="X101" s="134">
        <v>124325.71</v>
      </c>
      <c r="Y101" s="134">
        <v>430266.04</v>
      </c>
      <c r="Z101" s="134">
        <f t="shared" si="38"/>
        <v>1938349.8100000015</v>
      </c>
      <c r="AA101" s="138">
        <f t="shared" si="39"/>
        <v>0.3969220713449666</v>
      </c>
      <c r="AB101" s="136"/>
      <c r="AC101" s="134">
        <v>5128813.6593096703</v>
      </c>
      <c r="AD101" s="138">
        <f t="shared" si="40"/>
        <v>0.39309059309511674</v>
      </c>
      <c r="AE101" s="137">
        <f t="shared" si="41"/>
        <v>-3190463.8493096689</v>
      </c>
      <c r="AF101" s="134">
        <v>-935134.48000000103</v>
      </c>
      <c r="AG101" s="138">
        <f t="shared" si="42"/>
        <v>-0.28696823414990846</v>
      </c>
      <c r="AH101" s="137">
        <f t="shared" si="43"/>
        <v>2873484.2900000024</v>
      </c>
      <c r="AI101" s="11"/>
      <c r="AJ101" s="11"/>
      <c r="AK101" s="11"/>
      <c r="AL101" s="11"/>
      <c r="AM101" s="11"/>
      <c r="AN101" s="11"/>
      <c r="AO101" s="11"/>
    </row>
    <row r="102" spans="1:41" hidden="1" outlineLevel="1" x14ac:dyDescent="0.25">
      <c r="A102" s="11"/>
      <c r="B102" s="11"/>
      <c r="C102" s="11"/>
      <c r="D102" s="11"/>
      <c r="E102" s="11"/>
      <c r="F102" s="11"/>
      <c r="G102" s="84" t="s">
        <v>568</v>
      </c>
      <c r="H102" s="84" t="s">
        <v>574</v>
      </c>
      <c r="I102" s="118" t="str">
        <f>IF(_epmOfflineCondition_,"T3",_xll.EVPRO($B$1,$H102,"STYLE"))</f>
        <v>T3</v>
      </c>
      <c r="J102" s="118" t="str">
        <f>IF(_epmOfflineCondition_,"Y",_xll.EVPRO($B$1,$H102,"CALC"))</f>
        <v>Y</v>
      </c>
      <c r="K102" s="11"/>
      <c r="L102" s="55"/>
      <c r="M102" s="86" t="str">
        <f>IF(_epmOfflineCondition_,"Income Before Non-Operataing Inc. &amp; Exp.",IF(_xll.EVDES(H102,$B$1)="#NODATA","",_xll.EVDES(H102,$B$1)))</f>
        <v>Income Before Non-Operataing Inc. &amp; Exp.</v>
      </c>
      <c r="N102" s="134">
        <v>298146.21000000002</v>
      </c>
      <c r="O102" s="134">
        <v>276936.28000000003</v>
      </c>
      <c r="P102" s="134">
        <v>341257.2</v>
      </c>
      <c r="Q102" s="134">
        <v>230003.480000001</v>
      </c>
      <c r="R102" s="134">
        <v>89435.500000000204</v>
      </c>
      <c r="S102" s="134">
        <v>-81019.519999999902</v>
      </c>
      <c r="T102" s="134">
        <v>70971.009999999995</v>
      </c>
      <c r="U102" s="134">
        <v>51014.04</v>
      </c>
      <c r="V102" s="134">
        <v>-80522.629999999903</v>
      </c>
      <c r="W102" s="134">
        <v>-19668.879999999899</v>
      </c>
      <c r="X102" s="134">
        <v>99865.980000000302</v>
      </c>
      <c r="Y102" s="134">
        <v>394184.78</v>
      </c>
      <c r="Z102" s="134">
        <f t="shared" si="38"/>
        <v>1670603.4500000018</v>
      </c>
      <c r="AA102" s="138">
        <f t="shared" si="39"/>
        <v>0.36493641683943179</v>
      </c>
      <c r="AB102" s="136"/>
      <c r="AC102" s="134">
        <v>4718181.0663346499</v>
      </c>
      <c r="AD102" s="138">
        <f t="shared" si="40"/>
        <v>0.36161824486040572</v>
      </c>
      <c r="AE102" s="137">
        <f t="shared" si="41"/>
        <v>-3047577.6163346479</v>
      </c>
      <c r="AF102" s="134">
        <v>-1047865.16</v>
      </c>
      <c r="AG102" s="138">
        <f t="shared" si="42"/>
        <v>-0.32156232180895628</v>
      </c>
      <c r="AH102" s="137">
        <f t="shared" si="43"/>
        <v>2718468.6100000017</v>
      </c>
      <c r="AI102" s="11"/>
      <c r="AJ102" s="11"/>
      <c r="AK102" s="11"/>
      <c r="AL102" s="11"/>
      <c r="AM102" s="11"/>
      <c r="AN102" s="11"/>
      <c r="AO102" s="11"/>
    </row>
    <row r="103" spans="1:41" hidden="1" outlineLevel="1" x14ac:dyDescent="0.25">
      <c r="A103" s="11"/>
      <c r="B103" s="11"/>
      <c r="C103" s="11"/>
      <c r="D103" s="11"/>
      <c r="E103" s="11"/>
      <c r="F103" s="11"/>
      <c r="G103" s="84" t="s">
        <v>499</v>
      </c>
      <c r="H103" s="84" t="s">
        <v>570</v>
      </c>
      <c r="I103" s="118" t="str">
        <f>IF(_epmOfflineCondition_,"T3",_xll.EVPRO($B$1,$H103,"STYLE"))</f>
        <v>T3</v>
      </c>
      <c r="J103" s="118" t="str">
        <f>IF(_epmOfflineCondition_,"Y",_xll.EVPRO($B$1,$H103,"CALC"))</f>
        <v>Y</v>
      </c>
      <c r="K103" s="11"/>
      <c r="L103" s="55"/>
      <c r="M103" s="86" t="str">
        <f>IF(_epmOfflineCondition_,"EBITDA",IF(_xll.EVDES(H103,$B$1)="#NODATA","",_xll.EVDES(H103,$B$1)))</f>
        <v>EBITDA</v>
      </c>
      <c r="N103" s="134">
        <v>211984.76</v>
      </c>
      <c r="O103" s="134">
        <v>191069.98</v>
      </c>
      <c r="P103" s="134">
        <v>255181.07</v>
      </c>
      <c r="Q103" s="134">
        <v>125366.98</v>
      </c>
      <c r="R103" s="134">
        <v>6506.5500000000602</v>
      </c>
      <c r="S103" s="134">
        <v>-166581.35999999999</v>
      </c>
      <c r="T103" s="134">
        <v>-15019.959999999901</v>
      </c>
      <c r="U103" s="134">
        <v>-43663.55</v>
      </c>
      <c r="V103" s="134">
        <v>-184537.1</v>
      </c>
      <c r="W103" s="134">
        <v>-117830.51</v>
      </c>
      <c r="X103" s="134">
        <v>-69680.42</v>
      </c>
      <c r="Y103" s="134">
        <v>254809.60000000001</v>
      </c>
      <c r="Z103" s="134">
        <f t="shared" si="38"/>
        <v>447606.04000000027</v>
      </c>
      <c r="AA103" s="138">
        <f t="shared" si="39"/>
        <v>0.25947322536471923</v>
      </c>
      <c r="AB103" s="136"/>
      <c r="AC103" s="134">
        <v>3701850.1488346499</v>
      </c>
      <c r="AD103" s="138">
        <f t="shared" si="40"/>
        <v>0.28372301417371459</v>
      </c>
      <c r="AE103" s="137">
        <f t="shared" si="41"/>
        <v>-3254244.1088346494</v>
      </c>
      <c r="AF103" s="134">
        <v>-1695593.72</v>
      </c>
      <c r="AG103" s="138">
        <f t="shared" si="42"/>
        <v>-0.52033322059098264</v>
      </c>
      <c r="AH103" s="137">
        <f t="shared" si="43"/>
        <v>2143199.7600000002</v>
      </c>
      <c r="AI103" s="11"/>
      <c r="AJ103" s="11"/>
      <c r="AK103" s="11"/>
      <c r="AL103" s="11"/>
      <c r="AM103" s="11"/>
      <c r="AN103" s="11"/>
      <c r="AO103" s="11"/>
    </row>
    <row r="104" spans="1:41" hidden="1" outlineLevel="1" x14ac:dyDescent="0.25">
      <c r="A104" s="11"/>
      <c r="B104" s="11"/>
      <c r="C104" s="11"/>
      <c r="D104" s="11"/>
      <c r="E104" s="11"/>
      <c r="F104" s="11"/>
      <c r="G104" s="84" t="s">
        <v>499</v>
      </c>
      <c r="H104" s="84" t="s">
        <v>577</v>
      </c>
      <c r="I104" s="118" t="str">
        <f>IF(_epmOfflineCondition_,"T3",_xll.EVPRO($B$1,$H104,"STYLE"))</f>
        <v>T3</v>
      </c>
      <c r="J104" s="118" t="str">
        <f>IF(_epmOfflineCondition_,"Y",_xll.EVPRO($B$1,$H104,"CALC"))</f>
        <v>Y</v>
      </c>
      <c r="K104" s="11"/>
      <c r="L104" s="55"/>
      <c r="M104" s="86" t="str">
        <f>IF(_epmOfflineCondition_,"Income Before Income Taxes",IF(_xll.EVDES(H104,$B$1)="#NODATA","",_xll.EVDES(H104,$B$1)))</f>
        <v>Income Before Income Taxes</v>
      </c>
      <c r="N104" s="134">
        <v>23058.190000000101</v>
      </c>
      <c r="O104" s="134">
        <v>-137474.89000000001</v>
      </c>
      <c r="P104" s="134">
        <v>-247372.08</v>
      </c>
      <c r="Q104" s="134">
        <v>129942.55</v>
      </c>
      <c r="R104" s="134">
        <v>-226880.29</v>
      </c>
      <c r="S104" s="134">
        <v>-392107.53</v>
      </c>
      <c r="T104" s="134">
        <v>-245277.04</v>
      </c>
      <c r="U104" s="134">
        <v>-301861.11</v>
      </c>
      <c r="V104" s="134">
        <v>-411737.56</v>
      </c>
      <c r="W104" s="134">
        <v>-342022.88</v>
      </c>
      <c r="X104" s="134">
        <v>-277756.01</v>
      </c>
      <c r="Y104" s="134">
        <v>37947.330000000198</v>
      </c>
      <c r="Z104" s="134">
        <f t="shared" si="38"/>
        <v>-2391541.3199999994</v>
      </c>
      <c r="AA104" s="138">
        <f t="shared" si="39"/>
        <v>2.8223646503515349E-2</v>
      </c>
      <c r="AB104" s="136"/>
      <c r="AC104" s="134">
        <v>575251.22883465397</v>
      </c>
      <c r="AD104" s="138">
        <f t="shared" si="40"/>
        <v>4.4089308316135042E-2</v>
      </c>
      <c r="AE104" s="137">
        <f t="shared" si="41"/>
        <v>-2966792.5488346536</v>
      </c>
      <c r="AF104" s="134">
        <v>-2405869.5299999998</v>
      </c>
      <c r="AG104" s="138">
        <f t="shared" si="42"/>
        <v>-0.73829822916931631</v>
      </c>
      <c r="AH104" s="137">
        <f t="shared" si="43"/>
        <v>14328.210000000428</v>
      </c>
      <c r="AI104" s="11"/>
      <c r="AJ104" s="11"/>
      <c r="AK104" s="11"/>
      <c r="AL104" s="11"/>
      <c r="AM104" s="11"/>
      <c r="AN104" s="11"/>
      <c r="AO104" s="11"/>
    </row>
    <row r="105" spans="1:41" hidden="1" outlineLevel="1" x14ac:dyDescent="0.25">
      <c r="A105" s="11"/>
      <c r="B105" s="11"/>
      <c r="C105" s="11"/>
      <c r="D105" s="11"/>
      <c r="E105" s="11"/>
      <c r="F105" s="11"/>
      <c r="G105" s="84" t="s">
        <v>499</v>
      </c>
      <c r="H105" s="84" t="s">
        <v>579</v>
      </c>
      <c r="I105" s="132" t="str">
        <f>IF(_epmOfflineCondition_,"T1",_xll.EVPRO($B$1,$H105,"STYLE"))</f>
        <v>T1</v>
      </c>
      <c r="J105" s="132" t="str">
        <f>IF(_epmOfflineCondition_,"Y",_xll.EVPRO($B$1,$H105,"CALC"))</f>
        <v>Y</v>
      </c>
      <c r="K105" s="11"/>
      <c r="L105" s="55"/>
      <c r="M105" s="86" t="str">
        <f>IF(_epmOfflineCondition_,"Net Income",IF(_xll.EVDES(H105,$B$1)="#NODATA","",_xll.EVDES(H105,$B$1)))</f>
        <v>Net Income</v>
      </c>
      <c r="N105" s="134">
        <v>23058.190000000101</v>
      </c>
      <c r="O105" s="134">
        <v>-137474.89000000001</v>
      </c>
      <c r="P105" s="134">
        <v>-247372.08</v>
      </c>
      <c r="Q105" s="134">
        <v>129942.55</v>
      </c>
      <c r="R105" s="134">
        <v>-226880.29</v>
      </c>
      <c r="S105" s="134">
        <v>-392107.53</v>
      </c>
      <c r="T105" s="134">
        <v>-245277.04</v>
      </c>
      <c r="U105" s="134">
        <v>-301861.11</v>
      </c>
      <c r="V105" s="134">
        <v>-411737.56</v>
      </c>
      <c r="W105" s="134">
        <v>-342022.88</v>
      </c>
      <c r="X105" s="134">
        <v>-277756.01</v>
      </c>
      <c r="Y105" s="134">
        <v>37947.330000000198</v>
      </c>
      <c r="Z105" s="134">
        <f t="shared" si="38"/>
        <v>-2391541.3199999994</v>
      </c>
      <c r="AA105" s="138">
        <f t="shared" si="39"/>
        <v>2.8223646503515349E-2</v>
      </c>
      <c r="AB105" s="136"/>
      <c r="AC105" s="134">
        <v>575251.22883465397</v>
      </c>
      <c r="AD105" s="138">
        <f t="shared" si="40"/>
        <v>4.4089308316135042E-2</v>
      </c>
      <c r="AE105" s="137">
        <f t="shared" si="41"/>
        <v>-2966792.5488346536</v>
      </c>
      <c r="AF105" s="134">
        <v>-2405869.5299999998</v>
      </c>
      <c r="AG105" s="138">
        <f t="shared" si="42"/>
        <v>-0.73829822916931631</v>
      </c>
      <c r="AH105" s="137">
        <f t="shared" si="43"/>
        <v>14328.210000000428</v>
      </c>
      <c r="AI105" s="11"/>
      <c r="AJ105" s="11"/>
      <c r="AK105" s="11"/>
      <c r="AL105" s="11"/>
      <c r="AM105" s="11"/>
      <c r="AN105" s="11"/>
      <c r="AO105" s="11"/>
    </row>
    <row r="106" spans="1:41" collapsed="1" x14ac:dyDescent="0.25">
      <c r="A106" s="11"/>
      <c r="B106" s="11"/>
      <c r="C106" s="11"/>
      <c r="D106" s="11"/>
      <c r="E106" s="11"/>
      <c r="F106" s="11"/>
      <c r="G106" s="11"/>
      <c r="H106" s="11"/>
      <c r="I106" s="55"/>
      <c r="J106" s="55"/>
      <c r="K106" s="11"/>
      <c r="L106" s="55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x14ac:dyDescent="0.25">
      <c r="A107" s="11"/>
      <c r="B107" s="11"/>
      <c r="C107" s="11"/>
      <c r="D107" s="11"/>
      <c r="E107" s="11"/>
      <c r="F107" s="11"/>
      <c r="G107" s="11"/>
      <c r="H107" s="11"/>
      <c r="I107" s="55"/>
      <c r="J107" s="55"/>
      <c r="K107" s="11"/>
      <c r="L107" s="55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x14ac:dyDescent="0.25">
      <c r="A108" s="11"/>
      <c r="B108" s="11"/>
      <c r="C108" s="11"/>
      <c r="D108" s="11"/>
      <c r="E108" s="11"/>
      <c r="F108" s="11"/>
      <c r="G108" s="11"/>
      <c r="H108" s="11"/>
      <c r="I108" s="55"/>
      <c r="J108" s="55"/>
      <c r="K108" s="11"/>
      <c r="L108" s="55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33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x14ac:dyDescent="0.25">
      <c r="A109" s="11"/>
      <c r="B109" s="11"/>
      <c r="C109" s="11"/>
      <c r="D109" s="11"/>
      <c r="E109" s="11"/>
      <c r="F109" s="11"/>
      <c r="G109" s="11"/>
      <c r="H109" s="11"/>
      <c r="I109" s="55"/>
      <c r="J109" s="55"/>
      <c r="K109" s="11"/>
      <c r="L109" s="55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x14ac:dyDescent="0.25">
      <c r="A110" s="11"/>
      <c r="B110" s="11"/>
      <c r="C110" s="11"/>
      <c r="D110" s="11"/>
      <c r="E110" s="11"/>
      <c r="F110" s="11"/>
      <c r="G110" s="11"/>
      <c r="H110" s="11"/>
      <c r="I110" s="55"/>
      <c r="J110" s="55"/>
      <c r="K110" s="11"/>
      <c r="L110" s="55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x14ac:dyDescent="0.25">
      <c r="A111" s="11"/>
      <c r="B111" s="11"/>
      <c r="C111" s="11"/>
      <c r="D111" s="11"/>
      <c r="E111" s="11"/>
      <c r="F111" s="11"/>
      <c r="G111" s="11"/>
      <c r="H111" s="11"/>
      <c r="I111" s="55"/>
      <c r="J111" s="55"/>
      <c r="K111" s="11"/>
      <c r="L111" s="55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x14ac:dyDescent="0.25">
      <c r="A112" s="11"/>
      <c r="B112" s="11"/>
      <c r="C112" s="11"/>
      <c r="D112" s="11"/>
      <c r="E112" s="11"/>
      <c r="F112" s="11"/>
      <c r="G112" s="11"/>
      <c r="H112" s="11"/>
      <c r="I112" s="55"/>
      <c r="J112" s="55"/>
      <c r="K112" s="11"/>
      <c r="L112" s="55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x14ac:dyDescent="0.25">
      <c r="A113" s="11"/>
      <c r="B113" s="11"/>
      <c r="C113" s="11"/>
      <c r="D113" s="11"/>
      <c r="E113" s="11"/>
      <c r="F113" s="11"/>
      <c r="G113" s="11"/>
      <c r="H113" s="11"/>
      <c r="I113" s="55"/>
      <c r="J113" s="55"/>
      <c r="K113" s="11"/>
      <c r="L113" s="55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  <row r="114" spans="1:41" x14ac:dyDescent="0.25">
      <c r="A114" s="11"/>
      <c r="B114" s="11"/>
      <c r="C114" s="11"/>
      <c r="D114" s="11"/>
      <c r="E114" s="11"/>
      <c r="F114" s="11"/>
      <c r="G114" s="11"/>
      <c r="H114" s="11"/>
      <c r="I114" s="55"/>
      <c r="J114" s="55"/>
      <c r="K114" s="11"/>
      <c r="L114" s="55"/>
      <c r="M114" s="11"/>
      <c r="N114" s="133"/>
      <c r="O114" s="133"/>
      <c r="P114" s="133"/>
      <c r="Q114" s="133"/>
      <c r="R114" s="133"/>
      <c r="S114" s="133"/>
      <c r="T114" s="133"/>
      <c r="U114" s="133"/>
      <c r="V114" s="133"/>
      <c r="W114" s="133"/>
      <c r="X114" s="133"/>
      <c r="Y114" s="133"/>
      <c r="Z114" s="133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</sheetData>
  <sheetProtection algorithmName="SHA-512" hashValue="fWxkbDxgPx/omy2Dyj/r6bU01jZocKqtgswDuenk3z3g1c+1+kTmDzuDHNE4OxVLdkaFdjr0c6RuYU4cL6eyXA==" saltValue="o5CxFOQL7pwvCeaAlZU98w==" spinCount="100000" sheet="1" scenarios="1"/>
  <mergeCells count="58">
    <mergeCell ref="AI83:AJ83"/>
    <mergeCell ref="AK83:AL83"/>
    <mergeCell ref="AI84:AJ84"/>
    <mergeCell ref="AK84:AL84"/>
    <mergeCell ref="AI79:AJ79"/>
    <mergeCell ref="AK79:AL79"/>
    <mergeCell ref="AI80:AJ80"/>
    <mergeCell ref="AK80:AL80"/>
    <mergeCell ref="AI82:AJ82"/>
    <mergeCell ref="AK82:AL82"/>
    <mergeCell ref="AI74:AJ74"/>
    <mergeCell ref="AK74:AL74"/>
    <mergeCell ref="AI77:AJ77"/>
    <mergeCell ref="AK77:AL77"/>
    <mergeCell ref="AI78:AJ78"/>
    <mergeCell ref="AK78:AL78"/>
    <mergeCell ref="AI70:AJ70"/>
    <mergeCell ref="AK70:AL70"/>
    <mergeCell ref="AI71:AJ71"/>
    <mergeCell ref="AK71:AL71"/>
    <mergeCell ref="AI72:AJ72"/>
    <mergeCell ref="AK72:AL72"/>
    <mergeCell ref="AI67:AJ67"/>
    <mergeCell ref="AK67:AL67"/>
    <mergeCell ref="AI68:AJ68"/>
    <mergeCell ref="AK68:AL68"/>
    <mergeCell ref="AI69:AJ69"/>
    <mergeCell ref="AK69:AL69"/>
    <mergeCell ref="AI61:AJ61"/>
    <mergeCell ref="AK61:AL61"/>
    <mergeCell ref="AI63:AJ63"/>
    <mergeCell ref="AK63:AL63"/>
    <mergeCell ref="AI64:AJ64"/>
    <mergeCell ref="AK64:AL64"/>
    <mergeCell ref="AI59:AJ59"/>
    <mergeCell ref="AK59:AL59"/>
    <mergeCell ref="AI49:AJ49"/>
    <mergeCell ref="AK49:AL49"/>
    <mergeCell ref="AI51:AJ51"/>
    <mergeCell ref="AK51:AL51"/>
    <mergeCell ref="AI56:AJ56"/>
    <mergeCell ref="AK56:AL56"/>
    <mergeCell ref="AI57:AJ57"/>
    <mergeCell ref="AK57:AL57"/>
    <mergeCell ref="AI58:AJ58"/>
    <mergeCell ref="AK58:AL58"/>
    <mergeCell ref="AI48:AJ48"/>
    <mergeCell ref="AK48:AL48"/>
    <mergeCell ref="AI54:AJ54"/>
    <mergeCell ref="AK54:AL54"/>
    <mergeCell ref="AI55:AJ55"/>
    <mergeCell ref="AK55:AL55"/>
    <mergeCell ref="AI46:AJ46"/>
    <mergeCell ref="AK46:AL46"/>
    <mergeCell ref="AI47:AJ47"/>
    <mergeCell ref="AK47:AL47"/>
    <mergeCell ref="AC31:AD31"/>
    <mergeCell ref="AF31:AG31"/>
  </mergeCells>
  <dataValidations count="2">
    <dataValidation type="list" allowBlank="1" sqref="B28" xr:uid="{00000000-0002-0000-0100-000000000000}">
      <formula1>"ACCOUNT,BUSINESSUNIT,CATEGORY,DATASRC,DEPARTMENT,INTCO,MEASURES,RPTCURRENCY,TIME"</formula1>
    </dataValidation>
    <dataValidation type="list" allowBlank="1" sqref="B29" xr:uid="{00000000-0002-0000-0100-000001000000}">
      <formula1>"SELF,ALL,BAS,DEP,BASMEMBERS,MEMBERS,NOEXPAND,GDEP"</formula1>
    </dataValidation>
  </dataValidations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customProperties>
    <customPr name="EpmWorksheetKeyString_GUID" r:id="rId2"/>
    <customPr name="FPMExcelClientCellBasedFunctionStatus" r:id="rId3"/>
    <customPr name="FPMExcelClientRefreshTime" r:id="rId4"/>
  </customProperties>
  <drawing r:id="rId5"/>
  <legacy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5" tint="0.39997558519241921"/>
    <pageSetUpPr fitToPage="1"/>
  </sheetPr>
  <dimension ref="A1:AO133"/>
  <sheetViews>
    <sheetView topLeftCell="K25" zoomScale="85" zoomScaleNormal="85" workbookViewId="0">
      <pane xSplit="4" ySplit="8" topLeftCell="O33" activePane="bottomRight" state="frozen"/>
      <selection activeCell="K25" sqref="K25"/>
      <selection pane="topRight" activeCell="K25" sqref="K25"/>
      <selection pane="bottomLeft" activeCell="K25" sqref="K25"/>
      <selection pane="bottomRight" activeCell="O33" sqref="O32:O33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2" width="9.7109375" style="2" hidden="1" customWidth="1" outlineLevel="1" collapsed="1"/>
    <col min="13" max="13" width="9.7109375" style="2" hidden="1" customWidth="1" outlineLevel="1"/>
    <col min="14" max="14" width="36.7109375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40" width="9.140625" style="1" hidden="1" customWidth="1" outlineLevel="1"/>
    <col min="41" max="41" width="9.140625" style="1" collapsed="1"/>
    <col min="42" max="16384" width="9.140625" style="1"/>
  </cols>
  <sheetData>
    <row r="1" spans="1:41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11"/>
      <c r="H1" s="11"/>
      <c r="I1" s="11"/>
      <c r="J1" s="11"/>
      <c r="K1" s="11"/>
      <c r="L1" s="51"/>
      <c r="M1" s="5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</row>
    <row r="2" spans="1:41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11"/>
      <c r="H2" s="11"/>
      <c r="I2" s="11"/>
      <c r="J2" s="11"/>
      <c r="K2" s="11"/>
      <c r="L2" s="51"/>
      <c r="M2" s="5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</row>
    <row r="3" spans="1:41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11"/>
      <c r="H3" s="11"/>
      <c r="I3" s="11"/>
      <c r="J3" s="11"/>
      <c r="K3" s="11"/>
      <c r="L3" s="55"/>
      <c r="M3" s="55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11"/>
      <c r="H4" s="11"/>
      <c r="I4" s="55"/>
      <c r="J4" s="55"/>
      <c r="K4" s="11"/>
      <c r="L4" s="55"/>
      <c r="M4" s="55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11"/>
      <c r="H5" s="11"/>
      <c r="I5" s="55"/>
      <c r="J5" s="55"/>
      <c r="K5" s="11"/>
      <c r="L5" s="55"/>
      <c r="M5" s="55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idden="1" outlineLevel="1" x14ac:dyDescent="0.25">
      <c r="A6" s="49" t="s">
        <v>52</v>
      </c>
      <c r="B6" s="52" t="s">
        <v>60</v>
      </c>
      <c r="C6" s="11" t="str">
        <f>IF(_epmOfflineCondition_,"Rooms",_xll.EVDES(B6,$B$1))</f>
        <v>Rooms</v>
      </c>
      <c r="D6" s="11"/>
      <c r="E6" s="54" t="str">
        <f>IF(_epmOfflineCondition_,"D_ROOMS",_xll.EVPRO($B$1,$B$6,$F$6))</f>
        <v>D_ROOMS</v>
      </c>
      <c r="F6" s="11" t="s">
        <v>278</v>
      </c>
      <c r="G6" s="11"/>
      <c r="H6" s="11"/>
      <c r="I6" s="55"/>
      <c r="J6" s="55"/>
      <c r="K6" s="11"/>
      <c r="L6" s="55"/>
      <c r="M6" s="55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11"/>
      <c r="H7" s="11"/>
      <c r="I7" s="55"/>
      <c r="J7" s="55"/>
      <c r="K7" s="11"/>
      <c r="L7" s="55"/>
      <c r="M7" s="55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11"/>
      <c r="H8" s="11"/>
      <c r="I8" s="55"/>
      <c r="J8" s="55"/>
      <c r="K8" s="11"/>
      <c r="L8" s="55"/>
      <c r="M8" s="55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55"/>
      <c r="M9" s="55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55"/>
      <c r="M10" s="55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55"/>
      <c r="M11" s="55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55"/>
      <c r="M12" s="55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  <c r="AJ12" s="11"/>
      <c r="AK12" s="11"/>
      <c r="AL12" s="11"/>
      <c r="AM12" s="11"/>
      <c r="AN12" s="11"/>
      <c r="AO12" s="11"/>
    </row>
    <row r="13" spans="1:41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55"/>
      <c r="M13" s="55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  <c r="AJ13" s="11"/>
      <c r="AK13" s="11"/>
      <c r="AL13" s="11"/>
      <c r="AM13" s="11"/>
      <c r="AN13" s="11"/>
      <c r="AO13" s="11"/>
    </row>
    <row r="14" spans="1:41" hidden="1" outlineLevel="1" x14ac:dyDescent="0.25">
      <c r="A14" s="56" t="str">
        <f>IF(_epmOfflineCondition_,"Evdre:Ok",_xll.EVDRE($B$1,A17:B24,A27:B33))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55"/>
      <c r="M14" s="55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  <c r="AJ14" s="11"/>
      <c r="AK14" s="11"/>
      <c r="AL14" s="11"/>
      <c r="AM14" s="11"/>
      <c r="AN14" s="11"/>
      <c r="AO14" s="11"/>
    </row>
    <row r="15" spans="1:41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55"/>
      <c r="M15" s="55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  <c r="AJ15" s="11"/>
      <c r="AK15" s="11"/>
      <c r="AL15" s="11"/>
      <c r="AM15" s="11"/>
      <c r="AN15" s="11"/>
      <c r="AO15" s="11"/>
    </row>
    <row r="16" spans="1:41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55"/>
      <c r="M16" s="55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  <c r="AJ16" s="11"/>
      <c r="AK16" s="11"/>
      <c r="AL16" s="11"/>
      <c r="AM16" s="11"/>
      <c r="AN16" s="11"/>
      <c r="AO16" s="11"/>
    </row>
    <row r="17" spans="1:41" hidden="1" outlineLevel="1" x14ac:dyDescent="0.25">
      <c r="A17" s="61" t="s">
        <v>2</v>
      </c>
      <c r="B17" s="62" t="str">
        <f>IF(_epmOfflineCondition_,"'Rooms'!$B$2:$B$10",_xll.EVRNG($B$2:$B$10))</f>
        <v>'Rooms'!$B$2:$B$10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55"/>
      <c r="M17" s="55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/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  <c r="AJ17" s="11"/>
      <c r="AK17" s="11"/>
      <c r="AL17" s="11"/>
      <c r="AM17" s="11"/>
      <c r="AN17" s="11"/>
      <c r="AO17" s="11"/>
    </row>
    <row r="18" spans="1:41" hidden="1" outlineLevel="1" x14ac:dyDescent="0.25">
      <c r="A18" s="61" t="s">
        <v>3</v>
      </c>
      <c r="B18" s="62" t="str">
        <f>IF(_epmOfflineCondition_,"'Rooms'!$O$16:$AN$18",_xll.EVRNG($O$16:$AN$18))</f>
        <v>'Rooms'!$O$16:$AN$18</v>
      </c>
      <c r="C18" s="11"/>
      <c r="D18" s="11"/>
      <c r="E18" s="11"/>
      <c r="F18" s="11"/>
      <c r="G18" s="11"/>
      <c r="H18" s="11"/>
      <c r="I18" s="55"/>
      <c r="J18" s="55"/>
      <c r="K18" s="11"/>
      <c r="L18" s="55"/>
      <c r="M18" s="55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60"/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  <c r="AJ18" s="11"/>
      <c r="AK18" s="11"/>
      <c r="AL18" s="11"/>
      <c r="AM18" s="11"/>
      <c r="AN18" s="11"/>
      <c r="AO18" s="11"/>
    </row>
    <row r="19" spans="1:41" hidden="1" outlineLevel="1" x14ac:dyDescent="0.25">
      <c r="A19" s="61" t="s">
        <v>4</v>
      </c>
      <c r="B19" s="62" t="str">
        <f>IF(_epmOfflineCondition_,"'Rooms'!$H$35:$H$51",_xll.EVRNG(H35:H51))</f>
        <v>'Rooms'!$H$35:$H$51</v>
      </c>
      <c r="C19" s="11"/>
      <c r="D19" s="11"/>
      <c r="E19" s="11"/>
      <c r="F19" s="11"/>
      <c r="G19" s="63" t="str">
        <f>$B$6</f>
        <v>D_ROOMS_CON</v>
      </c>
      <c r="H19" s="63">
        <v>400000</v>
      </c>
      <c r="I19" s="64"/>
      <c r="J19" s="64"/>
      <c r="K19" s="63"/>
      <c r="L19" s="64"/>
      <c r="M19" s="64"/>
      <c r="N19" s="63" t="str">
        <f>IF(_epmOfflineCondition_,"Total Revenue",_xll.EVDES(H19))</f>
        <v>Total Revenue</v>
      </c>
      <c r="O19" s="65">
        <f>IF(_epmOfflineCondition_,642489.77,_xll.EVGTS($B$1,1,$B$3,$B$5,$B$7,$B$9,O$16,O$17,O$18,$G$19,$H$19))</f>
        <v>642489.77</v>
      </c>
      <c r="P19" s="65">
        <f>IF(_epmOfflineCondition_,689311.33,_xll.EVGTS($B$1,1,$B$3,$B$5,$B$7,$B$9,P$16,P$17,P$18,$G$19,$H$19))</f>
        <v>689311.33</v>
      </c>
      <c r="Q19" s="65">
        <f>IF(_epmOfflineCondition_,794322.76,_xll.EVGTS($B$1,1,$B$3,$B$5,$B$7,$B$9,Q$16,Q$17,Q$18,$G$19,$H$19))</f>
        <v>794322.76</v>
      </c>
      <c r="R19" s="65">
        <f>IF(_epmOfflineCondition_,599715.47,_xll.EVGTS($B$1,1,$B$3,$B$5,$B$7,$B$9,R$16,R$17,R$18,$G$19,$H$19))</f>
        <v>599715.47</v>
      </c>
      <c r="S19" s="65">
        <f>IF(_epmOfflineCondition_,476136.88,_xll.EVGTS($B$1,1,$B$3,$B$5,$B$7,$B$9,S$16,S$17,S$18,$G$19,$H$19))</f>
        <v>476136.88</v>
      </c>
      <c r="T19" s="65">
        <f>IF(_epmOfflineCondition_,333518.41,_xll.EVGTS($B$1,1,$B$3,$B$5,$B$7,$B$9,T$16,T$17,T$18,$G$19,$H$19))</f>
        <v>333518.40999999997</v>
      </c>
      <c r="U19" s="65">
        <f>IF(_epmOfflineCondition_,393649.4,_xll.EVGTS($B$1,1,$B$3,$B$5,$B$7,$B$9,U$16,U$17,U$18,$G$19,$H$19))</f>
        <v>393649.4</v>
      </c>
      <c r="V19" s="65">
        <f>IF(_epmOfflineCondition_,379826.96,_xll.EVGTS($B$1,1,$B$3,$B$5,$B$7,$B$9,V$16,V$17,V$18,$G$19,$H$19))</f>
        <v>379826.96</v>
      </c>
      <c r="W19" s="65">
        <f>IF(_epmOfflineCondition_,261653.71,_xll.EVGTS($B$1,1,$B$3,$B$5,$B$7,$B$9,W$16,W$17,W$18,$G$19,$H$19))</f>
        <v>261653.71</v>
      </c>
      <c r="X19" s="65">
        <f>IF(_epmOfflineCondition_,392536.9,_xll.EVGTS($B$1,1,$B$3,$B$5,$B$7,$B$9,X$16,X$17,X$18,$G$19,$H$19))</f>
        <v>392536.9</v>
      </c>
      <c r="Y19" s="65">
        <f>IF(_epmOfflineCondition_,503352.62,_xll.EVGTS($B$1,1,$B$3,$B$5,$B$7,$B$9,Y$16,Y$17,Y$18,$G$19,$H$19))</f>
        <v>503352.62</v>
      </c>
      <c r="Z19" s="65">
        <f>IF(_epmOfflineCondition_,873430.33,_xll.EVGTS($B$1,1,$B$3,$B$5,$B$7,$B$9,Z$16,Z$17,Z$18,$G$19,$H$19))</f>
        <v>873430.33</v>
      </c>
      <c r="AA19" s="65">
        <f>SUM(O19:Z19)</f>
        <v>6339944.540000001</v>
      </c>
      <c r="AB19" s="63"/>
      <c r="AC19" s="63"/>
      <c r="AD19" s="65">
        <f>IF(_epmOfflineCondition_,9036725.3,_xll.EVGTS($B$1,1,$B$3,$B$5,$B$7,$B$9,AD$16,AD$17,AD$18,$G$19,$H$19))</f>
        <v>9036725.3000000007</v>
      </c>
      <c r="AE19" s="63"/>
      <c r="AF19" s="63"/>
      <c r="AG19" s="65">
        <f>IF(_epmOfflineCondition_,2653074.27,_xll.EVGTS($B$1,1,$B$3,$B$5,$B$7,$B$9,AG$16,AG$17,AG$18,$G$19,$H$19))</f>
        <v>2653074.27</v>
      </c>
      <c r="AH19" s="63"/>
      <c r="AI19" s="63"/>
      <c r="AJ19" s="11"/>
      <c r="AK19" s="11"/>
      <c r="AL19" s="11"/>
      <c r="AM19" s="11"/>
      <c r="AN19" s="11"/>
      <c r="AO19" s="11"/>
    </row>
    <row r="20" spans="1:41" hidden="1" outlineLevel="1" x14ac:dyDescent="0.25">
      <c r="A20" s="61" t="s">
        <v>5</v>
      </c>
      <c r="B20" s="62"/>
      <c r="C20" s="11"/>
      <c r="D20" s="11"/>
      <c r="E20" s="11"/>
      <c r="F20" s="11"/>
      <c r="G20" s="63" t="s">
        <v>750</v>
      </c>
      <c r="H20" s="63">
        <v>900200</v>
      </c>
      <c r="I20" s="64"/>
      <c r="J20" s="64"/>
      <c r="K20" s="63"/>
      <c r="L20" s="64"/>
      <c r="M20" s="64"/>
      <c r="N20" s="63" t="str">
        <f>IF(_epmOfflineCondition_,"Total Rooms Occupied",_xll.EVDES(H20))</f>
        <v>Total Rooms Occupied</v>
      </c>
      <c r="O20" s="65">
        <f>IF(_epmOfflineCondition_,2885,_xll.EVGTS($B$1,1,$B$3,$B$5,$B$7,$B$9,O$16,O$17,O$18,$G$20,$H$20))</f>
        <v>2885</v>
      </c>
      <c r="P20" s="65">
        <f>IF(_epmOfflineCondition_,2648,_xll.EVGTS($B$1,1,$B$3,$B$5,$B$7,$B$9,P$16,P$17,P$18,$G$20,$H$20))</f>
        <v>2648</v>
      </c>
      <c r="Q20" s="65">
        <f>IF(_epmOfflineCondition_,3038,_xll.EVGTS($B$1,1,$B$3,$B$5,$B$7,$B$9,Q$16,Q$17,Q$18,$G$20,$H$20))</f>
        <v>3038</v>
      </c>
      <c r="R20" s="65">
        <f>IF(_epmOfflineCondition_,2737,_xll.EVGTS($B$1,1,$B$3,$B$5,$B$7,$B$9,R$16,R$17,R$18,$G$20,$H$20))</f>
        <v>2737</v>
      </c>
      <c r="S20" s="65">
        <f>IF(_epmOfflineCondition_,2600,_xll.EVGTS($B$1,1,$B$3,$B$5,$B$7,$B$9,S$16,S$17,S$18,$G$20,$H$20))</f>
        <v>2600</v>
      </c>
      <c r="T20" s="65">
        <f>IF(_epmOfflineCondition_,2202,_xll.EVGTS($B$1,1,$B$3,$B$5,$B$7,$B$9,T$16,T$17,T$18,$G$20,$H$20))</f>
        <v>2202</v>
      </c>
      <c r="U20" s="65">
        <f>IF(_epmOfflineCondition_,2516,_xll.EVGTS($B$1,1,$B$3,$B$5,$B$7,$B$9,U$16,U$17,U$18,$G$20,$H$20))</f>
        <v>2516</v>
      </c>
      <c r="V20" s="65">
        <f>IF(_epmOfflineCondition_,2830,_xll.EVGTS($B$1,1,$B$3,$B$5,$B$7,$B$9,V$16,V$17,V$18,$G$20,$H$20))</f>
        <v>2830</v>
      </c>
      <c r="W20" s="65">
        <f>IF(_epmOfflineCondition_,2120,_xll.EVGTS($B$1,1,$B$3,$B$5,$B$7,$B$9,W$16,W$17,W$18,$G$20,$H$20))</f>
        <v>2120</v>
      </c>
      <c r="X20" s="65">
        <f>IF(_epmOfflineCondition_,2772,_xll.EVGTS($B$1,1,$B$3,$B$5,$B$7,$B$9,X$16,X$17,X$18,$G$20,$H$20))</f>
        <v>2772</v>
      </c>
      <c r="Y20" s="65">
        <f>IF(_epmOfflineCondition_,2993,_xll.EVGTS($B$1,1,$B$3,$B$5,$B$7,$B$9,Y$16,Y$17,Y$18,$G$20,$H$20))</f>
        <v>2993</v>
      </c>
      <c r="Z20" s="65">
        <f>IF(_epmOfflineCondition_,3541,_xll.EVGTS($B$1,1,$B$3,$B$5,$B$7,$B$9,Z$16,Z$17,Z$18,$G$20,$H$20))</f>
        <v>3541</v>
      </c>
      <c r="AA20" s="65">
        <f>SUM(O20:Z20)</f>
        <v>32882</v>
      </c>
      <c r="AB20" s="63"/>
      <c r="AC20" s="63"/>
      <c r="AD20" s="65">
        <f>IF(_epmOfflineCondition_,36386,_xll.EVGTS($B$1,1,$B$3,$B$5,$B$7,$B$9,AD$16,AD$17,AD$18,$G$20,$H$20))</f>
        <v>36386</v>
      </c>
      <c r="AE20" s="63"/>
      <c r="AF20" s="63"/>
      <c r="AG20" s="65">
        <f>IF(_epmOfflineCondition_,15180,_xll.EVGTS($B$1,1,$B$3,$B$5,$B$7,$B$9,AG$16,AG$17,AG$18,$G$20,$H$20))</f>
        <v>15180</v>
      </c>
      <c r="AH20" s="63"/>
      <c r="AI20" s="63"/>
      <c r="AJ20" s="11"/>
      <c r="AK20" s="11"/>
      <c r="AL20" s="11"/>
      <c r="AM20" s="11"/>
      <c r="AN20" s="11"/>
      <c r="AO20" s="11"/>
    </row>
    <row r="21" spans="1:41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55"/>
      <c r="J21" s="55"/>
      <c r="K21" s="11"/>
      <c r="L21" s="55"/>
      <c r="M21" s="55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idden="1" outlineLevel="1" x14ac:dyDescent="0.25">
      <c r="A22" s="61" t="s">
        <v>7</v>
      </c>
      <c r="B22" s="62" t="str">
        <f>IF(_epmOfflineCondition_,"'Rooms'!$A$36:$F$41",_xll.EVRNG(A36:F41))</f>
        <v>'Rooms'!$A$36:$F$41</v>
      </c>
      <c r="C22" s="11"/>
      <c r="D22" s="11"/>
      <c r="E22" s="11"/>
      <c r="F22" s="11"/>
      <c r="G22" s="11"/>
      <c r="H22" s="11"/>
      <c r="I22" s="55"/>
      <c r="J22" s="55"/>
      <c r="K22" s="11"/>
      <c r="L22" s="55"/>
      <c r="M22" s="55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idden="1" outlineLevel="1" x14ac:dyDescent="0.25">
      <c r="A23" s="61" t="s">
        <v>47</v>
      </c>
      <c r="B23" s="62" t="str">
        <f>IF(_epmOfflineCondition_,"'Rooms'!$A$89:$B$110",_xll.EVRNG($A$89:$B$110))</f>
        <v>'Rooms'!$A$89:$B$110</v>
      </c>
      <c r="C23" s="11"/>
      <c r="D23" s="11"/>
      <c r="E23" s="11"/>
      <c r="F23" s="11"/>
      <c r="G23" s="11"/>
      <c r="H23" s="11"/>
      <c r="I23" s="55"/>
      <c r="J23" s="55"/>
      <c r="K23" s="6"/>
      <c r="L23" s="55"/>
      <c r="M23" s="55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55"/>
      <c r="M24" s="55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55"/>
      <c r="M25" s="55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22.5" x14ac:dyDescent="0.3">
      <c r="A26" s="57" t="s">
        <v>9</v>
      </c>
      <c r="B26" s="58" t="s">
        <v>10</v>
      </c>
      <c r="C26" s="11"/>
      <c r="D26" s="11"/>
      <c r="E26" s="11"/>
      <c r="F26" s="11"/>
      <c r="G26" s="11"/>
      <c r="H26" s="11"/>
      <c r="I26" s="55"/>
      <c r="J26" s="55"/>
      <c r="K26" s="11"/>
      <c r="L26" s="55"/>
      <c r="M26" s="55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8" x14ac:dyDescent="0.25">
      <c r="A27" s="61" t="s">
        <v>11</v>
      </c>
      <c r="B27" s="62" t="s">
        <v>21</v>
      </c>
      <c r="C27" s="11"/>
      <c r="D27" s="11"/>
      <c r="E27" s="11"/>
      <c r="F27" s="11"/>
      <c r="G27" s="11"/>
      <c r="H27" s="11"/>
      <c r="I27" s="55"/>
      <c r="J27" s="55"/>
      <c r="K27" s="11"/>
      <c r="L27" s="55"/>
      <c r="M27" s="55"/>
      <c r="N27" s="67" t="str">
        <f>IF(_epmOfflineCondition_,"Rooms Department",IF(_xll.EVDES(B6,$B$1)="#NODATA","",_xll.EVDES(B6,$B$1)&amp;" Department"))</f>
        <v>Rooms Department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x14ac:dyDescent="0.25">
      <c r="A28" s="61" t="s">
        <v>12</v>
      </c>
      <c r="B28" s="62" t="s">
        <v>22</v>
      </c>
      <c r="C28" s="11"/>
      <c r="D28" s="11"/>
      <c r="E28" s="11"/>
      <c r="F28" s="11"/>
      <c r="G28" s="11"/>
      <c r="H28" s="11"/>
      <c r="I28" s="55"/>
      <c r="J28" s="55"/>
      <c r="K28" s="11"/>
      <c r="L28" s="55"/>
      <c r="M28" s="55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" customHeight="1" x14ac:dyDescent="0.25">
      <c r="A29" s="61" t="s">
        <v>13</v>
      </c>
      <c r="B29" s="62" t="s">
        <v>118</v>
      </c>
      <c r="C29" s="11"/>
      <c r="D29" s="11"/>
      <c r="E29" s="11"/>
      <c r="F29" s="11"/>
      <c r="G29" s="11"/>
      <c r="H29" s="11"/>
      <c r="I29" s="55"/>
      <c r="J29" s="55"/>
      <c r="K29" s="11"/>
      <c r="L29" s="55"/>
      <c r="M29" s="55"/>
      <c r="N29" s="68" t="str">
        <f>IF(_epmOfflineCondition_,"Local Currency",_xll.EVDES(B9,B1))</f>
        <v>Local Currency</v>
      </c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x14ac:dyDescent="0.25">
      <c r="A30" s="61" t="s">
        <v>14</v>
      </c>
      <c r="B30" s="62"/>
      <c r="C30" s="11"/>
      <c r="D30" s="11"/>
      <c r="E30" s="11"/>
      <c r="F30" s="11"/>
      <c r="G30" s="11"/>
      <c r="H30" s="11"/>
      <c r="I30" s="55"/>
      <c r="J30" s="55"/>
      <c r="K30" s="11"/>
      <c r="L30" s="55"/>
      <c r="M30" s="55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  <c r="AJ30" s="69" t="s">
        <v>749</v>
      </c>
      <c r="AK30" s="70"/>
      <c r="AL30" s="70"/>
      <c r="AM30" s="71"/>
      <c r="AN30" s="70"/>
      <c r="AO30" s="11"/>
    </row>
    <row r="31" spans="1:41" x14ac:dyDescent="0.25">
      <c r="A31" s="61" t="s">
        <v>15</v>
      </c>
      <c r="B31" s="62"/>
      <c r="C31" s="11"/>
      <c r="D31" s="11"/>
      <c r="E31" s="11"/>
      <c r="F31" s="11"/>
      <c r="G31" s="72"/>
      <c r="H31" s="11"/>
      <c r="I31" s="55"/>
      <c r="J31" s="55"/>
      <c r="K31" s="173"/>
      <c r="L31" s="55"/>
      <c r="M31" s="55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  <c r="AJ31" s="73" t="str">
        <f>IF(_epmOfflineCondition_,"2019",_xll.EVPRO($B$1,AA$16,"YEAR"))</f>
        <v>2019</v>
      </c>
      <c r="AK31" s="76" t="str">
        <f>IF(_epmOfflineCondition_,"2019",_xll.EVPRO($B$1,AD$16,"YEAR"))</f>
        <v>2019</v>
      </c>
      <c r="AL31" s="73"/>
      <c r="AM31" s="76" t="str">
        <f>IF(_epmOfflineCondition_,"2018",_xll.EVPRO($B$1,AG$16,"YEAR"))</f>
        <v>2018</v>
      </c>
      <c r="AN31" s="73"/>
      <c r="AO31" s="11"/>
    </row>
    <row r="32" spans="1:41" s="8" customFormat="1" ht="30" customHeight="1" x14ac:dyDescent="0.25">
      <c r="A32" s="77" t="s">
        <v>16</v>
      </c>
      <c r="B32" s="78"/>
      <c r="C32" s="79"/>
      <c r="D32" s="79"/>
      <c r="E32" s="79"/>
      <c r="F32" s="79"/>
      <c r="G32" s="79"/>
      <c r="H32" s="80"/>
      <c r="I32" s="81"/>
      <c r="J32" s="81"/>
      <c r="K32" s="174" t="s">
        <v>117</v>
      </c>
      <c r="L32" s="81"/>
      <c r="M32" s="81"/>
      <c r="N32" s="82" t="s">
        <v>120</v>
      </c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  <c r="AJ32" s="83" t="str">
        <f>Z32</f>
        <v>Actual</v>
      </c>
      <c r="AK32" s="76" t="str">
        <f>AD32</f>
        <v>Budget</v>
      </c>
      <c r="AL32" s="83" t="s">
        <v>748</v>
      </c>
      <c r="AM32" s="83" t="str">
        <f>AG32</f>
        <v>Actual</v>
      </c>
      <c r="AN32" s="83" t="s">
        <v>748</v>
      </c>
      <c r="AO32" s="79"/>
    </row>
    <row r="33" spans="1:41" x14ac:dyDescent="0.25">
      <c r="A33" s="61" t="s">
        <v>17</v>
      </c>
      <c r="B33" s="62"/>
      <c r="C33" s="11"/>
      <c r="D33" s="11"/>
      <c r="E33" s="11"/>
      <c r="F33" s="11"/>
      <c r="G33" s="11"/>
      <c r="H33" s="11" t="s">
        <v>69</v>
      </c>
      <c r="I33" s="55" t="str">
        <f>IF(_epmOfflineCondition_,"B1",_xll.EVPRO($B$1,$H33,"STYLE"))</f>
        <v>B1</v>
      </c>
      <c r="J33" s="55" t="str">
        <f>IF(_epmOfflineCondition_,"Y",_xll.EVPRO($B$1,$H33,"CALC"))</f>
        <v>Y</v>
      </c>
      <c r="K33" s="11"/>
      <c r="L33" s="129" t="s">
        <v>364</v>
      </c>
      <c r="M33" s="129" t="s">
        <v>783</v>
      </c>
      <c r="N33" s="101" t="str">
        <f>IF(_epmOfflineCondition_,"Revenues",IF(_xll.EVDES(H33,$B$1)="#NODATA","",_xll.EVDES(H33,$B$1)))</f>
        <v>Revenues</v>
      </c>
      <c r="O33" s="125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7"/>
      <c r="AC33" s="11"/>
      <c r="AD33" s="125"/>
      <c r="AE33" s="126"/>
      <c r="AF33" s="127"/>
      <c r="AG33" s="125"/>
      <c r="AH33" s="126"/>
      <c r="AI33" s="127"/>
      <c r="AJ33" s="11"/>
      <c r="AK33" s="11"/>
      <c r="AL33" s="11"/>
      <c r="AM33" s="11"/>
      <c r="AN33" s="11"/>
      <c r="AO33" s="11"/>
    </row>
    <row r="34" spans="1:41" x14ac:dyDescent="0.25">
      <c r="A34" s="11"/>
      <c r="B34" s="11"/>
      <c r="C34" s="11"/>
      <c r="D34" s="11"/>
      <c r="E34" s="11"/>
      <c r="F34" s="11"/>
      <c r="G34" s="11"/>
      <c r="H34" s="11" t="s">
        <v>70</v>
      </c>
      <c r="I34" s="55" t="str">
        <f>IF(_epmOfflineCondition_,"B1",_xll.EVPRO($B$1,$H34,"STYLE"))</f>
        <v>B1</v>
      </c>
      <c r="J34" s="55" t="str">
        <f>IF(_epmOfflineCondition_,"Y",_xll.EVPRO($B$1,$H34,"CALC"))</f>
        <v>Y</v>
      </c>
      <c r="K34" s="11"/>
      <c r="L34" s="55"/>
      <c r="M34" s="55"/>
      <c r="N34" s="49" t="str">
        <f>IF(_epmOfflineCondition_,"Transient Rooms Revenue",IF(_xll.EVDES(H34,$B$1)="#NODATA","",_xll.EVDES(H34,$B$1)))</f>
        <v>Transient Rooms Revenue</v>
      </c>
      <c r="O34" s="115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7"/>
      <c r="AC34" s="11"/>
      <c r="AD34" s="115"/>
      <c r="AE34" s="116"/>
      <c r="AF34" s="117"/>
      <c r="AG34" s="115"/>
      <c r="AH34" s="116"/>
      <c r="AI34" s="117"/>
      <c r="AJ34" s="11"/>
      <c r="AK34" s="11"/>
      <c r="AL34" s="11"/>
      <c r="AM34" s="11"/>
      <c r="AN34" s="11"/>
      <c r="AO34" s="11"/>
    </row>
    <row r="35" spans="1:41" x14ac:dyDescent="0.25">
      <c r="A35" s="93" t="s">
        <v>92</v>
      </c>
      <c r="B35" s="94" t="s">
        <v>93</v>
      </c>
      <c r="C35" s="94" t="s">
        <v>94</v>
      </c>
      <c r="D35" s="94" t="s">
        <v>95</v>
      </c>
      <c r="E35" s="94" t="s">
        <v>96</v>
      </c>
      <c r="F35" s="95" t="s">
        <v>97</v>
      </c>
      <c r="G35" s="11"/>
      <c r="H35" s="84" t="s">
        <v>83</v>
      </c>
      <c r="I35" s="118" t="str">
        <f>IF(_epmOfflineCondition_,"T5",_xll.EVPRO($B$1,$H35,"STYLE"))</f>
        <v>T5</v>
      </c>
      <c r="J35" s="118" t="str">
        <f>IF(_epmOfflineCondition_,"Y",_xll.EVPRO($B$1,$H35,"CALC"))</f>
        <v>Y</v>
      </c>
      <c r="K35" s="175" t="str">
        <f t="shared" ref="K35:K51" si="0">IF(AND(I35&gt;="T5"),"&gt;","")</f>
        <v>&gt;</v>
      </c>
      <c r="L35" s="86" t="str">
        <f>IF(_epmOfflineCondition_,"",_xll.EVPRO($B$1,H35,"JDEID"))</f>
        <v/>
      </c>
      <c r="M35" s="86" t="str">
        <f>IF(_epmOfflineCondition_,"",IF(AND(I35="N",J35="N"),_xll.EVPRO($B$1,H35,"PSFTID"),""))</f>
        <v/>
      </c>
      <c r="N35" s="86" t="str">
        <f>IF(_epmOfflineCondition_,"Retail",IF(_xll.EVDES(H35,$B$1)="#NODATA","",_xll.EVDES(H35,$B$1)))</f>
        <v>Retail</v>
      </c>
      <c r="O35" s="134">
        <v>159187.97</v>
      </c>
      <c r="P35" s="134">
        <v>119007.62</v>
      </c>
      <c r="Q35" s="134">
        <v>128651.22</v>
      </c>
      <c r="R35" s="134">
        <v>124904.97</v>
      </c>
      <c r="S35" s="134">
        <v>149430.07999999999</v>
      </c>
      <c r="T35" s="134">
        <v>79390.22</v>
      </c>
      <c r="U35" s="134">
        <v>101878.66</v>
      </c>
      <c r="V35" s="134">
        <v>67295.12</v>
      </c>
      <c r="W35" s="134">
        <v>61325.51</v>
      </c>
      <c r="X35" s="134">
        <v>103026.61</v>
      </c>
      <c r="Y35" s="134">
        <v>147075.54</v>
      </c>
      <c r="Z35" s="134">
        <v>414675.01</v>
      </c>
      <c r="AA35" s="223">
        <f t="shared" ref="AA35:AA51" si="1">IF($I35="B1","",SUM(O35:Z35))</f>
        <v>1655848.53</v>
      </c>
      <c r="AB35" s="138">
        <f t="shared" ref="AB35:AB51" si="2">IF(AA35=0,"",IFERROR(AA35/AA$19,""))</f>
        <v>0.26117713168512979</v>
      </c>
      <c r="AC35" s="136"/>
      <c r="AD35" s="134">
        <v>2096924.21</v>
      </c>
      <c r="AE35" s="138">
        <f t="shared" ref="AE35:AE51" si="3">IF(AD35=0,"",IFERROR(AD35/AD$19,""))</f>
        <v>0.23204469986489462</v>
      </c>
      <c r="AF35" s="137">
        <f t="shared" ref="AF35:AF51" si="4">IF(AND($AA35="",AD35=""),"",$AA35-AD35)</f>
        <v>-441075.67999999993</v>
      </c>
      <c r="AG35" s="134">
        <v>758208.52</v>
      </c>
      <c r="AH35" s="138">
        <f t="shared" ref="AH35:AH51" si="5">IF(AG35=0,"",IFERROR(AG35/AG$19,""))</f>
        <v>0.28578488305945543</v>
      </c>
      <c r="AI35" s="137">
        <f t="shared" ref="AI35:AI51" si="6">IF(AND($AA35="",AG35=""),"",$AA35-AG35)</f>
        <v>897640.01</v>
      </c>
      <c r="AJ35" s="224">
        <f t="shared" ref="AJ35:AJ51" si="7">IFERROR(AA35/AA$20,0)</f>
        <v>50.357293656103643</v>
      </c>
      <c r="AK35" s="225">
        <f t="shared" ref="AK35:AK51" si="8">IFERROR(AD35/AD$20,0)</f>
        <v>57.629973341395043</v>
      </c>
      <c r="AL35" s="226">
        <f t="shared" ref="AL35:AL51" si="9">AJ35-AK35</f>
        <v>-7.2726796852914006</v>
      </c>
      <c r="AM35" s="227">
        <f t="shared" ref="AM35:AM51" si="10">IFERROR(AG35/AG$20,0)</f>
        <v>49.947860342555998</v>
      </c>
      <c r="AN35" s="226">
        <f t="shared" ref="AN35:AN51" si="11">AJ35-AM35</f>
        <v>0.40943331354764467</v>
      </c>
      <c r="AO35" s="11"/>
    </row>
    <row r="36" spans="1:41" x14ac:dyDescent="0.25">
      <c r="A36" s="11"/>
      <c r="B36" s="11"/>
      <c r="C36" s="11"/>
      <c r="D36" s="11"/>
      <c r="E36" s="11"/>
      <c r="F36" s="11"/>
      <c r="G36" s="11"/>
      <c r="H36" s="181" t="s">
        <v>84</v>
      </c>
      <c r="I36" s="118" t="str">
        <f>IF(_epmOfflineCondition_,"T5",_xll.EVPRO($B$1,$H36,"STYLE"))</f>
        <v>T5</v>
      </c>
      <c r="J36" s="118" t="str">
        <f>IF(_epmOfflineCondition_,"Y",_xll.EVPRO($B$1,$H36,"CALC"))</f>
        <v>Y</v>
      </c>
      <c r="K36" s="175" t="str">
        <f t="shared" si="0"/>
        <v>&gt;</v>
      </c>
      <c r="L36" s="86" t="str">
        <f>IF(_epmOfflineCondition_,"",_xll.EVPRO($B$1,H36,"JDEID"))</f>
        <v/>
      </c>
      <c r="M36" s="86" t="str">
        <f>IF(_epmOfflineCondition_,"",IF(AND(I36="N",J36="N"),_xll.EVPRO($B$1,H36,"PSFTID"),""))</f>
        <v/>
      </c>
      <c r="N36" s="86" t="str">
        <f>IF(_epmOfflineCondition_,"Discount",IF(_xll.EVDES(H36,$B$1)="#NODATA","",_xll.EVDES(H36,$B$1)))</f>
        <v>Discount</v>
      </c>
      <c r="O36" s="134">
        <v>227204.34</v>
      </c>
      <c r="P36" s="134">
        <v>274403.63</v>
      </c>
      <c r="Q36" s="134">
        <v>420988.61</v>
      </c>
      <c r="R36" s="134">
        <v>294071.40999999997</v>
      </c>
      <c r="S36" s="134">
        <v>183944.19</v>
      </c>
      <c r="T36" s="134">
        <v>122859.99</v>
      </c>
      <c r="U36" s="134">
        <v>201006.71</v>
      </c>
      <c r="V36" s="134">
        <v>212673.14</v>
      </c>
      <c r="W36" s="134">
        <v>138083.20000000001</v>
      </c>
      <c r="X36" s="134">
        <v>188202.43</v>
      </c>
      <c r="Y36" s="134">
        <v>216542.5</v>
      </c>
      <c r="Z36" s="134">
        <v>283129.33</v>
      </c>
      <c r="AA36" s="223">
        <f t="shared" si="1"/>
        <v>2763109.48</v>
      </c>
      <c r="AB36" s="138">
        <f t="shared" si="2"/>
        <v>0.43582549698455242</v>
      </c>
      <c r="AC36" s="136"/>
      <c r="AD36" s="134">
        <v>3908291.1</v>
      </c>
      <c r="AE36" s="138">
        <f t="shared" si="3"/>
        <v>0.43248975378282217</v>
      </c>
      <c r="AF36" s="137">
        <f t="shared" si="4"/>
        <v>-1145181.6200000001</v>
      </c>
      <c r="AG36" s="134">
        <v>996087.56</v>
      </c>
      <c r="AH36" s="138">
        <f t="shared" si="5"/>
        <v>0.37544654187159265</v>
      </c>
      <c r="AI36" s="137">
        <f t="shared" si="6"/>
        <v>1767021.92</v>
      </c>
      <c r="AJ36" s="224">
        <f t="shared" si="7"/>
        <v>84.031065020375891</v>
      </c>
      <c r="AK36" s="225">
        <f t="shared" si="8"/>
        <v>107.41194690265488</v>
      </c>
      <c r="AL36" s="226">
        <f t="shared" si="9"/>
        <v>-23.380881882278985</v>
      </c>
      <c r="AM36" s="227">
        <f t="shared" si="10"/>
        <v>65.618416337285908</v>
      </c>
      <c r="AN36" s="226">
        <f t="shared" si="11"/>
        <v>18.412648683089984</v>
      </c>
      <c r="AO36" s="11"/>
    </row>
    <row r="37" spans="1:41" x14ac:dyDescent="0.25">
      <c r="A37" s="11" t="s">
        <v>105</v>
      </c>
      <c r="B37" s="11"/>
      <c r="C37" s="100" t="s">
        <v>101</v>
      </c>
      <c r="D37" s="11" t="s">
        <v>103</v>
      </c>
      <c r="E37" s="11"/>
      <c r="F37" s="11" t="s">
        <v>98</v>
      </c>
      <c r="G37" s="11"/>
      <c r="H37" s="181" t="s">
        <v>85</v>
      </c>
      <c r="I37" s="118" t="str">
        <f>IF(_epmOfflineCondition_,"T5",_xll.EVPRO($B$1,$H37,"STYLE"))</f>
        <v>T5</v>
      </c>
      <c r="J37" s="118" t="str">
        <f>IF(_epmOfflineCondition_,"Y",_xll.EVPRO($B$1,$H37,"CALC"))</f>
        <v>Y</v>
      </c>
      <c r="K37" s="175" t="str">
        <f t="shared" si="0"/>
        <v>&gt;</v>
      </c>
      <c r="L37" s="86" t="str">
        <f>IF(_epmOfflineCondition_,"",_xll.EVPRO($B$1,H37,"JDEID"))</f>
        <v/>
      </c>
      <c r="M37" s="86" t="str">
        <f>IF(_epmOfflineCondition_,"",IF(AND(I37="N",J37="N"),_xll.EVPRO($B$1,H37,"PSFTID"),""))</f>
        <v/>
      </c>
      <c r="N37" s="86" t="str">
        <f>IF(_epmOfflineCondition_,"Negotiated",IF(_xll.EVDES(H37,$B$1)="#NODATA","",_xll.EVDES(H37,$B$1)))</f>
        <v>Negotiated</v>
      </c>
      <c r="O37" s="134">
        <v>51851.34</v>
      </c>
      <c r="P37" s="134">
        <v>43953.08</v>
      </c>
      <c r="Q37" s="134">
        <v>41779.94</v>
      </c>
      <c r="R37" s="134">
        <v>40479.72</v>
      </c>
      <c r="S37" s="134">
        <v>34270.75</v>
      </c>
      <c r="T37" s="134">
        <v>16344.84</v>
      </c>
      <c r="U37" s="134">
        <v>11287.64</v>
      </c>
      <c r="V37" s="134">
        <v>17758.46</v>
      </c>
      <c r="W37" s="134">
        <v>12544.4</v>
      </c>
      <c r="X37" s="134">
        <v>33678.620000000003</v>
      </c>
      <c r="Y37" s="134">
        <v>32096.1</v>
      </c>
      <c r="Z37" s="134">
        <v>41995.92</v>
      </c>
      <c r="AA37" s="223">
        <f t="shared" si="1"/>
        <v>378040.80999999994</v>
      </c>
      <c r="AB37" s="138">
        <f t="shared" si="2"/>
        <v>5.9628409620125777E-2</v>
      </c>
      <c r="AC37" s="136"/>
      <c r="AD37" s="134">
        <v>521649.48</v>
      </c>
      <c r="AE37" s="138">
        <f t="shared" si="3"/>
        <v>5.7725499302274899E-2</v>
      </c>
      <c r="AF37" s="137">
        <f t="shared" si="4"/>
        <v>-143608.67000000004</v>
      </c>
      <c r="AG37" s="134">
        <v>175733.62</v>
      </c>
      <c r="AH37" s="138">
        <f t="shared" si="5"/>
        <v>6.6237731068116687E-2</v>
      </c>
      <c r="AI37" s="137">
        <f t="shared" si="6"/>
        <v>202307.18999999994</v>
      </c>
      <c r="AJ37" s="224">
        <f t="shared" si="7"/>
        <v>11.49689222066784</v>
      </c>
      <c r="AK37" s="225">
        <f t="shared" si="8"/>
        <v>14.336543725608751</v>
      </c>
      <c r="AL37" s="226">
        <f t="shared" si="9"/>
        <v>-2.8396515049409103</v>
      </c>
      <c r="AM37" s="227">
        <f t="shared" si="10"/>
        <v>11.576654808959157</v>
      </c>
      <c r="AN37" s="226">
        <f t="shared" si="11"/>
        <v>-7.9762588291316661E-2</v>
      </c>
      <c r="AO37" s="11"/>
    </row>
    <row r="38" spans="1:41" x14ac:dyDescent="0.25">
      <c r="A38" s="11" t="s">
        <v>104</v>
      </c>
      <c r="B38" s="11"/>
      <c r="C38" s="100" t="s">
        <v>101</v>
      </c>
      <c r="D38" s="11" t="s">
        <v>106</v>
      </c>
      <c r="E38" s="11"/>
      <c r="F38" s="11" t="s">
        <v>98</v>
      </c>
      <c r="G38" s="11"/>
      <c r="H38" s="84" t="s">
        <v>86</v>
      </c>
      <c r="I38" s="118" t="str">
        <f>IF(_epmOfflineCondition_,"T5",_xll.EVPRO($B$1,$H38,"STYLE"))</f>
        <v>T5</v>
      </c>
      <c r="J38" s="118" t="str">
        <f>IF(_epmOfflineCondition_,"Y",_xll.EVPRO($B$1,$H38,"CALC"))</f>
        <v>Y</v>
      </c>
      <c r="K38" s="175" t="str">
        <f t="shared" si="0"/>
        <v>&gt;</v>
      </c>
      <c r="L38" s="86" t="str">
        <f>IF(_epmOfflineCondition_,"",_xll.EVPRO($B$1,H38,"JDEID"))</f>
        <v/>
      </c>
      <c r="M38" s="86" t="str">
        <f>IF(_epmOfflineCondition_,"",IF(AND(I38="N",J38="N"),_xll.EVPRO($B$1,H38,"PSFTID"),""))</f>
        <v/>
      </c>
      <c r="N38" s="86" t="str">
        <f>IF(_epmOfflineCondition_,"Qualified",IF(_xll.EVDES(H38,$B$1)="#NODATA","",_xll.EVDES(H38,$B$1)))</f>
        <v>Qualified</v>
      </c>
      <c r="O38" s="134">
        <v>28782.560000000001</v>
      </c>
      <c r="P38" s="134">
        <v>26112.6</v>
      </c>
      <c r="Q38" s="134">
        <v>26099.72</v>
      </c>
      <c r="R38" s="134">
        <v>29631.72</v>
      </c>
      <c r="S38" s="134">
        <v>31391</v>
      </c>
      <c r="T38" s="134">
        <v>16199.05</v>
      </c>
      <c r="U38" s="134">
        <v>15849.1</v>
      </c>
      <c r="V38" s="134">
        <v>12326.5</v>
      </c>
      <c r="W38" s="134">
        <v>13360.67</v>
      </c>
      <c r="X38" s="134">
        <v>23253.52</v>
      </c>
      <c r="Y38" s="134">
        <v>38153.279999999999</v>
      </c>
      <c r="Z38" s="134">
        <v>33614.6</v>
      </c>
      <c r="AA38" s="223">
        <f t="shared" si="1"/>
        <v>294774.32</v>
      </c>
      <c r="AB38" s="138">
        <f t="shared" si="2"/>
        <v>4.6494778959060103E-2</v>
      </c>
      <c r="AC38" s="136"/>
      <c r="AD38" s="134">
        <v>986047.88</v>
      </c>
      <c r="AE38" s="138">
        <f t="shared" si="3"/>
        <v>0.109115619570731</v>
      </c>
      <c r="AF38" s="137">
        <f t="shared" si="4"/>
        <v>-691273.56</v>
      </c>
      <c r="AG38" s="134">
        <v>201242.08</v>
      </c>
      <c r="AH38" s="138">
        <f t="shared" si="5"/>
        <v>7.5852411022025404E-2</v>
      </c>
      <c r="AI38" s="137">
        <f t="shared" si="6"/>
        <v>93532.24000000002</v>
      </c>
      <c r="AJ38" s="224">
        <f t="shared" si="7"/>
        <v>8.9646104251566214</v>
      </c>
      <c r="AK38" s="225">
        <f t="shared" si="8"/>
        <v>27.099650414994777</v>
      </c>
      <c r="AL38" s="226">
        <f t="shared" si="9"/>
        <v>-18.135039989838155</v>
      </c>
      <c r="AM38" s="227">
        <f t="shared" si="10"/>
        <v>13.257054018445322</v>
      </c>
      <c r="AN38" s="226">
        <f t="shared" si="11"/>
        <v>-4.2924435932887004</v>
      </c>
      <c r="AO38" s="11"/>
    </row>
    <row r="39" spans="1:41" x14ac:dyDescent="0.25">
      <c r="A39" s="11" t="s">
        <v>100</v>
      </c>
      <c r="B39" s="11"/>
      <c r="C39" s="49" t="s">
        <v>101</v>
      </c>
      <c r="D39" s="11" t="s">
        <v>106</v>
      </c>
      <c r="E39" s="11"/>
      <c r="F39" s="11" t="s">
        <v>98</v>
      </c>
      <c r="G39" s="11"/>
      <c r="H39" s="84" t="s">
        <v>65</v>
      </c>
      <c r="I39" s="118" t="str">
        <f>IF(_epmOfflineCondition_,"T5",_xll.EVPRO($B$1,$H39,"STYLE"))</f>
        <v>T5</v>
      </c>
      <c r="J39" s="118" t="str">
        <f>IF(_epmOfflineCondition_,"Y",_xll.EVPRO($B$1,$H39,"CALC"))</f>
        <v>Y</v>
      </c>
      <c r="K39" s="175" t="str">
        <f t="shared" si="0"/>
        <v>&gt;</v>
      </c>
      <c r="L39" s="86" t="str">
        <f>IF(_epmOfflineCondition_,"402200",_xll.EVPRO($B$1,H39,"JDEID"))</f>
        <v>402200</v>
      </c>
      <c r="M39" s="86" t="str">
        <f>IF(_epmOfflineCondition_,"",IF(AND(I39="N",J39="N"),_xll.EVPRO($B$1,H39,"PSFTID"),""))</f>
        <v/>
      </c>
      <c r="N39" s="86" t="str">
        <f>IF(_epmOfflineCondition_,"Wholesale",IF(_xll.EVDES(H39,$B$1)="#NODATA","",_xll.EVDES(H39,$B$1)))</f>
        <v>Wholesale</v>
      </c>
      <c r="O39" s="228">
        <v>42180.12</v>
      </c>
      <c r="P39" s="228">
        <v>35279.25</v>
      </c>
      <c r="Q39" s="228">
        <v>74477.25</v>
      </c>
      <c r="R39" s="228">
        <v>74740.94</v>
      </c>
      <c r="S39" s="228">
        <v>49992</v>
      </c>
      <c r="T39" s="228">
        <v>45389.16</v>
      </c>
      <c r="U39" s="228">
        <v>51450.559999999998</v>
      </c>
      <c r="V39" s="228">
        <v>66806.600000000006</v>
      </c>
      <c r="W39" s="228">
        <v>32774.26</v>
      </c>
      <c r="X39" s="228">
        <v>18177</v>
      </c>
      <c r="Y39" s="228">
        <v>30834.48</v>
      </c>
      <c r="Z39" s="228">
        <v>67707.259999999995</v>
      </c>
      <c r="AA39" s="229">
        <f t="shared" si="1"/>
        <v>589808.88</v>
      </c>
      <c r="AB39" s="230">
        <f t="shared" si="2"/>
        <v>9.3030605595802243E-2</v>
      </c>
      <c r="AC39" s="136"/>
      <c r="AD39" s="228">
        <v>566452.80000000005</v>
      </c>
      <c r="AE39" s="230">
        <f t="shared" si="3"/>
        <v>6.268341475423625E-2</v>
      </c>
      <c r="AF39" s="231">
        <f t="shared" si="4"/>
        <v>23356.079999999958</v>
      </c>
      <c r="AG39" s="228">
        <v>230140.19</v>
      </c>
      <c r="AH39" s="230">
        <f t="shared" si="5"/>
        <v>8.6744722001318122E-2</v>
      </c>
      <c r="AI39" s="231">
        <f t="shared" si="6"/>
        <v>359668.69</v>
      </c>
      <c r="AJ39" s="232">
        <f t="shared" si="7"/>
        <v>17.937135210753603</v>
      </c>
      <c r="AK39" s="233">
        <f t="shared" si="8"/>
        <v>15.567877755180564</v>
      </c>
      <c r="AL39" s="234">
        <f t="shared" si="9"/>
        <v>2.3692574555730381</v>
      </c>
      <c r="AM39" s="235">
        <f t="shared" si="10"/>
        <v>15.160750329380765</v>
      </c>
      <c r="AN39" s="234">
        <f t="shared" si="11"/>
        <v>2.776384881372838</v>
      </c>
      <c r="AO39" s="11"/>
    </row>
    <row r="40" spans="1:41" x14ac:dyDescent="0.25">
      <c r="A40" s="11" t="s">
        <v>102</v>
      </c>
      <c r="B40" s="11"/>
      <c r="C40" s="102" t="s">
        <v>101</v>
      </c>
      <c r="D40" s="11" t="s">
        <v>106</v>
      </c>
      <c r="E40" s="11"/>
      <c r="F40" s="11" t="s">
        <v>98</v>
      </c>
      <c r="G40" s="11"/>
      <c r="H40" s="84" t="s">
        <v>66</v>
      </c>
      <c r="I40" s="184" t="str">
        <f>IF(_epmOfflineCondition_,"T4",_xll.EVPRO($B$1,$H40,"STYLE"))</f>
        <v>T4</v>
      </c>
      <c r="J40" s="184" t="str">
        <f>IF(_epmOfflineCondition_,"Y",_xll.EVPRO($B$1,$H40,"CALC"))</f>
        <v>Y</v>
      </c>
      <c r="K40" s="185" t="str">
        <f t="shared" si="0"/>
        <v/>
      </c>
      <c r="L40" s="186" t="str">
        <f>IF(_epmOfflineCondition_,"402000",_xll.EVPRO($B$1,H40,"JDEID"))</f>
        <v>402000</v>
      </c>
      <c r="M40" s="186" t="str">
        <f>IF(_epmOfflineCondition_,"",IF(AND(I40="N",J40="N"),_xll.EVPRO($B$1,H40,"PSFTID"),""))</f>
        <v/>
      </c>
      <c r="N40" s="186" t="str">
        <f>IF(_epmOfflineCondition_,"Total Transient Room Rev",IF(_xll.EVDES(H40,$B$1)="#NODATA","",_xll.EVDES(H40,$B$1)))</f>
        <v>Total Transient Room Rev</v>
      </c>
      <c r="O40" s="236">
        <v>509206.33</v>
      </c>
      <c r="P40" s="236">
        <v>498756.18</v>
      </c>
      <c r="Q40" s="236">
        <v>691996.74</v>
      </c>
      <c r="R40" s="236">
        <v>563828.76</v>
      </c>
      <c r="S40" s="236">
        <v>449028.02</v>
      </c>
      <c r="T40" s="236">
        <v>280183.26</v>
      </c>
      <c r="U40" s="236">
        <v>381472.67</v>
      </c>
      <c r="V40" s="236">
        <v>376859.82</v>
      </c>
      <c r="W40" s="236">
        <v>258088.04</v>
      </c>
      <c r="X40" s="236">
        <v>366338.18</v>
      </c>
      <c r="Y40" s="236">
        <v>464701.9</v>
      </c>
      <c r="Z40" s="236">
        <v>841122.12</v>
      </c>
      <c r="AA40" s="236">
        <f t="shared" si="1"/>
        <v>5681582.0200000005</v>
      </c>
      <c r="AB40" s="237">
        <f t="shared" si="2"/>
        <v>0.89615642284467045</v>
      </c>
      <c r="AC40" s="238"/>
      <c r="AD40" s="236">
        <v>8079365.4699999997</v>
      </c>
      <c r="AE40" s="237">
        <f t="shared" si="3"/>
        <v>0.89405898727495892</v>
      </c>
      <c r="AF40" s="239">
        <f t="shared" si="4"/>
        <v>-2397783.4499999993</v>
      </c>
      <c r="AG40" s="236">
        <v>2361411.9700000002</v>
      </c>
      <c r="AH40" s="237">
        <f t="shared" si="5"/>
        <v>0.89006628902250828</v>
      </c>
      <c r="AI40" s="239">
        <f t="shared" si="6"/>
        <v>3320170.0500000003</v>
      </c>
      <c r="AJ40" s="215">
        <f t="shared" si="7"/>
        <v>172.78699653305762</v>
      </c>
      <c r="AK40" s="216">
        <f t="shared" si="8"/>
        <v>222.045992139834</v>
      </c>
      <c r="AL40" s="217">
        <f t="shared" si="9"/>
        <v>-49.258995606776381</v>
      </c>
      <c r="AM40" s="218">
        <f t="shared" si="10"/>
        <v>155.56073583662715</v>
      </c>
      <c r="AN40" s="217">
        <f t="shared" si="11"/>
        <v>17.226260696430472</v>
      </c>
      <c r="AO40" s="11"/>
    </row>
    <row r="41" spans="1:41" x14ac:dyDescent="0.25">
      <c r="A41" s="11" t="s">
        <v>102</v>
      </c>
      <c r="B41" s="11"/>
      <c r="C41" s="192" t="s">
        <v>101</v>
      </c>
      <c r="D41" s="11" t="s">
        <v>107</v>
      </c>
      <c r="E41" s="11"/>
      <c r="F41" s="11" t="s">
        <v>99</v>
      </c>
      <c r="G41" s="11"/>
      <c r="H41" s="84" t="s">
        <v>71</v>
      </c>
      <c r="I41" s="184" t="str">
        <f>IF(_epmOfflineCondition_,"B1",_xll.EVPRO($B$1,$H41,"STYLE"))</f>
        <v>B1</v>
      </c>
      <c r="J41" s="184" t="str">
        <f>IF(_epmOfflineCondition_,"Y",_xll.EVPRO($B$1,$H41,"CALC"))</f>
        <v>Y</v>
      </c>
      <c r="K41" s="185" t="str">
        <f t="shared" si="0"/>
        <v/>
      </c>
      <c r="L41" s="186" t="str">
        <f>IF(_epmOfflineCondition_,"",_xll.EVPRO($B$1,H41,"JDEID"))</f>
        <v/>
      </c>
      <c r="M41" s="186" t="str">
        <f>IF(_epmOfflineCondition_,"",IF(AND(I41="N",J41="N"),_xll.EVPRO($B$1,H41,"PSFTID"),""))</f>
        <v/>
      </c>
      <c r="N41" s="186" t="str">
        <f>IF(_epmOfflineCondition_,"Group Rooms Revenue",IF(_xll.EVDES(H41,$B$1)="#NODATA","",_xll.EVDES(H41,$B$1)))</f>
        <v>Group Rooms Revenue</v>
      </c>
      <c r="O41" s="240"/>
      <c r="P41" s="240"/>
      <c r="Q41" s="240"/>
      <c r="R41" s="240"/>
      <c r="S41" s="240"/>
      <c r="T41" s="240"/>
      <c r="U41" s="240"/>
      <c r="V41" s="240"/>
      <c r="W41" s="240"/>
      <c r="X41" s="240"/>
      <c r="Y41" s="240"/>
      <c r="Z41" s="240"/>
      <c r="AA41" s="241" t="str">
        <f t="shared" si="1"/>
        <v/>
      </c>
      <c r="AB41" s="242" t="str">
        <f t="shared" si="2"/>
        <v/>
      </c>
      <c r="AC41" s="136"/>
      <c r="AD41" s="240"/>
      <c r="AE41" s="242" t="str">
        <f t="shared" si="3"/>
        <v/>
      </c>
      <c r="AF41" s="243" t="str">
        <f t="shared" si="4"/>
        <v/>
      </c>
      <c r="AG41" s="240"/>
      <c r="AH41" s="242" t="str">
        <f t="shared" si="5"/>
        <v/>
      </c>
      <c r="AI41" s="243" t="str">
        <f t="shared" si="6"/>
        <v/>
      </c>
      <c r="AJ41" s="244">
        <f t="shared" si="7"/>
        <v>0</v>
      </c>
      <c r="AK41" s="245">
        <f t="shared" si="8"/>
        <v>0</v>
      </c>
      <c r="AL41" s="246">
        <f t="shared" si="9"/>
        <v>0</v>
      </c>
      <c r="AM41" s="247">
        <f t="shared" si="10"/>
        <v>0</v>
      </c>
      <c r="AN41" s="246">
        <f t="shared" si="11"/>
        <v>0</v>
      </c>
      <c r="AO41" s="11"/>
    </row>
    <row r="42" spans="1:41" x14ac:dyDescent="0.25">
      <c r="A42" s="11"/>
      <c r="B42" s="11"/>
      <c r="C42" s="11"/>
      <c r="D42" s="11"/>
      <c r="E42" s="11"/>
      <c r="F42" s="11"/>
      <c r="G42" s="11"/>
      <c r="H42" s="84" t="s">
        <v>87</v>
      </c>
      <c r="I42" s="118" t="str">
        <f>IF(_epmOfflineCondition_,"T5",_xll.EVPRO($B$1,$H42,"STYLE"))</f>
        <v>T5</v>
      </c>
      <c r="J42" s="118" t="str">
        <f>IF(_epmOfflineCondition_,"Y",_xll.EVPRO($B$1,$H42,"CALC"))</f>
        <v>Y</v>
      </c>
      <c r="K42" s="175" t="str">
        <f t="shared" si="0"/>
        <v>&gt;</v>
      </c>
      <c r="L42" s="86" t="str">
        <f>IF(_epmOfflineCondition_,"",_xll.EVPRO($B$1,H42,"JDEID"))</f>
        <v/>
      </c>
      <c r="M42" s="86" t="str">
        <f>IF(_epmOfflineCondition_,"",IF(AND(I42="N",J42="N"),_xll.EVPRO($B$1,H42,"PSFTID"),""))</f>
        <v/>
      </c>
      <c r="N42" s="86" t="str">
        <f>IF(_epmOfflineCondition_,"Corporate",IF(_xll.EVDES(H42,$B$1)="#NODATA","",_xll.EVDES(H42,$B$1)))</f>
        <v>Corporate</v>
      </c>
      <c r="O42" s="134">
        <v>120203</v>
      </c>
      <c r="P42" s="134">
        <v>114584</v>
      </c>
      <c r="Q42" s="134">
        <v>64233</v>
      </c>
      <c r="R42" s="134">
        <v>17495</v>
      </c>
      <c r="S42" s="134">
        <v>16659</v>
      </c>
      <c r="T42" s="134">
        <v>7064</v>
      </c>
      <c r="U42" s="134">
        <v>7551.98</v>
      </c>
      <c r="V42" s="134">
        <v>467</v>
      </c>
      <c r="W42" s="134"/>
      <c r="X42" s="134">
        <v>26380</v>
      </c>
      <c r="Y42" s="134">
        <v>20716.27</v>
      </c>
      <c r="Z42" s="134">
        <v>24312</v>
      </c>
      <c r="AA42" s="223">
        <f t="shared" si="1"/>
        <v>419665.25</v>
      </c>
      <c r="AB42" s="138">
        <f t="shared" si="2"/>
        <v>6.6193836137247969E-2</v>
      </c>
      <c r="AC42" s="136"/>
      <c r="AD42" s="134">
        <v>760635.54</v>
      </c>
      <c r="AE42" s="138">
        <f t="shared" si="3"/>
        <v>8.4171590343683461E-2</v>
      </c>
      <c r="AF42" s="137">
        <f t="shared" si="4"/>
        <v>-340970.29000000004</v>
      </c>
      <c r="AG42" s="134">
        <v>199267.23</v>
      </c>
      <c r="AH42" s="138">
        <f t="shared" si="5"/>
        <v>7.5108048143710651E-2</v>
      </c>
      <c r="AI42" s="137">
        <f t="shared" si="6"/>
        <v>220398.02</v>
      </c>
      <c r="AJ42" s="224">
        <f t="shared" si="7"/>
        <v>12.762765342740709</v>
      </c>
      <c r="AK42" s="225">
        <f t="shared" si="8"/>
        <v>20.904621008080031</v>
      </c>
      <c r="AL42" s="226">
        <f t="shared" si="9"/>
        <v>-8.1418556653393228</v>
      </c>
      <c r="AM42" s="227">
        <f t="shared" si="10"/>
        <v>13.126958498023717</v>
      </c>
      <c r="AN42" s="226">
        <f t="shared" si="11"/>
        <v>-0.364193155283008</v>
      </c>
      <c r="AO42" s="11"/>
    </row>
    <row r="43" spans="1:41" x14ac:dyDescent="0.25">
      <c r="A43" s="11"/>
      <c r="B43" s="11"/>
      <c r="C43" s="11"/>
      <c r="D43" s="11"/>
      <c r="E43" s="11"/>
      <c r="F43" s="11"/>
      <c r="G43" s="11"/>
      <c r="H43" s="84" t="s">
        <v>88</v>
      </c>
      <c r="I43" s="118" t="str">
        <f>IF(_epmOfflineCondition_,"T5",_xll.EVPRO($B$1,$H43,"STYLE"))</f>
        <v>T5</v>
      </c>
      <c r="J43" s="118" t="str">
        <f>IF(_epmOfflineCondition_,"Y",_xll.EVPRO($B$1,$H43,"CALC"))</f>
        <v>Y</v>
      </c>
      <c r="K43" s="175" t="str">
        <f t="shared" si="0"/>
        <v>&gt;</v>
      </c>
      <c r="L43" s="86" t="str">
        <f>IF(_epmOfflineCondition_,"",_xll.EVPRO($B$1,H43,"JDEID"))</f>
        <v/>
      </c>
      <c r="M43" s="86" t="str">
        <f>IF(_epmOfflineCondition_,"",IF(AND(I43="N",J43="N"),_xll.EVPRO($B$1,H43,"PSFTID"),""))</f>
        <v/>
      </c>
      <c r="N43" s="86" t="str">
        <f>IF(_epmOfflineCondition_,"Association/Convention",IF(_xll.EVDES(H43,$B$1)="#NODATA","",_xll.EVDES(H43,$B$1)))</f>
        <v>Association/Convention</v>
      </c>
      <c r="O43" s="134"/>
      <c r="P43" s="134"/>
      <c r="Q43" s="134">
        <v>13050</v>
      </c>
      <c r="R43" s="134"/>
      <c r="S43" s="134"/>
      <c r="T43" s="134">
        <v>36129.4</v>
      </c>
      <c r="U43" s="134"/>
      <c r="V43" s="134"/>
      <c r="W43" s="134"/>
      <c r="X43" s="134"/>
      <c r="Y43" s="134">
        <v>7328</v>
      </c>
      <c r="Z43" s="134"/>
      <c r="AA43" s="223">
        <f t="shared" si="1"/>
        <v>56507.4</v>
      </c>
      <c r="AB43" s="138">
        <f t="shared" si="2"/>
        <v>8.9129170836563798E-3</v>
      </c>
      <c r="AC43" s="136"/>
      <c r="AD43" s="134">
        <v>61820</v>
      </c>
      <c r="AE43" s="138">
        <f t="shared" si="3"/>
        <v>6.8409736876698015E-3</v>
      </c>
      <c r="AF43" s="137">
        <f t="shared" si="4"/>
        <v>-5312.5999999999985</v>
      </c>
      <c r="AG43" s="134">
        <v>23201</v>
      </c>
      <c r="AH43" s="138">
        <f t="shared" si="5"/>
        <v>8.7449493074311865E-3</v>
      </c>
      <c r="AI43" s="137">
        <f t="shared" si="6"/>
        <v>33306.400000000001</v>
      </c>
      <c r="AJ43" s="224">
        <f t="shared" si="7"/>
        <v>1.7184903594671856</v>
      </c>
      <c r="AK43" s="225">
        <f t="shared" si="8"/>
        <v>1.6990051118562084</v>
      </c>
      <c r="AL43" s="226">
        <f t="shared" si="9"/>
        <v>1.9485247610977252E-2</v>
      </c>
      <c r="AM43" s="227">
        <f t="shared" si="10"/>
        <v>1.5283926218708828</v>
      </c>
      <c r="AN43" s="226">
        <f t="shared" si="11"/>
        <v>0.19009773759630288</v>
      </c>
      <c r="AO43" s="11"/>
    </row>
    <row r="44" spans="1:41" x14ac:dyDescent="0.25">
      <c r="A44" s="56" t="str">
        <f>IF(_epmOfflineCondition_,"Evdre:Ok",_xll.EVDRE($B$1,A47:B54,A57:B63))</f>
        <v>Evdre:Ok</v>
      </c>
      <c r="B44" s="11"/>
      <c r="C44" s="11"/>
      <c r="D44" s="11"/>
      <c r="E44" s="11"/>
      <c r="F44" s="11"/>
      <c r="G44" s="11"/>
      <c r="H44" s="84" t="s">
        <v>89</v>
      </c>
      <c r="I44" s="118" t="str">
        <f>IF(_epmOfflineCondition_,"T5",_xll.EVPRO($B$1,$H44,"STYLE"))</f>
        <v>T5</v>
      </c>
      <c r="J44" s="118" t="str">
        <f>IF(_epmOfflineCondition_,"Y",_xll.EVPRO($B$1,$H44,"CALC"))</f>
        <v>Y</v>
      </c>
      <c r="K44" s="175" t="str">
        <f t="shared" si="0"/>
        <v>&gt;</v>
      </c>
      <c r="L44" s="86" t="str">
        <f>IF(_epmOfflineCondition_,"401800",_xll.EVPRO($B$1,H44,"JDEID"))</f>
        <v>401800</v>
      </c>
      <c r="M44" s="86" t="str">
        <f>IF(_epmOfflineCondition_,"",IF(AND(I44="N",J44="N"),_xll.EVPRO($B$1,H44,"PSFTID"),""))</f>
        <v/>
      </c>
      <c r="N44" s="86" t="str">
        <f>IF(_epmOfflineCondition_,"Government",IF(_xll.EVDES(H44,$B$1)="#NODATA","",_xll.EVDES(H44,$B$1)))</f>
        <v>Government</v>
      </c>
      <c r="O44" s="134"/>
      <c r="P44" s="134"/>
      <c r="Q44" s="134"/>
      <c r="R44" s="134"/>
      <c r="S44" s="134"/>
      <c r="T44" s="134"/>
      <c r="U44" s="134"/>
      <c r="V44" s="134"/>
      <c r="W44" s="134"/>
      <c r="X44" s="134"/>
      <c r="Y44" s="134"/>
      <c r="Z44" s="134"/>
      <c r="AA44" s="223">
        <f t="shared" si="1"/>
        <v>0</v>
      </c>
      <c r="AB44" s="138" t="str">
        <f t="shared" si="2"/>
        <v/>
      </c>
      <c r="AC44" s="136"/>
      <c r="AD44" s="134">
        <v>11800</v>
      </c>
      <c r="AE44" s="138">
        <f t="shared" si="3"/>
        <v>1.3057827485361316E-3</v>
      </c>
      <c r="AF44" s="137">
        <f t="shared" si="4"/>
        <v>-11800</v>
      </c>
      <c r="AG44" s="134"/>
      <c r="AH44" s="138" t="str">
        <f t="shared" si="5"/>
        <v/>
      </c>
      <c r="AI44" s="137">
        <f t="shared" si="6"/>
        <v>0</v>
      </c>
      <c r="AJ44" s="224">
        <f t="shared" si="7"/>
        <v>0</v>
      </c>
      <c r="AK44" s="225">
        <f t="shared" si="8"/>
        <v>0.32430055515857747</v>
      </c>
      <c r="AL44" s="226">
        <f t="shared" si="9"/>
        <v>-0.32430055515857747</v>
      </c>
      <c r="AM44" s="227">
        <f t="shared" si="10"/>
        <v>0</v>
      </c>
      <c r="AN44" s="226">
        <f t="shared" si="11"/>
        <v>0</v>
      </c>
      <c r="AO44" s="11"/>
    </row>
    <row r="45" spans="1:41" x14ac:dyDescent="0.25">
      <c r="A45" s="11"/>
      <c r="B45" s="11"/>
      <c r="C45" s="11"/>
      <c r="D45" s="11"/>
      <c r="E45" s="11"/>
      <c r="F45" s="11"/>
      <c r="G45" s="11"/>
      <c r="H45" s="84" t="s">
        <v>90</v>
      </c>
      <c r="I45" s="118" t="str">
        <f>IF(_epmOfflineCondition_,"T5",_xll.EVPRO($B$1,$H45,"STYLE"))</f>
        <v>T5</v>
      </c>
      <c r="J45" s="118" t="str">
        <f>IF(_epmOfflineCondition_,"Y",_xll.EVPRO($B$1,$H45,"CALC"))</f>
        <v>Y</v>
      </c>
      <c r="K45" s="175" t="str">
        <f t="shared" si="0"/>
        <v>&gt;</v>
      </c>
      <c r="L45" s="86" t="str">
        <f>IF(_epmOfflineCondition_,"",_xll.EVPRO($B$1,H45,"JDEID"))</f>
        <v/>
      </c>
      <c r="M45" s="86" t="str">
        <f>IF(_epmOfflineCondition_,"",IF(AND(I45="N",J45="N"),_xll.EVPRO($B$1,H45,"PSFTID"),""))</f>
        <v/>
      </c>
      <c r="N45" s="86" t="str">
        <f>IF(_epmOfflineCondition_,"Tour/Wholesalers",IF(_xll.EVDES(H45,$B$1)="#NODATA","",_xll.EVDES(H45,$B$1)))</f>
        <v>Tour/Wholesalers</v>
      </c>
      <c r="O45" s="134"/>
      <c r="P45" s="134">
        <v>62213</v>
      </c>
      <c r="Q45" s="134">
        <v>10086</v>
      </c>
      <c r="R45" s="134">
        <v>32163</v>
      </c>
      <c r="S45" s="134">
        <v>845</v>
      </c>
      <c r="T45" s="134">
        <v>6350</v>
      </c>
      <c r="U45" s="134">
        <v>3887</v>
      </c>
      <c r="V45" s="134"/>
      <c r="W45" s="134"/>
      <c r="X45" s="134"/>
      <c r="Y45" s="134">
        <v>6153</v>
      </c>
      <c r="Z45" s="134"/>
      <c r="AA45" s="223">
        <f t="shared" si="1"/>
        <v>121697</v>
      </c>
      <c r="AB45" s="138">
        <f t="shared" si="2"/>
        <v>1.9195278323365268E-2</v>
      </c>
      <c r="AC45" s="136"/>
      <c r="AD45" s="134">
        <v>88343.4</v>
      </c>
      <c r="AE45" s="138">
        <f t="shared" si="3"/>
        <v>9.7760413277141432E-3</v>
      </c>
      <c r="AF45" s="137">
        <f t="shared" si="4"/>
        <v>33353.600000000006</v>
      </c>
      <c r="AG45" s="134">
        <v>24028</v>
      </c>
      <c r="AH45" s="138">
        <f t="shared" si="5"/>
        <v>9.0566631593016044E-3</v>
      </c>
      <c r="AI45" s="137">
        <f t="shared" si="6"/>
        <v>97669</v>
      </c>
      <c r="AJ45" s="224">
        <f t="shared" si="7"/>
        <v>3.7010218356547657</v>
      </c>
      <c r="AK45" s="225">
        <f t="shared" si="8"/>
        <v>2.4279503105590061</v>
      </c>
      <c r="AL45" s="226">
        <f t="shared" si="9"/>
        <v>1.2730715250957596</v>
      </c>
      <c r="AM45" s="227">
        <f t="shared" si="10"/>
        <v>1.5828722002635045</v>
      </c>
      <c r="AN45" s="226">
        <f t="shared" si="11"/>
        <v>2.1181496353912612</v>
      </c>
      <c r="AO45" s="11"/>
    </row>
    <row r="46" spans="1:41" x14ac:dyDescent="0.25">
      <c r="A46" s="57" t="s">
        <v>0</v>
      </c>
      <c r="B46" s="58" t="s">
        <v>1</v>
      </c>
      <c r="C46" s="11"/>
      <c r="D46" s="11"/>
      <c r="E46" s="11"/>
      <c r="F46" s="11"/>
      <c r="G46" s="11"/>
      <c r="H46" s="84" t="s">
        <v>68</v>
      </c>
      <c r="I46" s="118" t="str">
        <f>IF(_epmOfflineCondition_,"T5",_xll.EVPRO($B$1,$H46,"STYLE"))</f>
        <v>T5</v>
      </c>
      <c r="J46" s="118" t="str">
        <f>IF(_epmOfflineCondition_,"Y",_xll.EVPRO($B$1,$H46,"CALC"))</f>
        <v>Y</v>
      </c>
      <c r="K46" s="175" t="str">
        <f t="shared" si="0"/>
        <v>&gt;</v>
      </c>
      <c r="L46" s="86" t="str">
        <f>IF(_epmOfflineCondition_,"401200",_xll.EVPRO($B$1,H46,"JDEID"))</f>
        <v>401200</v>
      </c>
      <c r="M46" s="86" t="str">
        <f>IF(_epmOfflineCondition_,"",IF(AND(I46="N",J46="N"),_xll.EVPRO($B$1,H46,"PSFTID"),""))</f>
        <v/>
      </c>
      <c r="N46" s="86" t="str">
        <f>IF(_epmOfflineCondition_,"SMERF",IF(_xll.EVDES(H46,$B$1)="#NODATA","",_xll.EVDES(H46,$B$1)))</f>
        <v>SMERF</v>
      </c>
      <c r="O46" s="228">
        <v>6137</v>
      </c>
      <c r="P46" s="228">
        <v>6840</v>
      </c>
      <c r="Q46" s="228">
        <v>9456</v>
      </c>
      <c r="R46" s="228">
        <v>796</v>
      </c>
      <c r="S46" s="228">
        <v>6355</v>
      </c>
      <c r="T46" s="228">
        <v>2704</v>
      </c>
      <c r="U46" s="228"/>
      <c r="V46" s="228">
        <v>645</v>
      </c>
      <c r="W46" s="228">
        <v>2423</v>
      </c>
      <c r="X46" s="228"/>
      <c r="Y46" s="228">
        <v>4151.28</v>
      </c>
      <c r="Z46" s="228">
        <v>7238</v>
      </c>
      <c r="AA46" s="229">
        <f t="shared" si="1"/>
        <v>46745.279999999999</v>
      </c>
      <c r="AB46" s="230">
        <f t="shared" si="2"/>
        <v>7.3731370527099268E-3</v>
      </c>
      <c r="AC46" s="136"/>
      <c r="AD46" s="228">
        <v>50920</v>
      </c>
      <c r="AE46" s="230">
        <f t="shared" si="3"/>
        <v>5.6347845385982904E-3</v>
      </c>
      <c r="AF46" s="231">
        <f t="shared" si="4"/>
        <v>-4174.7200000000012</v>
      </c>
      <c r="AG46" s="228">
        <v>36328</v>
      </c>
      <c r="AH46" s="230">
        <f t="shared" si="5"/>
        <v>1.369279420888583E-2</v>
      </c>
      <c r="AI46" s="231">
        <f t="shared" si="6"/>
        <v>10417.279999999999</v>
      </c>
      <c r="AJ46" s="232">
        <f t="shared" si="7"/>
        <v>1.4216069582142206</v>
      </c>
      <c r="AK46" s="233">
        <f t="shared" si="8"/>
        <v>1.3994393448029463</v>
      </c>
      <c r="AL46" s="234">
        <f t="shared" si="9"/>
        <v>2.2167613411274267E-2</v>
      </c>
      <c r="AM46" s="235">
        <f t="shared" si="10"/>
        <v>2.3931488801054019</v>
      </c>
      <c r="AN46" s="234">
        <f t="shared" si="11"/>
        <v>-0.97154192189118138</v>
      </c>
      <c r="AO46" s="11"/>
    </row>
    <row r="47" spans="1:41" x14ac:dyDescent="0.25">
      <c r="A47" s="61" t="s">
        <v>2</v>
      </c>
      <c r="B47" s="62" t="str">
        <f>IF(_epmOfflineCondition_,"'Rooms'!$B$2:$B$10",_xll.EVRNG($B$2:$B$10))</f>
        <v>'Rooms'!$B$2:$B$10</v>
      </c>
      <c r="C47" s="11"/>
      <c r="D47" s="11"/>
      <c r="E47" s="11"/>
      <c r="F47" s="11"/>
      <c r="G47" s="11"/>
      <c r="H47" s="84" t="s">
        <v>64</v>
      </c>
      <c r="I47" s="184" t="str">
        <f>IF(_epmOfflineCondition_,"T4",_xll.EVPRO($B$1,$H47,"STYLE"))</f>
        <v>T4</v>
      </c>
      <c r="J47" s="184" t="str">
        <f>IF(_epmOfflineCondition_,"Y",_xll.EVPRO($B$1,$H47,"CALC"))</f>
        <v>Y</v>
      </c>
      <c r="K47" s="185" t="str">
        <f t="shared" si="0"/>
        <v/>
      </c>
      <c r="L47" s="186" t="str">
        <f>IF(_epmOfflineCondition_,"401000",_xll.EVPRO($B$1,H47,"JDEID"))</f>
        <v>401000</v>
      </c>
      <c r="M47" s="186" t="str">
        <f>IF(_epmOfflineCondition_,"",IF(AND(I47="N",J47="N"),_xll.EVPRO($B$1,H47,"PSFTID"),""))</f>
        <v/>
      </c>
      <c r="N47" s="186" t="str">
        <f>IF(_epmOfflineCondition_,"Total Group Room Rev",IF(_xll.EVDES(H47,$B$1)="#NODATA","",_xll.EVDES(H47,$B$1)))</f>
        <v>Total Group Room Rev</v>
      </c>
      <c r="O47" s="236">
        <v>126340</v>
      </c>
      <c r="P47" s="236">
        <v>183637</v>
      </c>
      <c r="Q47" s="236">
        <v>96825</v>
      </c>
      <c r="R47" s="236">
        <v>50454</v>
      </c>
      <c r="S47" s="236">
        <v>23859</v>
      </c>
      <c r="T47" s="236">
        <v>52247.4</v>
      </c>
      <c r="U47" s="236">
        <v>11438.98</v>
      </c>
      <c r="V47" s="236">
        <v>1112</v>
      </c>
      <c r="W47" s="236">
        <v>2423</v>
      </c>
      <c r="X47" s="236">
        <v>26380</v>
      </c>
      <c r="Y47" s="236">
        <v>38348.550000000003</v>
      </c>
      <c r="Z47" s="236">
        <v>31550</v>
      </c>
      <c r="AA47" s="236">
        <f t="shared" si="1"/>
        <v>644614.93000000005</v>
      </c>
      <c r="AB47" s="237">
        <f t="shared" si="2"/>
        <v>0.10167516859697955</v>
      </c>
      <c r="AC47" s="238"/>
      <c r="AD47" s="236">
        <v>973518.94</v>
      </c>
      <c r="AE47" s="237">
        <f t="shared" si="3"/>
        <v>0.10772917264620181</v>
      </c>
      <c r="AF47" s="239">
        <f t="shared" si="4"/>
        <v>-328904.00999999989</v>
      </c>
      <c r="AG47" s="236">
        <v>282824.23</v>
      </c>
      <c r="AH47" s="237">
        <f t="shared" si="5"/>
        <v>0.10660245481932927</v>
      </c>
      <c r="AI47" s="239">
        <f t="shared" si="6"/>
        <v>361790.70000000007</v>
      </c>
      <c r="AJ47" s="215">
        <f t="shared" si="7"/>
        <v>19.603884496076883</v>
      </c>
      <c r="AK47" s="216">
        <f t="shared" si="8"/>
        <v>26.755316330456768</v>
      </c>
      <c r="AL47" s="217">
        <f t="shared" si="9"/>
        <v>-7.1514318343798848</v>
      </c>
      <c r="AM47" s="218">
        <f t="shared" si="10"/>
        <v>18.631372200263502</v>
      </c>
      <c r="AN47" s="217">
        <f t="shared" si="11"/>
        <v>0.97251229581338094</v>
      </c>
      <c r="AO47" s="11"/>
    </row>
    <row r="48" spans="1:41" x14ac:dyDescent="0.25">
      <c r="A48" s="61" t="s">
        <v>3</v>
      </c>
      <c r="B48" s="62" t="str">
        <f>IF(_epmOfflineCondition_,"'Rooms'!$O$16:$AN$18",_xll.EVRNG($O$16:$AN$18))</f>
        <v>'Rooms'!$O$16:$AN$18</v>
      </c>
      <c r="C48" s="11"/>
      <c r="D48" s="11"/>
      <c r="E48" s="11"/>
      <c r="F48" s="11"/>
      <c r="G48" s="11"/>
      <c r="H48" s="84" t="s">
        <v>119</v>
      </c>
      <c r="I48" s="118" t="str">
        <f>IF(_epmOfflineCondition_,"T5",_xll.EVPRO($B$1,$H48,"STYLE"))</f>
        <v>T5</v>
      </c>
      <c r="J48" s="118" t="str">
        <f>IF(_epmOfflineCondition_,"Y",_xll.EVPRO($B$1,$H48,"CALC"))</f>
        <v>Y</v>
      </c>
      <c r="K48" s="175" t="str">
        <f t="shared" si="0"/>
        <v>&gt;</v>
      </c>
      <c r="L48" s="86" t="str">
        <f>IF(_epmOfflineCondition_,"",_xll.EVPRO($B$1,H48,"JDEID"))</f>
        <v/>
      </c>
      <c r="M48" s="86" t="str">
        <f>IF(_epmOfflineCondition_,"",IF(AND(I48="N",J48="N"),_xll.EVPRO($B$1,H48,"PSFTID"),""))</f>
        <v/>
      </c>
      <c r="N48" s="86" t="str">
        <f>IF(_epmOfflineCondition_,"Contract Rooms Revenue",IF(_xll.EVDES(H48,$B$1)="#NODATA","",_xll.EVDES(H48,$B$1)))</f>
        <v>Contract Rooms Revenue</v>
      </c>
      <c r="O48" s="240"/>
      <c r="P48" s="240"/>
      <c r="Q48" s="240"/>
      <c r="R48" s="240"/>
      <c r="S48" s="240"/>
      <c r="T48" s="240"/>
      <c r="U48" s="240"/>
      <c r="V48" s="240"/>
      <c r="W48" s="240"/>
      <c r="X48" s="240"/>
      <c r="Y48" s="240"/>
      <c r="Z48" s="240"/>
      <c r="AA48" s="241">
        <f t="shared" si="1"/>
        <v>0</v>
      </c>
      <c r="AB48" s="242" t="str">
        <f t="shared" si="2"/>
        <v/>
      </c>
      <c r="AC48" s="136"/>
      <c r="AD48" s="240"/>
      <c r="AE48" s="242" t="str">
        <f t="shared" si="3"/>
        <v/>
      </c>
      <c r="AF48" s="243">
        <f t="shared" si="4"/>
        <v>0</v>
      </c>
      <c r="AG48" s="240">
        <v>22320</v>
      </c>
      <c r="AH48" s="242">
        <f t="shared" si="5"/>
        <v>8.4128817094894226E-3</v>
      </c>
      <c r="AI48" s="243">
        <f t="shared" si="6"/>
        <v>-22320</v>
      </c>
      <c r="AJ48" s="244">
        <f t="shared" si="7"/>
        <v>0</v>
      </c>
      <c r="AK48" s="245">
        <f t="shared" si="8"/>
        <v>0</v>
      </c>
      <c r="AL48" s="246">
        <f t="shared" si="9"/>
        <v>0</v>
      </c>
      <c r="AM48" s="247">
        <f t="shared" si="10"/>
        <v>1.4703557312252964</v>
      </c>
      <c r="AN48" s="246">
        <f t="shared" si="11"/>
        <v>-1.4703557312252964</v>
      </c>
      <c r="AO48" s="11"/>
    </row>
    <row r="49" spans="1:41" x14ac:dyDescent="0.25">
      <c r="A49" s="61" t="s">
        <v>4</v>
      </c>
      <c r="B49" s="62" t="str">
        <f>IF(_epmOfflineCondition_,"'Rooms'!$H$55:$H$56,'Rooms'!$H$58:$H$70,'Rooms'!$H$73:$H$97",_xll.EVRNG(H55:H56,H58:H70,H73:H97))</f>
        <v>'Rooms'!$H$55:$H$56,'Rooms'!$H$58:$H$70,'Rooms'!$H$73:$H$97</v>
      </c>
      <c r="C49" s="11"/>
      <c r="D49" s="11"/>
      <c r="E49" s="11"/>
      <c r="F49" s="11"/>
      <c r="G49" s="11"/>
      <c r="H49" s="84" t="s">
        <v>67</v>
      </c>
      <c r="I49" s="118" t="str">
        <f>IF(_epmOfflineCondition_,"T5",_xll.EVPRO($B$1,$H49,"STYLE"))</f>
        <v>T5</v>
      </c>
      <c r="J49" s="118" t="str">
        <f>IF(_epmOfflineCondition_,"Y",_xll.EVPRO($B$1,$H49,"CALC"))</f>
        <v>Y</v>
      </c>
      <c r="K49" s="175" t="str">
        <f t="shared" si="0"/>
        <v>&gt;</v>
      </c>
      <c r="L49" s="86" t="str">
        <f>IF(_epmOfflineCondition_,"403000",_xll.EVPRO($B$1,H49,"JDEID"))</f>
        <v>403000</v>
      </c>
      <c r="M49" s="86" t="str">
        <f>IF(_epmOfflineCondition_,"",IF(AND(I49="N",J49="N"),_xll.EVPRO($B$1,H49,"PSFTID"),""))</f>
        <v/>
      </c>
      <c r="N49" s="86" t="str">
        <f>IF(_epmOfflineCondition_,"Other Rooms Revenue",IF(_xll.EVDES(H49,$B$1)="#NODATA","",_xll.EVDES(H49,$B$1)))</f>
        <v>Other Rooms Revenue</v>
      </c>
      <c r="O49" s="134">
        <v>11594.24</v>
      </c>
      <c r="P49" s="134">
        <v>10018.58</v>
      </c>
      <c r="Q49" s="134">
        <v>9699.52</v>
      </c>
      <c r="R49" s="134">
        <v>-6724.96</v>
      </c>
      <c r="S49" s="134">
        <v>6584.11</v>
      </c>
      <c r="T49" s="134">
        <v>3632.46</v>
      </c>
      <c r="U49" s="134">
        <v>2554.06</v>
      </c>
      <c r="V49" s="134">
        <v>4182.74</v>
      </c>
      <c r="W49" s="134">
        <v>1438.7</v>
      </c>
      <c r="X49" s="134">
        <v>1278.94</v>
      </c>
      <c r="Y49" s="134">
        <v>1658.52</v>
      </c>
      <c r="Z49" s="134">
        <v>4398.47</v>
      </c>
      <c r="AA49" s="223">
        <f t="shared" si="1"/>
        <v>50315.38</v>
      </c>
      <c r="AB49" s="138">
        <f t="shared" si="2"/>
        <v>7.9362492341297341E-3</v>
      </c>
      <c r="AC49" s="136"/>
      <c r="AD49" s="134">
        <v>23358.3</v>
      </c>
      <c r="AE49" s="138">
        <f t="shared" si="3"/>
        <v>2.5848190826382646E-3</v>
      </c>
      <c r="AF49" s="137">
        <f t="shared" si="4"/>
        <v>26957.079999999998</v>
      </c>
      <c r="AG49" s="134">
        <v>21725.5</v>
      </c>
      <c r="AH49" s="138">
        <f t="shared" si="5"/>
        <v>8.1888020420928503E-3</v>
      </c>
      <c r="AI49" s="137">
        <f t="shared" si="6"/>
        <v>28589.879999999997</v>
      </c>
      <c r="AJ49" s="224">
        <f t="shared" si="7"/>
        <v>1.5301800377106014</v>
      </c>
      <c r="AK49" s="225">
        <f t="shared" si="8"/>
        <v>0.64195844555598303</v>
      </c>
      <c r="AL49" s="226">
        <f t="shared" si="9"/>
        <v>0.88822159215461838</v>
      </c>
      <c r="AM49" s="227">
        <f t="shared" si="10"/>
        <v>1.4311923583662713</v>
      </c>
      <c r="AN49" s="226">
        <f t="shared" si="11"/>
        <v>9.898767934433006E-2</v>
      </c>
      <c r="AO49" s="11"/>
    </row>
    <row r="50" spans="1:41" x14ac:dyDescent="0.25">
      <c r="A50" s="61" t="s">
        <v>5</v>
      </c>
      <c r="B50" s="62"/>
      <c r="C50" s="11"/>
      <c r="D50" s="11"/>
      <c r="E50" s="11"/>
      <c r="F50" s="11"/>
      <c r="G50" s="11"/>
      <c r="H50" s="84" t="s">
        <v>91</v>
      </c>
      <c r="I50" s="118" t="str">
        <f>IF(_epmOfflineCondition_,"N",_xll.EVPRO($B$1,$H50,"STYLE"))</f>
        <v>N</v>
      </c>
      <c r="J50" s="118" t="str">
        <f>IF(_epmOfflineCondition_,"N",_xll.EVPRO($B$1,$H50,"CALC"))</f>
        <v>N</v>
      </c>
      <c r="K50" s="175" t="str">
        <f t="shared" si="0"/>
        <v/>
      </c>
      <c r="L50" s="86" t="str">
        <f>IF(_epmOfflineCondition_,"403990",_xll.EVPRO($B$1,H50,"JDEID"))</f>
        <v>403990</v>
      </c>
      <c r="M50" s="86" t="str">
        <f>IF(_epmOfflineCondition_,"200529",IF(AND(I50="N",J50="N"),_xll.EVPRO($B$1,H50,"PSFTID"),""))</f>
        <v>200529</v>
      </c>
      <c r="N50" s="86" t="str">
        <f>IF(_epmOfflineCondition_,"Rooms: Allowances",IF(_xll.EVDES(H50,$B$1)="#NODATA","",_xll.EVDES(H50,$B$1)))</f>
        <v>Rooms: Allowances</v>
      </c>
      <c r="O50" s="228">
        <v>-4650.8</v>
      </c>
      <c r="P50" s="228">
        <v>-3100.43</v>
      </c>
      <c r="Q50" s="228">
        <v>-4198.5</v>
      </c>
      <c r="R50" s="228">
        <v>-7842.33</v>
      </c>
      <c r="S50" s="228">
        <v>-3334.25</v>
      </c>
      <c r="T50" s="228">
        <v>-2544.71</v>
      </c>
      <c r="U50" s="228">
        <v>-1816.31</v>
      </c>
      <c r="V50" s="228">
        <v>-2327.6</v>
      </c>
      <c r="W50" s="228">
        <v>-296.02999999999997</v>
      </c>
      <c r="X50" s="228">
        <v>-1460.22</v>
      </c>
      <c r="Y50" s="228">
        <v>-1356.35</v>
      </c>
      <c r="Z50" s="228">
        <v>-3640.26</v>
      </c>
      <c r="AA50" s="229">
        <f t="shared" si="1"/>
        <v>-36567.79</v>
      </c>
      <c r="AB50" s="230">
        <f t="shared" si="2"/>
        <v>-5.7678406757797913E-3</v>
      </c>
      <c r="AC50" s="136"/>
      <c r="AD50" s="228">
        <v>-39517.410000000003</v>
      </c>
      <c r="AE50" s="230">
        <f t="shared" si="3"/>
        <v>-4.372979003799086E-3</v>
      </c>
      <c r="AF50" s="231">
        <f t="shared" si="4"/>
        <v>2949.6200000000026</v>
      </c>
      <c r="AG50" s="228">
        <v>-35207.43</v>
      </c>
      <c r="AH50" s="230">
        <f t="shared" si="5"/>
        <v>-1.3270427593419764E-2</v>
      </c>
      <c r="AI50" s="231">
        <f t="shared" si="6"/>
        <v>-1360.3600000000006</v>
      </c>
      <c r="AJ50" s="232">
        <f t="shared" si="7"/>
        <v>-1.112091417796971</v>
      </c>
      <c r="AK50" s="233">
        <f t="shared" si="8"/>
        <v>-1.0860608475787392</v>
      </c>
      <c r="AL50" s="234">
        <f t="shared" si="9"/>
        <v>-2.6030570218231741E-2</v>
      </c>
      <c r="AM50" s="235">
        <f t="shared" si="10"/>
        <v>-2.3193300395256915</v>
      </c>
      <c r="AN50" s="234">
        <f t="shared" si="11"/>
        <v>1.2072386217287205</v>
      </c>
      <c r="AO50" s="11"/>
    </row>
    <row r="51" spans="1:41" x14ac:dyDescent="0.25">
      <c r="A51" s="61" t="s">
        <v>6</v>
      </c>
      <c r="B51" s="62"/>
      <c r="C51" s="11"/>
      <c r="D51" s="11"/>
      <c r="E51" s="11"/>
      <c r="F51" s="11"/>
      <c r="G51" s="11"/>
      <c r="H51" s="84" t="s">
        <v>72</v>
      </c>
      <c r="I51" s="184" t="str">
        <f>IF(_epmOfflineCondition_,"T4",_xll.EVPRO($B$1,$H51,"STYLE"))</f>
        <v>T4</v>
      </c>
      <c r="J51" s="184" t="str">
        <f>IF(_epmOfflineCondition_,"Y",_xll.EVPRO($B$1,$H51,"CALC"))</f>
        <v>Y</v>
      </c>
      <c r="K51" s="185" t="str">
        <f t="shared" si="0"/>
        <v/>
      </c>
      <c r="L51" s="186" t="str">
        <f>IF(_epmOfflineCondition_,"",_xll.EVPRO($B$1,H51,"JDEID"))</f>
        <v/>
      </c>
      <c r="M51" s="186" t="str">
        <f>IF(_epmOfflineCondition_,"",IF(AND(I51="N",J51="N"),_xll.EVPRO($B$1,H51,"PSFTID"),""))</f>
        <v/>
      </c>
      <c r="N51" s="186" t="str">
        <f>IF(_epmOfflineCondition_,"Total Rooms Revenue",IF(_xll.EVDES(H51,$B$1)="#NODATA","",_xll.EVDES(H51,$B$1)))</f>
        <v>Total Rooms Revenue</v>
      </c>
      <c r="O51" s="236">
        <v>642489.77</v>
      </c>
      <c r="P51" s="236">
        <v>689311.33</v>
      </c>
      <c r="Q51" s="236">
        <v>794322.76</v>
      </c>
      <c r="R51" s="236">
        <v>599715.47</v>
      </c>
      <c r="S51" s="236">
        <v>476136.88</v>
      </c>
      <c r="T51" s="236">
        <v>333518.40999999997</v>
      </c>
      <c r="U51" s="236">
        <v>393649.4</v>
      </c>
      <c r="V51" s="236">
        <v>379826.96</v>
      </c>
      <c r="W51" s="236">
        <v>261653.71</v>
      </c>
      <c r="X51" s="236">
        <v>392536.9</v>
      </c>
      <c r="Y51" s="236">
        <v>503352.62</v>
      </c>
      <c r="Z51" s="236">
        <v>873430.33</v>
      </c>
      <c r="AA51" s="236">
        <f t="shared" si="1"/>
        <v>6339944.540000001</v>
      </c>
      <c r="AB51" s="237">
        <f t="shared" si="2"/>
        <v>1</v>
      </c>
      <c r="AC51" s="238"/>
      <c r="AD51" s="236">
        <v>9036725.3000000007</v>
      </c>
      <c r="AE51" s="237">
        <f t="shared" si="3"/>
        <v>1</v>
      </c>
      <c r="AF51" s="239">
        <f t="shared" si="4"/>
        <v>-2696780.76</v>
      </c>
      <c r="AG51" s="236">
        <v>2653074.27</v>
      </c>
      <c r="AH51" s="237">
        <f t="shared" si="5"/>
        <v>1</v>
      </c>
      <c r="AI51" s="239">
        <f t="shared" si="6"/>
        <v>3686870.2700000009</v>
      </c>
      <c r="AJ51" s="215">
        <f t="shared" si="7"/>
        <v>192.80896964904815</v>
      </c>
      <c r="AK51" s="216">
        <f t="shared" si="8"/>
        <v>248.35720606826803</v>
      </c>
      <c r="AL51" s="217">
        <f t="shared" si="9"/>
        <v>-55.548236419219876</v>
      </c>
      <c r="AM51" s="218">
        <f t="shared" si="10"/>
        <v>174.77432608695653</v>
      </c>
      <c r="AN51" s="217">
        <f t="shared" si="11"/>
        <v>18.034643562091617</v>
      </c>
      <c r="AO51" s="11"/>
    </row>
    <row r="52" spans="1:41" x14ac:dyDescent="0.25">
      <c r="A52" s="61" t="s">
        <v>7</v>
      </c>
      <c r="B52" s="62" t="str">
        <f>IF(_epmOfflineCondition_,"'Rooms'!$A$66:$F$72",_xll.EVRNG(A66:F72))</f>
        <v>'Rooms'!$A$66:$F$72</v>
      </c>
      <c r="C52" s="11"/>
      <c r="D52" s="11"/>
      <c r="E52" s="11"/>
      <c r="F52" s="11"/>
      <c r="G52" s="72"/>
      <c r="H52" s="11"/>
      <c r="I52" s="55"/>
      <c r="J52" s="55"/>
      <c r="K52" s="11"/>
      <c r="L52" s="55"/>
      <c r="M52" s="55"/>
      <c r="N52" s="11"/>
      <c r="O52" s="199"/>
      <c r="P52" s="200"/>
      <c r="Q52" s="200"/>
      <c r="R52" s="200"/>
      <c r="S52" s="200"/>
      <c r="T52" s="200"/>
      <c r="U52" s="200"/>
      <c r="V52" s="200"/>
      <c r="W52" s="200"/>
      <c r="X52" s="200"/>
      <c r="Y52" s="200"/>
      <c r="Z52" s="200"/>
      <c r="AA52" s="200"/>
      <c r="AB52" s="114"/>
      <c r="AC52" s="11"/>
      <c r="AD52" s="199"/>
      <c r="AE52" s="200"/>
      <c r="AF52" s="114"/>
      <c r="AG52" s="199"/>
      <c r="AH52" s="200"/>
      <c r="AI52" s="114"/>
      <c r="AJ52" s="11"/>
      <c r="AK52" s="11"/>
      <c r="AL52" s="11"/>
      <c r="AM52" s="11"/>
      <c r="AN52" s="11"/>
      <c r="AO52" s="11"/>
    </row>
    <row r="53" spans="1:41" x14ac:dyDescent="0.25">
      <c r="A53" s="61" t="s">
        <v>47</v>
      </c>
      <c r="B53" s="62" t="str">
        <f>IF(_epmOfflineCondition_,"'Rooms'!$A$89:$B$110",_xll.EVRNG($A$89:$B$110))</f>
        <v>'Rooms'!$A$89:$B$110</v>
      </c>
      <c r="C53" s="11"/>
      <c r="D53" s="11"/>
      <c r="E53" s="11"/>
      <c r="F53" s="11"/>
      <c r="G53" s="11"/>
      <c r="H53" s="11" t="s">
        <v>73</v>
      </c>
      <c r="I53" s="55" t="str">
        <f>IF(_epmOfflineCondition_,"B1",_xll.EVPRO($B$1,$H53,"STYLE"))</f>
        <v>B1</v>
      </c>
      <c r="J53" s="55" t="str">
        <f>IF(_epmOfflineCondition_,"Y",_xll.EVPRO($B$1,$H53,"CALC"))</f>
        <v>Y</v>
      </c>
      <c r="K53" s="11"/>
      <c r="L53" s="55"/>
      <c r="M53" s="86"/>
      <c r="N53" s="101" t="str">
        <f>IF(_epmOfflineCondition_,"Labor &amp; Related Expenses",IF(_xll.EVDES(H53,$B$1)="#NODATA","",_xll.EVDES(H53,$B$1)))</f>
        <v>Labor &amp; Related Expenses</v>
      </c>
      <c r="O53" s="199"/>
      <c r="P53" s="200"/>
      <c r="Q53" s="200"/>
      <c r="R53" s="200"/>
      <c r="S53" s="200"/>
      <c r="T53" s="200"/>
      <c r="U53" s="200"/>
      <c r="V53" s="200"/>
      <c r="W53" s="200"/>
      <c r="X53" s="200"/>
      <c r="Y53" s="200"/>
      <c r="Z53" s="200"/>
      <c r="AA53" s="200"/>
      <c r="AB53" s="114"/>
      <c r="AC53" s="11"/>
      <c r="AD53" s="199"/>
      <c r="AE53" s="200"/>
      <c r="AF53" s="114"/>
      <c r="AG53" s="199"/>
      <c r="AH53" s="200"/>
      <c r="AI53" s="114"/>
      <c r="AJ53" s="11"/>
      <c r="AK53" s="11"/>
      <c r="AL53" s="11"/>
      <c r="AM53" s="11"/>
      <c r="AN53" s="11"/>
      <c r="AO53" s="11"/>
    </row>
    <row r="54" spans="1:41" x14ac:dyDescent="0.25">
      <c r="A54" s="61" t="s">
        <v>8</v>
      </c>
      <c r="B54" s="62"/>
      <c r="C54" s="11"/>
      <c r="D54" s="11"/>
      <c r="E54" s="11"/>
      <c r="F54" s="11"/>
      <c r="G54" s="11"/>
      <c r="H54" s="11" t="s">
        <v>74</v>
      </c>
      <c r="I54" s="55" t="str">
        <f>IF(_epmOfflineCondition_,"B1",_xll.EVPRO($B$1,$H54,"STYLE"))</f>
        <v>B1</v>
      </c>
      <c r="J54" s="55" t="str">
        <f>IF(_epmOfflineCondition_,"Y",_xll.EVPRO($B$1,$H54,"CALC"))</f>
        <v>Y</v>
      </c>
      <c r="K54" s="11"/>
      <c r="L54" s="55"/>
      <c r="M54" s="86"/>
      <c r="N54" s="49" t="str">
        <f>IF(_epmOfflineCondition_,"Salaries &amp; Wages",IF(_xll.EVDES(H54,$B$1)="#NODATA","",_xll.EVDES(H54,$B$1)))</f>
        <v>Salaries &amp; Wages</v>
      </c>
      <c r="O54" s="115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7"/>
      <c r="AC54" s="11"/>
      <c r="AD54" s="115"/>
      <c r="AE54" s="116"/>
      <c r="AF54" s="117"/>
      <c r="AG54" s="115"/>
      <c r="AH54" s="116"/>
      <c r="AI54" s="117"/>
      <c r="AJ54" s="11"/>
      <c r="AK54" s="11"/>
      <c r="AL54" s="11"/>
      <c r="AM54" s="11"/>
      <c r="AN54" s="11"/>
      <c r="AO54" s="11"/>
    </row>
    <row r="55" spans="1:41" x14ac:dyDescent="0.25">
      <c r="A55" s="11"/>
      <c r="B55" s="11"/>
      <c r="C55" s="11"/>
      <c r="D55" s="11"/>
      <c r="E55" s="11"/>
      <c r="F55" s="11"/>
      <c r="G55" s="11"/>
      <c r="H55" s="84" t="s">
        <v>819</v>
      </c>
      <c r="I55" s="118" t="str">
        <f>IF(_epmOfflineCondition_,"T3",_xll.EVPRO($B$1,$H55,"STYLE"))</f>
        <v>T3</v>
      </c>
      <c r="J55" s="118" t="str">
        <f>IF(_epmOfflineCondition_,"Y",_xll.EVPRO($B$1,$H55,"CALC"))</f>
        <v>Y</v>
      </c>
      <c r="K55" s="175" t="str">
        <f t="shared" ref="K55:K70" si="12">IF(AND(I55&gt;="T3"),"&gt;","")</f>
        <v>&gt;</v>
      </c>
      <c r="L55" s="86" t="str">
        <f>IF(_epmOfflineCondition_,"",_xll.EVPRO($B$1,H55,"JDEID"))</f>
        <v/>
      </c>
      <c r="M55" s="86" t="str">
        <f>IF(_epmOfflineCondition_,"",IF(AND(I55="N",J55="N"),_xll.EVPRO($B$1,H55,"PSFTID"),""))</f>
        <v/>
      </c>
      <c r="N55" s="86" t="str">
        <f>IF(_epmOfflineCondition_,"Management",IF(_xll.EVDES(H55,$B$1)="#NODATA","",_xll.EVDES(H55,$B$1)))</f>
        <v>Management</v>
      </c>
      <c r="O55" s="240">
        <v>17078.29</v>
      </c>
      <c r="P55" s="240">
        <v>16159.58</v>
      </c>
      <c r="Q55" s="240">
        <v>9047.26</v>
      </c>
      <c r="R55" s="240">
        <v>13986.44</v>
      </c>
      <c r="S55" s="240">
        <v>11488.39</v>
      </c>
      <c r="T55" s="240">
        <v>15069.44</v>
      </c>
      <c r="U55" s="240">
        <v>13199.8</v>
      </c>
      <c r="V55" s="240">
        <v>15281.6</v>
      </c>
      <c r="W55" s="240">
        <v>16743.29</v>
      </c>
      <c r="X55" s="240">
        <v>14304.07</v>
      </c>
      <c r="Y55" s="240">
        <v>13965.78</v>
      </c>
      <c r="Z55" s="240">
        <v>14179.49</v>
      </c>
      <c r="AA55" s="134">
        <f>IF($I55="B1","",SUM(O55:Z55))</f>
        <v>170503.43000000002</v>
      </c>
      <c r="AB55" s="242">
        <f>IF(AA55=0,"",IFERROR(AA55/AA$19,""))</f>
        <v>2.6893520743637295E-2</v>
      </c>
      <c r="AC55" s="136"/>
      <c r="AD55" s="134">
        <v>216528.778599846</v>
      </c>
      <c r="AE55" s="138">
        <f>IF(AD55=0,"",IFERROR(AD55/AD$19,""))</f>
        <v>2.3960978276040545E-2</v>
      </c>
      <c r="AF55" s="137">
        <f>IF(AND($AA55="",AD55=""),"",$AA55-AD55)</f>
        <v>-46025.34859984598</v>
      </c>
      <c r="AG55" s="134">
        <v>172789.21</v>
      </c>
      <c r="AH55" s="138">
        <f>IF(AG55=0,"",IFERROR(AG55/AG$19,""))</f>
        <v>6.5127920448303164E-2</v>
      </c>
      <c r="AI55" s="137">
        <f>IF(AND($AA55="",AG55=""),"",$AA55-AG55)</f>
        <v>-2285.7799999999697</v>
      </c>
      <c r="AJ55" s="224">
        <f t="shared" ref="AJ55:AJ70" si="13">IFERROR(AA55/AA$20,0)</f>
        <v>5.1853120248160094</v>
      </c>
      <c r="AK55" s="225">
        <f t="shared" ref="AK55:AK70" si="14">IFERROR(AD55/AD$20,0)</f>
        <v>5.9508816192998957</v>
      </c>
      <c r="AL55" s="226">
        <f t="shared" ref="AL55:AL70" si="15">AJ55-AK55</f>
        <v>-0.76556959448388628</v>
      </c>
      <c r="AM55" s="227">
        <f t="shared" ref="AM55:AM70" si="16">IFERROR(AG55/AG$20,0)</f>
        <v>11.382688405797101</v>
      </c>
      <c r="AN55" s="226">
        <f t="shared" ref="AN55:AN70" si="17">AJ55-AM55</f>
        <v>-6.1973763809810913</v>
      </c>
      <c r="AO55" s="11"/>
    </row>
    <row r="56" spans="1:41" hidden="1" x14ac:dyDescent="0.25">
      <c r="A56" s="57" t="s">
        <v>9</v>
      </c>
      <c r="B56" s="58" t="s">
        <v>10</v>
      </c>
      <c r="C56" s="11"/>
      <c r="D56" s="11"/>
      <c r="E56" s="11"/>
      <c r="F56" s="11"/>
      <c r="G56" s="11"/>
      <c r="H56" s="84"/>
      <c r="I56" s="118" t="str">
        <f>IF(_epmOfflineCondition_,"",_xll.EVPRO($B$1,$H56,"STYLE"))</f>
        <v/>
      </c>
      <c r="J56" s="118" t="str">
        <f>IF(_epmOfflineCondition_,"",_xll.EVPRO($B$1,$H56,"CALC"))</f>
        <v/>
      </c>
      <c r="K56" s="175" t="str">
        <f t="shared" si="12"/>
        <v/>
      </c>
      <c r="L56" s="86" t="str">
        <f>IF(_epmOfflineCondition_,"",_xll.EVPRO($B$1,H56,"JDEID"))</f>
        <v/>
      </c>
      <c r="M56" s="86" t="str">
        <f>IF(_epmOfflineCondition_,"",IF(AND(I56="N",J56="N"),_xll.EVPRO($B$1,H56,"PSFTID"),""))</f>
        <v/>
      </c>
      <c r="N56" s="86" t="str">
        <f>IF(_epmOfflineCondition_,"",IF(_xll.EVDES(H56,$B$1)="#NODATA","",_xll.EVDES(H56,$B$1)))</f>
        <v/>
      </c>
      <c r="O56" s="240"/>
      <c r="P56" s="240"/>
      <c r="Q56" s="240"/>
      <c r="R56" s="240"/>
      <c r="S56" s="240"/>
      <c r="T56" s="240"/>
      <c r="U56" s="240"/>
      <c r="V56" s="240"/>
      <c r="W56" s="240"/>
      <c r="X56" s="240"/>
      <c r="Y56" s="240"/>
      <c r="Z56" s="240"/>
      <c r="AA56" s="134">
        <f>IF($I56="B1","",SUM(O56:Z56))</f>
        <v>0</v>
      </c>
      <c r="AB56" s="242" t="str">
        <f>IF(AA56=0,"",IFERROR(AA56/AA$19,""))</f>
        <v/>
      </c>
      <c r="AC56" s="136"/>
      <c r="AD56" s="134"/>
      <c r="AE56" s="138" t="str">
        <f>IF(AD56=0,"",IFERROR(AD56/AD$19,""))</f>
        <v/>
      </c>
      <c r="AF56" s="137">
        <f>IF(AND($AA56="",AD56=""),"",$AA56-AD56)</f>
        <v>0</v>
      </c>
      <c r="AG56" s="134"/>
      <c r="AH56" s="138" t="str">
        <f>IF(AG56=0,"",IFERROR(AG56/AG$19,""))</f>
        <v/>
      </c>
      <c r="AI56" s="137">
        <f>IF(AND($AA56="",AG56=""),"",$AA56-AG56)</f>
        <v>0</v>
      </c>
      <c r="AJ56" s="224">
        <f t="shared" si="13"/>
        <v>0</v>
      </c>
      <c r="AK56" s="225">
        <f t="shared" si="14"/>
        <v>0</v>
      </c>
      <c r="AL56" s="226">
        <f t="shared" si="15"/>
        <v>0</v>
      </c>
      <c r="AM56" s="227">
        <f t="shared" si="16"/>
        <v>0</v>
      </c>
      <c r="AN56" s="226">
        <f t="shared" si="17"/>
        <v>0</v>
      </c>
      <c r="AO56" s="11"/>
    </row>
    <row r="57" spans="1:41" x14ac:dyDescent="0.25">
      <c r="A57" s="61" t="s">
        <v>11</v>
      </c>
      <c r="B57" s="62" t="s">
        <v>21</v>
      </c>
      <c r="C57" s="11"/>
      <c r="D57" s="11"/>
      <c r="E57" s="11"/>
      <c r="F57" s="11"/>
      <c r="G57" s="11"/>
      <c r="H57" s="84" t="s">
        <v>75</v>
      </c>
      <c r="I57" s="118" t="str">
        <f>IF(_epmOfflineCondition_,"B1",_xll.EVPRO($B$1,$H57,"STYLE"))</f>
        <v>B1</v>
      </c>
      <c r="J57" s="118" t="str">
        <f>IF(_epmOfflineCondition_,"Y",_xll.EVPRO($B$1,$H57,"CALC"))</f>
        <v>Y</v>
      </c>
      <c r="K57" s="175" t="str">
        <f t="shared" si="12"/>
        <v/>
      </c>
      <c r="L57" s="86" t="str">
        <f>IF(_epmOfflineCondition_,"",_xll.EVPRO($B$1,H57,"JDEID"))</f>
        <v/>
      </c>
      <c r="M57" s="86" t="str">
        <f>IF(_epmOfflineCondition_,"",IF(AND(I57="N",J57="N"),_xll.EVPRO($B$1,H57,"PSFTID"),""))</f>
        <v/>
      </c>
      <c r="N57" s="102" t="str">
        <f>IF(_epmOfflineCondition_,"Non-Management",IF(_xll.EVDES(H57,$B$1)="#NODATA","",_xll.EVDES(H57,$B$1)))</f>
        <v>Non-Management</v>
      </c>
      <c r="O57" s="193"/>
      <c r="P57" s="193"/>
      <c r="Q57" s="193"/>
      <c r="R57" s="193"/>
      <c r="S57" s="193"/>
      <c r="T57" s="193"/>
      <c r="U57" s="193"/>
      <c r="V57" s="193"/>
      <c r="W57" s="193"/>
      <c r="X57" s="193"/>
      <c r="Y57" s="193"/>
      <c r="Z57" s="193"/>
      <c r="AA57" s="87"/>
      <c r="AB57" s="194"/>
      <c r="AC57" s="11"/>
      <c r="AD57" s="87"/>
      <c r="AE57" s="96"/>
      <c r="AF57" s="88"/>
      <c r="AG57" s="87"/>
      <c r="AH57" s="96"/>
      <c r="AI57" s="88"/>
      <c r="AJ57" s="177">
        <f t="shared" si="13"/>
        <v>0</v>
      </c>
      <c r="AK57" s="178">
        <f t="shared" si="14"/>
        <v>0</v>
      </c>
      <c r="AL57" s="179">
        <f t="shared" si="15"/>
        <v>0</v>
      </c>
      <c r="AM57" s="180">
        <f t="shared" si="16"/>
        <v>0</v>
      </c>
      <c r="AN57" s="179">
        <f t="shared" si="17"/>
        <v>0</v>
      </c>
      <c r="AO57" s="11"/>
    </row>
    <row r="58" spans="1:41" x14ac:dyDescent="0.25">
      <c r="A58" s="61" t="s">
        <v>12</v>
      </c>
      <c r="B58" s="62" t="s">
        <v>22</v>
      </c>
      <c r="C58" s="11"/>
      <c r="D58" s="11"/>
      <c r="E58" s="11"/>
      <c r="F58" s="11"/>
      <c r="G58" s="11"/>
      <c r="H58" s="84" t="s">
        <v>900</v>
      </c>
      <c r="I58" s="118" t="str">
        <f>IF(_epmOfflineCondition_,"T3",_xll.EVPRO($B$1,$H58,"STYLE"))</f>
        <v>T3</v>
      </c>
      <c r="J58" s="118" t="str">
        <f>IF(_epmOfflineCondition_,"Y",_xll.EVPRO($B$1,$H58,"CALC"))</f>
        <v>Y</v>
      </c>
      <c r="K58" s="175" t="str">
        <f t="shared" si="12"/>
        <v>&gt;</v>
      </c>
      <c r="L58" s="86" t="str">
        <f>IF(_epmOfflineCondition_,"",_xll.EVPRO($B$1,H58,"JDEID"))</f>
        <v/>
      </c>
      <c r="M58" s="86" t="str">
        <f>IF(_epmOfflineCondition_,"",IF(AND(I58="N",J58="N"),_xll.EVPRO($B$1,H58,"PSFTID"),""))</f>
        <v/>
      </c>
      <c r="N58" s="86" t="str">
        <f>IF(_epmOfflineCondition_,"Front Office",IF(_xll.EVDES(H58,$B$1)="#NODATA","",_xll.EVDES(H58,$B$1)))</f>
        <v>Front Office</v>
      </c>
      <c r="O58" s="248">
        <v>17702.75</v>
      </c>
      <c r="P58" s="248">
        <v>16076.04</v>
      </c>
      <c r="Q58" s="248">
        <v>17282.490000000002</v>
      </c>
      <c r="R58" s="248">
        <v>15358.07</v>
      </c>
      <c r="S58" s="248">
        <v>16066.84</v>
      </c>
      <c r="T58" s="248">
        <v>14877.75</v>
      </c>
      <c r="U58" s="248">
        <v>13791.4</v>
      </c>
      <c r="V58" s="248">
        <v>13849.78</v>
      </c>
      <c r="W58" s="248">
        <v>13587.06</v>
      </c>
      <c r="X58" s="248">
        <v>15720.57</v>
      </c>
      <c r="Y58" s="248">
        <v>15055.21</v>
      </c>
      <c r="Z58" s="248">
        <v>13223.41</v>
      </c>
      <c r="AA58" s="228">
        <f t="shared" ref="AA58:AA70" si="18">IF($I58="B1","",SUM(O58:Z58))</f>
        <v>182591.37</v>
      </c>
      <c r="AB58" s="249">
        <f t="shared" ref="AB58:AB70" si="19">IF(AA58=0,"",IFERROR(AA58/AA$19,""))</f>
        <v>2.8800152564110594E-2</v>
      </c>
      <c r="AC58" s="136"/>
      <c r="AD58" s="228">
        <v>284544.568571429</v>
      </c>
      <c r="AE58" s="230">
        <f t="shared" ref="AE58:AE70" si="20">IF(AD58=0,"",IFERROR(AD58/AD$19,""))</f>
        <v>3.1487575324595625E-2</v>
      </c>
      <c r="AF58" s="231">
        <f t="shared" ref="AF58:AF70" si="21">IF(AND($AA58="",AD58=""),"",$AA58-AD58)</f>
        <v>-101953.19857142901</v>
      </c>
      <c r="AG58" s="228">
        <v>171245.99</v>
      </c>
      <c r="AH58" s="230">
        <f t="shared" ref="AH58:AH70" si="22">IF(AG58=0,"",IFERROR(AG58/AG$19,""))</f>
        <v>6.4546248077706467E-2</v>
      </c>
      <c r="AI58" s="231">
        <f t="shared" ref="AI58:AI70" si="23">IF(AND($AA58="",AG58=""),"",$AA58-AG58)</f>
        <v>11345.380000000005</v>
      </c>
      <c r="AJ58" s="224">
        <f t="shared" si="13"/>
        <v>5.5529277416215557</v>
      </c>
      <c r="AK58" s="225">
        <f t="shared" si="14"/>
        <v>7.8201662334807072</v>
      </c>
      <c r="AL58" s="226">
        <f t="shared" si="15"/>
        <v>-2.2672384918591515</v>
      </c>
      <c r="AM58" s="227">
        <f t="shared" si="16"/>
        <v>11.281027009222662</v>
      </c>
      <c r="AN58" s="226">
        <f t="shared" si="17"/>
        <v>-5.728099267601106</v>
      </c>
      <c r="AO58" s="11"/>
    </row>
    <row r="59" spans="1:41" x14ac:dyDescent="0.25">
      <c r="A59" s="61" t="s">
        <v>13</v>
      </c>
      <c r="B59" s="62" t="s">
        <v>736</v>
      </c>
      <c r="C59" s="11"/>
      <c r="D59" s="11"/>
      <c r="E59" s="11"/>
      <c r="F59" s="11"/>
      <c r="G59" s="11"/>
      <c r="H59" s="84" t="s">
        <v>901</v>
      </c>
      <c r="I59" s="118" t="str">
        <f>IF(_epmOfflineCondition_,"T3",_xll.EVPRO($B$1,$H59,"STYLE"))</f>
        <v>T3</v>
      </c>
      <c r="J59" s="118" t="str">
        <f>IF(_epmOfflineCondition_,"Y",_xll.EVPRO($B$1,$H59,"CALC"))</f>
        <v>Y</v>
      </c>
      <c r="K59" s="175" t="str">
        <f t="shared" si="12"/>
        <v>&gt;</v>
      </c>
      <c r="L59" s="86" t="str">
        <f>IF(_epmOfflineCondition_,"",_xll.EVPRO($B$1,H59,"JDEID"))</f>
        <v/>
      </c>
      <c r="M59" s="86" t="str">
        <f>IF(_epmOfflineCondition_,"",IF(AND(I59="N",J59="N"),_xll.EVPRO($B$1,H59,"PSFTID"),""))</f>
        <v/>
      </c>
      <c r="N59" s="86" t="str">
        <f>IF(_epmOfflineCondition_,"Guest Services",IF(_xll.EVDES(H59,$B$1)="#NODATA","",_xll.EVDES(H59,$B$1)))</f>
        <v>Guest Services</v>
      </c>
      <c r="O59" s="248"/>
      <c r="P59" s="248"/>
      <c r="Q59" s="248"/>
      <c r="R59" s="248"/>
      <c r="S59" s="248"/>
      <c r="T59" s="248"/>
      <c r="U59" s="248">
        <v>12640.53</v>
      </c>
      <c r="V59" s="248">
        <v>2076.23</v>
      </c>
      <c r="W59" s="248">
        <v>41.07</v>
      </c>
      <c r="X59" s="248">
        <v>4182</v>
      </c>
      <c r="Y59" s="248">
        <v>2244</v>
      </c>
      <c r="Z59" s="248">
        <v>2448</v>
      </c>
      <c r="AA59" s="228">
        <f t="shared" si="18"/>
        <v>23631.83</v>
      </c>
      <c r="AB59" s="249">
        <f t="shared" si="19"/>
        <v>3.7274505874463058E-3</v>
      </c>
      <c r="AC59" s="136"/>
      <c r="AD59" s="228">
        <v>19800</v>
      </c>
      <c r="AE59" s="230">
        <f t="shared" si="20"/>
        <v>2.1910591882216448E-3</v>
      </c>
      <c r="AF59" s="231">
        <f t="shared" si="21"/>
        <v>3831.8300000000017</v>
      </c>
      <c r="AG59" s="228"/>
      <c r="AH59" s="230" t="str">
        <f t="shared" si="22"/>
        <v/>
      </c>
      <c r="AI59" s="231">
        <f t="shared" si="23"/>
        <v>23631.83</v>
      </c>
      <c r="AJ59" s="224">
        <f t="shared" si="13"/>
        <v>0.71868590718326142</v>
      </c>
      <c r="AK59" s="225">
        <f t="shared" si="14"/>
        <v>0.54416533831693503</v>
      </c>
      <c r="AL59" s="226">
        <f t="shared" si="15"/>
        <v>0.17452056886632639</v>
      </c>
      <c r="AM59" s="227">
        <f t="shared" si="16"/>
        <v>0</v>
      </c>
      <c r="AN59" s="226">
        <f t="shared" si="17"/>
        <v>0.71868590718326142</v>
      </c>
      <c r="AO59" s="11"/>
    </row>
    <row r="60" spans="1:41" x14ac:dyDescent="0.25">
      <c r="A60" s="61" t="s">
        <v>14</v>
      </c>
      <c r="B60" s="62"/>
      <c r="C60" s="11"/>
      <c r="D60" s="11"/>
      <c r="E60" s="11"/>
      <c r="F60" s="11"/>
      <c r="G60" s="11"/>
      <c r="H60" s="84" t="s">
        <v>902</v>
      </c>
      <c r="I60" s="118" t="str">
        <f>IF(_epmOfflineCondition_,"T3",_xll.EVPRO($B$1,$H60,"STYLE"))</f>
        <v>T3</v>
      </c>
      <c r="J60" s="118" t="str">
        <f>IF(_epmOfflineCondition_,"Y",_xll.EVPRO($B$1,$H60,"CALC"))</f>
        <v>Y</v>
      </c>
      <c r="K60" s="175" t="str">
        <f t="shared" si="12"/>
        <v>&gt;</v>
      </c>
      <c r="L60" s="86" t="str">
        <f>IF(_epmOfflineCondition_,"",_xll.EVPRO($B$1,H60,"JDEID"))</f>
        <v/>
      </c>
      <c r="M60" s="86" t="str">
        <f>IF(_epmOfflineCondition_,"",IF(AND(I60="N",J60="N"),_xll.EVPRO($B$1,H60,"PSFTID"),""))</f>
        <v/>
      </c>
      <c r="N60" s="86" t="str">
        <f>IF(_epmOfflineCondition_,"Housekeeping",IF(_xll.EVDES(H60,$B$1)="#NODATA","",_xll.EVDES(H60,$B$1)))</f>
        <v>Housekeeping</v>
      </c>
      <c r="O60" s="248">
        <v>36920.550000000003</v>
      </c>
      <c r="P60" s="248">
        <v>33644.75</v>
      </c>
      <c r="Q60" s="248">
        <v>36847.9</v>
      </c>
      <c r="R60" s="248">
        <v>35043.18</v>
      </c>
      <c r="S60" s="248">
        <v>33954.9</v>
      </c>
      <c r="T60" s="248">
        <v>32632.94</v>
      </c>
      <c r="U60" s="248">
        <v>19023.54</v>
      </c>
      <c r="V60" s="248">
        <v>25360.45</v>
      </c>
      <c r="W60" s="248">
        <v>17618.689999999999</v>
      </c>
      <c r="X60" s="248">
        <v>22315.1</v>
      </c>
      <c r="Y60" s="248">
        <v>24590.31</v>
      </c>
      <c r="Z60" s="248">
        <v>26042.22</v>
      </c>
      <c r="AA60" s="228">
        <f t="shared" si="18"/>
        <v>343994.53</v>
      </c>
      <c r="AB60" s="249">
        <f t="shared" si="19"/>
        <v>5.4258286934478449E-2</v>
      </c>
      <c r="AC60" s="136"/>
      <c r="AD60" s="228">
        <v>469272.81228571403</v>
      </c>
      <c r="AE60" s="230">
        <f t="shared" si="20"/>
        <v>5.1929520562688125E-2</v>
      </c>
      <c r="AF60" s="231">
        <f t="shared" si="21"/>
        <v>-125278.282285714</v>
      </c>
      <c r="AG60" s="228">
        <v>240812.99</v>
      </c>
      <c r="AH60" s="230">
        <f t="shared" si="22"/>
        <v>9.0767526835952461E-2</v>
      </c>
      <c r="AI60" s="231">
        <f t="shared" si="23"/>
        <v>103181.54000000004</v>
      </c>
      <c r="AJ60" s="224">
        <f t="shared" si="13"/>
        <v>10.4614843987592</v>
      </c>
      <c r="AK60" s="225">
        <f t="shared" si="14"/>
        <v>12.897070639413895</v>
      </c>
      <c r="AL60" s="226">
        <f t="shared" si="15"/>
        <v>-2.4355862406546951</v>
      </c>
      <c r="AM60" s="227">
        <f t="shared" si="16"/>
        <v>15.863833333333332</v>
      </c>
      <c r="AN60" s="226">
        <f t="shared" si="17"/>
        <v>-5.4023489345741318</v>
      </c>
      <c r="AO60" s="11"/>
    </row>
    <row r="61" spans="1:41" x14ac:dyDescent="0.25">
      <c r="A61" s="61" t="s">
        <v>15</v>
      </c>
      <c r="B61" s="62"/>
      <c r="C61" s="11"/>
      <c r="D61" s="11"/>
      <c r="E61" s="11"/>
      <c r="F61" s="11"/>
      <c r="G61" s="11"/>
      <c r="H61" s="84" t="s">
        <v>903</v>
      </c>
      <c r="I61" s="118" t="str">
        <f>IF(_epmOfflineCondition_,"T3",_xll.EVPRO($B$1,$H61,"STYLE"))</f>
        <v>T3</v>
      </c>
      <c r="J61" s="118" t="str">
        <f>IF(_epmOfflineCondition_,"Y",_xll.EVPRO($B$1,$H61,"CALC"))</f>
        <v>Y</v>
      </c>
      <c r="K61" s="175" t="str">
        <f t="shared" si="12"/>
        <v>&gt;</v>
      </c>
      <c r="L61" s="86" t="str">
        <f>IF(_epmOfflineCondition_,"",_xll.EVPRO($B$1,H61,"JDEID"))</f>
        <v/>
      </c>
      <c r="M61" s="86" t="str">
        <f>IF(_epmOfflineCondition_,"",IF(AND(I61="N",J61="N"),_xll.EVPRO($B$1,H61,"PSFTID"),""))</f>
        <v/>
      </c>
      <c r="N61" s="86" t="str">
        <f>IF(_epmOfflineCondition_,"Reservations",IF(_xll.EVDES(H61,$B$1)="#NODATA","",_xll.EVDES(H61,$B$1)))</f>
        <v>Reservations</v>
      </c>
      <c r="O61" s="248">
        <v>1232.8399999999999</v>
      </c>
      <c r="P61" s="248">
        <v>1050.4000000000001</v>
      </c>
      <c r="Q61" s="248">
        <v>1136.0899999999999</v>
      </c>
      <c r="R61" s="248">
        <v>1276.5899999999999</v>
      </c>
      <c r="S61" s="248">
        <v>1166.9100000000001</v>
      </c>
      <c r="T61" s="248">
        <v>958.91</v>
      </c>
      <c r="U61" s="248">
        <v>1004.63</v>
      </c>
      <c r="V61" s="248">
        <v>896.48</v>
      </c>
      <c r="W61" s="248">
        <v>1311.75</v>
      </c>
      <c r="X61" s="248">
        <v>1364.01</v>
      </c>
      <c r="Y61" s="248">
        <v>1262.6099999999999</v>
      </c>
      <c r="Z61" s="248">
        <v>1326.71</v>
      </c>
      <c r="AA61" s="228">
        <f t="shared" si="18"/>
        <v>13987.93</v>
      </c>
      <c r="AB61" s="249">
        <f t="shared" si="19"/>
        <v>2.2063174073128403E-3</v>
      </c>
      <c r="AC61" s="136"/>
      <c r="AD61" s="228">
        <v>6593.5028571431003</v>
      </c>
      <c r="AE61" s="230">
        <f t="shared" si="20"/>
        <v>7.2963409180348772E-4</v>
      </c>
      <c r="AF61" s="231">
        <f t="shared" si="21"/>
        <v>7394.4271428569</v>
      </c>
      <c r="AG61" s="228">
        <v>7833.08</v>
      </c>
      <c r="AH61" s="230">
        <f t="shared" si="22"/>
        <v>2.952454097713593E-3</v>
      </c>
      <c r="AI61" s="231">
        <f t="shared" si="23"/>
        <v>6154.85</v>
      </c>
      <c r="AJ61" s="232">
        <f t="shared" si="13"/>
        <v>0.42539778602274803</v>
      </c>
      <c r="AK61" s="233">
        <f t="shared" si="14"/>
        <v>0.18120988449247238</v>
      </c>
      <c r="AL61" s="234">
        <f t="shared" si="15"/>
        <v>0.24418790153027564</v>
      </c>
      <c r="AM61" s="235">
        <f t="shared" si="16"/>
        <v>0.51601317523056656</v>
      </c>
      <c r="AN61" s="234">
        <f t="shared" si="17"/>
        <v>-9.0615389207818531E-2</v>
      </c>
      <c r="AO61" s="11"/>
    </row>
    <row r="62" spans="1:41" x14ac:dyDescent="0.25">
      <c r="A62" s="61" t="s">
        <v>16</v>
      </c>
      <c r="B62" s="62" t="s">
        <v>78</v>
      </c>
      <c r="C62" s="11"/>
      <c r="D62" s="11"/>
      <c r="E62" s="11"/>
      <c r="F62" s="11"/>
      <c r="G62" s="11"/>
      <c r="H62" s="84" t="s">
        <v>812</v>
      </c>
      <c r="I62" s="184" t="str">
        <f>IF(_epmOfflineCondition_,"T2",_xll.EVPRO($B$1,$H62,"STYLE"))</f>
        <v>T2</v>
      </c>
      <c r="J62" s="184" t="str">
        <f>IF(_epmOfflineCondition_,"Y",_xll.EVPRO($B$1,$H62,"CALC"))</f>
        <v>Y</v>
      </c>
      <c r="K62" s="185" t="str">
        <f t="shared" si="12"/>
        <v/>
      </c>
      <c r="L62" s="186" t="str">
        <f>IF(_epmOfflineCondition_,"",_xll.EVPRO($B$1,H62,"JDEID"))</f>
        <v/>
      </c>
      <c r="M62" s="186" t="str">
        <f>IF(_epmOfflineCondition_,"",IF(AND(I62="N",J62="N"),_xll.EVPRO($B$1,H62,"PSFTID"),""))</f>
        <v/>
      </c>
      <c r="N62" s="186" t="str">
        <f>IF(_epmOfflineCondition_,"Total Salaries and Wages",IF(_xll.EVDES(H62,$B$1)="#NODATA","",_xll.EVDES(H62,$B$1)))</f>
        <v>Total Salaries and Wages</v>
      </c>
      <c r="O62" s="236">
        <v>72934.429999999993</v>
      </c>
      <c r="P62" s="236">
        <v>66930.77</v>
      </c>
      <c r="Q62" s="236">
        <v>64313.74</v>
      </c>
      <c r="R62" s="236">
        <v>65664.28</v>
      </c>
      <c r="S62" s="236">
        <v>62677.04</v>
      </c>
      <c r="T62" s="236">
        <v>63539.040000000001</v>
      </c>
      <c r="U62" s="236">
        <v>59659.9</v>
      </c>
      <c r="V62" s="236">
        <v>57464.54</v>
      </c>
      <c r="W62" s="236">
        <v>49301.86</v>
      </c>
      <c r="X62" s="236">
        <v>57885.75</v>
      </c>
      <c r="Y62" s="236">
        <v>57117.91</v>
      </c>
      <c r="Z62" s="236">
        <v>57219.83</v>
      </c>
      <c r="AA62" s="236">
        <f t="shared" si="18"/>
        <v>734709.09</v>
      </c>
      <c r="AB62" s="237">
        <f t="shared" si="19"/>
        <v>0.11588572823698547</v>
      </c>
      <c r="AC62" s="238"/>
      <c r="AD62" s="236">
        <v>996739.66231413197</v>
      </c>
      <c r="AE62" s="237">
        <f t="shared" si="20"/>
        <v>0.1102987674433494</v>
      </c>
      <c r="AF62" s="239">
        <f t="shared" si="21"/>
        <v>-262030.572314132</v>
      </c>
      <c r="AG62" s="236">
        <v>592681.27</v>
      </c>
      <c r="AH62" s="237">
        <f t="shared" si="22"/>
        <v>0.2233941494596757</v>
      </c>
      <c r="AI62" s="239">
        <f t="shared" si="23"/>
        <v>142027.81999999995</v>
      </c>
      <c r="AJ62" s="215">
        <f t="shared" si="13"/>
        <v>22.343807858402773</v>
      </c>
      <c r="AK62" s="216">
        <f t="shared" si="14"/>
        <v>27.393493715003903</v>
      </c>
      <c r="AL62" s="217">
        <f t="shared" si="15"/>
        <v>-5.0496858566011298</v>
      </c>
      <c r="AM62" s="218">
        <f t="shared" si="16"/>
        <v>39.043561923583667</v>
      </c>
      <c r="AN62" s="217">
        <f t="shared" si="17"/>
        <v>-16.699754065180894</v>
      </c>
      <c r="AO62" s="11"/>
    </row>
    <row r="63" spans="1:41" x14ac:dyDescent="0.25">
      <c r="A63" s="61" t="s">
        <v>17</v>
      </c>
      <c r="B63" s="62"/>
      <c r="C63" s="11"/>
      <c r="D63" s="11"/>
      <c r="E63" s="11"/>
      <c r="F63" s="11"/>
      <c r="G63" s="11"/>
      <c r="H63" s="84" t="s">
        <v>904</v>
      </c>
      <c r="I63" s="118" t="str">
        <f>IF(_epmOfflineCondition_,"T3",_xll.EVPRO($B$1,$H63,"STYLE"))</f>
        <v>T3</v>
      </c>
      <c r="J63" s="118" t="str">
        <f>IF(_epmOfflineCondition_,"Y",_xll.EVPRO($B$1,$H63,"CALC"))</f>
        <v>Y</v>
      </c>
      <c r="K63" s="175" t="str">
        <f t="shared" si="12"/>
        <v>&gt;</v>
      </c>
      <c r="L63" s="86" t="str">
        <f>IF(_epmOfflineCondition_,"",_xll.EVPRO($B$1,H63,"JDEID"))</f>
        <v/>
      </c>
      <c r="M63" s="86" t="str">
        <f>IF(_epmOfflineCondition_,"",IF(AND(I63="N",J63="N"),_xll.EVPRO($B$1,H63,"PSFTID"),""))</f>
        <v/>
      </c>
      <c r="N63" s="86" t="str">
        <f>IF(_epmOfflineCondition_,"Contracted &amp; Leased Labor",IF(_xll.EVDES(H63,$B$1)="#NODATA","",_xll.EVDES(H63,$B$1)))</f>
        <v>Contracted &amp; Leased Labor</v>
      </c>
      <c r="O63" s="248"/>
      <c r="P63" s="248"/>
      <c r="Q63" s="248"/>
      <c r="R63" s="248"/>
      <c r="S63" s="248"/>
      <c r="T63" s="248"/>
      <c r="U63" s="248"/>
      <c r="V63" s="248">
        <v>7479.69</v>
      </c>
      <c r="W63" s="248">
        <v>6473.62</v>
      </c>
      <c r="X63" s="248">
        <v>13904.92</v>
      </c>
      <c r="Y63" s="248">
        <v>16382.03</v>
      </c>
      <c r="Z63" s="248">
        <v>16217.76</v>
      </c>
      <c r="AA63" s="248">
        <f t="shared" si="18"/>
        <v>60458.020000000004</v>
      </c>
      <c r="AB63" s="249">
        <f t="shared" si="19"/>
        <v>9.5360487175491903E-3</v>
      </c>
      <c r="AC63" s="136"/>
      <c r="AD63" s="248"/>
      <c r="AE63" s="249" t="str">
        <f t="shared" si="20"/>
        <v/>
      </c>
      <c r="AF63" s="250">
        <f t="shared" si="21"/>
        <v>60458.020000000004</v>
      </c>
      <c r="AG63" s="248"/>
      <c r="AH63" s="249" t="str">
        <f t="shared" si="22"/>
        <v/>
      </c>
      <c r="AI63" s="250">
        <f t="shared" si="23"/>
        <v>60458.020000000004</v>
      </c>
      <c r="AJ63" s="244">
        <f t="shared" si="13"/>
        <v>1.8386357277537864</v>
      </c>
      <c r="AK63" s="245">
        <f t="shared" si="14"/>
        <v>0</v>
      </c>
      <c r="AL63" s="246">
        <f t="shared" si="15"/>
        <v>1.8386357277537864</v>
      </c>
      <c r="AM63" s="247">
        <f t="shared" si="16"/>
        <v>0</v>
      </c>
      <c r="AN63" s="246">
        <f t="shared" si="17"/>
        <v>1.8386357277537864</v>
      </c>
      <c r="AO63" s="11"/>
    </row>
    <row r="64" spans="1:41" x14ac:dyDescent="0.25">
      <c r="A64" s="11"/>
      <c r="B64" s="11"/>
      <c r="C64" s="11"/>
      <c r="D64" s="11"/>
      <c r="E64" s="11"/>
      <c r="F64" s="11"/>
      <c r="G64" s="11"/>
      <c r="H64" s="84" t="s">
        <v>813</v>
      </c>
      <c r="I64" s="118" t="str">
        <f>IF(_epmOfflineCondition_,"T3",_xll.EVPRO($B$1,$H64,"STYLE"))</f>
        <v>T3</v>
      </c>
      <c r="J64" s="118" t="str">
        <f>IF(_epmOfflineCondition_,"Y",_xll.EVPRO($B$1,$H64,"CALC"))</f>
        <v>Y</v>
      </c>
      <c r="K64" s="175" t="str">
        <f t="shared" si="12"/>
        <v>&gt;</v>
      </c>
      <c r="L64" s="86" t="str">
        <f>IF(_epmOfflineCondition_,"",_xll.EVPRO($B$1,H64,"JDEID"))</f>
        <v/>
      </c>
      <c r="M64" s="86" t="str">
        <f>IF(_epmOfflineCondition_,"",IF(AND(I64="N",J64="N"),_xll.EVPRO($B$1,H64,"PSFTID"),""))</f>
        <v/>
      </c>
      <c r="N64" s="86" t="str">
        <f>IF(_epmOfflineCondition_,"Bonuses &amp; Incentives",IF(_xll.EVDES(H64,$B$1)="#NODATA","",_xll.EVDES(H64,$B$1)))</f>
        <v>Bonuses &amp; Incentives</v>
      </c>
      <c r="O64" s="248">
        <v>2915.42</v>
      </c>
      <c r="P64" s="248">
        <v>4872.2</v>
      </c>
      <c r="Q64" s="248">
        <v>3486.26</v>
      </c>
      <c r="R64" s="248">
        <v>3734.94</v>
      </c>
      <c r="S64" s="248">
        <v>-16.9499999999999</v>
      </c>
      <c r="T64" s="248">
        <v>1751.28</v>
      </c>
      <c r="U64" s="248">
        <v>1224.01</v>
      </c>
      <c r="V64" s="248">
        <v>1131.48</v>
      </c>
      <c r="W64" s="248">
        <v>1626.9</v>
      </c>
      <c r="X64" s="248">
        <v>1514.21</v>
      </c>
      <c r="Y64" s="248">
        <v>3000.14</v>
      </c>
      <c r="Z64" s="248">
        <v>1329.11</v>
      </c>
      <c r="AA64" s="228">
        <f t="shared" si="18"/>
        <v>26569</v>
      </c>
      <c r="AB64" s="249">
        <f t="shared" si="19"/>
        <v>4.190730665287491E-3</v>
      </c>
      <c r="AC64" s="136"/>
      <c r="AD64" s="228">
        <v>18333.477138120601</v>
      </c>
      <c r="AE64" s="230">
        <f t="shared" si="20"/>
        <v>2.0287744209863943E-3</v>
      </c>
      <c r="AF64" s="231">
        <f t="shared" si="21"/>
        <v>8235.522861879399</v>
      </c>
      <c r="AG64" s="228">
        <v>17920.36</v>
      </c>
      <c r="AH64" s="230">
        <f t="shared" si="22"/>
        <v>6.7545640175387927E-3</v>
      </c>
      <c r="AI64" s="231">
        <f t="shared" si="23"/>
        <v>8648.64</v>
      </c>
      <c r="AJ64" s="232">
        <f t="shared" si="13"/>
        <v>0.80801046165075119</v>
      </c>
      <c r="AK64" s="233">
        <f t="shared" si="14"/>
        <v>0.50386074693894911</v>
      </c>
      <c r="AL64" s="234">
        <f t="shared" si="15"/>
        <v>0.30414971471180208</v>
      </c>
      <c r="AM64" s="235">
        <f t="shared" si="16"/>
        <v>1.1805243741765481</v>
      </c>
      <c r="AN64" s="234">
        <f t="shared" si="17"/>
        <v>-0.37251391252579691</v>
      </c>
      <c r="AO64" s="11"/>
    </row>
    <row r="65" spans="1:41" x14ac:dyDescent="0.25">
      <c r="A65" s="93" t="s">
        <v>92</v>
      </c>
      <c r="B65" s="94" t="s">
        <v>93</v>
      </c>
      <c r="C65" s="94" t="s">
        <v>94</v>
      </c>
      <c r="D65" s="94" t="s">
        <v>95</v>
      </c>
      <c r="E65" s="94" t="s">
        <v>96</v>
      </c>
      <c r="F65" s="95" t="s">
        <v>97</v>
      </c>
      <c r="G65" s="11"/>
      <c r="H65" s="84" t="s">
        <v>814</v>
      </c>
      <c r="I65" s="184" t="str">
        <f>IF(_epmOfflineCondition_,"T2",_xll.EVPRO($B$1,$H65,"STYLE"))</f>
        <v>T2</v>
      </c>
      <c r="J65" s="184" t="str">
        <f>IF(_epmOfflineCondition_,"Y",_xll.EVPRO($B$1,$H65,"CALC"))</f>
        <v>Y</v>
      </c>
      <c r="K65" s="185" t="str">
        <f t="shared" si="12"/>
        <v/>
      </c>
      <c r="L65" s="186" t="str">
        <f>IF(_epmOfflineCondition_,"",_xll.EVPRO($B$1,H65,"JDEID"))</f>
        <v/>
      </c>
      <c r="M65" s="186" t="str">
        <f>IF(_epmOfflineCondition_,"",IF(AND(I65="N",J65="N"),_xll.EVPRO($B$1,H65,"PSFTID"),""))</f>
        <v/>
      </c>
      <c r="N65" s="186" t="str">
        <f>IF(_epmOfflineCondition_,"Total Labor Expense",IF(_xll.EVDES(H65,$B$1)="#NODATA","",_xll.EVDES(H65,$B$1)))</f>
        <v>Total Labor Expense</v>
      </c>
      <c r="O65" s="236">
        <v>75849.850000000006</v>
      </c>
      <c r="P65" s="236">
        <v>71802.97</v>
      </c>
      <c r="Q65" s="236">
        <v>67800</v>
      </c>
      <c r="R65" s="236">
        <v>69399.22</v>
      </c>
      <c r="S65" s="236">
        <v>62660.09</v>
      </c>
      <c r="T65" s="236">
        <v>65290.32</v>
      </c>
      <c r="U65" s="236">
        <v>60883.91</v>
      </c>
      <c r="V65" s="236">
        <v>66075.710000000006</v>
      </c>
      <c r="W65" s="236">
        <v>57402.38</v>
      </c>
      <c r="X65" s="236">
        <v>73304.88</v>
      </c>
      <c r="Y65" s="236">
        <v>76500.08</v>
      </c>
      <c r="Z65" s="236">
        <v>74766.7</v>
      </c>
      <c r="AA65" s="236">
        <f t="shared" si="18"/>
        <v>821736.10999999987</v>
      </c>
      <c r="AB65" s="237">
        <f t="shared" si="19"/>
        <v>0.12961250761982213</v>
      </c>
      <c r="AC65" s="238"/>
      <c r="AD65" s="236">
        <v>1015073.13945225</v>
      </c>
      <c r="AE65" s="237">
        <f t="shared" si="20"/>
        <v>0.11232754186433551</v>
      </c>
      <c r="AF65" s="239">
        <f t="shared" si="21"/>
        <v>-193337.02945225011</v>
      </c>
      <c r="AG65" s="236">
        <v>610601.63</v>
      </c>
      <c r="AH65" s="237">
        <f t="shared" si="22"/>
        <v>0.23014871347721449</v>
      </c>
      <c r="AI65" s="239">
        <f t="shared" si="23"/>
        <v>211134.47999999986</v>
      </c>
      <c r="AJ65" s="215">
        <f t="shared" si="13"/>
        <v>24.990454047807308</v>
      </c>
      <c r="AK65" s="216">
        <f t="shared" si="14"/>
        <v>27.897354461942779</v>
      </c>
      <c r="AL65" s="217">
        <f t="shared" si="15"/>
        <v>-2.9069004141354711</v>
      </c>
      <c r="AM65" s="218">
        <f t="shared" si="16"/>
        <v>40.224086297760209</v>
      </c>
      <c r="AN65" s="217">
        <f t="shared" si="17"/>
        <v>-15.233632249952901</v>
      </c>
      <c r="AO65" s="11"/>
    </row>
    <row r="66" spans="1:41" x14ac:dyDescent="0.25">
      <c r="A66" s="11"/>
      <c r="B66" s="11"/>
      <c r="C66" s="11"/>
      <c r="D66" s="11"/>
      <c r="E66" s="11"/>
      <c r="F66" s="11"/>
      <c r="G66" s="11"/>
      <c r="H66" s="84" t="s">
        <v>815</v>
      </c>
      <c r="I66" s="118" t="str">
        <f>IF(_epmOfflineCondition_,"T3",_xll.EVPRO($B$1,$H66,"STYLE"))</f>
        <v>T3</v>
      </c>
      <c r="J66" s="118" t="str">
        <f>IF(_epmOfflineCondition_,"Y",_xll.EVPRO($B$1,$H66,"CALC"))</f>
        <v>Y</v>
      </c>
      <c r="K66" s="175" t="str">
        <f t="shared" si="12"/>
        <v>&gt;</v>
      </c>
      <c r="L66" s="86" t="str">
        <f>IF(_epmOfflineCondition_,"",_xll.EVPRO($B$1,H66,"JDEID"))</f>
        <v/>
      </c>
      <c r="M66" s="86" t="str">
        <f>IF(_epmOfflineCondition_,"",IF(AND(I66="N",J66="N"),_xll.EVPRO($B$1,H66,"PSFTID"),""))</f>
        <v/>
      </c>
      <c r="N66" s="86" t="str">
        <f>IF(_epmOfflineCondition_,"Payroll Taxes",IF(_xll.EVDES(H66,$B$1)="#NODATA","",_xll.EVDES(H66,$B$1)))</f>
        <v>Payroll Taxes</v>
      </c>
      <c r="O66" s="248">
        <v>6434.82</v>
      </c>
      <c r="P66" s="248">
        <v>5989.06</v>
      </c>
      <c r="Q66" s="248">
        <v>5624.21</v>
      </c>
      <c r="R66" s="248">
        <v>4804.01</v>
      </c>
      <c r="S66" s="248">
        <v>4476.1899999999996</v>
      </c>
      <c r="T66" s="248">
        <v>4985.07</v>
      </c>
      <c r="U66" s="248">
        <v>5044</v>
      </c>
      <c r="V66" s="248">
        <v>4008.25</v>
      </c>
      <c r="W66" s="248">
        <v>4353.3500000000004</v>
      </c>
      <c r="X66" s="248">
        <v>4228.87</v>
      </c>
      <c r="Y66" s="248">
        <v>4850.8599999999997</v>
      </c>
      <c r="Z66" s="248">
        <v>5217.63</v>
      </c>
      <c r="AA66" s="248">
        <f t="shared" si="18"/>
        <v>60016.32</v>
      </c>
      <c r="AB66" s="249">
        <f t="shared" si="19"/>
        <v>9.4663793383908679E-3</v>
      </c>
      <c r="AC66" s="136"/>
      <c r="AD66" s="248">
        <v>93880.502286503499</v>
      </c>
      <c r="AE66" s="249">
        <f t="shared" si="20"/>
        <v>1.0388774602510436E-2</v>
      </c>
      <c r="AF66" s="250">
        <f t="shared" si="21"/>
        <v>-33864.182286503499</v>
      </c>
      <c r="AG66" s="248">
        <v>50422.13</v>
      </c>
      <c r="AH66" s="249">
        <f t="shared" si="22"/>
        <v>1.9005170933266032E-2</v>
      </c>
      <c r="AI66" s="250">
        <f t="shared" si="23"/>
        <v>9594.1900000000023</v>
      </c>
      <c r="AJ66" s="244">
        <f t="shared" si="13"/>
        <v>1.8252028465421812</v>
      </c>
      <c r="AK66" s="245">
        <f t="shared" si="14"/>
        <v>2.5801270347524734</v>
      </c>
      <c r="AL66" s="246">
        <f t="shared" si="15"/>
        <v>-0.75492418821029217</v>
      </c>
      <c r="AM66" s="247">
        <f t="shared" si="16"/>
        <v>3.3216159420289855</v>
      </c>
      <c r="AN66" s="246">
        <f t="shared" si="17"/>
        <v>-1.4964130954868042</v>
      </c>
      <c r="AO66" s="11"/>
    </row>
    <row r="67" spans="1:41" x14ac:dyDescent="0.25">
      <c r="A67" s="11" t="s">
        <v>108</v>
      </c>
      <c r="B67" s="11"/>
      <c r="C67" s="100" t="s">
        <v>101</v>
      </c>
      <c r="D67" s="11" t="s">
        <v>106</v>
      </c>
      <c r="E67" s="11"/>
      <c r="F67" s="11" t="s">
        <v>98</v>
      </c>
      <c r="G67" s="72"/>
      <c r="H67" s="84" t="s">
        <v>816</v>
      </c>
      <c r="I67" s="118" t="str">
        <f>IF(_epmOfflineCondition_,"T3",_xll.EVPRO($B$1,$H67,"STYLE"))</f>
        <v>T3</v>
      </c>
      <c r="J67" s="118" t="str">
        <f>IF(_epmOfflineCondition_,"Y",_xll.EVPRO($B$1,$H67,"CALC"))</f>
        <v>Y</v>
      </c>
      <c r="K67" s="175" t="str">
        <f t="shared" si="12"/>
        <v>&gt;</v>
      </c>
      <c r="L67" s="86" t="str">
        <f>IF(_epmOfflineCondition_,"",_xll.EVPRO($B$1,H67,"JDEID"))</f>
        <v/>
      </c>
      <c r="M67" s="86" t="str">
        <f>IF(_epmOfflineCondition_,"",IF(AND(I67="N",J67="N"),_xll.EVPRO($B$1,H67,"PSFTID"),""))</f>
        <v/>
      </c>
      <c r="N67" s="86" t="str">
        <f>IF(_epmOfflineCondition_,"Supplemental Pay",IF(_xll.EVDES(H67,$B$1)="#NODATA","",_xll.EVDES(H67,$B$1)))</f>
        <v>Supplemental Pay</v>
      </c>
      <c r="O67" s="248">
        <v>6444.78</v>
      </c>
      <c r="P67" s="248">
        <v>5086.05</v>
      </c>
      <c r="Q67" s="248">
        <v>3897.46</v>
      </c>
      <c r="R67" s="248">
        <v>5637.3</v>
      </c>
      <c r="S67" s="248">
        <v>4010.96</v>
      </c>
      <c r="T67" s="248">
        <v>5022.7</v>
      </c>
      <c r="U67" s="248">
        <v>7724.53</v>
      </c>
      <c r="V67" s="248">
        <v>4934.91</v>
      </c>
      <c r="W67" s="248">
        <v>7547.44</v>
      </c>
      <c r="X67" s="248">
        <v>766.28</v>
      </c>
      <c r="Y67" s="248">
        <v>6747.41</v>
      </c>
      <c r="Z67" s="248">
        <v>2263.19</v>
      </c>
      <c r="AA67" s="228">
        <f t="shared" si="18"/>
        <v>60083.010000000009</v>
      </c>
      <c r="AB67" s="249">
        <f t="shared" si="19"/>
        <v>9.4768983578521968E-3</v>
      </c>
      <c r="AC67" s="136"/>
      <c r="AD67" s="228">
        <v>87199.363652314205</v>
      </c>
      <c r="AE67" s="230">
        <f t="shared" si="20"/>
        <v>9.6494427746203811E-3</v>
      </c>
      <c r="AF67" s="231">
        <f t="shared" si="21"/>
        <v>-27116.353652314196</v>
      </c>
      <c r="AG67" s="228">
        <v>60491.42</v>
      </c>
      <c r="AH67" s="230">
        <f t="shared" si="22"/>
        <v>2.2800500040279687E-2</v>
      </c>
      <c r="AI67" s="231">
        <f t="shared" si="23"/>
        <v>-408.40999999998894</v>
      </c>
      <c r="AJ67" s="224">
        <f t="shared" si="13"/>
        <v>1.8272310078462384</v>
      </c>
      <c r="AK67" s="225">
        <f t="shared" si="14"/>
        <v>2.3965086476203541</v>
      </c>
      <c r="AL67" s="226">
        <f t="shared" si="15"/>
        <v>-0.56927763977411572</v>
      </c>
      <c r="AM67" s="227">
        <f t="shared" si="16"/>
        <v>3.9849420289855071</v>
      </c>
      <c r="AN67" s="226">
        <f t="shared" si="17"/>
        <v>-2.1577110211392689</v>
      </c>
      <c r="AO67" s="11"/>
    </row>
    <row r="68" spans="1:41" x14ac:dyDescent="0.25">
      <c r="A68" s="11" t="s">
        <v>100</v>
      </c>
      <c r="B68" s="11"/>
      <c r="C68" s="49" t="s">
        <v>101</v>
      </c>
      <c r="D68" s="11" t="s">
        <v>106</v>
      </c>
      <c r="E68" s="11"/>
      <c r="F68" s="11" t="s">
        <v>98</v>
      </c>
      <c r="G68" s="11"/>
      <c r="H68" s="84" t="s">
        <v>817</v>
      </c>
      <c r="I68" s="118" t="str">
        <f>IF(_epmOfflineCondition_,"T3",_xll.EVPRO($B$1,$H68,"STYLE"))</f>
        <v>T3</v>
      </c>
      <c r="J68" s="118" t="str">
        <f>IF(_epmOfflineCondition_,"Y",_xll.EVPRO($B$1,$H68,"CALC"))</f>
        <v>Y</v>
      </c>
      <c r="K68" s="175" t="str">
        <f t="shared" si="12"/>
        <v>&gt;</v>
      </c>
      <c r="L68" s="86" t="str">
        <f>IF(_epmOfflineCondition_,"",_xll.EVPRO($B$1,H68,"JDEID"))</f>
        <v/>
      </c>
      <c r="M68" s="86" t="str">
        <f>IF(_epmOfflineCondition_,"",IF(AND(I68="N",J68="N"),_xll.EVPRO($B$1,H68,"PSFTID"),""))</f>
        <v/>
      </c>
      <c r="N68" s="86" t="str">
        <f>IF(_epmOfflineCondition_,"Employee Benefits",IF(_xll.EVDES(H68,$B$1)="#NODATA","",_xll.EVDES(H68,$B$1)))</f>
        <v>Employee Benefits</v>
      </c>
      <c r="O68" s="248">
        <v>-1554.23</v>
      </c>
      <c r="P68" s="248">
        <v>5696.94</v>
      </c>
      <c r="Q68" s="248">
        <v>8140.73</v>
      </c>
      <c r="R68" s="248">
        <v>2361.41</v>
      </c>
      <c r="S68" s="248">
        <v>5348.83</v>
      </c>
      <c r="T68" s="248">
        <v>5503.73</v>
      </c>
      <c r="U68" s="248">
        <v>4719.25</v>
      </c>
      <c r="V68" s="248">
        <v>3564.17</v>
      </c>
      <c r="W68" s="248">
        <v>2987.12</v>
      </c>
      <c r="X68" s="248">
        <v>2516.67</v>
      </c>
      <c r="Y68" s="248">
        <v>4037.78</v>
      </c>
      <c r="Z68" s="248">
        <v>2854.6</v>
      </c>
      <c r="AA68" s="228">
        <f t="shared" si="18"/>
        <v>46177</v>
      </c>
      <c r="AB68" s="249">
        <f t="shared" si="19"/>
        <v>7.2835021992163976E-3</v>
      </c>
      <c r="AC68" s="136"/>
      <c r="AD68" s="228">
        <v>83959.463354058898</v>
      </c>
      <c r="AE68" s="230">
        <f t="shared" si="20"/>
        <v>9.2909168494984453E-3</v>
      </c>
      <c r="AF68" s="231">
        <f t="shared" si="21"/>
        <v>-37782.463354058898</v>
      </c>
      <c r="AG68" s="228">
        <v>46558.69</v>
      </c>
      <c r="AH68" s="230">
        <f t="shared" si="22"/>
        <v>1.7548958401379395E-2</v>
      </c>
      <c r="AI68" s="231">
        <f t="shared" si="23"/>
        <v>-381.69000000000233</v>
      </c>
      <c r="AJ68" s="232">
        <f t="shared" si="13"/>
        <v>1.4043245544674898</v>
      </c>
      <c r="AK68" s="233">
        <f t="shared" si="14"/>
        <v>2.307466150554029</v>
      </c>
      <c r="AL68" s="234">
        <f t="shared" si="15"/>
        <v>-0.90314159608653921</v>
      </c>
      <c r="AM68" s="235">
        <f t="shared" si="16"/>
        <v>3.0671073781291174</v>
      </c>
      <c r="AN68" s="234">
        <f t="shared" si="17"/>
        <v>-1.6627828236616276</v>
      </c>
      <c r="AO68" s="11"/>
    </row>
    <row r="69" spans="1:41" x14ac:dyDescent="0.25">
      <c r="A69" s="11" t="s">
        <v>109</v>
      </c>
      <c r="B69" s="11"/>
      <c r="C69" s="102" t="s">
        <v>101</v>
      </c>
      <c r="D69" s="11" t="s">
        <v>106</v>
      </c>
      <c r="E69" s="11"/>
      <c r="F69" s="11" t="s">
        <v>98</v>
      </c>
      <c r="G69" s="11"/>
      <c r="H69" s="84" t="s">
        <v>818</v>
      </c>
      <c r="I69" s="184" t="str">
        <f>IF(_epmOfflineCondition_,"T2",_xll.EVPRO($B$1,$H69,"STYLE"))</f>
        <v>T2</v>
      </c>
      <c r="J69" s="184" t="str">
        <f>IF(_epmOfflineCondition_,"Y",_xll.EVPRO($B$1,$H69,"CALC"))</f>
        <v>Y</v>
      </c>
      <c r="K69" s="185" t="str">
        <f t="shared" si="12"/>
        <v/>
      </c>
      <c r="L69" s="186" t="str">
        <f>IF(_epmOfflineCondition_,"",_xll.EVPRO($B$1,H69,"JDEID"))</f>
        <v/>
      </c>
      <c r="M69" s="186" t="str">
        <f>IF(_epmOfflineCondition_,"",IF(AND(I69="N",J69="N"),_xll.EVPRO($B$1,H69,"PSFTID"),""))</f>
        <v/>
      </c>
      <c r="N69" s="186" t="str">
        <f>IF(_epmOfflineCondition_,"Total Payroll Related",IF(_xll.EVDES(H69,$B$1)="#NODATA","",_xll.EVDES(H69,$B$1)))</f>
        <v>Total Payroll Related</v>
      </c>
      <c r="O69" s="210">
        <v>11325.37</v>
      </c>
      <c r="P69" s="210">
        <v>16772.05</v>
      </c>
      <c r="Q69" s="210">
        <v>17662.400000000001</v>
      </c>
      <c r="R69" s="210">
        <v>12802.72</v>
      </c>
      <c r="S69" s="210">
        <v>13835.98</v>
      </c>
      <c r="T69" s="210">
        <v>15511.5</v>
      </c>
      <c r="U69" s="210">
        <v>17487.78</v>
      </c>
      <c r="V69" s="210">
        <v>12507.33</v>
      </c>
      <c r="W69" s="210">
        <v>14887.91</v>
      </c>
      <c r="X69" s="210">
        <v>7511.82</v>
      </c>
      <c r="Y69" s="210">
        <v>15636.05</v>
      </c>
      <c r="Z69" s="210">
        <v>10335.42</v>
      </c>
      <c r="AA69" s="210">
        <f t="shared" si="18"/>
        <v>166276.33000000002</v>
      </c>
      <c r="AB69" s="211">
        <f t="shared" si="19"/>
        <v>2.6226779895459462E-2</v>
      </c>
      <c r="AC69" s="251"/>
      <c r="AD69" s="210">
        <v>265039.329292877</v>
      </c>
      <c r="AE69" s="211">
        <f t="shared" si="20"/>
        <v>2.9329134226629305E-2</v>
      </c>
      <c r="AF69" s="252">
        <f t="shared" si="21"/>
        <v>-98762.999292876979</v>
      </c>
      <c r="AG69" s="210">
        <v>157472.24</v>
      </c>
      <c r="AH69" s="211">
        <f t="shared" si="22"/>
        <v>5.9354629374925111E-2</v>
      </c>
      <c r="AI69" s="252">
        <f t="shared" si="23"/>
        <v>8804.0900000000256</v>
      </c>
      <c r="AJ69" s="253">
        <f t="shared" si="13"/>
        <v>5.0567584088559094</v>
      </c>
      <c r="AK69" s="254">
        <f t="shared" si="14"/>
        <v>7.2841018329268676</v>
      </c>
      <c r="AL69" s="255">
        <f t="shared" si="15"/>
        <v>-2.2273434240709582</v>
      </c>
      <c r="AM69" s="256">
        <f t="shared" si="16"/>
        <v>10.373665349143609</v>
      </c>
      <c r="AN69" s="255">
        <f t="shared" si="17"/>
        <v>-5.3169069402876996</v>
      </c>
      <c r="AO69" s="11"/>
    </row>
    <row r="70" spans="1:41" x14ac:dyDescent="0.25">
      <c r="A70" s="11" t="s">
        <v>109</v>
      </c>
      <c r="B70" s="11"/>
      <c r="C70" s="192" t="s">
        <v>101</v>
      </c>
      <c r="D70" s="11" t="s">
        <v>107</v>
      </c>
      <c r="E70" s="11"/>
      <c r="F70" s="11" t="s">
        <v>99</v>
      </c>
      <c r="G70" s="11"/>
      <c r="H70" s="84" t="s">
        <v>76</v>
      </c>
      <c r="I70" s="184" t="str">
        <f>IF(_epmOfflineCondition_,"T1",_xll.EVPRO($B$1,$H70,"STYLE"))</f>
        <v>T1</v>
      </c>
      <c r="J70" s="184" t="str">
        <f>IF(_epmOfflineCondition_,"Y",_xll.EVPRO($B$1,$H70,"CALC"))</f>
        <v>Y</v>
      </c>
      <c r="K70" s="185" t="str">
        <f t="shared" si="12"/>
        <v/>
      </c>
      <c r="L70" s="186" t="str">
        <f>IF(_epmOfflineCondition_,"600000",_xll.EVPRO($B$1,H70,"JDEID"))</f>
        <v>600000</v>
      </c>
      <c r="M70" s="186" t="str">
        <f>IF(_epmOfflineCondition_,"",IF(AND(I70="N",J70="N"),_xll.EVPRO($B$1,H70,"PSFTID"),""))</f>
        <v/>
      </c>
      <c r="N70" s="186" t="str">
        <f>IF(_epmOfflineCondition_,"Total Labor &amp; Related Exp",IF(_xll.EVDES(H70,$B$1)="#NODATA","",_xll.EVDES(H70,$B$1)))</f>
        <v>Total Labor &amp; Related Exp</v>
      </c>
      <c r="O70" s="210">
        <v>87175.22</v>
      </c>
      <c r="P70" s="210">
        <v>88575.02</v>
      </c>
      <c r="Q70" s="210">
        <v>85462.399999999994</v>
      </c>
      <c r="R70" s="210">
        <v>82201.94</v>
      </c>
      <c r="S70" s="210">
        <v>76496.070000000007</v>
      </c>
      <c r="T70" s="210">
        <v>80801.820000000007</v>
      </c>
      <c r="U70" s="210">
        <v>78371.69</v>
      </c>
      <c r="V70" s="210">
        <v>78583.039999999994</v>
      </c>
      <c r="W70" s="210">
        <v>72290.289999999994</v>
      </c>
      <c r="X70" s="210">
        <v>80816.7</v>
      </c>
      <c r="Y70" s="210">
        <v>92136.13</v>
      </c>
      <c r="Z70" s="210">
        <v>85102.12</v>
      </c>
      <c r="AA70" s="210">
        <f t="shared" si="18"/>
        <v>988012.44</v>
      </c>
      <c r="AB70" s="211">
        <f t="shared" si="19"/>
        <v>0.15583928751528162</v>
      </c>
      <c r="AC70" s="251"/>
      <c r="AD70" s="210">
        <v>1280112.4687451301</v>
      </c>
      <c r="AE70" s="211">
        <f t="shared" si="20"/>
        <v>0.14165667609096516</v>
      </c>
      <c r="AF70" s="252">
        <f t="shared" si="21"/>
        <v>-292100.02874513017</v>
      </c>
      <c r="AG70" s="210">
        <v>768073.87</v>
      </c>
      <c r="AH70" s="211">
        <f t="shared" si="22"/>
        <v>0.28950334285213958</v>
      </c>
      <c r="AI70" s="252">
        <f t="shared" si="23"/>
        <v>219938.56999999995</v>
      </c>
      <c r="AJ70" s="206">
        <f t="shared" si="13"/>
        <v>30.047212456663217</v>
      </c>
      <c r="AK70" s="207">
        <f t="shared" si="14"/>
        <v>35.181456294869733</v>
      </c>
      <c r="AL70" s="208">
        <f t="shared" si="15"/>
        <v>-5.1342438382065154</v>
      </c>
      <c r="AM70" s="209">
        <f t="shared" si="16"/>
        <v>50.597751646903824</v>
      </c>
      <c r="AN70" s="208">
        <f t="shared" si="17"/>
        <v>-20.550539190240606</v>
      </c>
      <c r="AO70" s="11"/>
    </row>
    <row r="71" spans="1:41" x14ac:dyDescent="0.25">
      <c r="A71" s="11" t="s">
        <v>110</v>
      </c>
      <c r="B71" s="11"/>
      <c r="C71" s="102" t="s">
        <v>101</v>
      </c>
      <c r="D71" s="11" t="s">
        <v>106</v>
      </c>
      <c r="E71" s="11"/>
      <c r="F71" s="11" t="s">
        <v>98</v>
      </c>
      <c r="G71" s="11"/>
      <c r="H71" s="11"/>
      <c r="I71" s="55"/>
      <c r="J71" s="55"/>
      <c r="K71" s="11"/>
      <c r="L71" s="55"/>
      <c r="M71" s="55"/>
      <c r="N71" s="11"/>
      <c r="O71" s="125"/>
      <c r="P71" s="126"/>
      <c r="Q71" s="126"/>
      <c r="R71" s="126"/>
      <c r="S71" s="126"/>
      <c r="T71" s="126"/>
      <c r="U71" s="126"/>
      <c r="V71" s="126"/>
      <c r="W71" s="126"/>
      <c r="X71" s="126"/>
      <c r="Y71" s="126"/>
      <c r="Z71" s="126"/>
      <c r="AA71" s="126"/>
      <c r="AB71" s="127"/>
      <c r="AC71" s="11"/>
      <c r="AD71" s="125"/>
      <c r="AE71" s="126"/>
      <c r="AF71" s="127"/>
      <c r="AG71" s="125"/>
      <c r="AH71" s="126"/>
      <c r="AI71" s="127"/>
      <c r="AJ71" s="11"/>
      <c r="AK71" s="11"/>
      <c r="AL71" s="11"/>
      <c r="AM71" s="11"/>
      <c r="AN71" s="11"/>
      <c r="AO71" s="11"/>
    </row>
    <row r="72" spans="1:41" x14ac:dyDescent="0.25">
      <c r="A72" s="11" t="s">
        <v>110</v>
      </c>
      <c r="B72" s="11"/>
      <c r="C72" s="105" t="s">
        <v>101</v>
      </c>
      <c r="D72" s="11" t="s">
        <v>107</v>
      </c>
      <c r="E72" s="11"/>
      <c r="F72" s="11" t="s">
        <v>99</v>
      </c>
      <c r="G72" s="72"/>
      <c r="H72" s="11" t="s">
        <v>82</v>
      </c>
      <c r="I72" s="55" t="str">
        <f>IF(_epmOfflineCondition_,"B1",_xll.EVPRO($B$1,$H72,"STYLE"))</f>
        <v>B1</v>
      </c>
      <c r="J72" s="55" t="str">
        <f>IF(_epmOfflineCondition_,"Y",_xll.EVPRO($B$1,$H72,"CALC"))</f>
        <v>Y</v>
      </c>
      <c r="K72" s="11"/>
      <c r="L72" s="55"/>
      <c r="M72" s="55"/>
      <c r="N72" s="101" t="str">
        <f>IF(_epmOfflineCondition_,"Other Expenses",IF(_xll.EVDES(H72,$B$1)="#NODATA","",_xll.EVDES(H72,$B$1)))</f>
        <v>Other Expenses</v>
      </c>
      <c r="O72" s="115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7"/>
      <c r="AC72" s="11"/>
      <c r="AD72" s="115"/>
      <c r="AE72" s="116"/>
      <c r="AF72" s="117"/>
      <c r="AG72" s="115"/>
      <c r="AH72" s="116"/>
      <c r="AI72" s="117"/>
      <c r="AJ72" s="11"/>
      <c r="AK72" s="11"/>
      <c r="AL72" s="11"/>
      <c r="AM72" s="11"/>
      <c r="AN72" s="11"/>
      <c r="AO72" s="11"/>
    </row>
    <row r="73" spans="1:41" x14ac:dyDescent="0.25">
      <c r="A73" s="11"/>
      <c r="B73" s="11"/>
      <c r="C73" s="204"/>
      <c r="D73" s="11"/>
      <c r="E73" s="11"/>
      <c r="F73" s="11"/>
      <c r="G73" s="72"/>
      <c r="H73" s="84" t="s">
        <v>789</v>
      </c>
      <c r="I73" s="118" t="str">
        <f>IF(_epmOfflineCondition_,"N",_xll.EVPRO($B$1,$H73,"STYLE"))</f>
        <v>N</v>
      </c>
      <c r="J73" s="118" t="str">
        <f>IF(_epmOfflineCondition_,"N",_xll.EVPRO($B$1,$H73,"CALC"))</f>
        <v>N</v>
      </c>
      <c r="K73" s="175" t="str">
        <f t="shared" ref="K73:K97" si="24">IF(AND(I73&lt;&gt;"B1",J73="Y"),"&gt;","")</f>
        <v/>
      </c>
      <c r="L73" s="86" t="str">
        <f>IF(_epmOfflineCondition_,"701100",_xll.EVPRO($B$1,H73,"JDEID"))</f>
        <v>701100</v>
      </c>
      <c r="M73" s="86" t="str">
        <f>IF(_epmOfflineCondition_,"690015",IF(AND(I73="N",J73="N"),_xll.EVPRO($B$1,H73,"PSFTID"),""))</f>
        <v>690015</v>
      </c>
      <c r="N73" s="86" t="str">
        <f>IF(_epmOfflineCondition_,"Dues and Subscriptions",IF(_xll.EVDES(H73,$B$1)="#NODATA","",_xll.EVDES(H73,$B$1)))</f>
        <v>Dues and Subscriptions</v>
      </c>
      <c r="O73" s="134"/>
      <c r="P73" s="134"/>
      <c r="Q73" s="134"/>
      <c r="R73" s="134">
        <v>150</v>
      </c>
      <c r="S73" s="134"/>
      <c r="T73" s="134"/>
      <c r="U73" s="134"/>
      <c r="V73" s="134"/>
      <c r="W73" s="134">
        <v>-150</v>
      </c>
      <c r="X73" s="134"/>
      <c r="Y73" s="134"/>
      <c r="Z73" s="134">
        <v>200</v>
      </c>
      <c r="AA73" s="134">
        <f t="shared" ref="AA73:AA98" si="25">IF($I73="B1","",SUM(O73:Z73))</f>
        <v>200</v>
      </c>
      <c r="AB73" s="138">
        <f t="shared" ref="AB73:AB98" si="26">IF(AA73=0,"",IFERROR(AA73/AA$19,""))</f>
        <v>3.1546017277936622E-5</v>
      </c>
      <c r="AC73" s="136"/>
      <c r="AD73" s="134">
        <v>850</v>
      </c>
      <c r="AE73" s="138">
        <f t="shared" ref="AE73:AE98" si="27">IF(AD73=0,"",IFERROR(AD73/AD$19,""))</f>
        <v>9.4060621716585756E-5</v>
      </c>
      <c r="AF73" s="137">
        <f t="shared" ref="AF73:AF98" si="28">IF(AND($AA73="",AD73=""),"",$AA73-AD73)</f>
        <v>-650</v>
      </c>
      <c r="AG73" s="134">
        <v>1361.25</v>
      </c>
      <c r="AH73" s="138">
        <f t="shared" ref="AH73:AH98" si="29">IF(AG73=0,"",IFERROR(AG73/AG$19,""))</f>
        <v>5.1308401554849795E-4</v>
      </c>
      <c r="AI73" s="137">
        <f t="shared" ref="AI73:AI98" si="30">IF(AND($AA73="",AG73=""),"",$AA73-AG73)</f>
        <v>-1161.25</v>
      </c>
      <c r="AJ73" s="224">
        <f t="shared" ref="AJ73:AJ98" si="31">IFERROR(AA73/AA$20,0)</f>
        <v>6.0823550878900314E-3</v>
      </c>
      <c r="AK73" s="225">
        <f t="shared" ref="AK73:AK98" si="32">IFERROR(AD73/AD$20,0)</f>
        <v>2.3360633210575497E-2</v>
      </c>
      <c r="AL73" s="226">
        <f t="shared" ref="AL73:AL98" si="33">AJ73-AK73</f>
        <v>-1.7278278122685467E-2</v>
      </c>
      <c r="AM73" s="227">
        <f t="shared" ref="AM73:AM98" si="34">IFERROR(AG73/AG$20,0)</f>
        <v>8.9673913043478257E-2</v>
      </c>
      <c r="AN73" s="226">
        <f t="shared" ref="AN73:AN98" si="35">AJ73-AM73</f>
        <v>-8.359155795558823E-2</v>
      </c>
      <c r="AO73" s="11"/>
    </row>
    <row r="74" spans="1:41" x14ac:dyDescent="0.25">
      <c r="A74" s="11"/>
      <c r="B74" s="11"/>
      <c r="C74" s="11"/>
      <c r="D74" s="11"/>
      <c r="E74" s="11"/>
      <c r="F74" s="11"/>
      <c r="G74" s="11"/>
      <c r="H74" s="84" t="s">
        <v>790</v>
      </c>
      <c r="I74" s="118" t="str">
        <f>IF(_epmOfflineCondition_,"N",_xll.EVPRO($B$1,$H74,"STYLE"))</f>
        <v>N</v>
      </c>
      <c r="J74" s="118" t="str">
        <f>IF(_epmOfflineCondition_,"N",_xll.EVPRO($B$1,$H74,"CALC"))</f>
        <v>N</v>
      </c>
      <c r="K74" s="175" t="str">
        <f t="shared" si="24"/>
        <v/>
      </c>
      <c r="L74" s="86" t="str">
        <f>IF(_epmOfflineCondition_,"701200",_xll.EVPRO($B$1,H74,"JDEID"))</f>
        <v>701200</v>
      </c>
      <c r="M74" s="86" t="str">
        <f>IF(_epmOfflineCondition_,"690010",IF(AND(I74="N",J74="N"),_xll.EVPRO($B$1,H74,"PSFTID"),""))</f>
        <v>690010</v>
      </c>
      <c r="N74" s="86" t="str">
        <f>IF(_epmOfflineCondition_,"Postage and Overnight Delivery",IF(_xll.EVDES(H74,$B$1)="#NODATA","",_xll.EVDES(H74,$B$1)))</f>
        <v>Postage and Overnight Delivery</v>
      </c>
      <c r="O74" s="134">
        <v>79.150000000000006</v>
      </c>
      <c r="P74" s="134"/>
      <c r="Q74" s="134"/>
      <c r="R74" s="134"/>
      <c r="S74" s="134">
        <v>-79.150000000000006</v>
      </c>
      <c r="T74" s="134"/>
      <c r="U74" s="134"/>
      <c r="V74" s="134"/>
      <c r="W74" s="134"/>
      <c r="X74" s="134"/>
      <c r="Y74" s="134"/>
      <c r="Z74" s="134"/>
      <c r="AA74" s="134">
        <f t="shared" si="25"/>
        <v>0</v>
      </c>
      <c r="AB74" s="138" t="str">
        <f t="shared" si="26"/>
        <v/>
      </c>
      <c r="AC74" s="136"/>
      <c r="AD74" s="134"/>
      <c r="AE74" s="138" t="str">
        <f t="shared" si="27"/>
        <v/>
      </c>
      <c r="AF74" s="137">
        <f t="shared" si="28"/>
        <v>0</v>
      </c>
      <c r="AG74" s="134">
        <v>-0.25</v>
      </c>
      <c r="AH74" s="138">
        <f t="shared" si="29"/>
        <v>-9.4230305885858223E-8</v>
      </c>
      <c r="AI74" s="137">
        <f t="shared" si="30"/>
        <v>0.25</v>
      </c>
      <c r="AJ74" s="224">
        <f t="shared" si="31"/>
        <v>0</v>
      </c>
      <c r="AK74" s="225">
        <f t="shared" si="32"/>
        <v>0</v>
      </c>
      <c r="AL74" s="226">
        <f t="shared" si="33"/>
        <v>0</v>
      </c>
      <c r="AM74" s="227">
        <f t="shared" si="34"/>
        <v>-1.6469038208168642E-5</v>
      </c>
      <c r="AN74" s="226">
        <f t="shared" si="35"/>
        <v>1.6469038208168642E-5</v>
      </c>
      <c r="AO74" s="11"/>
    </row>
    <row r="75" spans="1:41" x14ac:dyDescent="0.25">
      <c r="A75" s="56" t="str">
        <f>IF(_epmOfflineCondition_,"Evdre:Ok",_xll.EVDRE($B$1,A78:B85))</f>
        <v>Evdre:Ok</v>
      </c>
      <c r="B75" s="11" t="s">
        <v>737</v>
      </c>
      <c r="C75" s="11"/>
      <c r="D75" s="11"/>
      <c r="E75" s="11"/>
      <c r="F75" s="11"/>
      <c r="G75" s="11"/>
      <c r="H75" s="84" t="s">
        <v>823</v>
      </c>
      <c r="I75" s="118" t="str">
        <f>IF(_epmOfflineCondition_,"N",_xll.EVPRO($B$1,$H75,"STYLE"))</f>
        <v>N</v>
      </c>
      <c r="J75" s="118" t="str">
        <f>IF(_epmOfflineCondition_,"N",_xll.EVPRO($B$1,$H75,"CALC"))</f>
        <v>N</v>
      </c>
      <c r="K75" s="175" t="str">
        <f t="shared" si="24"/>
        <v/>
      </c>
      <c r="L75" s="86" t="str">
        <f>IF(_epmOfflineCondition_,"701300",_xll.EVPRO($B$1,H75,"JDEID"))</f>
        <v>701300</v>
      </c>
      <c r="M75" s="86" t="str">
        <f>IF(_epmOfflineCondition_,"690205",IF(AND(I75="N",J75="N"),_xll.EVPRO($B$1,H75,"PSFTID"),""))</f>
        <v>690205</v>
      </c>
      <c r="N75" s="86" t="str">
        <f>IF(_epmOfflineCondition_,"Printing &amp; Stationery",IF(_xll.EVDES(H75,$B$1)="#NODATA","",_xll.EVDES(H75,$B$1)))</f>
        <v>Printing &amp; Stationery</v>
      </c>
      <c r="O75" s="134">
        <v>840.06</v>
      </c>
      <c r="P75" s="134">
        <v>535.91</v>
      </c>
      <c r="Q75" s="134">
        <v>433.6</v>
      </c>
      <c r="R75" s="134">
        <v>1666.83</v>
      </c>
      <c r="S75" s="134">
        <v>971.16</v>
      </c>
      <c r="T75" s="134">
        <v>802.42</v>
      </c>
      <c r="U75" s="134">
        <v>273.24</v>
      </c>
      <c r="V75" s="134">
        <v>516.74</v>
      </c>
      <c r="W75" s="134"/>
      <c r="X75" s="134">
        <v>2055.79</v>
      </c>
      <c r="Y75" s="134">
        <v>532.9</v>
      </c>
      <c r="Z75" s="134">
        <v>841.38</v>
      </c>
      <c r="AA75" s="134">
        <f t="shared" si="25"/>
        <v>9470.0299999999988</v>
      </c>
      <c r="AB75" s="138">
        <f t="shared" si="26"/>
        <v>1.4937086500128908E-3</v>
      </c>
      <c r="AC75" s="136"/>
      <c r="AD75" s="134">
        <v>5457.9</v>
      </c>
      <c r="AE75" s="138">
        <f t="shared" si="27"/>
        <v>6.0396878501994518E-4</v>
      </c>
      <c r="AF75" s="137">
        <f t="shared" si="28"/>
        <v>4012.1299999999992</v>
      </c>
      <c r="AG75" s="134">
        <v>8010</v>
      </c>
      <c r="AH75" s="138">
        <f t="shared" si="29"/>
        <v>3.0191390005828976E-3</v>
      </c>
      <c r="AI75" s="137">
        <f t="shared" si="30"/>
        <v>1460.0299999999988</v>
      </c>
      <c r="AJ75" s="224">
        <f t="shared" si="31"/>
        <v>0.28800042576485613</v>
      </c>
      <c r="AK75" s="225">
        <f t="shared" si="32"/>
        <v>0.15</v>
      </c>
      <c r="AL75" s="226">
        <f t="shared" si="33"/>
        <v>0.13800042576485613</v>
      </c>
      <c r="AM75" s="227">
        <f t="shared" si="34"/>
        <v>0.52766798418972327</v>
      </c>
      <c r="AN75" s="226">
        <f t="shared" si="35"/>
        <v>-0.23966755842486714</v>
      </c>
      <c r="AO75" s="11"/>
    </row>
    <row r="76" spans="1:41" x14ac:dyDescent="0.25">
      <c r="A76" s="11"/>
      <c r="B76" s="11"/>
      <c r="C76" s="11"/>
      <c r="D76" s="11"/>
      <c r="E76" s="11"/>
      <c r="F76" s="11"/>
      <c r="G76" s="11"/>
      <c r="H76" s="84" t="s">
        <v>792</v>
      </c>
      <c r="I76" s="118" t="str">
        <f>IF(_epmOfflineCondition_,"T4",_xll.EVPRO($B$1,$H76,"STYLE"))</f>
        <v>T4</v>
      </c>
      <c r="J76" s="118" t="str">
        <f>IF(_epmOfflineCondition_,"Y",_xll.EVPRO($B$1,$H76,"CALC"))</f>
        <v>Y</v>
      </c>
      <c r="K76" s="175" t="str">
        <f t="shared" si="24"/>
        <v>&gt;</v>
      </c>
      <c r="L76" s="86" t="str">
        <f>IF(_epmOfflineCondition_,"701500",_xll.EVPRO($B$1,H76,"JDEID"))</f>
        <v>701500</v>
      </c>
      <c r="M76" s="86" t="str">
        <f>IF(_epmOfflineCondition_,"",IF(AND(I76="N",J76="N"),_xll.EVPRO($B$1,H76,"PSFTID"),""))</f>
        <v/>
      </c>
      <c r="N76" s="86" t="str">
        <f>IF(_epmOfflineCondition_,"Operating Supplies",IF(_xll.EVDES(H76,$B$1)="#NODATA","",_xll.EVDES(H76,$B$1)))</f>
        <v>Operating Supplies</v>
      </c>
      <c r="O76" s="134">
        <v>2375.5500000000002</v>
      </c>
      <c r="P76" s="134">
        <v>1905.14</v>
      </c>
      <c r="Q76" s="134">
        <v>4471.96</v>
      </c>
      <c r="R76" s="134">
        <v>3945.33</v>
      </c>
      <c r="S76" s="134">
        <v>2778.08</v>
      </c>
      <c r="T76" s="134">
        <v>1877.63</v>
      </c>
      <c r="U76" s="134">
        <v>3057.34</v>
      </c>
      <c r="V76" s="134">
        <v>2226.5</v>
      </c>
      <c r="W76" s="134">
        <v>1562.79</v>
      </c>
      <c r="X76" s="134">
        <v>3489.19</v>
      </c>
      <c r="Y76" s="134">
        <v>3554.04</v>
      </c>
      <c r="Z76" s="134">
        <v>2322.67</v>
      </c>
      <c r="AA76" s="134">
        <f t="shared" si="25"/>
        <v>33566.22</v>
      </c>
      <c r="AB76" s="138">
        <f t="shared" si="26"/>
        <v>5.2944027803751102E-3</v>
      </c>
      <c r="AC76" s="136"/>
      <c r="AD76" s="134">
        <v>32683.54</v>
      </c>
      <c r="AE76" s="138">
        <f t="shared" si="27"/>
        <v>3.6167459909398816E-3</v>
      </c>
      <c r="AF76" s="137">
        <f t="shared" si="28"/>
        <v>882.68000000000029</v>
      </c>
      <c r="AG76" s="134">
        <v>20718.990000000002</v>
      </c>
      <c r="AH76" s="138">
        <f t="shared" si="29"/>
        <v>7.8094270613841511E-3</v>
      </c>
      <c r="AI76" s="137">
        <f t="shared" si="30"/>
        <v>12847.23</v>
      </c>
      <c r="AJ76" s="224">
        <f t="shared" si="31"/>
        <v>1.0208083449911807</v>
      </c>
      <c r="AK76" s="225">
        <f t="shared" si="32"/>
        <v>0.89824492936843847</v>
      </c>
      <c r="AL76" s="226">
        <f t="shared" si="33"/>
        <v>0.1225634156227422</v>
      </c>
      <c r="AM76" s="227">
        <f t="shared" si="34"/>
        <v>1.3648873517786562</v>
      </c>
      <c r="AN76" s="226">
        <f t="shared" si="35"/>
        <v>-0.34407900678747549</v>
      </c>
      <c r="AO76" s="11"/>
    </row>
    <row r="77" spans="1:41" x14ac:dyDescent="0.25">
      <c r="A77" s="57" t="s">
        <v>0</v>
      </c>
      <c r="B77" s="58" t="s">
        <v>1</v>
      </c>
      <c r="C77" s="11"/>
      <c r="D77" s="11"/>
      <c r="E77" s="11"/>
      <c r="F77" s="11"/>
      <c r="G77" s="11"/>
      <c r="H77" s="84" t="s">
        <v>824</v>
      </c>
      <c r="I77" s="118" t="str">
        <f>IF(_epmOfflineCondition_,"N",_xll.EVPRO($B$1,$H77,"STYLE"))</f>
        <v>N</v>
      </c>
      <c r="J77" s="118" t="str">
        <f>IF(_epmOfflineCondition_,"N",_xll.EVPRO($B$1,$H77,"CALC"))</f>
        <v>N</v>
      </c>
      <c r="K77" s="175" t="str">
        <f t="shared" si="24"/>
        <v/>
      </c>
      <c r="L77" s="86" t="str">
        <f>IF(_epmOfflineCondition_,"701600",_xll.EVPRO($B$1,H77,"JDEID"))</f>
        <v>701600</v>
      </c>
      <c r="M77" s="86" t="str">
        <f>IF(_epmOfflineCondition_,"590015",IF(AND(I77="N",J77="N"),_xll.EVPRO($B$1,H77,"PSFTID"),""))</f>
        <v>590015</v>
      </c>
      <c r="N77" s="86" t="str">
        <f>IF(_epmOfflineCondition_,"Cleaning Supplies",IF(_xll.EVDES(H77,$B$1)="#NODATA","",_xll.EVDES(H77,$B$1)))</f>
        <v>Cleaning Supplies</v>
      </c>
      <c r="O77" s="134">
        <v>1317.27</v>
      </c>
      <c r="P77" s="134">
        <v>1466.03</v>
      </c>
      <c r="Q77" s="134">
        <v>999.5</v>
      </c>
      <c r="R77" s="134">
        <v>1657.4</v>
      </c>
      <c r="S77" s="134">
        <v>1298.03</v>
      </c>
      <c r="T77" s="134">
        <v>973.95</v>
      </c>
      <c r="U77" s="134">
        <v>1272.56</v>
      </c>
      <c r="V77" s="134">
        <v>1369.14</v>
      </c>
      <c r="W77" s="134">
        <v>1206.1199999999999</v>
      </c>
      <c r="X77" s="134">
        <v>375.78</v>
      </c>
      <c r="Y77" s="134">
        <v>554.55999999999995</v>
      </c>
      <c r="Z77" s="134">
        <v>1055.6300000000001</v>
      </c>
      <c r="AA77" s="134">
        <f t="shared" si="25"/>
        <v>13545.970000000001</v>
      </c>
      <c r="AB77" s="138">
        <f t="shared" si="26"/>
        <v>2.1366070183320559E-3</v>
      </c>
      <c r="AC77" s="136"/>
      <c r="AD77" s="134">
        <v>12735.1</v>
      </c>
      <c r="AE77" s="138">
        <f t="shared" si="27"/>
        <v>1.4092604983798722E-3</v>
      </c>
      <c r="AF77" s="137">
        <f t="shared" si="28"/>
        <v>810.8700000000008</v>
      </c>
      <c r="AG77" s="134">
        <v>9312.4</v>
      </c>
      <c r="AH77" s="138">
        <f t="shared" si="29"/>
        <v>3.510041202125864E-3</v>
      </c>
      <c r="AI77" s="137">
        <f t="shared" si="30"/>
        <v>4233.5700000000015</v>
      </c>
      <c r="AJ77" s="224">
        <f t="shared" si="31"/>
        <v>0.41195699774952865</v>
      </c>
      <c r="AK77" s="225">
        <f t="shared" si="32"/>
        <v>0.35000000000000003</v>
      </c>
      <c r="AL77" s="226">
        <f t="shared" si="33"/>
        <v>6.1956997749528619E-2</v>
      </c>
      <c r="AM77" s="227">
        <f t="shared" si="34"/>
        <v>0.61346508563899871</v>
      </c>
      <c r="AN77" s="226">
        <f t="shared" si="35"/>
        <v>-0.20150808788947006</v>
      </c>
      <c r="AO77" s="11"/>
    </row>
    <row r="78" spans="1:41" x14ac:dyDescent="0.25">
      <c r="A78" s="61" t="s">
        <v>2</v>
      </c>
      <c r="B78" s="62" t="str">
        <f>IF(_epmOfflineCondition_,"'Rooms'!$B$2:$B$10",_xll.EVRNG($B$2:$B$10))</f>
        <v>'Rooms'!$B$2:$B$10</v>
      </c>
      <c r="C78" s="11"/>
      <c r="D78" s="11"/>
      <c r="E78" s="11"/>
      <c r="F78" s="11"/>
      <c r="G78" s="11"/>
      <c r="H78" s="84" t="s">
        <v>892</v>
      </c>
      <c r="I78" s="118" t="str">
        <f>IF(_epmOfflineCondition_,"N",_xll.EVPRO($B$1,$H78,"STYLE"))</f>
        <v>N</v>
      </c>
      <c r="J78" s="118" t="str">
        <f>IF(_epmOfflineCondition_,"N",_xll.EVPRO($B$1,$H78,"CALC"))</f>
        <v>N</v>
      </c>
      <c r="K78" s="175" t="str">
        <f t="shared" si="24"/>
        <v/>
      </c>
      <c r="L78" s="86" t="str">
        <f>IF(_epmOfflineCondition_,"701800",_xll.EVPRO($B$1,H78,"JDEID"))</f>
        <v>701800</v>
      </c>
      <c r="M78" s="86" t="str">
        <f>IF(_epmOfflineCondition_,"590020",IF(AND(I78="N",J78="N"),_xll.EVPRO($B$1,H78,"PSFTID"),""))</f>
        <v>590020</v>
      </c>
      <c r="N78" s="86" t="str">
        <f>IF(_epmOfflineCondition_,"Guest Supplies",IF(_xll.EVDES(H78,$B$1)="#NODATA","",_xll.EVDES(H78,$B$1)))</f>
        <v>Guest Supplies</v>
      </c>
      <c r="O78" s="134">
        <v>3411.48</v>
      </c>
      <c r="P78" s="134">
        <v>2467.2199999999998</v>
      </c>
      <c r="Q78" s="134">
        <v>2456.42</v>
      </c>
      <c r="R78" s="134">
        <v>4002.85</v>
      </c>
      <c r="S78" s="134">
        <v>4945.29</v>
      </c>
      <c r="T78" s="134">
        <v>3197.41</v>
      </c>
      <c r="U78" s="134">
        <v>3873.35</v>
      </c>
      <c r="V78" s="134">
        <v>4471.01</v>
      </c>
      <c r="W78" s="134">
        <v>2392.4299999999998</v>
      </c>
      <c r="X78" s="134">
        <v>2470.11</v>
      </c>
      <c r="Y78" s="134">
        <v>3897.1</v>
      </c>
      <c r="Z78" s="134">
        <v>4178.68</v>
      </c>
      <c r="AA78" s="134">
        <f t="shared" si="25"/>
        <v>41763.35</v>
      </c>
      <c r="AB78" s="138">
        <f t="shared" si="26"/>
        <v>6.5873368034225725E-3</v>
      </c>
      <c r="AC78" s="136"/>
      <c r="AD78" s="134">
        <v>43663.199999999997</v>
      </c>
      <c r="AE78" s="138">
        <f t="shared" si="27"/>
        <v>4.8317502801595615E-3</v>
      </c>
      <c r="AF78" s="137">
        <f t="shared" si="28"/>
        <v>-1899.8499999999985</v>
      </c>
      <c r="AG78" s="134">
        <v>23325.89</v>
      </c>
      <c r="AH78" s="138">
        <f t="shared" si="29"/>
        <v>8.7920229990395247E-3</v>
      </c>
      <c r="AI78" s="137">
        <f t="shared" si="30"/>
        <v>18437.46</v>
      </c>
      <c r="AJ78" s="224">
        <f t="shared" si="31"/>
        <v>1.2700976217991606</v>
      </c>
      <c r="AK78" s="225">
        <f t="shared" si="32"/>
        <v>1.2</v>
      </c>
      <c r="AL78" s="226">
        <f t="shared" si="33"/>
        <v>7.0097621799160681E-2</v>
      </c>
      <c r="AM78" s="227">
        <f t="shared" si="34"/>
        <v>1.5366198945981555</v>
      </c>
      <c r="AN78" s="226">
        <f t="shared" si="35"/>
        <v>-0.26652227279899487</v>
      </c>
      <c r="AO78" s="11"/>
    </row>
    <row r="79" spans="1:41" x14ac:dyDescent="0.25">
      <c r="A79" s="61" t="s">
        <v>3</v>
      </c>
      <c r="B79" s="62" t="str">
        <f>IF(_epmOfflineCondition_,"'Rooms'!$O$16:$AN$18",_xll.EVRNG($O$16:$AN$18))</f>
        <v>'Rooms'!$O$16:$AN$18</v>
      </c>
      <c r="C79" s="11"/>
      <c r="D79" s="11"/>
      <c r="E79" s="11"/>
      <c r="F79" s="11"/>
      <c r="G79" s="11"/>
      <c r="H79" s="84" t="s">
        <v>793</v>
      </c>
      <c r="I79" s="118" t="str">
        <f>IF(_epmOfflineCondition_,"N",_xll.EVPRO($B$1,$H79,"STYLE"))</f>
        <v>N</v>
      </c>
      <c r="J79" s="118" t="str">
        <f>IF(_epmOfflineCondition_,"N",_xll.EVPRO($B$1,$H79,"CALC"))</f>
        <v>N</v>
      </c>
      <c r="K79" s="175" t="str">
        <f t="shared" si="24"/>
        <v/>
      </c>
      <c r="L79" s="86" t="str">
        <f>IF(_epmOfflineCondition_,"702300",_xll.EVPRO($B$1,H79,"JDEID"))</f>
        <v>702300</v>
      </c>
      <c r="M79" s="86" t="str">
        <f>IF(_epmOfflineCondition_,"590040",IF(AND(I79="N",J79="N"),_xll.EVPRO($B$1,H79,"PSFTID"),""))</f>
        <v>590040</v>
      </c>
      <c r="N79" s="86" t="str">
        <f>IF(_epmOfflineCondition_,"Decorations",IF(_xll.EVDES(H79,$B$1)="#NODATA","",_xll.EVDES(H79,$B$1)))</f>
        <v>Decorations</v>
      </c>
      <c r="O79" s="134">
        <v>80</v>
      </c>
      <c r="P79" s="134">
        <v>198.74</v>
      </c>
      <c r="Q79" s="134">
        <v>0.1</v>
      </c>
      <c r="R79" s="134">
        <v>219.25</v>
      </c>
      <c r="S79" s="134">
        <v>63.13</v>
      </c>
      <c r="T79" s="134">
        <v>149.72999999999999</v>
      </c>
      <c r="U79" s="134">
        <v>181.9</v>
      </c>
      <c r="V79" s="134">
        <v>181.9</v>
      </c>
      <c r="W79" s="134">
        <v>195.89</v>
      </c>
      <c r="X79" s="134">
        <v>305.2</v>
      </c>
      <c r="Y79" s="134">
        <v>197.94</v>
      </c>
      <c r="Z79" s="134">
        <v>1830.91</v>
      </c>
      <c r="AA79" s="134">
        <f t="shared" si="25"/>
        <v>3604.69</v>
      </c>
      <c r="AB79" s="138">
        <f t="shared" si="26"/>
        <v>5.6856806510802692E-4</v>
      </c>
      <c r="AC79" s="136"/>
      <c r="AD79" s="134">
        <v>17560</v>
      </c>
      <c r="AE79" s="138">
        <f t="shared" si="27"/>
        <v>1.943181785109701E-3</v>
      </c>
      <c r="AF79" s="137">
        <f t="shared" si="28"/>
        <v>-13955.31</v>
      </c>
      <c r="AG79" s="134">
        <v>10884.98</v>
      </c>
      <c r="AH79" s="138">
        <f t="shared" si="29"/>
        <v>4.1027799798457956E-3</v>
      </c>
      <c r="AI79" s="137">
        <f t="shared" si="30"/>
        <v>-7280.2899999999991</v>
      </c>
      <c r="AJ79" s="224">
        <f t="shared" si="31"/>
        <v>0.10962502280883159</v>
      </c>
      <c r="AK79" s="225">
        <f t="shared" si="32"/>
        <v>0.48260319903259496</v>
      </c>
      <c r="AL79" s="226">
        <f t="shared" si="33"/>
        <v>-0.37297817622376339</v>
      </c>
      <c r="AM79" s="227">
        <f t="shared" si="34"/>
        <v>0.71706060606060606</v>
      </c>
      <c r="AN79" s="226">
        <f t="shared" si="35"/>
        <v>-0.60743558325177449</v>
      </c>
      <c r="AO79" s="11"/>
    </row>
    <row r="80" spans="1:41" x14ac:dyDescent="0.25">
      <c r="A80" s="61" t="s">
        <v>4</v>
      </c>
      <c r="B80" s="62" t="str">
        <f>IF(_epmOfflineCondition_,"'Rooms'!$H$98:$H$101",_xll.EVRNG(H98:H101))</f>
        <v>'Rooms'!$H$98:$H$101</v>
      </c>
      <c r="C80" s="11"/>
      <c r="D80" s="11"/>
      <c r="E80" s="11"/>
      <c r="F80" s="11"/>
      <c r="G80" s="11"/>
      <c r="H80" s="84" t="s">
        <v>893</v>
      </c>
      <c r="I80" s="118" t="str">
        <f>IF(_epmOfflineCondition_,"T4",_xll.EVPRO($B$1,$H80,"STYLE"))</f>
        <v>T4</v>
      </c>
      <c r="J80" s="118" t="str">
        <f>IF(_epmOfflineCondition_,"Y",_xll.EVPRO($B$1,$H80,"CALC"))</f>
        <v>Y</v>
      </c>
      <c r="K80" s="175" t="str">
        <f t="shared" si="24"/>
        <v>&gt;</v>
      </c>
      <c r="L80" s="86" t="str">
        <f>IF(_epmOfflineCondition_,"702500",_xll.EVPRO($B$1,H80,"JDEID"))</f>
        <v>702500</v>
      </c>
      <c r="M80" s="86" t="str">
        <f>IF(_epmOfflineCondition_,"",IF(AND(I80="N",J80="N"),_xll.EVPRO($B$1,H80,"PSFTID"),""))</f>
        <v/>
      </c>
      <c r="N80" s="86" t="str">
        <f>IF(_epmOfflineCondition_,"Laundry &amp; Dry Cleaning",IF(_xll.EVDES(H80,$B$1)="#NODATA","",_xll.EVDES(H80,$B$1)))</f>
        <v>Laundry &amp; Dry Cleaning</v>
      </c>
      <c r="O80" s="134">
        <v>14530.63</v>
      </c>
      <c r="P80" s="134">
        <v>13023.6</v>
      </c>
      <c r="Q80" s="134">
        <v>15176.27</v>
      </c>
      <c r="R80" s="134">
        <v>14279.3</v>
      </c>
      <c r="S80" s="134">
        <v>13861.15</v>
      </c>
      <c r="T80" s="134">
        <v>11316.5</v>
      </c>
      <c r="U80" s="134">
        <v>12839.48</v>
      </c>
      <c r="V80" s="134">
        <v>14043.55</v>
      </c>
      <c r="W80" s="134">
        <v>10738.14</v>
      </c>
      <c r="X80" s="134">
        <v>12218.3</v>
      </c>
      <c r="Y80" s="134">
        <v>12363.95</v>
      </c>
      <c r="Z80" s="134">
        <v>14873.12</v>
      </c>
      <c r="AA80" s="134">
        <f t="shared" si="25"/>
        <v>159263.99</v>
      </c>
      <c r="AB80" s="138">
        <f t="shared" si="26"/>
        <v>2.5120722901465629E-2</v>
      </c>
      <c r="AC80" s="136"/>
      <c r="AD80" s="134">
        <v>164464.72</v>
      </c>
      <c r="AE80" s="138">
        <f t="shared" si="27"/>
        <v>1.819959272193435E-2</v>
      </c>
      <c r="AF80" s="137">
        <f t="shared" si="28"/>
        <v>-5200.7300000000105</v>
      </c>
      <c r="AG80" s="134">
        <v>87676.19</v>
      </c>
      <c r="AH80" s="138">
        <f t="shared" si="29"/>
        <v>3.3047016810426495E-2</v>
      </c>
      <c r="AI80" s="137">
        <f t="shared" si="30"/>
        <v>71587.799999999988</v>
      </c>
      <c r="AJ80" s="224">
        <f t="shared" si="31"/>
        <v>4.8435006994708347</v>
      </c>
      <c r="AK80" s="225">
        <f t="shared" si="32"/>
        <v>4.5200000000000005</v>
      </c>
      <c r="AL80" s="226">
        <f t="shared" si="33"/>
        <v>0.32350069947083426</v>
      </c>
      <c r="AM80" s="227">
        <f t="shared" si="34"/>
        <v>5.7757700922266144</v>
      </c>
      <c r="AN80" s="226">
        <f t="shared" si="35"/>
        <v>-0.93226939275577969</v>
      </c>
      <c r="AO80" s="11"/>
    </row>
    <row r="81" spans="1:41" x14ac:dyDescent="0.25">
      <c r="A81" s="61" t="s">
        <v>5</v>
      </c>
      <c r="B81" s="62"/>
      <c r="C81" s="11"/>
      <c r="D81" s="11"/>
      <c r="E81" s="11"/>
      <c r="F81" s="11"/>
      <c r="G81" s="11"/>
      <c r="H81" s="84" t="s">
        <v>794</v>
      </c>
      <c r="I81" s="118" t="str">
        <f>IF(_epmOfflineCondition_,"T4",_xll.EVPRO($B$1,$H81,"STYLE"))</f>
        <v>T4</v>
      </c>
      <c r="J81" s="118" t="str">
        <f>IF(_epmOfflineCondition_,"Y",_xll.EVPRO($B$1,$H81,"CALC"))</f>
        <v>Y</v>
      </c>
      <c r="K81" s="175" t="str">
        <f t="shared" si="24"/>
        <v>&gt;</v>
      </c>
      <c r="L81" s="86" t="str">
        <f>IF(_epmOfflineCondition_,"",_xll.EVPRO($B$1,H81,"JDEID"))</f>
        <v/>
      </c>
      <c r="M81" s="86" t="str">
        <f>IF(_epmOfflineCondition_,"",IF(AND(I81="N",J81="N"),_xll.EVPRO($B$1,H81,"PSFTID"),""))</f>
        <v/>
      </c>
      <c r="N81" s="86" t="str">
        <f>IF(_epmOfflineCondition_,"Contract Services",IF(_xll.EVDES(H81,$B$1)="#NODATA","",_xll.EVDES(H81,$B$1)))</f>
        <v>Contract Services</v>
      </c>
      <c r="O81" s="134">
        <v>6284.85</v>
      </c>
      <c r="P81" s="134">
        <v>1466.4</v>
      </c>
      <c r="Q81" s="134">
        <v>10534</v>
      </c>
      <c r="R81" s="134">
        <v>5641.4</v>
      </c>
      <c r="S81" s="134">
        <v>4208.25</v>
      </c>
      <c r="T81" s="134">
        <v>7824.26</v>
      </c>
      <c r="U81" s="134">
        <v>5266.4</v>
      </c>
      <c r="V81" s="134">
        <v>3679.45</v>
      </c>
      <c r="W81" s="134">
        <v>718.67</v>
      </c>
      <c r="X81" s="134">
        <v>2441.4</v>
      </c>
      <c r="Y81" s="134">
        <v>2841.39</v>
      </c>
      <c r="Z81" s="134">
        <v>3834.65</v>
      </c>
      <c r="AA81" s="134">
        <f t="shared" si="25"/>
        <v>54741.120000000003</v>
      </c>
      <c r="AB81" s="138">
        <f t="shared" si="26"/>
        <v>8.6343215866680114E-3</v>
      </c>
      <c r="AC81" s="136"/>
      <c r="AD81" s="134">
        <v>69300</v>
      </c>
      <c r="AE81" s="138">
        <f t="shared" si="27"/>
        <v>7.6687071587757567E-3</v>
      </c>
      <c r="AF81" s="137">
        <f t="shared" si="28"/>
        <v>-14558.879999999997</v>
      </c>
      <c r="AG81" s="134">
        <v>39611.75</v>
      </c>
      <c r="AH81" s="138">
        <f t="shared" si="29"/>
        <v>1.4930509276696577E-2</v>
      </c>
      <c r="AI81" s="137">
        <f t="shared" si="30"/>
        <v>15129.370000000003</v>
      </c>
      <c r="AJ81" s="224">
        <f t="shared" si="31"/>
        <v>1.6647746487439938</v>
      </c>
      <c r="AK81" s="225">
        <f t="shared" si="32"/>
        <v>1.9045786841092729</v>
      </c>
      <c r="AL81" s="226">
        <f t="shared" si="33"/>
        <v>-0.23980403536527906</v>
      </c>
      <c r="AM81" s="227">
        <f t="shared" si="34"/>
        <v>2.6094696969696969</v>
      </c>
      <c r="AN81" s="226">
        <f t="shared" si="35"/>
        <v>-0.94469504822570305</v>
      </c>
      <c r="AO81" s="11"/>
    </row>
    <row r="82" spans="1:41" x14ac:dyDescent="0.25">
      <c r="A82" s="61" t="s">
        <v>6</v>
      </c>
      <c r="B82" s="62"/>
      <c r="C82" s="11"/>
      <c r="D82" s="11"/>
      <c r="E82" s="11"/>
      <c r="F82" s="11"/>
      <c r="G82" s="11"/>
      <c r="H82" s="84" t="s">
        <v>795</v>
      </c>
      <c r="I82" s="118" t="str">
        <f>IF(_epmOfflineCondition_,"T4",_xll.EVPRO($B$1,$H82,"STYLE"))</f>
        <v>T4</v>
      </c>
      <c r="J82" s="118" t="str">
        <f>IF(_epmOfflineCondition_,"Y",_xll.EVPRO($B$1,$H82,"CALC"))</f>
        <v>Y</v>
      </c>
      <c r="K82" s="175" t="str">
        <f t="shared" si="24"/>
        <v>&gt;</v>
      </c>
      <c r="L82" s="86" t="str">
        <f>IF(_epmOfflineCondition_,"",_xll.EVPRO($B$1,H82,"JDEID"))</f>
        <v/>
      </c>
      <c r="M82" s="86" t="str">
        <f>IF(_epmOfflineCondition_,"",IF(AND(I82="N",J82="N"),_xll.EVPRO($B$1,H82,"PSFTID"),""))</f>
        <v/>
      </c>
      <c r="N82" s="86" t="str">
        <f>IF(_epmOfflineCondition_,"Travel - Other",IF(_xll.EVDES(H82,$B$1)="#NODATA","",_xll.EVDES(H82,$B$1)))</f>
        <v>Travel - Other</v>
      </c>
      <c r="O82" s="134">
        <v>60.86</v>
      </c>
      <c r="P82" s="134">
        <v>23.13</v>
      </c>
      <c r="Q82" s="134">
        <v>22.66</v>
      </c>
      <c r="R82" s="134">
        <v>93.89</v>
      </c>
      <c r="S82" s="134">
        <v>137.96</v>
      </c>
      <c r="T82" s="134">
        <v>124.57</v>
      </c>
      <c r="U82" s="134">
        <v>111.74</v>
      </c>
      <c r="V82" s="134">
        <v>197.51</v>
      </c>
      <c r="W82" s="134">
        <v>24.02</v>
      </c>
      <c r="X82" s="134">
        <v>22.2</v>
      </c>
      <c r="Y82" s="134">
        <v>459.32</v>
      </c>
      <c r="Z82" s="134">
        <v>17.07</v>
      </c>
      <c r="AA82" s="134">
        <f t="shared" si="25"/>
        <v>1294.9299999999998</v>
      </c>
      <c r="AB82" s="138">
        <f t="shared" si="26"/>
        <v>2.0424942076859235E-4</v>
      </c>
      <c r="AC82" s="136"/>
      <c r="AD82" s="134">
        <v>400</v>
      </c>
      <c r="AE82" s="138">
        <f t="shared" si="27"/>
        <v>4.4263821984275648E-5</v>
      </c>
      <c r="AF82" s="137">
        <f t="shared" si="28"/>
        <v>894.92999999999984</v>
      </c>
      <c r="AG82" s="134">
        <v>1907.41</v>
      </c>
      <c r="AH82" s="138">
        <f t="shared" si="29"/>
        <v>7.1894331099897938E-4</v>
      </c>
      <c r="AI82" s="137">
        <f t="shared" si="30"/>
        <v>-612.48000000000025</v>
      </c>
      <c r="AJ82" s="224">
        <f t="shared" si="31"/>
        <v>3.9381120369807184E-2</v>
      </c>
      <c r="AK82" s="225">
        <f t="shared" si="32"/>
        <v>1.099323915791788E-2</v>
      </c>
      <c r="AL82" s="226">
        <f t="shared" si="33"/>
        <v>2.8387881211889301E-2</v>
      </c>
      <c r="AM82" s="227">
        <f t="shared" si="34"/>
        <v>0.12565283267457181</v>
      </c>
      <c r="AN82" s="226">
        <f t="shared" si="35"/>
        <v>-8.6271712304764631E-2</v>
      </c>
      <c r="AO82" s="11"/>
    </row>
    <row r="83" spans="1:41" x14ac:dyDescent="0.25">
      <c r="A83" s="61" t="s">
        <v>7</v>
      </c>
      <c r="B83" s="62"/>
      <c r="C83" s="11"/>
      <c r="D83" s="11"/>
      <c r="E83" s="11"/>
      <c r="F83" s="11"/>
      <c r="G83" s="11"/>
      <c r="H83" s="84" t="s">
        <v>796</v>
      </c>
      <c r="I83" s="118" t="str">
        <f>IF(_epmOfflineCondition_,"T4",_xll.EVPRO($B$1,$H83,"STYLE"))</f>
        <v>T4</v>
      </c>
      <c r="J83" s="118" t="str">
        <f>IF(_epmOfflineCondition_,"Y",_xll.EVPRO($B$1,$H83,"CALC"))</f>
        <v>Y</v>
      </c>
      <c r="K83" s="175" t="str">
        <f t="shared" si="24"/>
        <v>&gt;</v>
      </c>
      <c r="L83" s="86" t="str">
        <f>IF(_epmOfflineCondition_,"702900",_xll.EVPRO($B$1,H83,"JDEID"))</f>
        <v>702900</v>
      </c>
      <c r="M83" s="86" t="str">
        <f>IF(_epmOfflineCondition_,"",IF(AND(I83="N",J83="N"),_xll.EVPRO($B$1,H83,"PSFTID"),""))</f>
        <v/>
      </c>
      <c r="N83" s="86" t="str">
        <f>IF(_epmOfflineCondition_,"Travel - Meals &amp; Entertainment",IF(_xll.EVDES(H83,$B$1)="#NODATA","",_xll.EVDES(H83,$B$1)))</f>
        <v>Travel - Meals &amp; Entertainment</v>
      </c>
      <c r="O83" s="134">
        <v>2.14</v>
      </c>
      <c r="P83" s="134">
        <v>131.94999999999999</v>
      </c>
      <c r="Q83" s="134">
        <v>12.22</v>
      </c>
      <c r="R83" s="134">
        <v>42.44</v>
      </c>
      <c r="S83" s="134">
        <v>100.79</v>
      </c>
      <c r="T83" s="134">
        <v>63.73</v>
      </c>
      <c r="U83" s="134">
        <v>36.22</v>
      </c>
      <c r="V83" s="134">
        <v>189.53</v>
      </c>
      <c r="W83" s="134">
        <v>68.56</v>
      </c>
      <c r="X83" s="134">
        <v>52.65</v>
      </c>
      <c r="Y83" s="134">
        <v>26.74</v>
      </c>
      <c r="Z83" s="134">
        <v>22.73</v>
      </c>
      <c r="AA83" s="134">
        <f t="shared" si="25"/>
        <v>749.69999999999993</v>
      </c>
      <c r="AB83" s="138">
        <f t="shared" si="26"/>
        <v>1.1825024576634543E-4</v>
      </c>
      <c r="AC83" s="136"/>
      <c r="AD83" s="134">
        <v>247</v>
      </c>
      <c r="AE83" s="138">
        <f t="shared" si="27"/>
        <v>2.7332910075290215E-5</v>
      </c>
      <c r="AF83" s="137">
        <f t="shared" si="28"/>
        <v>502.69999999999993</v>
      </c>
      <c r="AG83" s="134">
        <v>1609.49</v>
      </c>
      <c r="AH83" s="138">
        <f t="shared" si="29"/>
        <v>6.0665094008091982E-4</v>
      </c>
      <c r="AI83" s="137">
        <f t="shared" si="30"/>
        <v>-859.79000000000008</v>
      </c>
      <c r="AJ83" s="224">
        <f t="shared" si="31"/>
        <v>2.2799708046955778E-2</v>
      </c>
      <c r="AK83" s="225">
        <f t="shared" si="32"/>
        <v>6.7883251800142912E-3</v>
      </c>
      <c r="AL83" s="226">
        <f t="shared" si="33"/>
        <v>1.6011382866941488E-2</v>
      </c>
      <c r="AM83" s="227">
        <f t="shared" si="34"/>
        <v>0.10602700922266139</v>
      </c>
      <c r="AN83" s="226">
        <f t="shared" si="35"/>
        <v>-8.322730117570562E-2</v>
      </c>
      <c r="AO83" s="11"/>
    </row>
    <row r="84" spans="1:41" x14ac:dyDescent="0.25">
      <c r="A84" s="61" t="s">
        <v>47</v>
      </c>
      <c r="B84" s="62" t="str">
        <f>IF(_epmOfflineCondition_,"'Rooms'!$A$89:$B$110",_xll.EVRNG($A$89:$B$110))</f>
        <v>'Rooms'!$A$89:$B$110</v>
      </c>
      <c r="C84" s="11"/>
      <c r="D84" s="11"/>
      <c r="E84" s="11"/>
      <c r="F84" s="11"/>
      <c r="G84" s="11"/>
      <c r="H84" s="84" t="s">
        <v>894</v>
      </c>
      <c r="I84" s="118" t="str">
        <f>IF(_epmOfflineCondition_,"N",_xll.EVPRO($B$1,$H84,"STYLE"))</f>
        <v>N</v>
      </c>
      <c r="J84" s="118" t="str">
        <f>IF(_epmOfflineCondition_,"N",_xll.EVPRO($B$1,$H84,"CALC"))</f>
        <v>N</v>
      </c>
      <c r="K84" s="175" t="str">
        <f t="shared" si="24"/>
        <v/>
      </c>
      <c r="L84" s="86" t="str">
        <f>IF(_epmOfflineCondition_,"703010",_xll.EVPRO($B$1,H84,"JDEID"))</f>
        <v>703010</v>
      </c>
      <c r="M84" s="86" t="str">
        <f>IF(_epmOfflineCondition_,"590021",IF(AND(I84="N",J84="N"),_xll.EVPRO($B$1,H84,"PSFTID"),""))</f>
        <v>590021</v>
      </c>
      <c r="N84" s="86" t="str">
        <f>IF(_epmOfflineCondition_,"Complimentary Food &amp; Beverage",IF(_xll.EVDES(H84,$B$1)="#NODATA","",_xll.EVDES(H84,$B$1)))</f>
        <v>Complimentary Food &amp; Beverage</v>
      </c>
      <c r="O84" s="134">
        <v>5297.71</v>
      </c>
      <c r="P84" s="134">
        <v>6116.7</v>
      </c>
      <c r="Q84" s="134">
        <v>5877.69</v>
      </c>
      <c r="R84" s="134">
        <v>5219.6000000000004</v>
      </c>
      <c r="S84" s="134">
        <v>5763.22</v>
      </c>
      <c r="T84" s="134">
        <v>5604.1</v>
      </c>
      <c r="U84" s="134">
        <v>2720.09</v>
      </c>
      <c r="V84" s="134">
        <v>6097.52</v>
      </c>
      <c r="W84" s="134">
        <v>4559.29</v>
      </c>
      <c r="X84" s="134">
        <v>2807.86</v>
      </c>
      <c r="Y84" s="134">
        <v>4489.25</v>
      </c>
      <c r="Z84" s="134">
        <v>5721.25</v>
      </c>
      <c r="AA84" s="134">
        <f t="shared" si="25"/>
        <v>60274.280000000006</v>
      </c>
      <c r="AB84" s="138">
        <f t="shared" si="26"/>
        <v>9.5070673914759516E-3</v>
      </c>
      <c r="AC84" s="136"/>
      <c r="AD84" s="134">
        <v>54942.86</v>
      </c>
      <c r="AE84" s="138">
        <f t="shared" si="27"/>
        <v>6.0799524358674485E-3</v>
      </c>
      <c r="AF84" s="137">
        <f t="shared" si="28"/>
        <v>5331.4200000000055</v>
      </c>
      <c r="AG84" s="134">
        <v>31049.64</v>
      </c>
      <c r="AH84" s="138">
        <f t="shared" si="29"/>
        <v>1.1703268299383115E-2</v>
      </c>
      <c r="AI84" s="137">
        <f t="shared" si="30"/>
        <v>29224.640000000007</v>
      </c>
      <c r="AJ84" s="224">
        <f t="shared" si="31"/>
        <v>1.8330478681345419</v>
      </c>
      <c r="AK84" s="225">
        <f t="shared" si="32"/>
        <v>1.51</v>
      </c>
      <c r="AL84" s="226">
        <f t="shared" si="33"/>
        <v>0.32304786813454189</v>
      </c>
      <c r="AM84" s="227">
        <f t="shared" si="34"/>
        <v>2.0454308300395256</v>
      </c>
      <c r="AN84" s="226">
        <f t="shared" si="35"/>
        <v>-0.21238296190498374</v>
      </c>
      <c r="AO84" s="11"/>
    </row>
    <row r="85" spans="1:41" x14ac:dyDescent="0.25">
      <c r="A85" s="61" t="s">
        <v>8</v>
      </c>
      <c r="B85" s="62"/>
      <c r="C85" s="11"/>
      <c r="D85" s="11"/>
      <c r="E85" s="11"/>
      <c r="F85" s="11"/>
      <c r="G85" s="11"/>
      <c r="H85" s="84" t="s">
        <v>797</v>
      </c>
      <c r="I85" s="118" t="str">
        <f>IF(_epmOfflineCondition_,"T4",_xll.EVPRO($B$1,$H85,"STYLE"))</f>
        <v>T4</v>
      </c>
      <c r="J85" s="118" t="str">
        <f>IF(_epmOfflineCondition_,"Y",_xll.EVPRO($B$1,$H85,"CALC"))</f>
        <v>Y</v>
      </c>
      <c r="K85" s="175" t="str">
        <f t="shared" si="24"/>
        <v>&gt;</v>
      </c>
      <c r="L85" s="86" t="str">
        <f>IF(_epmOfflineCondition_,"703000",_xll.EVPRO($B$1,H85,"JDEID"))</f>
        <v>703000</v>
      </c>
      <c r="M85" s="86" t="str">
        <f>IF(_epmOfflineCondition_,"",IF(AND(I85="N",J85="N"),_xll.EVPRO($B$1,H85,"PSFTID"),""))</f>
        <v/>
      </c>
      <c r="N85" s="86" t="str">
        <f>IF(_epmOfflineCondition_,"Complimentary Services &amp; Gifts",IF(_xll.EVDES(H85,$B$1)="#NODATA","",_xll.EVDES(H85,$B$1)))</f>
        <v>Complimentary Services &amp; Gifts</v>
      </c>
      <c r="O85" s="134">
        <v>4731.6000000000004</v>
      </c>
      <c r="P85" s="134">
        <v>2665.38</v>
      </c>
      <c r="Q85" s="134">
        <v>4135.8100000000004</v>
      </c>
      <c r="R85" s="134">
        <v>6812.14</v>
      </c>
      <c r="S85" s="134">
        <v>4645.99</v>
      </c>
      <c r="T85" s="134">
        <v>3802.09</v>
      </c>
      <c r="U85" s="134">
        <v>2505.85</v>
      </c>
      <c r="V85" s="134">
        <v>2566.4699999999998</v>
      </c>
      <c r="W85" s="134">
        <v>4073.28</v>
      </c>
      <c r="X85" s="134">
        <v>6182.45</v>
      </c>
      <c r="Y85" s="134">
        <v>3402.25</v>
      </c>
      <c r="Z85" s="134">
        <v>5336.41</v>
      </c>
      <c r="AA85" s="134">
        <f t="shared" si="25"/>
        <v>50859.72</v>
      </c>
      <c r="AB85" s="138">
        <f t="shared" si="26"/>
        <v>8.0221080293550948E-3</v>
      </c>
      <c r="AC85" s="136"/>
      <c r="AD85" s="134">
        <v>46865.167999999998</v>
      </c>
      <c r="AE85" s="138">
        <f t="shared" si="27"/>
        <v>5.1860786340379291E-3</v>
      </c>
      <c r="AF85" s="137">
        <f t="shared" si="28"/>
        <v>3994.5520000000033</v>
      </c>
      <c r="AG85" s="134">
        <v>28990.43</v>
      </c>
      <c r="AH85" s="138">
        <f t="shared" si="29"/>
        <v>1.0927108346650243E-2</v>
      </c>
      <c r="AI85" s="137">
        <f t="shared" si="30"/>
        <v>21869.29</v>
      </c>
      <c r="AJ85" s="224">
        <f t="shared" si="31"/>
        <v>1.5467343835533118</v>
      </c>
      <c r="AK85" s="225">
        <f t="shared" si="32"/>
        <v>1.288</v>
      </c>
      <c r="AL85" s="226">
        <f t="shared" si="33"/>
        <v>0.2587343835533118</v>
      </c>
      <c r="AM85" s="227">
        <f t="shared" si="34"/>
        <v>1.909777997364954</v>
      </c>
      <c r="AN85" s="226">
        <f t="shared" si="35"/>
        <v>-0.36304361381164219</v>
      </c>
      <c r="AO85" s="11"/>
    </row>
    <row r="86" spans="1:41" x14ac:dyDescent="0.25">
      <c r="A86" s="11"/>
      <c r="B86" s="11"/>
      <c r="C86" s="11"/>
      <c r="D86" s="11"/>
      <c r="E86" s="11"/>
      <c r="F86" s="11"/>
      <c r="G86" s="11"/>
      <c r="H86" s="84" t="s">
        <v>798</v>
      </c>
      <c r="I86" s="118" t="str">
        <f>IF(_epmOfflineCondition_,"N",_xll.EVPRO($B$1,$H86,"STYLE"))</f>
        <v>N</v>
      </c>
      <c r="J86" s="118" t="str">
        <f>IF(_epmOfflineCondition_,"N",_xll.EVPRO($B$1,$H86,"CALC"))</f>
        <v>N</v>
      </c>
      <c r="K86" s="175" t="str">
        <f t="shared" si="24"/>
        <v/>
      </c>
      <c r="L86" s="86" t="str">
        <f>IF(_epmOfflineCondition_,"703100",_xll.EVPRO($B$1,H86,"JDEID"))</f>
        <v>703100</v>
      </c>
      <c r="M86" s="86" t="str">
        <f>IF(_epmOfflineCondition_,"690035",IF(AND(I86="N",J86="N"),_xll.EVPRO($B$1,H86,"PSFTID"),""))</f>
        <v>690035</v>
      </c>
      <c r="N86" s="86" t="str">
        <f>IF(_epmOfflineCondition_,"Training",IF(_xll.EVDES(H86,$B$1)="#NODATA","",_xll.EVDES(H86,$B$1)))</f>
        <v>Training</v>
      </c>
      <c r="O86" s="134">
        <v>150.94999999999999</v>
      </c>
      <c r="P86" s="134">
        <v>53.34</v>
      </c>
      <c r="Q86" s="134"/>
      <c r="R86" s="134"/>
      <c r="S86" s="134">
        <v>197.93</v>
      </c>
      <c r="T86" s="134"/>
      <c r="U86" s="134">
        <v>22.1</v>
      </c>
      <c r="V86" s="134"/>
      <c r="W86" s="134">
        <v>99</v>
      </c>
      <c r="X86" s="134"/>
      <c r="Y86" s="134"/>
      <c r="Z86" s="134">
        <v>132.69</v>
      </c>
      <c r="AA86" s="134">
        <f t="shared" si="25"/>
        <v>656.01</v>
      </c>
      <c r="AB86" s="138">
        <f t="shared" si="26"/>
        <v>1.0347251397249602E-4</v>
      </c>
      <c r="AC86" s="136"/>
      <c r="AD86" s="134">
        <v>14</v>
      </c>
      <c r="AE86" s="138">
        <f t="shared" si="27"/>
        <v>1.5492337694496478E-6</v>
      </c>
      <c r="AF86" s="137">
        <f t="shared" si="28"/>
        <v>642.01</v>
      </c>
      <c r="AG86" s="134">
        <v>81.61</v>
      </c>
      <c r="AH86" s="138">
        <f t="shared" si="29"/>
        <v>3.0760541053379559E-5</v>
      </c>
      <c r="AI86" s="137">
        <f t="shared" si="30"/>
        <v>574.4</v>
      </c>
      <c r="AJ86" s="224">
        <f t="shared" si="31"/>
        <v>1.9950428806033697E-2</v>
      </c>
      <c r="AK86" s="225">
        <f t="shared" si="32"/>
        <v>3.8476337052712584E-4</v>
      </c>
      <c r="AL86" s="226">
        <f t="shared" si="33"/>
        <v>1.9565665435506571E-2</v>
      </c>
      <c r="AM86" s="227">
        <f t="shared" si="34"/>
        <v>5.376152832674572E-3</v>
      </c>
      <c r="AN86" s="226">
        <f t="shared" si="35"/>
        <v>1.4574275973359125E-2</v>
      </c>
      <c r="AO86" s="11"/>
    </row>
    <row r="87" spans="1:41" x14ac:dyDescent="0.25">
      <c r="A87" s="11"/>
      <c r="B87" s="11"/>
      <c r="C87" s="11"/>
      <c r="D87" s="11"/>
      <c r="E87" s="11"/>
      <c r="F87" s="11"/>
      <c r="G87" s="11"/>
      <c r="H87" s="84" t="s">
        <v>799</v>
      </c>
      <c r="I87" s="118" t="str">
        <f>IF(_epmOfflineCondition_,"N",_xll.EVPRO($B$1,$H87,"STYLE"))</f>
        <v>N</v>
      </c>
      <c r="J87" s="118" t="str">
        <f>IF(_epmOfflineCondition_,"N",_xll.EVPRO($B$1,$H87,"CALC"))</f>
        <v>N</v>
      </c>
      <c r="K87" s="175" t="str">
        <f t="shared" si="24"/>
        <v/>
      </c>
      <c r="L87" s="86" t="str">
        <f>IF(_epmOfflineCondition_,"703200",_xll.EVPRO($B$1,H87,"JDEID"))</f>
        <v>703200</v>
      </c>
      <c r="M87" s="86" t="str">
        <f>IF(_epmOfflineCondition_,"590035",IF(AND(I87="N",J87="N"),_xll.EVPRO($B$1,H87,"PSFTID"),""))</f>
        <v>590035</v>
      </c>
      <c r="N87" s="86" t="str">
        <f>IF(_epmOfflineCondition_,"Uniform Costs",IF(_xll.EVDES(H87,$B$1)="#NODATA","",_xll.EVDES(H87,$B$1)))</f>
        <v>Uniform Costs</v>
      </c>
      <c r="O87" s="134"/>
      <c r="P87" s="134"/>
      <c r="Q87" s="134"/>
      <c r="R87" s="134">
        <v>-6.36</v>
      </c>
      <c r="S87" s="134">
        <v>868.55</v>
      </c>
      <c r="T87" s="134"/>
      <c r="U87" s="134">
        <v>89.65</v>
      </c>
      <c r="V87" s="134">
        <v>-20</v>
      </c>
      <c r="W87" s="134">
        <v>56.13</v>
      </c>
      <c r="X87" s="134">
        <v>733.18</v>
      </c>
      <c r="Y87" s="134">
        <v>88.6</v>
      </c>
      <c r="Z87" s="134">
        <v>535.62</v>
      </c>
      <c r="AA87" s="134">
        <f t="shared" si="25"/>
        <v>2345.37</v>
      </c>
      <c r="AB87" s="138">
        <f t="shared" si="26"/>
        <v>3.6993541271577112E-4</v>
      </c>
      <c r="AC87" s="136"/>
      <c r="AD87" s="134">
        <v>6000</v>
      </c>
      <c r="AE87" s="138">
        <f t="shared" si="27"/>
        <v>6.6395732976413479E-4</v>
      </c>
      <c r="AF87" s="137">
        <f t="shared" si="28"/>
        <v>-3654.63</v>
      </c>
      <c r="AG87" s="134">
        <v>16445.810000000001</v>
      </c>
      <c r="AH87" s="138">
        <f t="shared" si="29"/>
        <v>6.1987748273628247E-3</v>
      </c>
      <c r="AI87" s="137">
        <f t="shared" si="30"/>
        <v>-14100.440000000002</v>
      </c>
      <c r="AJ87" s="224">
        <f t="shared" si="31"/>
        <v>7.1326865762423211E-2</v>
      </c>
      <c r="AK87" s="225">
        <f t="shared" si="32"/>
        <v>0.1648985873687682</v>
      </c>
      <c r="AL87" s="226">
        <f t="shared" si="33"/>
        <v>-9.3571721606344985E-2</v>
      </c>
      <c r="AM87" s="227">
        <f t="shared" si="34"/>
        <v>1.0833866930171279</v>
      </c>
      <c r="AN87" s="226">
        <f t="shared" si="35"/>
        <v>-1.0120598272547046</v>
      </c>
      <c r="AO87" s="11"/>
    </row>
    <row r="88" spans="1:41" x14ac:dyDescent="0.25">
      <c r="A88" s="57" t="s">
        <v>23</v>
      </c>
      <c r="B88" s="58" t="s">
        <v>24</v>
      </c>
      <c r="C88" s="11"/>
      <c r="D88" s="11"/>
      <c r="E88" s="11"/>
      <c r="F88" s="11"/>
      <c r="G88" s="11"/>
      <c r="H88" s="84" t="s">
        <v>800</v>
      </c>
      <c r="I88" s="118" t="str">
        <f>IF(_epmOfflineCondition_,"N",_xll.EVPRO($B$1,$H88,"STYLE"))</f>
        <v>N</v>
      </c>
      <c r="J88" s="118" t="str">
        <f>IF(_epmOfflineCondition_,"N",_xll.EVPRO($B$1,$H88,"CALC"))</f>
        <v>N</v>
      </c>
      <c r="K88" s="175" t="str">
        <f t="shared" si="24"/>
        <v/>
      </c>
      <c r="L88" s="86" t="str">
        <f>IF(_epmOfflineCondition_,"703300",_xll.EVPRO($B$1,H88,"JDEID"))</f>
        <v>703300</v>
      </c>
      <c r="M88" s="86" t="str">
        <f>IF(_epmOfflineCondition_,"590115",IF(AND(I88="N",J88="N"),_xll.EVPRO($B$1,H88,"PSFTID"),""))</f>
        <v>590115</v>
      </c>
      <c r="N88" s="86" t="str">
        <f>IF(_epmOfflineCondition_,"Uniforms Laundry",IF(_xll.EVDES(H88,$B$1)="#NODATA","",_xll.EVDES(H88,$B$1)))</f>
        <v>Uniforms Laundry</v>
      </c>
      <c r="O88" s="134">
        <v>1107.77</v>
      </c>
      <c r="P88" s="134">
        <v>446.32</v>
      </c>
      <c r="Q88" s="134">
        <v>1360.44</v>
      </c>
      <c r="R88" s="134">
        <v>702.66</v>
      </c>
      <c r="S88" s="134">
        <v>1274.0899999999999</v>
      </c>
      <c r="T88" s="134">
        <v>951.71</v>
      </c>
      <c r="U88" s="134">
        <v>837.26</v>
      </c>
      <c r="V88" s="134">
        <v>742.59</v>
      </c>
      <c r="W88" s="134">
        <v>765.2</v>
      </c>
      <c r="X88" s="134">
        <v>585.20000000000005</v>
      </c>
      <c r="Y88" s="134">
        <v>468.6</v>
      </c>
      <c r="Z88" s="134">
        <v>306.89999999999998</v>
      </c>
      <c r="AA88" s="134">
        <f t="shared" si="25"/>
        <v>9548.74</v>
      </c>
      <c r="AB88" s="138">
        <f t="shared" si="26"/>
        <v>1.5061235851126229E-3</v>
      </c>
      <c r="AC88" s="136"/>
      <c r="AD88" s="134">
        <v>6549.48</v>
      </c>
      <c r="AE88" s="138">
        <f t="shared" si="27"/>
        <v>7.247625420239342E-4</v>
      </c>
      <c r="AF88" s="137">
        <f t="shared" si="28"/>
        <v>2999.26</v>
      </c>
      <c r="AG88" s="134">
        <v>8774.58</v>
      </c>
      <c r="AH88" s="138">
        <f t="shared" si="29"/>
        <v>3.3073254296797352E-3</v>
      </c>
      <c r="AI88" s="137">
        <f t="shared" si="30"/>
        <v>774.15999999999985</v>
      </c>
      <c r="AJ88" s="224">
        <f t="shared" si="31"/>
        <v>0.29039413660969526</v>
      </c>
      <c r="AK88" s="225">
        <f t="shared" si="32"/>
        <v>0.18</v>
      </c>
      <c r="AL88" s="226">
        <f t="shared" si="33"/>
        <v>0.11039413660969527</v>
      </c>
      <c r="AM88" s="227">
        <f t="shared" si="34"/>
        <v>0.57803557312252962</v>
      </c>
      <c r="AN88" s="226">
        <f t="shared" si="35"/>
        <v>-0.28764143651283436</v>
      </c>
      <c r="AO88" s="11"/>
    </row>
    <row r="89" spans="1:41" x14ac:dyDescent="0.25">
      <c r="A89" s="61" t="s">
        <v>25</v>
      </c>
      <c r="B89" s="62"/>
      <c r="C89" s="11"/>
      <c r="D89" s="11"/>
      <c r="E89" s="11"/>
      <c r="F89" s="11"/>
      <c r="G89" s="11"/>
      <c r="H89" s="84" t="s">
        <v>827</v>
      </c>
      <c r="I89" s="118" t="str">
        <f>IF(_epmOfflineCondition_,"N",_xll.EVPRO($B$1,$H89,"STYLE"))</f>
        <v>N</v>
      </c>
      <c r="J89" s="118" t="str">
        <f>IF(_epmOfflineCondition_,"N",_xll.EVPRO($B$1,$H89,"CALC"))</f>
        <v>N</v>
      </c>
      <c r="K89" s="175" t="str">
        <f t="shared" si="24"/>
        <v/>
      </c>
      <c r="L89" s="86" t="str">
        <f>IF(_epmOfflineCondition_,"703400",_xll.EVPRO($B$1,H89,"JDEID"))</f>
        <v>703400</v>
      </c>
      <c r="M89" s="86" t="str">
        <f>IF(_epmOfflineCondition_,"590010",IF(AND(I89="N",J89="N"),_xll.EVPRO($B$1,H89,"PSFTID"),""))</f>
        <v>590010</v>
      </c>
      <c r="N89" s="86" t="str">
        <f>IF(_epmOfflineCondition_,"Linen",IF(_xll.EVDES(H89,$B$1)="#NODATA","",_xll.EVDES(H89,$B$1)))</f>
        <v>Linen</v>
      </c>
      <c r="O89" s="134">
        <v>2777.61</v>
      </c>
      <c r="P89" s="134">
        <v>352.84</v>
      </c>
      <c r="Q89" s="134">
        <v>3250.24</v>
      </c>
      <c r="R89" s="134">
        <v>3481.53</v>
      </c>
      <c r="S89" s="134">
        <v>4394.34</v>
      </c>
      <c r="T89" s="134">
        <v>3577.24</v>
      </c>
      <c r="U89" s="134">
        <v>1428.25</v>
      </c>
      <c r="V89" s="134">
        <v>2667.32</v>
      </c>
      <c r="W89" s="134">
        <v>3116.39</v>
      </c>
      <c r="X89" s="134">
        <v>1892.43</v>
      </c>
      <c r="Y89" s="134">
        <v>2393.0500000000002</v>
      </c>
      <c r="Z89" s="134">
        <v>3074.58</v>
      </c>
      <c r="AA89" s="134">
        <f t="shared" si="25"/>
        <v>32405.82</v>
      </c>
      <c r="AB89" s="138">
        <f t="shared" si="26"/>
        <v>5.1113727881285211E-3</v>
      </c>
      <c r="AC89" s="136"/>
      <c r="AD89" s="134">
        <v>54999.9999999996</v>
      </c>
      <c r="AE89" s="138">
        <f t="shared" si="27"/>
        <v>6.0862755228378576E-3</v>
      </c>
      <c r="AF89" s="137">
        <f t="shared" si="28"/>
        <v>-22594.1799999996</v>
      </c>
      <c r="AG89" s="134">
        <v>59398.86</v>
      </c>
      <c r="AH89" s="138">
        <f t="shared" si="29"/>
        <v>2.2388690988285075E-2</v>
      </c>
      <c r="AI89" s="137">
        <f t="shared" si="30"/>
        <v>-26993.040000000001</v>
      </c>
      <c r="AJ89" s="224">
        <f t="shared" si="31"/>
        <v>0.98551852077124258</v>
      </c>
      <c r="AK89" s="225">
        <f t="shared" si="32"/>
        <v>1.5115703842136976</v>
      </c>
      <c r="AL89" s="226">
        <f t="shared" si="33"/>
        <v>-0.52605186344245503</v>
      </c>
      <c r="AM89" s="227">
        <f t="shared" si="34"/>
        <v>3.9129683794466406</v>
      </c>
      <c r="AN89" s="226">
        <f t="shared" si="35"/>
        <v>-2.9274498586753981</v>
      </c>
      <c r="AO89" s="11"/>
    </row>
    <row r="90" spans="1:41" x14ac:dyDescent="0.25">
      <c r="A90" s="61" t="s">
        <v>26</v>
      </c>
      <c r="B90" s="62"/>
      <c r="C90" s="11"/>
      <c r="D90" s="11"/>
      <c r="E90" s="11"/>
      <c r="F90" s="11"/>
      <c r="G90" s="11"/>
      <c r="H90" s="84" t="s">
        <v>895</v>
      </c>
      <c r="I90" s="118" t="str">
        <f>IF(_epmOfflineCondition_,"N",_xll.EVPRO($B$1,$H90,"STYLE"))</f>
        <v>N</v>
      </c>
      <c r="J90" s="118" t="str">
        <f>IF(_epmOfflineCondition_,"N",_xll.EVPRO($B$1,$H90,"CALC"))</f>
        <v>N</v>
      </c>
      <c r="K90" s="175" t="str">
        <f t="shared" si="24"/>
        <v/>
      </c>
      <c r="L90" s="86" t="str">
        <f>IF(_epmOfflineCondition_,"704000",_xll.EVPRO($B$1,H90,"JDEID"))</f>
        <v>704000</v>
      </c>
      <c r="M90" s="86" t="str">
        <f>IF(_epmOfflineCondition_,"590141",IF(AND(I90="N",J90="N"),_xll.EVPRO($B$1,H90,"PSFTID"),""))</f>
        <v>590141</v>
      </c>
      <c r="N90" s="86" t="str">
        <f>IF(_epmOfflineCondition_,"Complimentary In Room Media Ent.",IF(_xll.EVDES(H90,$B$1)="#NODATA","",_xll.EVDES(H90,$B$1)))</f>
        <v>Complimentary In Room Media Ent.</v>
      </c>
      <c r="O90" s="134">
        <v>1180.51</v>
      </c>
      <c r="P90" s="134">
        <v>1215.8499999999999</v>
      </c>
      <c r="Q90" s="134">
        <v>1733.77</v>
      </c>
      <c r="R90" s="134">
        <v>2352.1999999999998</v>
      </c>
      <c r="S90" s="134">
        <v>1971.77</v>
      </c>
      <c r="T90" s="134">
        <v>1971.77</v>
      </c>
      <c r="U90" s="134">
        <v>1971.77</v>
      </c>
      <c r="V90" s="134">
        <v>1971.77</v>
      </c>
      <c r="W90" s="134">
        <v>2122.13</v>
      </c>
      <c r="X90" s="134">
        <v>2122.13</v>
      </c>
      <c r="Y90" s="134">
        <v>2122.13</v>
      </c>
      <c r="Z90" s="134">
        <v>3310.59</v>
      </c>
      <c r="AA90" s="134">
        <f t="shared" si="25"/>
        <v>24046.390000000003</v>
      </c>
      <c r="AB90" s="138">
        <f t="shared" si="26"/>
        <v>3.792839172060013E-3</v>
      </c>
      <c r="AC90" s="136"/>
      <c r="AD90" s="134">
        <v>21384</v>
      </c>
      <c r="AE90" s="138">
        <f t="shared" si="27"/>
        <v>2.366343923279376E-3</v>
      </c>
      <c r="AF90" s="137">
        <f t="shared" si="28"/>
        <v>2662.3900000000031</v>
      </c>
      <c r="AG90" s="134">
        <v>17471.310000000001</v>
      </c>
      <c r="AH90" s="138">
        <f t="shared" si="29"/>
        <v>6.5853075421066151E-3</v>
      </c>
      <c r="AI90" s="137">
        <f t="shared" si="30"/>
        <v>6575.0800000000017</v>
      </c>
      <c r="AJ90" s="224">
        <f t="shared" si="31"/>
        <v>0.73129341280943994</v>
      </c>
      <c r="AK90" s="225">
        <f t="shared" si="32"/>
        <v>0.58769856538228993</v>
      </c>
      <c r="AL90" s="226">
        <f t="shared" si="33"/>
        <v>0.14359484742715001</v>
      </c>
      <c r="AM90" s="227">
        <f t="shared" si="34"/>
        <v>1.1509426877470357</v>
      </c>
      <c r="AN90" s="226">
        <f t="shared" si="35"/>
        <v>-0.41964927493759574</v>
      </c>
      <c r="AO90" s="11"/>
    </row>
    <row r="91" spans="1:41" x14ac:dyDescent="0.25">
      <c r="A91" s="61" t="s">
        <v>27</v>
      </c>
      <c r="B91" s="62"/>
      <c r="C91" s="11"/>
      <c r="D91" s="11"/>
      <c r="E91" s="11"/>
      <c r="F91" s="11"/>
      <c r="G91" s="11"/>
      <c r="H91" s="84" t="s">
        <v>896</v>
      </c>
      <c r="I91" s="118" t="str">
        <f>IF(_epmOfflineCondition_,"T4",_xll.EVPRO($B$1,$H91,"STYLE"))</f>
        <v>T4</v>
      </c>
      <c r="J91" s="118" t="str">
        <f>IF(_epmOfflineCondition_,"Y",_xll.EVPRO($B$1,$H91,"CALC"))</f>
        <v>Y</v>
      </c>
      <c r="K91" s="175" t="str">
        <f t="shared" si="24"/>
        <v>&gt;</v>
      </c>
      <c r="L91" s="86" t="str">
        <f>IF(_epmOfflineCondition_,"704200",_xll.EVPRO($B$1,H91,"JDEID"))</f>
        <v>704200</v>
      </c>
      <c r="M91" s="86" t="str">
        <f>IF(_epmOfflineCondition_,"",IF(AND(I91="N",J91="N"),_xll.EVPRO($B$1,H91,"PSFTID"),""))</f>
        <v/>
      </c>
      <c r="N91" s="86" t="str">
        <f>IF(_epmOfflineCondition_,"Commissions",IF(_xll.EVDES(H91,$B$1)="#NODATA","",_xll.EVDES(H91,$B$1)))</f>
        <v>Commissions</v>
      </c>
      <c r="O91" s="134">
        <v>9021.1299999999992</v>
      </c>
      <c r="P91" s="134">
        <v>15432.06</v>
      </c>
      <c r="Q91" s="134">
        <v>13743.96</v>
      </c>
      <c r="R91" s="134">
        <v>15534.21</v>
      </c>
      <c r="S91" s="134">
        <v>15422.92</v>
      </c>
      <c r="T91" s="134">
        <v>20969.71</v>
      </c>
      <c r="U91" s="134">
        <v>11669.99</v>
      </c>
      <c r="V91" s="134">
        <v>8138.48</v>
      </c>
      <c r="W91" s="134">
        <v>11041.54</v>
      </c>
      <c r="X91" s="134">
        <v>15458.2</v>
      </c>
      <c r="Y91" s="134">
        <v>10299.07</v>
      </c>
      <c r="Z91" s="134">
        <v>27427.93</v>
      </c>
      <c r="AA91" s="134">
        <f t="shared" si="25"/>
        <v>174159.2</v>
      </c>
      <c r="AB91" s="138">
        <f t="shared" si="26"/>
        <v>2.7470145661558105E-2</v>
      </c>
      <c r="AC91" s="136"/>
      <c r="AD91" s="134">
        <v>145544</v>
      </c>
      <c r="AE91" s="138">
        <f t="shared" si="27"/>
        <v>1.6105834267198537E-2</v>
      </c>
      <c r="AF91" s="137">
        <f t="shared" si="28"/>
        <v>28615.200000000012</v>
      </c>
      <c r="AG91" s="134">
        <v>54705.15</v>
      </c>
      <c r="AH91" s="138">
        <f t="shared" si="29"/>
        <v>2.0619532072127026E-2</v>
      </c>
      <c r="AI91" s="137">
        <f t="shared" si="30"/>
        <v>119454.05000000002</v>
      </c>
      <c r="AJ91" s="224">
        <f t="shared" si="31"/>
        <v>5.2964904811142874</v>
      </c>
      <c r="AK91" s="225">
        <f t="shared" si="32"/>
        <v>4</v>
      </c>
      <c r="AL91" s="226">
        <f t="shared" si="33"/>
        <v>1.2964904811142874</v>
      </c>
      <c r="AM91" s="227">
        <f t="shared" si="34"/>
        <v>3.6037648221343876</v>
      </c>
      <c r="AN91" s="226">
        <f t="shared" si="35"/>
        <v>1.6927256589798998</v>
      </c>
      <c r="AO91" s="11"/>
    </row>
    <row r="92" spans="1:41" x14ac:dyDescent="0.25">
      <c r="A92" s="61" t="s">
        <v>28</v>
      </c>
      <c r="B92" s="62"/>
      <c r="C92" s="11"/>
      <c r="D92" s="11"/>
      <c r="E92" s="11"/>
      <c r="F92" s="11"/>
      <c r="G92" s="11"/>
      <c r="H92" s="84" t="s">
        <v>897</v>
      </c>
      <c r="I92" s="118" t="str">
        <f>IF(_epmOfflineCondition_,"N",_xll.EVPRO($B$1,$H92,"STYLE"))</f>
        <v>N</v>
      </c>
      <c r="J92" s="118" t="str">
        <f>IF(_epmOfflineCondition_,"N",_xll.EVPRO($B$1,$H92,"CALC"))</f>
        <v>N</v>
      </c>
      <c r="K92" s="175" t="str">
        <f t="shared" si="24"/>
        <v/>
      </c>
      <c r="L92" s="86" t="str">
        <f>IF(_epmOfflineCondition_,"704300",_xll.EVPRO($B$1,H92,"JDEID"))</f>
        <v>704300</v>
      </c>
      <c r="M92" s="86" t="str">
        <f>IF(_epmOfflineCondition_,"590190",IF(AND(I92="N",J92="N"),_xll.EVPRO($B$1,H92,"PSFTID"),""))</f>
        <v>590190</v>
      </c>
      <c r="N92" s="86" t="str">
        <f>IF(_epmOfflineCondition_,"Commissions &amp; Fees - Group",IF(_xll.EVDES(H92,$B$1)="#NODATA","",_xll.EVDES(H92,$B$1)))</f>
        <v>Commissions &amp; Fees - Group</v>
      </c>
      <c r="O92" s="134">
        <v>11618.73</v>
      </c>
      <c r="P92" s="134">
        <v>5706.07</v>
      </c>
      <c r="Q92" s="134">
        <v>3954.26</v>
      </c>
      <c r="R92" s="134">
        <v>-147.1</v>
      </c>
      <c r="S92" s="134">
        <v>3878.2</v>
      </c>
      <c r="T92" s="134">
        <v>967.9</v>
      </c>
      <c r="U92" s="134">
        <v>238.4</v>
      </c>
      <c r="V92" s="134"/>
      <c r="W92" s="134"/>
      <c r="X92" s="134">
        <v>2408</v>
      </c>
      <c r="Y92" s="134">
        <v>1901.22</v>
      </c>
      <c r="Z92" s="134">
        <v>2132.9</v>
      </c>
      <c r="AA92" s="134">
        <f t="shared" si="25"/>
        <v>32658.580000000005</v>
      </c>
      <c r="AB92" s="138">
        <f t="shared" si="26"/>
        <v>5.1512406447643787E-3</v>
      </c>
      <c r="AC92" s="136"/>
      <c r="AD92" s="134">
        <v>38940.757599999997</v>
      </c>
      <c r="AE92" s="138">
        <f t="shared" si="27"/>
        <v>4.3091669058480725E-3</v>
      </c>
      <c r="AF92" s="137">
        <f t="shared" si="28"/>
        <v>-6282.1775999999918</v>
      </c>
      <c r="AG92" s="134">
        <v>16613.13</v>
      </c>
      <c r="AH92" s="138">
        <f t="shared" si="29"/>
        <v>6.2618412864861115E-3</v>
      </c>
      <c r="AI92" s="137">
        <f t="shared" si="30"/>
        <v>16045.450000000004</v>
      </c>
      <c r="AJ92" s="224">
        <f t="shared" si="31"/>
        <v>0.99320540113131817</v>
      </c>
      <c r="AK92" s="225">
        <f t="shared" si="32"/>
        <v>1.0702126532182707</v>
      </c>
      <c r="AL92" s="226">
        <f t="shared" si="33"/>
        <v>-7.7007252086952582E-2</v>
      </c>
      <c r="AM92" s="227">
        <f t="shared" si="34"/>
        <v>1.0944090909090909</v>
      </c>
      <c r="AN92" s="226">
        <f t="shared" si="35"/>
        <v>-0.10120368977777272</v>
      </c>
      <c r="AO92" s="11"/>
    </row>
    <row r="93" spans="1:41" x14ac:dyDescent="0.25">
      <c r="A93" s="61" t="s">
        <v>29</v>
      </c>
      <c r="B93" s="62"/>
      <c r="C93" s="11"/>
      <c r="D93" s="11"/>
      <c r="E93" s="11"/>
      <c r="F93" s="11"/>
      <c r="G93" s="11"/>
      <c r="H93" s="84" t="s">
        <v>898</v>
      </c>
      <c r="I93" s="118" t="str">
        <f>IF(_epmOfflineCondition_,"N",_xll.EVPRO($B$1,$H93,"STYLE"))</f>
        <v>N</v>
      </c>
      <c r="J93" s="118" t="str">
        <f>IF(_epmOfflineCondition_,"N",_xll.EVPRO($B$1,$H93,"CALC"))</f>
        <v>N</v>
      </c>
      <c r="K93" s="175" t="str">
        <f t="shared" si="24"/>
        <v/>
      </c>
      <c r="L93" s="86" t="str">
        <f>IF(_epmOfflineCondition_,"704400",_xll.EVPRO($B$1,H93,"JDEID"))</f>
        <v>704400</v>
      </c>
      <c r="M93" s="86" t="str">
        <f>IF(_epmOfflineCondition_,"590175",IF(AND(I93="N",J93="N"),_xll.EVPRO($B$1,H93,"PSFTID"),""))</f>
        <v>590175</v>
      </c>
      <c r="N93" s="86" t="str">
        <f>IF(_epmOfflineCondition_,"Guest Relocation",IF(_xll.EVDES(H93,$B$1)="#NODATA","",_xll.EVDES(H93,$B$1)))</f>
        <v>Guest Relocation</v>
      </c>
      <c r="O93" s="134">
        <v>375.04</v>
      </c>
      <c r="P93" s="134">
        <v>655.5</v>
      </c>
      <c r="Q93" s="134">
        <v>601.91999999999996</v>
      </c>
      <c r="R93" s="134"/>
      <c r="S93" s="134"/>
      <c r="T93" s="134"/>
      <c r="U93" s="134"/>
      <c r="V93" s="134">
        <v>-31.59</v>
      </c>
      <c r="W93" s="134"/>
      <c r="X93" s="134"/>
      <c r="Y93" s="134">
        <v>567.72</v>
      </c>
      <c r="Z93" s="134"/>
      <c r="AA93" s="134">
        <f t="shared" si="25"/>
        <v>2168.59</v>
      </c>
      <c r="AB93" s="138">
        <f t="shared" si="26"/>
        <v>3.4205188804380294E-4</v>
      </c>
      <c r="AC93" s="136"/>
      <c r="AD93" s="134"/>
      <c r="AE93" s="138" t="str">
        <f t="shared" si="27"/>
        <v/>
      </c>
      <c r="AF93" s="137">
        <f t="shared" si="28"/>
        <v>2168.59</v>
      </c>
      <c r="AG93" s="134">
        <v>11023.85</v>
      </c>
      <c r="AH93" s="138">
        <f t="shared" si="29"/>
        <v>4.1551230301592728E-3</v>
      </c>
      <c r="AI93" s="137">
        <f t="shared" si="30"/>
        <v>-8855.26</v>
      </c>
      <c r="AJ93" s="224">
        <f t="shared" si="31"/>
        <v>6.5950672100237223E-2</v>
      </c>
      <c r="AK93" s="225">
        <f t="shared" si="32"/>
        <v>0</v>
      </c>
      <c r="AL93" s="226">
        <f t="shared" si="33"/>
        <v>6.5950672100237223E-2</v>
      </c>
      <c r="AM93" s="227">
        <f t="shared" si="34"/>
        <v>0.72620882740447956</v>
      </c>
      <c r="AN93" s="226">
        <f t="shared" si="35"/>
        <v>-0.66025815530424237</v>
      </c>
      <c r="AO93" s="11"/>
    </row>
    <row r="94" spans="1:41" x14ac:dyDescent="0.25">
      <c r="A94" s="61" t="s">
        <v>30</v>
      </c>
      <c r="B94" s="62" t="s">
        <v>78</v>
      </c>
      <c r="C94" s="11"/>
      <c r="D94" s="11"/>
      <c r="E94" s="11"/>
      <c r="F94" s="11"/>
      <c r="G94" s="11"/>
      <c r="H94" s="84" t="s">
        <v>899</v>
      </c>
      <c r="I94" s="118" t="str">
        <f>IF(_epmOfflineCondition_,"N",_xll.EVPRO($B$1,$H94,"STYLE"))</f>
        <v>N</v>
      </c>
      <c r="J94" s="118" t="str">
        <f>IF(_epmOfflineCondition_,"N",_xll.EVPRO($B$1,$H94,"CALC"))</f>
        <v>N</v>
      </c>
      <c r="K94" s="175" t="str">
        <f t="shared" si="24"/>
        <v/>
      </c>
      <c r="L94" s="86" t="str">
        <f>IF(_epmOfflineCondition_,"704500",_xll.EVPRO($B$1,H94,"JDEID"))</f>
        <v>704500</v>
      </c>
      <c r="M94" s="86" t="str">
        <f>IF(_epmOfflineCondition_,"590215",IF(AND(I94="N",J94="N"),_xll.EVPRO($B$1,H94,"PSFTID"),""))</f>
        <v>590215</v>
      </c>
      <c r="N94" s="86" t="str">
        <f>IF(_epmOfflineCondition_,"Guest Transportation",IF(_xll.EVDES(H94,$B$1)="#NODATA","",_xll.EVDES(H94,$B$1)))</f>
        <v>Guest Transportation</v>
      </c>
      <c r="O94" s="134"/>
      <c r="P94" s="134"/>
      <c r="Q94" s="134"/>
      <c r="R94" s="134">
        <v>10</v>
      </c>
      <c r="S94" s="134"/>
      <c r="T94" s="134"/>
      <c r="U94" s="134"/>
      <c r="V94" s="134"/>
      <c r="W94" s="134"/>
      <c r="X94" s="134"/>
      <c r="Y94" s="134"/>
      <c r="Z94" s="134"/>
      <c r="AA94" s="134">
        <f t="shared" si="25"/>
        <v>10</v>
      </c>
      <c r="AB94" s="138">
        <f t="shared" si="26"/>
        <v>1.5773008638968313E-6</v>
      </c>
      <c r="AC94" s="136"/>
      <c r="AD94" s="134"/>
      <c r="AE94" s="138" t="str">
        <f t="shared" si="27"/>
        <v/>
      </c>
      <c r="AF94" s="137">
        <f t="shared" si="28"/>
        <v>10</v>
      </c>
      <c r="AG94" s="134"/>
      <c r="AH94" s="138" t="str">
        <f t="shared" si="29"/>
        <v/>
      </c>
      <c r="AI94" s="137">
        <f t="shared" si="30"/>
        <v>10</v>
      </c>
      <c r="AJ94" s="224">
        <f t="shared" si="31"/>
        <v>3.0411775439450153E-4</v>
      </c>
      <c r="AK94" s="225">
        <f t="shared" si="32"/>
        <v>0</v>
      </c>
      <c r="AL94" s="226">
        <f t="shared" si="33"/>
        <v>3.0411775439450153E-4</v>
      </c>
      <c r="AM94" s="227">
        <f t="shared" si="34"/>
        <v>0</v>
      </c>
      <c r="AN94" s="226">
        <f t="shared" si="35"/>
        <v>3.0411775439450153E-4</v>
      </c>
      <c r="AO94" s="11"/>
    </row>
    <row r="95" spans="1:41" x14ac:dyDescent="0.25">
      <c r="A95" s="61" t="s">
        <v>31</v>
      </c>
      <c r="B95" s="62" t="s">
        <v>78</v>
      </c>
      <c r="C95" s="11"/>
      <c r="D95" s="11"/>
      <c r="E95" s="11"/>
      <c r="F95" s="11"/>
      <c r="G95" s="11"/>
      <c r="H95" s="84" t="s">
        <v>806</v>
      </c>
      <c r="I95" s="118" t="str">
        <f>IF(_epmOfflineCondition_,"N",_xll.EVPRO($B$1,$H95,"STYLE"))</f>
        <v>N</v>
      </c>
      <c r="J95" s="118" t="str">
        <f>IF(_epmOfflineCondition_,"N",_xll.EVPRO($B$1,$H95,"CALC"))</f>
        <v>N</v>
      </c>
      <c r="K95" s="175" t="str">
        <f t="shared" si="24"/>
        <v/>
      </c>
      <c r="L95" s="86" t="str">
        <f>IF(_epmOfflineCondition_,"705500",_xll.EVPRO($B$1,H95,"JDEID"))</f>
        <v>705500</v>
      </c>
      <c r="M95" s="86" t="str">
        <f>IF(_epmOfflineCondition_,"690105",IF(AND(I95="N",J95="N"),_xll.EVPRO($B$1,H95,"PSFTID"),""))</f>
        <v>690105</v>
      </c>
      <c r="N95" s="86" t="str">
        <f>IF(_epmOfflineCondition_,"Licenses &amp; Permits",IF(_xll.EVDES(H95,$B$1)="#NODATA","",_xll.EVDES(H95,$B$1)))</f>
        <v>Licenses &amp; Permits</v>
      </c>
      <c r="O95" s="134"/>
      <c r="P95" s="134"/>
      <c r="Q95" s="134">
        <v>747.34</v>
      </c>
      <c r="R95" s="134"/>
      <c r="S95" s="134"/>
      <c r="T95" s="134"/>
      <c r="U95" s="134"/>
      <c r="V95" s="134"/>
      <c r="W95" s="134">
        <v>255</v>
      </c>
      <c r="X95" s="134">
        <v>-255</v>
      </c>
      <c r="Y95" s="134"/>
      <c r="Z95" s="134"/>
      <c r="AA95" s="134">
        <f t="shared" si="25"/>
        <v>747.34</v>
      </c>
      <c r="AB95" s="138">
        <f t="shared" si="26"/>
        <v>1.1787800276246579E-4</v>
      </c>
      <c r="AC95" s="136"/>
      <c r="AD95" s="134">
        <v>1580</v>
      </c>
      <c r="AE95" s="138">
        <f t="shared" si="27"/>
        <v>1.7484209683788881E-4</v>
      </c>
      <c r="AF95" s="137">
        <f t="shared" si="28"/>
        <v>-832.66</v>
      </c>
      <c r="AG95" s="134">
        <v>947.26</v>
      </c>
      <c r="AH95" s="138">
        <f t="shared" si="29"/>
        <v>3.5704239821375224E-4</v>
      </c>
      <c r="AI95" s="137">
        <f t="shared" si="30"/>
        <v>-199.91999999999996</v>
      </c>
      <c r="AJ95" s="224">
        <f t="shared" si="31"/>
        <v>2.2727936256918681E-2</v>
      </c>
      <c r="AK95" s="225">
        <f t="shared" si="32"/>
        <v>4.3423294673775627E-2</v>
      </c>
      <c r="AL95" s="226">
        <f t="shared" si="33"/>
        <v>-2.0695358416856945E-2</v>
      </c>
      <c r="AM95" s="227">
        <f t="shared" si="34"/>
        <v>6.2401844532279316E-2</v>
      </c>
      <c r="AN95" s="226">
        <f t="shared" si="35"/>
        <v>-3.9673908275360631E-2</v>
      </c>
      <c r="AO95" s="11"/>
    </row>
    <row r="96" spans="1:41" x14ac:dyDescent="0.25">
      <c r="A96" s="61" t="s">
        <v>32</v>
      </c>
      <c r="B96" s="62"/>
      <c r="C96" s="11"/>
      <c r="D96" s="11"/>
      <c r="E96" s="11"/>
      <c r="F96" s="11"/>
      <c r="G96" s="11"/>
      <c r="H96" s="84" t="s">
        <v>809</v>
      </c>
      <c r="I96" s="118" t="str">
        <f>IF(_epmOfflineCondition_,"T4",_xll.EVPRO($B$1,$H96,"STYLE"))</f>
        <v>T4</v>
      </c>
      <c r="J96" s="118" t="str">
        <f>IF(_epmOfflineCondition_,"Y",_xll.EVPRO($B$1,$H96,"CALC"))</f>
        <v>Y</v>
      </c>
      <c r="K96" s="175" t="str">
        <f t="shared" si="24"/>
        <v>&gt;</v>
      </c>
      <c r="L96" s="86" t="str">
        <f>IF(_epmOfflineCondition_,"706500",_xll.EVPRO($B$1,H96,"JDEID"))</f>
        <v>706500</v>
      </c>
      <c r="M96" s="86" t="str">
        <f>IF(_epmOfflineCondition_,"",IF(AND(I96="N",J96="N"),_xll.EVPRO($B$1,H96,"PSFTID"),""))</f>
        <v/>
      </c>
      <c r="N96" s="86" t="str">
        <f>IF(_epmOfflineCondition_,"Corporate Office Reimbursement",IF(_xll.EVDES(H96,$B$1)="#NODATA","",_xll.EVDES(H96,$B$1)))</f>
        <v>Corporate Office Reimbursement</v>
      </c>
      <c r="O96" s="134">
        <v>6424.9</v>
      </c>
      <c r="P96" s="134">
        <v>6931.82</v>
      </c>
      <c r="Q96" s="134">
        <v>7904.91</v>
      </c>
      <c r="R96" s="134">
        <v>6041.85</v>
      </c>
      <c r="S96" s="134">
        <v>4716.28</v>
      </c>
      <c r="T96" s="134">
        <v>3364.42</v>
      </c>
      <c r="U96" s="134">
        <v>3907.26</v>
      </c>
      <c r="V96" s="134">
        <v>3797.74</v>
      </c>
      <c r="W96" s="134">
        <v>2629.75</v>
      </c>
      <c r="X96" s="134">
        <v>3929.21</v>
      </c>
      <c r="Y96" s="134">
        <v>5017</v>
      </c>
      <c r="Z96" s="134">
        <v>8734.31</v>
      </c>
      <c r="AA96" s="134">
        <f t="shared" si="25"/>
        <v>63399.44999999999</v>
      </c>
      <c r="AB96" s="138">
        <f t="shared" si="26"/>
        <v>1.0000000725558395E-2</v>
      </c>
      <c r="AC96" s="136"/>
      <c r="AD96" s="134">
        <v>90367.252999999997</v>
      </c>
      <c r="AE96" s="138">
        <f t="shared" si="27"/>
        <v>9.9999999999999985E-3</v>
      </c>
      <c r="AF96" s="137">
        <f t="shared" si="28"/>
        <v>-26967.803000000007</v>
      </c>
      <c r="AG96" s="134">
        <v>26516.31</v>
      </c>
      <c r="AH96" s="138">
        <f t="shared" si="29"/>
        <v>9.9945600090569648E-3</v>
      </c>
      <c r="AI96" s="137">
        <f t="shared" si="30"/>
        <v>36883.139999999985</v>
      </c>
      <c r="AJ96" s="224">
        <f t="shared" si="31"/>
        <v>1.9280898363846479</v>
      </c>
      <c r="AK96" s="225">
        <f t="shared" si="32"/>
        <v>2.4835720606826799</v>
      </c>
      <c r="AL96" s="226">
        <f t="shared" si="33"/>
        <v>-0.55548222429803196</v>
      </c>
      <c r="AM96" s="227">
        <f t="shared" si="34"/>
        <v>1.7467924901185772</v>
      </c>
      <c r="AN96" s="226">
        <f t="shared" si="35"/>
        <v>0.18129734626607075</v>
      </c>
      <c r="AO96" s="11"/>
    </row>
    <row r="97" spans="1:41" x14ac:dyDescent="0.25">
      <c r="A97" s="61" t="s">
        <v>33</v>
      </c>
      <c r="B97" s="62"/>
      <c r="C97" s="11"/>
      <c r="D97" s="11"/>
      <c r="E97" s="11"/>
      <c r="F97" s="11"/>
      <c r="G97" s="11"/>
      <c r="H97" s="84" t="s">
        <v>77</v>
      </c>
      <c r="I97" s="118" t="str">
        <f>IF(_epmOfflineCondition_,"T4",_xll.EVPRO($B$1,$H97,"STYLE"))</f>
        <v>T4</v>
      </c>
      <c r="J97" s="118" t="str">
        <f>IF(_epmOfflineCondition_,"Y",_xll.EVPRO($B$1,$H97,"CALC"))</f>
        <v>Y</v>
      </c>
      <c r="K97" s="175" t="str">
        <f t="shared" si="24"/>
        <v>&gt;</v>
      </c>
      <c r="L97" s="86" t="str">
        <f>IF(_epmOfflineCondition_,"710000",_xll.EVPRO($B$1,H97,"JDEID"))</f>
        <v>710000</v>
      </c>
      <c r="M97" s="86" t="str">
        <f>IF(_epmOfflineCondition_,"",IF(AND(I97="N",J97="N"),_xll.EVPRO($B$1,H97,"PSFTID"),""))</f>
        <v/>
      </c>
      <c r="N97" s="86" t="str">
        <f>IF(_epmOfflineCondition_,"Total Reservations Fees &amp; Other Exp",IF(_xll.EVDES(H97,$B$1)="#NODATA","",_xll.EVDES(H97,$B$1)))</f>
        <v>Total Reservations Fees &amp; Other Exp</v>
      </c>
      <c r="O97" s="134">
        <v>268.8</v>
      </c>
      <c r="P97" s="134">
        <v>65.84</v>
      </c>
      <c r="Q97" s="134">
        <v>857.6</v>
      </c>
      <c r="R97" s="134">
        <v>-140.80000000000001</v>
      </c>
      <c r="S97" s="134">
        <v>403.2</v>
      </c>
      <c r="T97" s="134">
        <v>691.2</v>
      </c>
      <c r="U97" s="134">
        <v>132.56</v>
      </c>
      <c r="V97" s="134">
        <v>147.19999999999999</v>
      </c>
      <c r="W97" s="134">
        <v>320</v>
      </c>
      <c r="X97" s="134">
        <v>230.4</v>
      </c>
      <c r="Y97" s="134">
        <v>460.8</v>
      </c>
      <c r="Z97" s="134">
        <v>776.8</v>
      </c>
      <c r="AA97" s="134">
        <f t="shared" si="25"/>
        <v>4213.6000000000004</v>
      </c>
      <c r="AB97" s="138">
        <f t="shared" si="26"/>
        <v>6.6461149201156892E-4</v>
      </c>
      <c r="AC97" s="136"/>
      <c r="AD97" s="134">
        <v>3840.9821999999999</v>
      </c>
      <c r="AE97" s="138">
        <f t="shared" si="27"/>
        <v>4.2504138086392864E-4</v>
      </c>
      <c r="AF97" s="137">
        <f t="shared" si="28"/>
        <v>372.61780000000044</v>
      </c>
      <c r="AG97" s="134">
        <v>3741.26</v>
      </c>
      <c r="AH97" s="138">
        <f t="shared" si="29"/>
        <v>1.4101602967941038E-3</v>
      </c>
      <c r="AI97" s="137">
        <f t="shared" si="30"/>
        <v>472.34000000000015</v>
      </c>
      <c r="AJ97" s="224">
        <f t="shared" si="31"/>
        <v>0.1281430569916672</v>
      </c>
      <c r="AK97" s="225">
        <f t="shared" si="32"/>
        <v>0.10556208981476392</v>
      </c>
      <c r="AL97" s="226">
        <f t="shared" si="33"/>
        <v>2.2580967176903277E-2</v>
      </c>
      <c r="AM97" s="227">
        <f t="shared" si="34"/>
        <v>0.24645981554677207</v>
      </c>
      <c r="AN97" s="226">
        <f t="shared" si="35"/>
        <v>-0.11831675855510487</v>
      </c>
      <c r="AO97" s="11"/>
    </row>
    <row r="98" spans="1:41" x14ac:dyDescent="0.25">
      <c r="A98" s="61" t="s">
        <v>34</v>
      </c>
      <c r="B98" s="62"/>
      <c r="C98" s="11"/>
      <c r="D98" s="11"/>
      <c r="E98" s="11"/>
      <c r="F98" s="11"/>
      <c r="G98" s="11"/>
      <c r="H98" s="84" t="s">
        <v>79</v>
      </c>
      <c r="I98" s="132" t="str">
        <f>IF(_epmOfflineCondition_,"T3",_xll.EVPRO($B$1,$H98,"STYLE"))</f>
        <v>T3</v>
      </c>
      <c r="J98" s="132" t="str">
        <f>IF(_epmOfflineCondition_,"Y",_xll.EVPRO($B$1,$H98,"CALC"))</f>
        <v>Y</v>
      </c>
      <c r="K98" s="100"/>
      <c r="L98" s="55"/>
      <c r="M98" s="55"/>
      <c r="N98" s="102" t="str">
        <f>IF(_epmOfflineCondition_,"Total Operations Expense",IF(_xll.EVDES(H98,$B$1)="#NODATA","",_xll.EVDES(H98,$B$1)))</f>
        <v>Total Operations Expense</v>
      </c>
      <c r="O98" s="146">
        <v>71936.740000000005</v>
      </c>
      <c r="P98" s="146">
        <v>60859.839999999997</v>
      </c>
      <c r="Q98" s="146">
        <v>78274.67</v>
      </c>
      <c r="R98" s="146">
        <v>71558.62</v>
      </c>
      <c r="S98" s="146">
        <v>71821.179999999993</v>
      </c>
      <c r="T98" s="146">
        <v>68230.34</v>
      </c>
      <c r="U98" s="146">
        <v>52435.41</v>
      </c>
      <c r="V98" s="146">
        <v>52952.83</v>
      </c>
      <c r="W98" s="146">
        <v>45794.33</v>
      </c>
      <c r="X98" s="146">
        <v>59524.68</v>
      </c>
      <c r="Y98" s="146">
        <v>55637.63</v>
      </c>
      <c r="Z98" s="146">
        <v>86666.82</v>
      </c>
      <c r="AA98" s="146">
        <f t="shared" si="25"/>
        <v>775693.09000000008</v>
      </c>
      <c r="AB98" s="147">
        <f t="shared" si="26"/>
        <v>0.12235013809758026</v>
      </c>
      <c r="AC98" s="136"/>
      <c r="AD98" s="146">
        <v>818389.9608</v>
      </c>
      <c r="AE98" s="147">
        <f t="shared" si="27"/>
        <v>9.0562668846423819E-2</v>
      </c>
      <c r="AF98" s="148">
        <f t="shared" si="28"/>
        <v>-42696.870799999917</v>
      </c>
      <c r="AG98" s="146">
        <v>480177.3</v>
      </c>
      <c r="AH98" s="147">
        <f t="shared" si="29"/>
        <v>0.18098901543378201</v>
      </c>
      <c r="AI98" s="148">
        <f t="shared" si="30"/>
        <v>295515.7900000001</v>
      </c>
      <c r="AJ98" s="206">
        <f t="shared" si="31"/>
        <v>23.5902040630132</v>
      </c>
      <c r="AK98" s="207">
        <f t="shared" si="32"/>
        <v>22.491891408783598</v>
      </c>
      <c r="AL98" s="208">
        <f t="shared" si="33"/>
        <v>1.098312654229602</v>
      </c>
      <c r="AM98" s="209">
        <f t="shared" si="34"/>
        <v>31.632233201581027</v>
      </c>
      <c r="AN98" s="208">
        <f t="shared" si="35"/>
        <v>-8.0420291385678269</v>
      </c>
      <c r="AO98" s="11"/>
    </row>
    <row r="99" spans="1:41" x14ac:dyDescent="0.25">
      <c r="A99" s="61" t="s">
        <v>35</v>
      </c>
      <c r="B99" s="62"/>
      <c r="C99" s="11"/>
      <c r="D99" s="11"/>
      <c r="E99" s="11"/>
      <c r="F99" s="11"/>
      <c r="G99" s="11"/>
      <c r="H99" s="11"/>
      <c r="I99" s="55"/>
      <c r="J99" s="55"/>
      <c r="K99" s="11"/>
      <c r="L99" s="55"/>
      <c r="M99" s="55"/>
      <c r="N99" s="11"/>
      <c r="O99" s="136"/>
      <c r="P99" s="136"/>
      <c r="Q99" s="136"/>
      <c r="R99" s="136"/>
      <c r="S99" s="136"/>
      <c r="T99" s="136"/>
      <c r="U99" s="136"/>
      <c r="V99" s="136"/>
      <c r="W99" s="136"/>
      <c r="X99" s="136"/>
      <c r="Y99" s="136"/>
      <c r="Z99" s="136"/>
      <c r="AA99" s="136"/>
      <c r="AB99" s="136"/>
      <c r="AC99" s="136"/>
      <c r="AD99" s="136"/>
      <c r="AE99" s="136"/>
      <c r="AF99" s="136"/>
      <c r="AG99" s="136"/>
      <c r="AH99" s="136"/>
      <c r="AI99" s="136"/>
      <c r="AJ99" s="136"/>
      <c r="AK99" s="136"/>
      <c r="AL99" s="136"/>
      <c r="AM99" s="136"/>
      <c r="AN99" s="136"/>
      <c r="AO99" s="11"/>
    </row>
    <row r="100" spans="1:41" x14ac:dyDescent="0.25">
      <c r="A100" s="61" t="s">
        <v>36</v>
      </c>
      <c r="B100" s="62"/>
      <c r="C100" s="11"/>
      <c r="D100" s="11"/>
      <c r="E100" s="11"/>
      <c r="F100" s="11"/>
      <c r="G100" s="11"/>
      <c r="H100" s="84" t="s">
        <v>80</v>
      </c>
      <c r="I100" s="132" t="str">
        <f>IF(_epmOfflineCondition_,"T3",_xll.EVPRO($B$1,$H100,"STYLE"))</f>
        <v>T3</v>
      </c>
      <c r="J100" s="132" t="str">
        <f>IF(_epmOfflineCondition_,"Y",_xll.EVPRO($B$1,$H100,"CALC"))</f>
        <v>Y</v>
      </c>
      <c r="K100" s="102"/>
      <c r="L100" s="55"/>
      <c r="M100" s="86"/>
      <c r="N100" s="102" t="str">
        <f>IF(_epmOfflineCondition_,"Total Expenses",IF(_xll.EVDES(H100,$B$1)="#NODATA","",_xll.EVDES(H100,$B$1)))</f>
        <v>Total Expenses</v>
      </c>
      <c r="O100" s="210">
        <v>159111.96</v>
      </c>
      <c r="P100" s="210">
        <v>149434.85999999999</v>
      </c>
      <c r="Q100" s="210">
        <v>163737.07</v>
      </c>
      <c r="R100" s="210">
        <v>153760.56</v>
      </c>
      <c r="S100" s="210">
        <v>148317.25</v>
      </c>
      <c r="T100" s="210">
        <v>149032.16</v>
      </c>
      <c r="U100" s="210">
        <v>130807.1</v>
      </c>
      <c r="V100" s="210">
        <v>131535.87</v>
      </c>
      <c r="W100" s="210">
        <v>118084.62</v>
      </c>
      <c r="X100" s="210">
        <v>140341.38</v>
      </c>
      <c r="Y100" s="210">
        <v>147773.76000000001</v>
      </c>
      <c r="Z100" s="210">
        <v>171768.94</v>
      </c>
      <c r="AA100" s="210">
        <f>IF($I100="B1","",SUM(O100:Z100))</f>
        <v>1763705.53</v>
      </c>
      <c r="AB100" s="211">
        <f>IF(AA100=0,"",IFERROR(AA100/AA$19,""))</f>
        <v>0.27818942561286186</v>
      </c>
      <c r="AC100" s="136"/>
      <c r="AD100" s="210">
        <v>2098502.4295451301</v>
      </c>
      <c r="AE100" s="211">
        <f>IF(AD100=0,"",IFERROR(AD100/AD$19,""))</f>
        <v>0.23221934493738899</v>
      </c>
      <c r="AF100" s="212">
        <f>IF(AND($AA100="",AD100=""),"",$AA100-AD100)</f>
        <v>-334796.89954513009</v>
      </c>
      <c r="AG100" s="213">
        <v>1248251.17</v>
      </c>
      <c r="AH100" s="214">
        <f>IF(AG100=0,"",IFERROR(AG100/AG$19,""))</f>
        <v>0.47049235828592162</v>
      </c>
      <c r="AI100" s="212">
        <f>IF(AND($AA100="",AG100=""),"",$AA100-AG100)</f>
        <v>515454.3600000001</v>
      </c>
      <c r="AJ100" s="215">
        <f>IFERROR(AA100/AA$20,0)</f>
        <v>53.637416519676421</v>
      </c>
      <c r="AK100" s="216">
        <f>IFERROR(AD100/AD$20,0)</f>
        <v>57.673347703653334</v>
      </c>
      <c r="AL100" s="217">
        <f>AJ100-AK100</f>
        <v>-4.0359311839769134</v>
      </c>
      <c r="AM100" s="218">
        <f>IFERROR(AG100/AG$20,0)</f>
        <v>82.229984848484847</v>
      </c>
      <c r="AN100" s="217">
        <f>AJ100-AM100</f>
        <v>-28.592568328808426</v>
      </c>
      <c r="AO100" s="11"/>
    </row>
    <row r="101" spans="1:41" ht="15.75" thickBot="1" x14ac:dyDescent="0.3">
      <c r="A101" s="61" t="s">
        <v>37</v>
      </c>
      <c r="B101" s="62"/>
      <c r="C101" s="11"/>
      <c r="D101" s="11"/>
      <c r="E101" s="11"/>
      <c r="F101" s="11"/>
      <c r="G101" s="11"/>
      <c r="H101" s="84" t="s">
        <v>81</v>
      </c>
      <c r="I101" s="132" t="str">
        <f>IF(_epmOfflineCondition_,"T3",_xll.EVPRO($B$1,$H101,"STYLE"))</f>
        <v>T3</v>
      </c>
      <c r="J101" s="132" t="str">
        <f>IF(_epmOfflineCondition_,"Y",_xll.EVPRO($B$1,$H101,"CALC"))</f>
        <v>Y</v>
      </c>
      <c r="K101" s="102"/>
      <c r="L101" s="55"/>
      <c r="M101" s="86"/>
      <c r="N101" s="102" t="str">
        <f>IF(_epmOfflineCondition_,"Department Profit (Loss)",IF(_xll.EVDES(H101,$B$1)="#NODATA","",_xll.EVDES(H101,$B$1)))</f>
        <v>Department Profit (Loss)</v>
      </c>
      <c r="O101" s="161">
        <v>483377.81</v>
      </c>
      <c r="P101" s="161">
        <v>539876.47</v>
      </c>
      <c r="Q101" s="161">
        <v>630585.68999999994</v>
      </c>
      <c r="R101" s="161">
        <v>445954.91</v>
      </c>
      <c r="S101" s="161">
        <v>327819.63</v>
      </c>
      <c r="T101" s="161">
        <v>184486.25</v>
      </c>
      <c r="U101" s="161">
        <v>262842.3</v>
      </c>
      <c r="V101" s="161">
        <v>248291.09</v>
      </c>
      <c r="W101" s="161">
        <v>143569.09</v>
      </c>
      <c r="X101" s="161">
        <v>252195.52</v>
      </c>
      <c r="Y101" s="161">
        <v>355578.86</v>
      </c>
      <c r="Z101" s="161">
        <v>701661.39</v>
      </c>
      <c r="AA101" s="161">
        <f>IF($I101="B1","",SUM(O101:Z101))</f>
        <v>4576239.0099999988</v>
      </c>
      <c r="AB101" s="162">
        <f>IF(AA101=0,"",IFERROR(AA101/AA$19,""))</f>
        <v>0.7218105743871378</v>
      </c>
      <c r="AC101" s="136"/>
      <c r="AD101" s="161">
        <v>6938222.8704548702</v>
      </c>
      <c r="AE101" s="162">
        <f>IF(AD101=0,"",IFERROR(AD101/AD$19,""))</f>
        <v>0.76778065506261095</v>
      </c>
      <c r="AF101" s="163">
        <f>IF(AND($AA101="",AD101=""),"",$AA101-AD101)</f>
        <v>-2361983.8604548713</v>
      </c>
      <c r="AG101" s="161">
        <v>1404823.1</v>
      </c>
      <c r="AH101" s="162">
        <f>IF(AG101=0,"",IFERROR(AG101/AG$19,""))</f>
        <v>0.52950764171407838</v>
      </c>
      <c r="AI101" s="163">
        <f>IF(AND($AA101="",AG101=""),"",$AA101-AG101)</f>
        <v>3171415.9099999988</v>
      </c>
      <c r="AJ101" s="219">
        <f>IFERROR(AA101/AA$20,0)</f>
        <v>139.17155312937166</v>
      </c>
      <c r="AK101" s="220">
        <f>IFERROR(AD101/AD$20,0)</f>
        <v>190.68385836461468</v>
      </c>
      <c r="AL101" s="221">
        <f>AJ101-AK101</f>
        <v>-51.512305235243019</v>
      </c>
      <c r="AM101" s="222">
        <f>IFERROR(AG101/AG$20,0)</f>
        <v>92.544341238471674</v>
      </c>
      <c r="AN101" s="221">
        <f>AJ101-AM101</f>
        <v>46.627211890899986</v>
      </c>
      <c r="AO101" s="11"/>
    </row>
    <row r="102" spans="1:41" ht="15.75" thickTop="1" x14ac:dyDescent="0.25">
      <c r="A102" s="61" t="s">
        <v>38</v>
      </c>
      <c r="B102" s="62"/>
      <c r="C102" s="11"/>
      <c r="D102" s="11"/>
      <c r="E102" s="11"/>
      <c r="F102" s="11"/>
      <c r="G102" s="11"/>
      <c r="H102" s="11"/>
      <c r="I102" s="55"/>
      <c r="J102" s="55"/>
      <c r="K102" s="11"/>
      <c r="L102" s="55"/>
      <c r="M102" s="55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x14ac:dyDescent="0.25">
      <c r="A103" s="61" t="s">
        <v>39</v>
      </c>
      <c r="B103" s="62"/>
      <c r="C103" s="11"/>
      <c r="D103" s="11"/>
      <c r="E103" s="11"/>
      <c r="F103" s="11"/>
      <c r="G103" s="11"/>
      <c r="H103" s="11"/>
      <c r="I103" s="55"/>
      <c r="J103" s="55"/>
      <c r="K103" s="11"/>
      <c r="L103" s="55"/>
      <c r="M103" s="55"/>
      <c r="N103" s="100" t="str">
        <f>N100&amp;" - Check"</f>
        <v>Total Expenses - Check</v>
      </c>
      <c r="O103" s="205">
        <f t="shared" ref="O103:AA103" si="36">SUMIF($H$35:$H$101,"600000",O$35:O$101)+SUMIF($H$35:$H$101,"700000",O$35:O$101)-SUMIF($H$35:$H$101,"TOTDEPTEXP",O$35:O$101)</f>
        <v>0</v>
      </c>
      <c r="P103" s="205">
        <f t="shared" si="36"/>
        <v>0</v>
      </c>
      <c r="Q103" s="205">
        <f t="shared" si="36"/>
        <v>0</v>
      </c>
      <c r="R103" s="205">
        <f t="shared" si="36"/>
        <v>0</v>
      </c>
      <c r="S103" s="205">
        <f t="shared" si="36"/>
        <v>0</v>
      </c>
      <c r="T103" s="205">
        <f t="shared" si="36"/>
        <v>0</v>
      </c>
      <c r="U103" s="205">
        <f t="shared" si="36"/>
        <v>0</v>
      </c>
      <c r="V103" s="205">
        <f t="shared" si="36"/>
        <v>0</v>
      </c>
      <c r="W103" s="205">
        <f t="shared" si="36"/>
        <v>0</v>
      </c>
      <c r="X103" s="205">
        <f t="shared" si="36"/>
        <v>0</v>
      </c>
      <c r="Y103" s="205">
        <f t="shared" si="36"/>
        <v>0</v>
      </c>
      <c r="Z103" s="205">
        <f t="shared" si="36"/>
        <v>0</v>
      </c>
      <c r="AA103" s="205">
        <f t="shared" si="36"/>
        <v>0</v>
      </c>
      <c r="AB103" s="96"/>
      <c r="AC103" s="11"/>
      <c r="AD103" s="205">
        <f>SUMIF($H$35:$H$101,"600000",AD$35:AD$101)+SUMIF($H$35:$H$101,"700000",AD$35:AD$101)-SUMIF($H$35:$H$101,"TOTDEPTEXP",AD$35:AD$101)</f>
        <v>0</v>
      </c>
      <c r="AE103" s="96"/>
      <c r="AF103" s="87"/>
      <c r="AG103" s="205">
        <f>SUMIF($H$35:$H$101,"600000",AG$35:AG$101)+SUMIF($H$35:$H$101,"700000",AG$35:AG$101)-SUMIF($H$35:$H$101,"TOTDEPTEXP",AG$35:AG$101)</f>
        <v>0</v>
      </c>
      <c r="AH103" s="96"/>
      <c r="AI103" s="87"/>
      <c r="AJ103" s="11"/>
      <c r="AK103" s="11"/>
      <c r="AL103" s="11"/>
      <c r="AM103" s="11"/>
      <c r="AN103" s="11"/>
      <c r="AO103" s="11"/>
    </row>
    <row r="104" spans="1:41" x14ac:dyDescent="0.25">
      <c r="A104" s="61" t="s">
        <v>40</v>
      </c>
      <c r="B104" s="62"/>
      <c r="C104" s="11"/>
      <c r="D104" s="11"/>
      <c r="E104" s="11"/>
      <c r="F104" s="11"/>
      <c r="G104" s="11"/>
      <c r="H104" s="11"/>
      <c r="I104" s="55"/>
      <c r="J104" s="55"/>
      <c r="K104" s="11"/>
      <c r="L104" s="55"/>
      <c r="M104" s="55"/>
      <c r="N104" s="100" t="str">
        <f>N101&amp;" - Check"</f>
        <v>Department Profit (Loss) - Check</v>
      </c>
      <c r="O104" s="205">
        <f t="shared" ref="O104:AA104" si="37">SUMIF($H$35:$H$101,"ROOMS_TOT",O$35:O$101)-SUMIF($H$35:$H$101,"TOTDEPTEXP",O$35:O$101)-SUMIF($H$35:$H$101,"TOTDEPTPL",O$35:O$101)</f>
        <v>0</v>
      </c>
      <c r="P104" s="205">
        <f t="shared" si="37"/>
        <v>0</v>
      </c>
      <c r="Q104" s="205">
        <f t="shared" si="37"/>
        <v>0</v>
      </c>
      <c r="R104" s="205">
        <f t="shared" si="37"/>
        <v>0</v>
      </c>
      <c r="S104" s="205">
        <f t="shared" si="37"/>
        <v>0</v>
      </c>
      <c r="T104" s="205">
        <f t="shared" si="37"/>
        <v>0</v>
      </c>
      <c r="U104" s="205">
        <f t="shared" si="37"/>
        <v>0</v>
      </c>
      <c r="V104" s="205">
        <f t="shared" si="37"/>
        <v>0</v>
      </c>
      <c r="W104" s="205">
        <f t="shared" si="37"/>
        <v>0</v>
      </c>
      <c r="X104" s="205">
        <f t="shared" si="37"/>
        <v>0</v>
      </c>
      <c r="Y104" s="205">
        <f t="shared" si="37"/>
        <v>0</v>
      </c>
      <c r="Z104" s="205">
        <f t="shared" si="37"/>
        <v>0</v>
      </c>
      <c r="AA104" s="205">
        <f t="shared" si="37"/>
        <v>0</v>
      </c>
      <c r="AB104" s="96"/>
      <c r="AC104" s="11"/>
      <c r="AD104" s="205">
        <f>SUMIF($H$35:$H$101,"ROOMS_TOT",AD$35:AD$101)-SUMIF($H$35:$H$101,"TOTDEPTEXP",AD$35:AD$101)-SUMIF($H$35:$H$101,"TOTDEPTPL",AD$35:AD$101)</f>
        <v>0</v>
      </c>
      <c r="AE104" s="96"/>
      <c r="AF104" s="87"/>
      <c r="AG104" s="205">
        <f>SUMIF($H$35:$H$101,"ROOMS_TOT",AG$35:AG$101)-SUMIF($H$35:$H$101,"TOTDEPTEXP",AG$35:AG$101)-SUMIF($H$35:$H$101,"TOTDEPTPL",AG$35:AG$101)</f>
        <v>0</v>
      </c>
      <c r="AH104" s="96"/>
      <c r="AI104" s="87"/>
      <c r="AJ104" s="11"/>
      <c r="AK104" s="11"/>
      <c r="AL104" s="11"/>
      <c r="AM104" s="11"/>
      <c r="AN104" s="11"/>
      <c r="AO104" s="11"/>
    </row>
    <row r="105" spans="1:41" x14ac:dyDescent="0.25">
      <c r="A105" s="61" t="s">
        <v>41</v>
      </c>
      <c r="B105" s="62"/>
      <c r="C105" s="11"/>
      <c r="D105" s="11"/>
      <c r="E105" s="11"/>
      <c r="F105" s="11"/>
      <c r="G105" s="11"/>
      <c r="H105" s="11"/>
      <c r="I105" s="55"/>
      <c r="J105" s="55"/>
      <c r="K105" s="11"/>
      <c r="L105" s="55"/>
      <c r="M105" s="55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x14ac:dyDescent="0.25">
      <c r="A106" s="61" t="s">
        <v>42</v>
      </c>
      <c r="B106" s="62"/>
      <c r="C106" s="11"/>
      <c r="D106" s="11"/>
      <c r="E106" s="11"/>
      <c r="F106" s="11"/>
      <c r="G106" s="11"/>
      <c r="H106" s="11"/>
      <c r="I106" s="55"/>
      <c r="J106" s="55"/>
      <c r="K106" s="11"/>
      <c r="L106" s="55"/>
      <c r="M106" s="55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x14ac:dyDescent="0.25">
      <c r="A107" s="61" t="s">
        <v>43</v>
      </c>
      <c r="B107" s="62"/>
      <c r="C107" s="11"/>
      <c r="D107" s="11"/>
      <c r="E107" s="11"/>
      <c r="F107" s="11"/>
      <c r="G107" s="11"/>
      <c r="H107" s="11"/>
      <c r="I107" s="55"/>
      <c r="J107" s="55"/>
      <c r="K107" s="11"/>
      <c r="L107" s="55"/>
      <c r="M107" s="55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x14ac:dyDescent="0.25">
      <c r="A108" s="61" t="s">
        <v>44</v>
      </c>
      <c r="B108" s="62"/>
      <c r="C108" s="11"/>
      <c r="D108" s="11"/>
      <c r="E108" s="11"/>
      <c r="F108" s="11"/>
      <c r="G108" s="11"/>
      <c r="H108" s="11"/>
      <c r="I108" s="55"/>
      <c r="J108" s="55"/>
      <c r="K108" s="11"/>
      <c r="L108" s="55"/>
      <c r="M108" s="55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x14ac:dyDescent="0.25">
      <c r="A109" s="61" t="s">
        <v>45</v>
      </c>
      <c r="B109" s="62"/>
      <c r="C109" s="11"/>
      <c r="D109" s="11"/>
      <c r="E109" s="11"/>
      <c r="F109" s="11"/>
      <c r="G109" s="11"/>
      <c r="H109" s="11"/>
      <c r="I109" s="55"/>
      <c r="J109" s="55"/>
      <c r="K109" s="11"/>
      <c r="L109" s="55"/>
      <c r="M109" s="55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x14ac:dyDescent="0.25">
      <c r="A110" s="61" t="s">
        <v>46</v>
      </c>
      <c r="B110" s="62"/>
      <c r="C110" s="11"/>
      <c r="D110" s="11"/>
      <c r="E110" s="11"/>
      <c r="F110" s="11"/>
      <c r="G110" s="11"/>
      <c r="H110" s="11"/>
      <c r="I110" s="55"/>
      <c r="J110" s="55"/>
      <c r="K110" s="11"/>
      <c r="L110" s="55"/>
      <c r="M110" s="55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x14ac:dyDescent="0.25">
      <c r="A111" s="11"/>
      <c r="B111" s="11"/>
      <c r="C111" s="11"/>
      <c r="D111" s="11"/>
      <c r="E111" s="11"/>
      <c r="F111" s="11"/>
      <c r="G111" s="11"/>
      <c r="H111" s="55"/>
      <c r="I111" s="55"/>
      <c r="J111" s="11"/>
      <c r="K111" s="11"/>
      <c r="L111" s="55"/>
      <c r="M111" s="55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x14ac:dyDescent="0.25">
      <c r="A112" s="11"/>
      <c r="B112" s="11"/>
      <c r="C112" s="11"/>
      <c r="D112" s="11"/>
      <c r="E112" s="11"/>
      <c r="F112" s="11"/>
      <c r="G112" s="11"/>
      <c r="H112" s="55"/>
      <c r="I112" s="55"/>
      <c r="J112" s="11"/>
      <c r="K112" s="11"/>
      <c r="L112" s="55"/>
      <c r="M112" s="55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x14ac:dyDescent="0.25">
      <c r="A113" s="11"/>
      <c r="B113" s="11"/>
      <c r="C113" s="11"/>
      <c r="D113" s="11"/>
      <c r="E113" s="11"/>
      <c r="F113" s="11"/>
      <c r="G113" s="11"/>
      <c r="H113" s="55"/>
      <c r="I113" s="55"/>
      <c r="J113" s="11"/>
      <c r="K113" s="11"/>
      <c r="L113" s="55"/>
      <c r="M113" s="55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  <row r="114" spans="1:41" x14ac:dyDescent="0.25">
      <c r="A114" s="11"/>
      <c r="B114" s="11"/>
      <c r="C114" s="11"/>
      <c r="D114" s="11"/>
      <c r="E114" s="11"/>
      <c r="F114" s="11"/>
      <c r="G114" s="11"/>
      <c r="H114" s="55"/>
      <c r="I114" s="55"/>
      <c r="J114" s="11"/>
      <c r="K114" s="11"/>
      <c r="L114" s="55"/>
      <c r="M114" s="55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x14ac:dyDescent="0.25">
      <c r="A115" s="11"/>
      <c r="B115" s="11"/>
      <c r="C115" s="11"/>
      <c r="D115" s="11"/>
      <c r="E115" s="11"/>
      <c r="F115" s="11"/>
      <c r="G115" s="11"/>
      <c r="H115" s="55"/>
      <c r="I115" s="55"/>
      <c r="J115" s="11"/>
      <c r="K115" s="11"/>
      <c r="L115" s="55"/>
      <c r="M115" s="55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x14ac:dyDescent="0.25">
      <c r="A116" s="11"/>
      <c r="B116" s="11"/>
      <c r="C116" s="11"/>
      <c r="D116" s="11"/>
      <c r="E116" s="11"/>
      <c r="F116" s="11"/>
      <c r="G116" s="11"/>
      <c r="H116" s="55"/>
      <c r="I116" s="55"/>
      <c r="J116" s="11"/>
      <c r="K116" s="11"/>
      <c r="L116" s="55"/>
      <c r="M116" s="55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x14ac:dyDescent="0.25">
      <c r="A117" s="11"/>
      <c r="B117" s="11"/>
      <c r="C117" s="11"/>
      <c r="D117" s="11"/>
      <c r="E117" s="11"/>
      <c r="F117" s="11"/>
      <c r="G117" s="11"/>
      <c r="H117" s="55"/>
      <c r="I117" s="55"/>
      <c r="J117" s="11"/>
      <c r="K117" s="11"/>
      <c r="L117" s="55"/>
      <c r="M117" s="55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x14ac:dyDescent="0.25">
      <c r="A118" s="11"/>
      <c r="B118" s="11"/>
      <c r="C118" s="11"/>
      <c r="D118" s="11"/>
      <c r="E118" s="11"/>
      <c r="F118" s="11"/>
      <c r="G118" s="11"/>
      <c r="H118" s="55"/>
      <c r="I118" s="55"/>
      <c r="J118" s="11"/>
      <c r="K118" s="11"/>
      <c r="L118" s="55"/>
      <c r="M118" s="55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x14ac:dyDescent="0.25">
      <c r="A119" s="11"/>
      <c r="B119" s="11"/>
      <c r="C119" s="11"/>
      <c r="D119" s="11"/>
      <c r="E119" s="11"/>
      <c r="F119" s="11"/>
      <c r="G119" s="11"/>
      <c r="H119" s="55"/>
      <c r="I119" s="55"/>
      <c r="J119" s="11"/>
      <c r="K119" s="11"/>
      <c r="L119" s="55"/>
      <c r="M119" s="55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x14ac:dyDescent="0.25">
      <c r="A120" s="11"/>
      <c r="B120" s="11"/>
      <c r="C120" s="11"/>
      <c r="D120" s="11"/>
      <c r="E120" s="11"/>
      <c r="F120" s="11"/>
      <c r="G120" s="11"/>
      <c r="H120" s="55"/>
      <c r="I120" s="55"/>
      <c r="J120" s="11"/>
      <c r="K120" s="11"/>
      <c r="L120" s="55"/>
      <c r="M120" s="55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x14ac:dyDescent="0.25">
      <c r="A121" s="11"/>
      <c r="B121" s="11"/>
      <c r="C121" s="11"/>
      <c r="D121" s="11"/>
      <c r="E121" s="11"/>
      <c r="F121" s="11"/>
      <c r="G121" s="11"/>
      <c r="H121" s="55"/>
      <c r="I121" s="55"/>
      <c r="J121" s="11"/>
      <c r="K121" s="11"/>
      <c r="L121" s="55"/>
      <c r="M121" s="55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x14ac:dyDescent="0.25">
      <c r="A122" s="11"/>
      <c r="B122" s="11"/>
      <c r="C122" s="11"/>
      <c r="D122" s="11"/>
      <c r="E122" s="11"/>
      <c r="F122" s="11"/>
      <c r="G122" s="11"/>
      <c r="H122" s="55"/>
      <c r="I122" s="55"/>
      <c r="J122" s="11"/>
      <c r="K122" s="11"/>
      <c r="L122" s="55"/>
      <c r="M122" s="55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x14ac:dyDescent="0.25">
      <c r="A123" s="11"/>
      <c r="B123" s="11"/>
      <c r="C123" s="11"/>
      <c r="D123" s="11"/>
      <c r="E123" s="11"/>
      <c r="F123" s="11"/>
      <c r="G123" s="11"/>
      <c r="H123" s="55"/>
      <c r="I123" s="55"/>
      <c r="J123" s="11"/>
      <c r="K123" s="11"/>
      <c r="L123" s="55"/>
      <c r="M123" s="55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x14ac:dyDescent="0.25">
      <c r="A124" s="11"/>
      <c r="B124" s="11"/>
      <c r="C124" s="11"/>
      <c r="D124" s="11"/>
      <c r="E124" s="11"/>
      <c r="F124" s="11"/>
      <c r="G124" s="11"/>
      <c r="H124" s="55"/>
      <c r="I124" s="55"/>
      <c r="J124" s="11"/>
      <c r="K124" s="11"/>
      <c r="L124" s="55"/>
      <c r="M124" s="55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x14ac:dyDescent="0.25">
      <c r="A125" s="11"/>
      <c r="B125" s="11"/>
      <c r="C125" s="11"/>
      <c r="D125" s="11"/>
      <c r="E125" s="11"/>
      <c r="F125" s="11"/>
      <c r="G125" s="11"/>
      <c r="H125" s="55"/>
      <c r="I125" s="55"/>
      <c r="J125" s="11"/>
      <c r="K125" s="11"/>
      <c r="L125" s="55"/>
      <c r="M125" s="55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x14ac:dyDescent="0.25">
      <c r="A126" s="11"/>
      <c r="B126" s="11"/>
      <c r="C126" s="11"/>
      <c r="D126" s="11"/>
      <c r="E126" s="11"/>
      <c r="F126" s="11"/>
      <c r="G126" s="11"/>
      <c r="H126" s="55"/>
      <c r="I126" s="55"/>
      <c r="J126" s="11"/>
      <c r="K126" s="11"/>
      <c r="L126" s="55"/>
      <c r="M126" s="55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x14ac:dyDescent="0.25">
      <c r="A127" s="11"/>
      <c r="B127" s="11"/>
      <c r="C127" s="11"/>
      <c r="D127" s="11"/>
      <c r="E127" s="11"/>
      <c r="F127" s="11"/>
      <c r="G127" s="11"/>
      <c r="H127" s="55"/>
      <c r="I127" s="55"/>
      <c r="J127" s="11"/>
      <c r="K127" s="11"/>
      <c r="L127" s="55"/>
      <c r="M127" s="55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x14ac:dyDescent="0.25">
      <c r="A128" s="11"/>
      <c r="B128" s="11"/>
      <c r="C128" s="11"/>
      <c r="D128" s="11"/>
      <c r="E128" s="11"/>
      <c r="F128" s="11"/>
      <c r="G128" s="11"/>
      <c r="H128" s="55"/>
      <c r="I128" s="55"/>
      <c r="J128" s="11"/>
      <c r="K128" s="11"/>
      <c r="L128" s="55"/>
      <c r="M128" s="55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</row>
    <row r="129" spans="1:41" x14ac:dyDescent="0.25">
      <c r="A129" s="11"/>
      <c r="B129" s="11"/>
      <c r="C129" s="11"/>
      <c r="D129" s="11"/>
      <c r="E129" s="11"/>
      <c r="F129" s="11"/>
      <c r="G129" s="11"/>
      <c r="H129" s="55"/>
      <c r="I129" s="55"/>
      <c r="J129" s="11"/>
      <c r="K129" s="11"/>
      <c r="L129" s="55"/>
      <c r="M129" s="55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x14ac:dyDescent="0.25">
      <c r="A130" s="11"/>
      <c r="B130" s="11"/>
      <c r="C130" s="11"/>
      <c r="D130" s="11"/>
      <c r="E130" s="11"/>
      <c r="F130" s="11"/>
      <c r="G130" s="11"/>
      <c r="H130" s="55"/>
      <c r="I130" s="55"/>
      <c r="J130" s="11"/>
      <c r="K130" s="11"/>
      <c r="L130" s="55"/>
      <c r="M130" s="55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x14ac:dyDescent="0.25">
      <c r="A131" s="11"/>
      <c r="B131" s="11"/>
      <c r="C131" s="11"/>
      <c r="D131" s="11"/>
      <c r="E131" s="11"/>
      <c r="F131" s="11"/>
      <c r="G131" s="11"/>
      <c r="H131" s="55"/>
      <c r="I131" s="55"/>
      <c r="J131" s="11"/>
      <c r="K131" s="11"/>
      <c r="L131" s="55"/>
      <c r="M131" s="55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x14ac:dyDescent="0.25">
      <c r="A132" s="11"/>
      <c r="B132" s="11"/>
      <c r="C132" s="11"/>
      <c r="D132" s="11"/>
      <c r="E132" s="11"/>
      <c r="F132" s="11"/>
      <c r="G132" s="11"/>
      <c r="H132" s="55"/>
      <c r="I132" s="55"/>
      <c r="J132" s="11"/>
      <c r="K132" s="11"/>
      <c r="L132" s="55"/>
      <c r="M132" s="55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x14ac:dyDescent="0.25">
      <c r="A133" s="11"/>
      <c r="B133" s="11"/>
      <c r="C133" s="11"/>
      <c r="D133" s="11"/>
      <c r="E133" s="11"/>
      <c r="F133" s="11"/>
      <c r="G133" s="11"/>
      <c r="H133" s="55"/>
      <c r="I133" s="55"/>
      <c r="J133" s="11"/>
      <c r="K133" s="11"/>
      <c r="L133" s="55"/>
      <c r="M133" s="55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</sheetData>
  <sheetProtection algorithmName="SHA-512" hashValue="YmAWvRkEUZOnlf+J8u9XkRo+gzFzj2pU0bzOSAG3Enpj72blzxozLkkUXE+he/Gb53hhJbVUYF/l6ONizmgXBw==" saltValue="nyoPw3xTs+GU467H0Kcvug==" spinCount="100000" sheet="1" scenarios="1"/>
  <mergeCells count="2">
    <mergeCell ref="AD31:AE31"/>
    <mergeCell ref="AG31:AH31"/>
  </mergeCells>
  <dataValidations disablePrompts="1" count="2">
    <dataValidation type="list" allowBlank="1" sqref="B29 B59" xr:uid="{00000000-0002-0000-0200-000000000000}">
      <formula1>"SELF,ALL,BAS,DEP,BASMEMBERS,MEMBERS,NOEXPAND,GDEP"</formula1>
    </dataValidation>
    <dataValidation type="list" allowBlank="1" sqref="B28 B58" xr:uid="{00000000-0002-0000-0200-000001000000}">
      <formula1>"ACCOUNT,BUSINESSUNIT,CATEGORY,DATASRC,DEPARTMENT,INTCO,MEASURES,RPTCURRENCY,TIME"</formula1>
    </dataValidation>
  </dataValidations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customProperties>
    <customPr name="EpmWorksheetKeyString_GUID" r:id="rId2"/>
    <customPr name="FPMExcelClientCellBasedFunctionStatus" r:id="rId3"/>
    <customPr name="FPMExcelClientRefreshTime" r:id="rId4"/>
  </customProperties>
  <legacy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5" tint="0.39997558519241921"/>
    <pageSetUpPr fitToPage="1"/>
  </sheetPr>
  <dimension ref="A1:AI154"/>
  <sheetViews>
    <sheetView topLeftCell="K1" zoomScale="85" zoomScaleNormal="85" workbookViewId="0">
      <pane xSplit="4" ySplit="32" topLeftCell="O40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2" width="9.7109375" style="1" hidden="1" customWidth="1" outlineLevel="1" collapsed="1"/>
    <col min="13" max="13" width="9.7109375" style="1" hidden="1" customWidth="1" outlineLevel="1"/>
    <col min="14" max="14" width="35.7109375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16384" width="9.140625" style="1"/>
  </cols>
  <sheetData>
    <row r="1" spans="1:35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</row>
    <row r="2" spans="1:35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11"/>
      <c r="H4" s="11"/>
      <c r="I4" s="55"/>
      <c r="J4" s="55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11"/>
      <c r="H5" s="11"/>
      <c r="I5" s="55"/>
      <c r="J5" s="55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idden="1" outlineLevel="1" x14ac:dyDescent="0.25">
      <c r="A6" s="49" t="s">
        <v>52</v>
      </c>
      <c r="B6" s="52" t="s">
        <v>60</v>
      </c>
      <c r="C6" s="11" t="str">
        <f>IF(_epmOfflineCondition_,"Rooms",_xll.EVDES(B6,$B$1))</f>
        <v>Rooms</v>
      </c>
      <c r="D6" s="11"/>
      <c r="E6" s="54" t="str">
        <f>IF(_epmOfflineCondition_,"D_ROOMS",_xll.EVPRO($B$1,$B$6,$F$6))</f>
        <v>D_ROOMS</v>
      </c>
      <c r="F6" s="11" t="s">
        <v>278</v>
      </c>
      <c r="G6" s="11"/>
      <c r="H6" s="11"/>
      <c r="I6" s="55"/>
      <c r="J6" s="55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11"/>
      <c r="H7" s="11"/>
      <c r="I7" s="55"/>
      <c r="J7" s="55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11"/>
      <c r="H8" s="11"/>
      <c r="I8" s="55"/>
      <c r="J8" s="55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11"/>
      <c r="M12" s="11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</row>
    <row r="13" spans="1:35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11"/>
      <c r="M13" s="11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</row>
    <row r="14" spans="1:35" hidden="1" outlineLevel="1" x14ac:dyDescent="0.25">
      <c r="A14" s="56" t="str">
        <f>IF(_epmOfflineCondition_,"Evdre:Ok",_xll.EVDRE($B$1,A17:B24))</f>
        <v>Evdre:Ok</v>
      </c>
      <c r="B14" s="49" t="s">
        <v>361</v>
      </c>
      <c r="C14" s="257"/>
      <c r="D14" s="11"/>
      <c r="E14" s="11"/>
      <c r="F14" s="11"/>
      <c r="G14" s="11"/>
      <c r="H14" s="11"/>
      <c r="I14" s="55"/>
      <c r="J14" s="55"/>
      <c r="K14" s="11"/>
      <c r="L14" s="11"/>
      <c r="M14" s="11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</row>
    <row r="15" spans="1:35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11"/>
      <c r="M15" s="11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</row>
    <row r="16" spans="1:35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11"/>
      <c r="M16" s="11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</row>
    <row r="17" spans="1:35" hidden="1" outlineLevel="1" x14ac:dyDescent="0.25">
      <c r="A17" s="61" t="s">
        <v>2</v>
      </c>
      <c r="B17" s="62" t="str">
        <f>IF(_epmOfflineCondition_,"'MMA'!$B$2:$B$10",_xll.EVRNG($B$2:$B$10))</f>
        <v>'MMA'!$B$2:$B$10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11"/>
      <c r="M17" s="11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 t="str">
        <f>Z17</f>
        <v>ACTUAL_CON</v>
      </c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</row>
    <row r="18" spans="1:35" hidden="1" outlineLevel="1" x14ac:dyDescent="0.25">
      <c r="A18" s="61" t="s">
        <v>3</v>
      </c>
      <c r="B18" s="62" t="str">
        <f>IF(_epmOfflineCondition_,"'MMA'!$O$16:$AI$18",_xll.EVRNG(O16:AI18))</f>
        <v>'MMA'!$O$16:$AI$18</v>
      </c>
      <c r="C18" s="11"/>
      <c r="D18" s="11"/>
      <c r="E18" s="11"/>
      <c r="F18" s="11"/>
      <c r="G18" s="11"/>
      <c r="H18" s="11"/>
      <c r="I18" s="55"/>
      <c r="J18" s="55"/>
      <c r="K18" s="11"/>
      <c r="L18" s="11"/>
      <c r="M18" s="11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59" t="str">
        <f>IF(SetUp!$O$1=TRUE,"TRAILING12",IF(AA17="CURRENT","ROLLINGFORECAST","PERIODIC"))</f>
        <v>PERIODIC</v>
      </c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</row>
    <row r="19" spans="1:35" hidden="1" outlineLevel="1" x14ac:dyDescent="0.25">
      <c r="A19" s="61" t="s">
        <v>4</v>
      </c>
      <c r="B19" s="62" t="str">
        <f>IF(_epmOfflineCondition_,"'MMA'!$H$34:$H$69,'MMA'!$H$72:$H$116,'MMA'!$H$119:$H$152",_xll.EVRNG(H34:H69,H72:H116,H119:H152))</f>
        <v>'MMA'!$H$34:$H$69,'MMA'!$H$72:$H$116,'MMA'!$H$119:$H$152</v>
      </c>
      <c r="C19" s="11"/>
      <c r="D19" s="11"/>
      <c r="E19" s="11"/>
      <c r="F19" s="11"/>
      <c r="G19" s="63" t="str">
        <f>$B$6</f>
        <v>D_ROOMS_CON</v>
      </c>
      <c r="H19" s="63">
        <v>400000</v>
      </c>
      <c r="I19" s="64"/>
      <c r="J19" s="64"/>
      <c r="K19" s="63"/>
      <c r="L19" s="63"/>
      <c r="M19" s="63"/>
      <c r="N19" s="63" t="str">
        <f>IF(_epmOfflineCondition_,"Total Revenue",_xll.EVDES(H19))</f>
        <v>Total Revenue</v>
      </c>
      <c r="O19" s="65">
        <f>IF(_epmOfflineCondition_,642489.77,_xll.EVGTS($B$1,1,$B$3,$B$5,$B$7,$B$9,O$16,O$17,O$18,$G$19,$H$19))</f>
        <v>642489.77</v>
      </c>
      <c r="P19" s="65">
        <f>IF(_epmOfflineCondition_,689311.33,_xll.EVGTS($B$1,1,$B$3,$B$5,$B$7,$B$9,P$16,P$17,P$18,$G$19,$H$19))</f>
        <v>689311.33</v>
      </c>
      <c r="Q19" s="65">
        <f>IF(_epmOfflineCondition_,794322.76,_xll.EVGTS($B$1,1,$B$3,$B$5,$B$7,$B$9,Q$16,Q$17,Q$18,$G$19,$H$19))</f>
        <v>794322.76</v>
      </c>
      <c r="R19" s="65">
        <f>IF(_epmOfflineCondition_,599715.47,_xll.EVGTS($B$1,1,$B$3,$B$5,$B$7,$B$9,R$16,R$17,R$18,$G$19,$H$19))</f>
        <v>599715.47</v>
      </c>
      <c r="S19" s="65">
        <f>IF(_epmOfflineCondition_,476136.88,_xll.EVGTS($B$1,1,$B$3,$B$5,$B$7,$B$9,S$16,S$17,S$18,$G$19,$H$19))</f>
        <v>476136.88</v>
      </c>
      <c r="T19" s="65">
        <f>IF(_epmOfflineCondition_,333518.41,_xll.EVGTS($B$1,1,$B$3,$B$5,$B$7,$B$9,T$16,T$17,T$18,$G$19,$H$19))</f>
        <v>333518.40999999997</v>
      </c>
      <c r="U19" s="65">
        <f>IF(_epmOfflineCondition_,393649.4,_xll.EVGTS($B$1,1,$B$3,$B$5,$B$7,$B$9,U$16,U$17,U$18,$G$19,$H$19))</f>
        <v>393649.4</v>
      </c>
      <c r="V19" s="65">
        <f>IF(_epmOfflineCondition_,379826.96,_xll.EVGTS($B$1,1,$B$3,$B$5,$B$7,$B$9,V$16,V$17,V$18,$G$19,$H$19))</f>
        <v>379826.96</v>
      </c>
      <c r="W19" s="65">
        <f>IF(_epmOfflineCondition_,261653.71,_xll.EVGTS($B$1,1,$B$3,$B$5,$B$7,$B$9,W$16,W$17,W$18,$G$19,$H$19))</f>
        <v>261653.71</v>
      </c>
      <c r="X19" s="65">
        <f>IF(_epmOfflineCondition_,392536.9,_xll.EVGTS($B$1,1,$B$3,$B$5,$B$7,$B$9,X$16,X$17,X$18,$G$19,$H$19))</f>
        <v>392536.9</v>
      </c>
      <c r="Y19" s="65">
        <f>IF(_epmOfflineCondition_,503352.62,_xll.EVGTS($B$1,1,$B$3,$B$5,$B$7,$B$9,Y$16,Y$17,Y$18,$G$19,$H$19))</f>
        <v>503352.62</v>
      </c>
      <c r="Z19" s="65">
        <f>IF(_epmOfflineCondition_,873430.33,_xll.EVGTS($B$1,1,$B$3,$B$5,$B$7,$B$9,Z$16,Z$17,Z$18,$G$19,$H$19))</f>
        <v>873430.33</v>
      </c>
      <c r="AA19" s="65">
        <f>SUM(O19:Z19)</f>
        <v>6339944.540000001</v>
      </c>
      <c r="AB19" s="63"/>
      <c r="AC19" s="63"/>
      <c r="AD19" s="65">
        <f>IF(_epmOfflineCondition_,9036725.3,_xll.EVGTS($B$1,1,$B$3,$B$5,$B$7,$B$9,AD$16,AD$17,AD$18,$G$19,$H$19))</f>
        <v>9036725.3000000007</v>
      </c>
      <c r="AE19" s="63"/>
      <c r="AF19" s="63"/>
      <c r="AG19" s="65">
        <f>IF(_epmOfflineCondition_,2653074.27,_xll.EVGTS($B$1,1,$B$3,$B$5,$B$7,$B$9,AG$16,AG$17,AG$18,$G$19,$H$19))</f>
        <v>2653074.27</v>
      </c>
      <c r="AH19" s="63"/>
      <c r="AI19" s="63"/>
    </row>
    <row r="20" spans="1:35" hidden="1" outlineLevel="1" x14ac:dyDescent="0.25">
      <c r="A20" s="61" t="s">
        <v>5</v>
      </c>
      <c r="B20" s="62"/>
      <c r="C20" s="11"/>
      <c r="D20" s="11"/>
      <c r="E20" s="11"/>
      <c r="F20" s="11"/>
      <c r="G20" s="63" t="str">
        <f>$B$6</f>
        <v>D_ROOMS_CON</v>
      </c>
      <c r="H20" s="63">
        <v>900200</v>
      </c>
      <c r="I20" s="64"/>
      <c r="J20" s="64"/>
      <c r="K20" s="63"/>
      <c r="L20" s="63"/>
      <c r="M20" s="63"/>
      <c r="N20" s="63" t="str">
        <f>IF(_epmOfflineCondition_,"Total Rooms Occupied",_xll.EVDES(H20))</f>
        <v>Total Rooms Occupied</v>
      </c>
      <c r="O20" s="65">
        <f>IF(_epmOfflineCondition_,2885,_xll.EVGTS($B$1,1,$B$3,$B$5,$B$7,$B$9,O$16,O$17,O$18,$G$20,$H$20))</f>
        <v>2885</v>
      </c>
      <c r="P20" s="65">
        <f>IF(_epmOfflineCondition_,2648,_xll.EVGTS($B$1,1,$B$3,$B$5,$B$7,$B$9,P$16,P$17,P$18,$G$20,$H$20))</f>
        <v>2648</v>
      </c>
      <c r="Q20" s="65">
        <f>IF(_epmOfflineCondition_,3038,_xll.EVGTS($B$1,1,$B$3,$B$5,$B$7,$B$9,Q$16,Q$17,Q$18,$G$20,$H$20))</f>
        <v>3038</v>
      </c>
      <c r="R20" s="65">
        <f>IF(_epmOfflineCondition_,2737,_xll.EVGTS($B$1,1,$B$3,$B$5,$B$7,$B$9,R$16,R$17,R$18,$G$20,$H$20))</f>
        <v>2737</v>
      </c>
      <c r="S20" s="65">
        <f>IF(_epmOfflineCondition_,2600,_xll.EVGTS($B$1,1,$B$3,$B$5,$B$7,$B$9,S$16,S$17,S$18,$G$20,$H$20))</f>
        <v>2600</v>
      </c>
      <c r="T20" s="65">
        <f>IF(_epmOfflineCondition_,2202,_xll.EVGTS($B$1,1,$B$3,$B$5,$B$7,$B$9,T$16,T$17,T$18,$G$20,$H$20))</f>
        <v>2202</v>
      </c>
      <c r="U20" s="65">
        <f>IF(_epmOfflineCondition_,2516,_xll.EVGTS($B$1,1,$B$3,$B$5,$B$7,$B$9,U$16,U$17,U$18,$G$20,$H$20))</f>
        <v>2516</v>
      </c>
      <c r="V20" s="65">
        <f>IF(_epmOfflineCondition_,2830,_xll.EVGTS($B$1,1,$B$3,$B$5,$B$7,$B$9,V$16,V$17,V$18,$G$20,$H$20))</f>
        <v>2830</v>
      </c>
      <c r="W20" s="65">
        <f>IF(_epmOfflineCondition_,2120,_xll.EVGTS($B$1,1,$B$3,$B$5,$B$7,$B$9,W$16,W$17,W$18,$G$20,$H$20))</f>
        <v>2120</v>
      </c>
      <c r="X20" s="65">
        <f>IF(_epmOfflineCondition_,2772,_xll.EVGTS($B$1,1,$B$3,$B$5,$B$7,$B$9,X$16,X$17,X$18,$G$20,$H$20))</f>
        <v>2772</v>
      </c>
      <c r="Y20" s="65">
        <f>IF(_epmOfflineCondition_,2993,_xll.EVGTS($B$1,1,$B$3,$B$5,$B$7,$B$9,Y$16,Y$17,Y$18,$G$20,$H$20))</f>
        <v>2993</v>
      </c>
      <c r="Z20" s="65">
        <f>IF(_epmOfflineCondition_,3541,_xll.EVGTS($B$1,1,$B$3,$B$5,$B$7,$B$9,Z$16,Z$17,Z$18,$G$20,$H$20))</f>
        <v>3541</v>
      </c>
      <c r="AA20" s="65">
        <f>SUM(O20:Z20)</f>
        <v>32882</v>
      </c>
      <c r="AB20" s="63"/>
      <c r="AC20" s="63"/>
      <c r="AD20" s="65">
        <f>IF(_epmOfflineCondition_,36386,_xll.EVGTS($B$1,1,$B$3,$B$5,$B$7,$B$9,AD$16,AD$17,AD$18,$G$20,$H$20))</f>
        <v>36386</v>
      </c>
      <c r="AE20" s="63"/>
      <c r="AF20" s="63"/>
      <c r="AG20" s="65">
        <f>IF(_epmOfflineCondition_,15180,_xll.EVGTS($B$1,1,$B$3,$B$5,$B$7,$B$9,AG$16,AG$17,AG$18,$G$20,$H$20))</f>
        <v>15180</v>
      </c>
      <c r="AH20" s="63"/>
      <c r="AI20" s="63"/>
    </row>
    <row r="21" spans="1:35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55"/>
      <c r="J21" s="55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hidden="1" outlineLevel="1" x14ac:dyDescent="0.25">
      <c r="A22" s="61" t="s">
        <v>7</v>
      </c>
      <c r="B22" s="62"/>
      <c r="C22" s="11"/>
      <c r="D22" s="11"/>
      <c r="E22" s="11"/>
      <c r="F22" s="11"/>
      <c r="G22" s="11"/>
      <c r="H22" s="11"/>
      <c r="I22" s="55"/>
      <c r="J22" s="55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idden="1" outlineLevel="1" x14ac:dyDescent="0.25">
      <c r="A23" s="61" t="s">
        <v>47</v>
      </c>
      <c r="B23" s="62" t="str">
        <f>IF(_epmOfflineCondition_,"'MMA'!$A$28:$B$49",_xll.EVRNG($A$28:$B$49))</f>
        <v>'MMA'!$A$28:$B$49</v>
      </c>
      <c r="C23" s="11"/>
      <c r="D23" s="11"/>
      <c r="E23" s="11"/>
      <c r="F23" s="11"/>
      <c r="G23" s="11"/>
      <c r="H23" s="11"/>
      <c r="I23" s="55"/>
      <c r="J23" s="55"/>
      <c r="K23" s="6"/>
      <c r="L23" s="6"/>
      <c r="M23" s="6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22.5" x14ac:dyDescent="0.3">
      <c r="A26" s="11"/>
      <c r="B26" s="11"/>
      <c r="C26" s="11"/>
      <c r="D26" s="11"/>
      <c r="E26" s="11"/>
      <c r="F26" s="11"/>
      <c r="G26" s="11"/>
      <c r="H26" s="11"/>
      <c r="I26" s="55"/>
      <c r="J26" s="55"/>
      <c r="K26" s="11"/>
      <c r="L26" s="11"/>
      <c r="M26" s="11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8" x14ac:dyDescent="0.25">
      <c r="A27" s="57" t="s">
        <v>23</v>
      </c>
      <c r="B27" s="58" t="s">
        <v>24</v>
      </c>
      <c r="C27" s="11"/>
      <c r="D27" s="11"/>
      <c r="E27" s="11"/>
      <c r="F27" s="11"/>
      <c r="G27" s="11"/>
      <c r="H27" s="11"/>
      <c r="I27" s="55"/>
      <c r="J27" s="55"/>
      <c r="K27" s="11"/>
      <c r="L27" s="11"/>
      <c r="M27" s="11"/>
      <c r="N27" s="67" t="str">
        <f>IF(_epmOfflineCondition_,"Rooms Department",IF(_xll.EVDES(B6,$B$1)="#NODATA","",_xll.EVDES(B6,$B$1)&amp;" Department"))</f>
        <v>Rooms Department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.75" x14ac:dyDescent="0.25">
      <c r="A28" s="61" t="s">
        <v>25</v>
      </c>
      <c r="B28" s="62"/>
      <c r="C28" s="11"/>
      <c r="D28" s="11"/>
      <c r="E28" s="11"/>
      <c r="F28" s="11"/>
      <c r="G28" s="11"/>
      <c r="H28" s="11"/>
      <c r="I28" s="55"/>
      <c r="J28" s="55"/>
      <c r="K28" s="11"/>
      <c r="L28" s="11"/>
      <c r="M28" s="11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ht="15" customHeight="1" x14ac:dyDescent="0.25">
      <c r="A29" s="61" t="s">
        <v>26</v>
      </c>
      <c r="B29" s="62"/>
      <c r="C29" s="11"/>
      <c r="D29" s="11"/>
      <c r="E29" s="11"/>
      <c r="F29" s="11"/>
      <c r="G29" s="11"/>
      <c r="H29" s="11"/>
      <c r="I29" s="55"/>
      <c r="J29" s="55"/>
      <c r="K29" s="11"/>
      <c r="L29" s="11"/>
      <c r="M29" s="11"/>
      <c r="N29" s="68" t="str">
        <f>IF(_epmOfflineCondition_,"Local Currency",_xll.EVDES(B9,B1))</f>
        <v>Local Currency</v>
      </c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25">
      <c r="A30" s="61" t="s">
        <v>27</v>
      </c>
      <c r="B30" s="62"/>
      <c r="C30" s="11"/>
      <c r="D30" s="11"/>
      <c r="E30" s="11"/>
      <c r="F30" s="11"/>
      <c r="G30" s="11"/>
      <c r="H30" s="11"/>
      <c r="I30" s="55"/>
      <c r="J30" s="55"/>
      <c r="K30" s="11"/>
      <c r="L30" s="11"/>
      <c r="M30" s="11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</row>
    <row r="31" spans="1:35" x14ac:dyDescent="0.25">
      <c r="A31" s="61" t="s">
        <v>28</v>
      </c>
      <c r="B31" s="62"/>
      <c r="C31" s="11"/>
      <c r="D31" s="11"/>
      <c r="E31" s="11"/>
      <c r="F31" s="11"/>
      <c r="G31" s="72"/>
      <c r="H31" s="11"/>
      <c r="I31" s="55"/>
      <c r="J31" s="55"/>
      <c r="K31" s="11"/>
      <c r="L31" s="11"/>
      <c r="M31" s="11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</row>
    <row r="32" spans="1:35" s="8" customFormat="1" ht="30" customHeight="1" x14ac:dyDescent="0.25">
      <c r="A32" s="61" t="s">
        <v>29</v>
      </c>
      <c r="B32" s="62"/>
      <c r="C32" s="11"/>
      <c r="D32" s="11"/>
      <c r="E32" s="11"/>
      <c r="F32" s="11"/>
      <c r="G32" s="79"/>
      <c r="H32" s="80"/>
      <c r="I32" s="81"/>
      <c r="J32" s="81"/>
      <c r="K32" s="79"/>
      <c r="L32" s="79"/>
      <c r="M32" s="79"/>
      <c r="N32" s="258" t="s">
        <v>219</v>
      </c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11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</row>
    <row r="33" spans="1:35" x14ac:dyDescent="0.25">
      <c r="A33" s="61" t="s">
        <v>30</v>
      </c>
      <c r="B33" s="62" t="s">
        <v>78</v>
      </c>
      <c r="C33" s="11"/>
      <c r="D33" s="11"/>
      <c r="E33" s="11"/>
      <c r="F33" s="11"/>
      <c r="G33" s="11"/>
      <c r="H33" s="11" t="s">
        <v>69</v>
      </c>
      <c r="I33" s="55" t="str">
        <f>IF(_epmOfflineCondition_,"B1",_xll.EVPRO($B$1,$H33,"STYLE"))</f>
        <v>B1</v>
      </c>
      <c r="J33" s="55" t="str">
        <f>IF(_epmOfflineCondition_,"Y",_xll.EVPRO($B$1,$H33,"CALC"))</f>
        <v>Y</v>
      </c>
      <c r="K33" s="11"/>
      <c r="L33" s="129" t="s">
        <v>364</v>
      </c>
      <c r="M33" s="129" t="s">
        <v>783</v>
      </c>
      <c r="N33" s="101" t="str">
        <f>IF(_epmOfflineCondition_,"Revenues",IF(_xll.EVDES(H33,$B$1)="#NODATA","",_xll.EVDES(H33,$B$1)))</f>
        <v>Revenues</v>
      </c>
      <c r="O33" s="125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7"/>
      <c r="AC33" s="11"/>
      <c r="AD33" s="125"/>
      <c r="AE33" s="126"/>
      <c r="AF33" s="259"/>
      <c r="AG33" s="125"/>
      <c r="AH33" s="126"/>
      <c r="AI33" s="127"/>
    </row>
    <row r="34" spans="1:35" x14ac:dyDescent="0.25">
      <c r="A34" s="61" t="s">
        <v>31</v>
      </c>
      <c r="B34" s="62" t="s">
        <v>78</v>
      </c>
      <c r="C34" s="11"/>
      <c r="D34" s="11"/>
      <c r="E34" s="11"/>
      <c r="F34" s="11"/>
      <c r="G34" s="11"/>
      <c r="H34" s="84" t="s">
        <v>83</v>
      </c>
      <c r="I34" s="85" t="str">
        <f>IF(_epmOfflineCondition_,"T5",_xll.EVPRO($B$1,$H34,"STYLE"))</f>
        <v>T5</v>
      </c>
      <c r="J34" s="85" t="str">
        <f>IF(_epmOfflineCondition_,"Y",_xll.EVPRO($B$1,$H34,"CALC"))</f>
        <v>Y</v>
      </c>
      <c r="K34" s="103"/>
      <c r="L34" s="102" t="str">
        <f>IF(_epmOfflineCondition_,"",_xll.EVPRO($B$1,H34,"JDEID"))</f>
        <v/>
      </c>
      <c r="M34" s="86" t="str">
        <f>IF(_epmOfflineCondition_,"",IF(AND(I34="N",J34="N"),_xll.EVPRO($B$1,H34,"PSFTID"),""))</f>
        <v/>
      </c>
      <c r="N34" s="102" t="str">
        <f>IF(_epmOfflineCondition_,"Retail",IF(_xll.EVDES(H34,$B$1)="#NODATA","",_xll.EVDES(H34,$B$1)))</f>
        <v>Retail</v>
      </c>
      <c r="O34" s="265">
        <v>159187.97</v>
      </c>
      <c r="P34" s="266">
        <v>119007.62</v>
      </c>
      <c r="Q34" s="266">
        <v>128651.22</v>
      </c>
      <c r="R34" s="266">
        <v>124904.97</v>
      </c>
      <c r="S34" s="266">
        <v>149430.07999999999</v>
      </c>
      <c r="T34" s="266">
        <v>79390.22</v>
      </c>
      <c r="U34" s="266">
        <v>101878.66</v>
      </c>
      <c r="V34" s="266">
        <v>67295.12</v>
      </c>
      <c r="W34" s="266">
        <v>61325.51</v>
      </c>
      <c r="X34" s="266">
        <v>103026.61</v>
      </c>
      <c r="Y34" s="266">
        <v>147075.54</v>
      </c>
      <c r="Z34" s="266">
        <v>414675.01</v>
      </c>
      <c r="AA34" s="266">
        <f t="shared" ref="AA34:AA52" si="0">SUM(O34:Z34)</f>
        <v>1655848.53</v>
      </c>
      <c r="AB34" s="267">
        <f t="shared" ref="AB34:AB69" si="1">IF(AA34=0,"",IFERROR(AA34/AA$19,""))</f>
        <v>0.26117713168512979</v>
      </c>
      <c r="AC34" s="136"/>
      <c r="AD34" s="268">
        <v>2096924.21</v>
      </c>
      <c r="AE34" s="267">
        <f t="shared" ref="AE34:AE69" si="2">IF(AD34=0,"",IFERROR(AD34/AD$19,""))</f>
        <v>0.23204469986489462</v>
      </c>
      <c r="AF34" s="269">
        <f t="shared" ref="AF34:AF69" si="3">IF(AND($AA34="",AD34=""),"",$AA34-AD34)</f>
        <v>-441075.67999999993</v>
      </c>
      <c r="AG34" s="269">
        <v>758208.52</v>
      </c>
      <c r="AH34" s="267">
        <f t="shared" ref="AH34:AH69" si="4">IF(AG34=0,"",IFERROR(AG34/AG$19,""))</f>
        <v>0.28578488305945543</v>
      </c>
      <c r="AI34" s="270">
        <f t="shared" ref="AI34:AI69" si="5">IF(AND($AA34="",AG34=""),"",$AA34-AG34)</f>
        <v>897640.01</v>
      </c>
    </row>
    <row r="35" spans="1:35" x14ac:dyDescent="0.25">
      <c r="A35" s="61" t="s">
        <v>32</v>
      </c>
      <c r="B35" s="62"/>
      <c r="C35" s="11"/>
      <c r="D35" s="11"/>
      <c r="E35" s="11"/>
      <c r="F35" s="11"/>
      <c r="G35" s="11"/>
      <c r="H35" s="84" t="s">
        <v>121</v>
      </c>
      <c r="I35" s="100" t="str">
        <f>IF(_epmOfflineCondition_,"T6",_xll.EVPRO($B$1,$H35,"STYLE"))</f>
        <v>T6</v>
      </c>
      <c r="J35" s="100" t="str">
        <f>IF(_epmOfflineCondition_,"Y",_xll.EVPRO($B$1,$H35,"CALC"))</f>
        <v>Y</v>
      </c>
      <c r="K35" s="100"/>
      <c r="L35" s="100" t="str">
        <f>IF(_epmOfflineCondition_,"402100",_xll.EVPRO($B$1,H35,"JDEID"))</f>
        <v>402100</v>
      </c>
      <c r="M35" s="86" t="str">
        <f>IF(_epmOfflineCondition_,"",IF(AND(I35="N",J35="N"),_xll.EVPRO($B$1,H35,"PSFTID"),""))</f>
        <v/>
      </c>
      <c r="N35" s="100" t="str">
        <f>IF(_epmOfflineCondition_,"Room Only",IF(_xll.EVDES(H35,$B$1)="#NODATA","",_xll.EVDES(H35,$B$1)))</f>
        <v>Room Only</v>
      </c>
      <c r="O35" s="271">
        <v>40848.559999999998</v>
      </c>
      <c r="P35" s="272">
        <v>33366.959999999999</v>
      </c>
      <c r="Q35" s="272">
        <v>44084.28</v>
      </c>
      <c r="R35" s="272">
        <v>31172.85</v>
      </c>
      <c r="S35" s="272">
        <v>53616.33</v>
      </c>
      <c r="T35" s="272">
        <v>21338.07</v>
      </c>
      <c r="U35" s="272">
        <v>21132</v>
      </c>
      <c r="V35" s="272">
        <v>17437.64</v>
      </c>
      <c r="W35" s="272">
        <v>18096.59</v>
      </c>
      <c r="X35" s="272">
        <v>25315.67</v>
      </c>
      <c r="Y35" s="272">
        <v>64662.25</v>
      </c>
      <c r="Z35" s="272">
        <v>95633.93</v>
      </c>
      <c r="AA35" s="272">
        <f t="shared" si="0"/>
        <v>466705.13</v>
      </c>
      <c r="AB35" s="273">
        <f t="shared" si="1"/>
        <v>7.3613440473408301E-2</v>
      </c>
      <c r="AC35" s="136"/>
      <c r="AD35" s="274">
        <v>766271.76</v>
      </c>
      <c r="AE35" s="273">
        <f t="shared" si="2"/>
        <v>8.4795291940543985E-2</v>
      </c>
      <c r="AF35" s="275">
        <f t="shared" si="3"/>
        <v>-299566.63</v>
      </c>
      <c r="AG35" s="275">
        <v>178041.76</v>
      </c>
      <c r="AH35" s="273">
        <f t="shared" si="4"/>
        <v>6.7107718021026233E-2</v>
      </c>
      <c r="AI35" s="276">
        <f t="shared" si="5"/>
        <v>288663.37</v>
      </c>
    </row>
    <row r="36" spans="1:35" x14ac:dyDescent="0.25">
      <c r="A36" s="61" t="s">
        <v>33</v>
      </c>
      <c r="B36" s="62"/>
      <c r="C36" s="11"/>
      <c r="D36" s="11"/>
      <c r="E36" s="11"/>
      <c r="F36" s="11"/>
      <c r="G36" s="11"/>
      <c r="H36" s="84" t="s">
        <v>122</v>
      </c>
      <c r="I36" s="100" t="str">
        <f>IF(_epmOfflineCondition_,"T6",_xll.EVPRO($B$1,$H36,"STYLE"))</f>
        <v>T6</v>
      </c>
      <c r="J36" s="100" t="str">
        <f>IF(_epmOfflineCondition_,"Y",_xll.EVPRO($B$1,$H36,"CALC"))</f>
        <v>Y</v>
      </c>
      <c r="K36" s="100"/>
      <c r="L36" s="100" t="str">
        <f>IF(_epmOfflineCondition_,"402130",_xll.EVPRO($B$1,H36,"JDEID"))</f>
        <v>402130</v>
      </c>
      <c r="M36" s="86" t="str">
        <f>IF(_epmOfflineCondition_,"",IF(AND(I36="N",J36="N"),_xll.EVPRO($B$1,H36,"PSFTID"),""))</f>
        <v/>
      </c>
      <c r="N36" s="100" t="str">
        <f>IF(_epmOfflineCondition_,"Retail Web",IF(_xll.EVDES(H36,$B$1)="#NODATA","",_xll.EVDES(H36,$B$1)))</f>
        <v>Retail Web</v>
      </c>
      <c r="O36" s="271">
        <v>118339.41</v>
      </c>
      <c r="P36" s="272">
        <v>85640.66</v>
      </c>
      <c r="Q36" s="272">
        <v>84566.94</v>
      </c>
      <c r="R36" s="272">
        <v>93732.12</v>
      </c>
      <c r="S36" s="272">
        <v>95813.75</v>
      </c>
      <c r="T36" s="272">
        <v>58052.15</v>
      </c>
      <c r="U36" s="272">
        <v>80746.66</v>
      </c>
      <c r="V36" s="272">
        <v>49857.48</v>
      </c>
      <c r="W36" s="272">
        <v>43228.92</v>
      </c>
      <c r="X36" s="272">
        <v>77710.94</v>
      </c>
      <c r="Y36" s="272">
        <v>82413.289999999994</v>
      </c>
      <c r="Z36" s="272">
        <v>319041.08</v>
      </c>
      <c r="AA36" s="272">
        <f t="shared" si="0"/>
        <v>1189143.4000000001</v>
      </c>
      <c r="AB36" s="273">
        <f t="shared" si="1"/>
        <v>0.18756369121172153</v>
      </c>
      <c r="AC36" s="136"/>
      <c r="AD36" s="274">
        <v>1330652.45</v>
      </c>
      <c r="AE36" s="273">
        <f t="shared" si="2"/>
        <v>0.14724940792435062</v>
      </c>
      <c r="AF36" s="275">
        <f t="shared" si="3"/>
        <v>-141509.04999999981</v>
      </c>
      <c r="AG36" s="275">
        <v>580166.76</v>
      </c>
      <c r="AH36" s="273">
        <f t="shared" si="4"/>
        <v>0.21867716503842918</v>
      </c>
      <c r="AI36" s="276">
        <f t="shared" si="5"/>
        <v>608976.64000000013</v>
      </c>
    </row>
    <row r="37" spans="1:35" x14ac:dyDescent="0.25">
      <c r="A37" s="61" t="s">
        <v>34</v>
      </c>
      <c r="B37" s="62"/>
      <c r="C37" s="11"/>
      <c r="D37" s="11"/>
      <c r="E37" s="11"/>
      <c r="F37" s="11"/>
      <c r="G37" s="11"/>
      <c r="H37" s="84" t="s">
        <v>84</v>
      </c>
      <c r="I37" s="85" t="str">
        <f>IF(_epmOfflineCondition_,"T5",_xll.EVPRO($B$1,$H37,"STYLE"))</f>
        <v>T5</v>
      </c>
      <c r="J37" s="85" t="str">
        <f>IF(_epmOfflineCondition_,"Y",_xll.EVPRO($B$1,$H37,"CALC"))</f>
        <v>Y</v>
      </c>
      <c r="K37" s="103"/>
      <c r="L37" s="102" t="str">
        <f>IF(_epmOfflineCondition_,"",_xll.EVPRO($B$1,H37,"JDEID"))</f>
        <v/>
      </c>
      <c r="M37" s="86" t="str">
        <f>IF(_epmOfflineCondition_,"",IF(AND(I37="N",J37="N"),_xll.EVPRO($B$1,H37,"PSFTID"),""))</f>
        <v/>
      </c>
      <c r="N37" s="102" t="str">
        <f>IF(_epmOfflineCondition_,"Discount",IF(_xll.EVDES(H37,$B$1)="#NODATA","",_xll.EVDES(H37,$B$1)))</f>
        <v>Discount</v>
      </c>
      <c r="O37" s="265">
        <v>227204.34</v>
      </c>
      <c r="P37" s="266">
        <v>274403.63</v>
      </c>
      <c r="Q37" s="266">
        <v>420988.61</v>
      </c>
      <c r="R37" s="266">
        <v>294071.40999999997</v>
      </c>
      <c r="S37" s="266">
        <v>183944.19</v>
      </c>
      <c r="T37" s="266">
        <v>122859.99</v>
      </c>
      <c r="U37" s="266">
        <v>201006.71</v>
      </c>
      <c r="V37" s="266">
        <v>212673.14</v>
      </c>
      <c r="W37" s="266">
        <v>138083.20000000001</v>
      </c>
      <c r="X37" s="266">
        <v>188202.43</v>
      </c>
      <c r="Y37" s="266">
        <v>216542.5</v>
      </c>
      <c r="Z37" s="266">
        <v>283129.33</v>
      </c>
      <c r="AA37" s="266">
        <f t="shared" si="0"/>
        <v>2763109.48</v>
      </c>
      <c r="AB37" s="267">
        <f t="shared" si="1"/>
        <v>0.43582549698455242</v>
      </c>
      <c r="AC37" s="136"/>
      <c r="AD37" s="268">
        <v>3908291.1</v>
      </c>
      <c r="AE37" s="267">
        <f t="shared" si="2"/>
        <v>0.43248975378282217</v>
      </c>
      <c r="AF37" s="269">
        <f t="shared" si="3"/>
        <v>-1145181.6200000001</v>
      </c>
      <c r="AG37" s="269">
        <v>996087.56</v>
      </c>
      <c r="AH37" s="267">
        <f t="shared" si="4"/>
        <v>0.37544654187159265</v>
      </c>
      <c r="AI37" s="270">
        <f t="shared" si="5"/>
        <v>1767021.92</v>
      </c>
    </row>
    <row r="38" spans="1:35" x14ac:dyDescent="0.25">
      <c r="A38" s="61" t="s">
        <v>35</v>
      </c>
      <c r="B38" s="62"/>
      <c r="C38" s="11"/>
      <c r="D38" s="11"/>
      <c r="E38" s="11"/>
      <c r="F38" s="11"/>
      <c r="G38" s="11"/>
      <c r="H38" s="84" t="s">
        <v>123</v>
      </c>
      <c r="I38" s="100" t="str">
        <f>IF(_epmOfflineCondition_,"T6",_xll.EVPRO($B$1,$H38,"STYLE"))</f>
        <v>T6</v>
      </c>
      <c r="J38" s="100" t="str">
        <f>IF(_epmOfflineCondition_,"Y",_xll.EVPRO($B$1,$H38,"CALC"))</f>
        <v>Y</v>
      </c>
      <c r="K38" s="100"/>
      <c r="L38" s="100" t="str">
        <f>IF(_epmOfflineCondition_,"402530",_xll.EVPRO($B$1,H38,"JDEID"))</f>
        <v>402530</v>
      </c>
      <c r="M38" s="86" t="str">
        <f>IF(_epmOfflineCondition_,"",IF(AND(I38="N",J38="N"),_xll.EVPRO($B$1,H38,"PSFTID"),""))</f>
        <v/>
      </c>
      <c r="N38" s="100" t="str">
        <f>IF(_epmOfflineCondition_,"Package",IF(_xll.EVDES(H38,$B$1)="#NODATA","",_xll.EVDES(H38,$B$1)))</f>
        <v>Package</v>
      </c>
      <c r="O38" s="271">
        <v>21084.9</v>
      </c>
      <c r="P38" s="272">
        <v>43478.239999999998</v>
      </c>
      <c r="Q38" s="272">
        <v>16911.09</v>
      </c>
      <c r="R38" s="272">
        <v>11718</v>
      </c>
      <c r="S38" s="272">
        <v>18244.72</v>
      </c>
      <c r="T38" s="272">
        <v>4162</v>
      </c>
      <c r="U38" s="272">
        <v>9933.07</v>
      </c>
      <c r="V38" s="272">
        <v>3698</v>
      </c>
      <c r="W38" s="272">
        <v>3628.04</v>
      </c>
      <c r="X38" s="272">
        <v>6264.78</v>
      </c>
      <c r="Y38" s="272">
        <v>3743.38</v>
      </c>
      <c r="Z38" s="272">
        <v>8246.2999999999993</v>
      </c>
      <c r="AA38" s="272">
        <f t="shared" si="0"/>
        <v>151112.51999999999</v>
      </c>
      <c r="AB38" s="273">
        <f t="shared" si="1"/>
        <v>2.3834990834162718E-2</v>
      </c>
      <c r="AC38" s="136"/>
      <c r="AD38" s="274">
        <v>452425.09</v>
      </c>
      <c r="AE38" s="273">
        <f t="shared" si="2"/>
        <v>5.0065159112449728E-2</v>
      </c>
      <c r="AF38" s="275">
        <f t="shared" si="3"/>
        <v>-301312.57000000007</v>
      </c>
      <c r="AG38" s="275">
        <v>121974.84</v>
      </c>
      <c r="AH38" s="273">
        <f t="shared" si="4"/>
        <v>4.5974905934314456E-2</v>
      </c>
      <c r="AI38" s="276">
        <f t="shared" si="5"/>
        <v>29137.679999999993</v>
      </c>
    </row>
    <row r="39" spans="1:35" x14ac:dyDescent="0.25">
      <c r="A39" s="61" t="s">
        <v>36</v>
      </c>
      <c r="B39" s="62"/>
      <c r="C39" s="11"/>
      <c r="D39" s="11"/>
      <c r="E39" s="11"/>
      <c r="F39" s="11"/>
      <c r="G39" s="11"/>
      <c r="H39" s="84" t="s">
        <v>124</v>
      </c>
      <c r="I39" s="100" t="str">
        <f>IF(_epmOfflineCondition_,"T6",_xll.EVPRO($B$1,$H39,"STYLE"))</f>
        <v>T6</v>
      </c>
      <c r="J39" s="100" t="str">
        <f>IF(_epmOfflineCondition_,"Y",_xll.EVPRO($B$1,$H39,"CALC"))</f>
        <v>Y</v>
      </c>
      <c r="K39" s="100"/>
      <c r="L39" s="100" t="str">
        <f>IF(_epmOfflineCondition_,"402500",_xll.EVPRO($B$1,H39,"JDEID"))</f>
        <v>402500</v>
      </c>
      <c r="M39" s="86" t="str">
        <f>IF(_epmOfflineCondition_,"",IF(AND(I39="N",J39="N"),_xll.EVPRO($B$1,H39,"PSFTID"),""))</f>
        <v/>
      </c>
      <c r="N39" s="100" t="str">
        <f>IF(_epmOfflineCondition_,"OTA Opaque",IF(_xll.EVDES(H39,$B$1)="#NODATA","",_xll.EVDES(H39,$B$1)))</f>
        <v>OTA Opaque</v>
      </c>
      <c r="O39" s="271">
        <v>1457.86</v>
      </c>
      <c r="P39" s="272">
        <v>6297.2</v>
      </c>
      <c r="Q39" s="272">
        <v>6001.65</v>
      </c>
      <c r="R39" s="272">
        <v>5333.26</v>
      </c>
      <c r="S39" s="272">
        <v>9640</v>
      </c>
      <c r="T39" s="272">
        <v>3524.76</v>
      </c>
      <c r="U39" s="272">
        <v>18075.28</v>
      </c>
      <c r="V39" s="272">
        <v>5839.62</v>
      </c>
      <c r="W39" s="272">
        <v>6443.48</v>
      </c>
      <c r="X39" s="272">
        <v>8235.0400000000009</v>
      </c>
      <c r="Y39" s="272">
        <v>19870.36</v>
      </c>
      <c r="Z39" s="272">
        <v>30606.52</v>
      </c>
      <c r="AA39" s="272">
        <f t="shared" si="0"/>
        <v>121325.03</v>
      </c>
      <c r="AB39" s="273">
        <f t="shared" si="1"/>
        <v>1.9136607463130898E-2</v>
      </c>
      <c r="AC39" s="136"/>
      <c r="AD39" s="274">
        <v>124899.4</v>
      </c>
      <c r="AE39" s="273">
        <f t="shared" si="2"/>
        <v>1.3821312018857095E-2</v>
      </c>
      <c r="AF39" s="275">
        <f t="shared" si="3"/>
        <v>-3574.3699999999953</v>
      </c>
      <c r="AG39" s="275">
        <v>52419.98</v>
      </c>
      <c r="AH39" s="273">
        <f t="shared" si="4"/>
        <v>1.9758202999722283E-2</v>
      </c>
      <c r="AI39" s="276">
        <f t="shared" si="5"/>
        <v>68905.049999999988</v>
      </c>
    </row>
    <row r="40" spans="1:35" x14ac:dyDescent="0.25">
      <c r="A40" s="61" t="s">
        <v>37</v>
      </c>
      <c r="B40" s="62"/>
      <c r="C40" s="11"/>
      <c r="D40" s="11"/>
      <c r="E40" s="11"/>
      <c r="F40" s="11"/>
      <c r="G40" s="11"/>
      <c r="H40" s="84" t="s">
        <v>125</v>
      </c>
      <c r="I40" s="100" t="str">
        <f>IF(_epmOfflineCondition_,"T6",_xll.EVPRO($B$1,$H40,"STYLE"))</f>
        <v>T6</v>
      </c>
      <c r="J40" s="100" t="str">
        <f>IF(_epmOfflineCondition_,"Y",_xll.EVPRO($B$1,$H40,"CALC"))</f>
        <v>Y</v>
      </c>
      <c r="K40" s="100"/>
      <c r="L40" s="100" t="str">
        <f>IF(_epmOfflineCondition_,"402540",_xll.EVPRO($B$1,H40,"JDEID"))</f>
        <v>402540</v>
      </c>
      <c r="M40" s="86" t="str">
        <f>IF(_epmOfflineCondition_,"",IF(AND(I40="N",J40="N"),_xll.EVPRO($B$1,H40,"PSFTID"),""))</f>
        <v/>
      </c>
      <c r="N40" s="100" t="str">
        <f>IF(_epmOfflineCondition_,"Brand/Media Promotions",IF(_xll.EVDES(H40,$B$1)="#NODATA","",_xll.EVDES(H40,$B$1)))</f>
        <v>Brand/Media Promotions</v>
      </c>
      <c r="O40" s="271">
        <v>37915.360000000001</v>
      </c>
      <c r="P40" s="272">
        <v>43272.39</v>
      </c>
      <c r="Q40" s="272">
        <v>37467.25</v>
      </c>
      <c r="R40" s="272">
        <v>29767.66</v>
      </c>
      <c r="S40" s="272">
        <v>8480.15</v>
      </c>
      <c r="T40" s="272">
        <v>9075.18</v>
      </c>
      <c r="U40" s="272">
        <v>13930.2</v>
      </c>
      <c r="V40" s="272">
        <v>14454.88</v>
      </c>
      <c r="W40" s="272">
        <v>9425.2999999999993</v>
      </c>
      <c r="X40" s="272">
        <v>30320.21</v>
      </c>
      <c r="Y40" s="272">
        <v>19003.93</v>
      </c>
      <c r="Z40" s="272">
        <v>63243.53</v>
      </c>
      <c r="AA40" s="272">
        <f t="shared" si="0"/>
        <v>316356.03999999998</v>
      </c>
      <c r="AB40" s="273">
        <f t="shared" si="1"/>
        <v>4.989886551909805E-2</v>
      </c>
      <c r="AC40" s="136"/>
      <c r="AD40" s="274">
        <v>931256.03</v>
      </c>
      <c r="AE40" s="273">
        <f t="shared" si="2"/>
        <v>0.10305237783425816</v>
      </c>
      <c r="AF40" s="275">
        <f t="shared" si="3"/>
        <v>-614899.99</v>
      </c>
      <c r="AG40" s="275">
        <v>148799.32</v>
      </c>
      <c r="AH40" s="273">
        <f t="shared" si="4"/>
        <v>5.6085621756830809E-2</v>
      </c>
      <c r="AI40" s="276">
        <f t="shared" si="5"/>
        <v>167556.71999999997</v>
      </c>
    </row>
    <row r="41" spans="1:35" x14ac:dyDescent="0.25">
      <c r="A41" s="61" t="s">
        <v>38</v>
      </c>
      <c r="B41" s="62"/>
      <c r="C41" s="11"/>
      <c r="D41" s="11"/>
      <c r="E41" s="11"/>
      <c r="F41" s="11"/>
      <c r="G41" s="11"/>
      <c r="H41" s="84" t="s">
        <v>126</v>
      </c>
      <c r="I41" s="100" t="str">
        <f>IF(_epmOfflineCondition_,"T6",_xll.EVPRO($B$1,$H41,"STYLE"))</f>
        <v>T6</v>
      </c>
      <c r="J41" s="100" t="str">
        <f>IF(_epmOfflineCondition_,"Y",_xll.EVPRO($B$1,$H41,"CALC"))</f>
        <v>Y</v>
      </c>
      <c r="K41" s="100"/>
      <c r="L41" s="100" t="str">
        <f>IF(_epmOfflineCondition_,"402550",_xll.EVPRO($B$1,H41,"JDEID"))</f>
        <v>402550</v>
      </c>
      <c r="M41" s="86" t="str">
        <f>IF(_epmOfflineCondition_,"",IF(AND(I41="N",J41="N"),_xll.EVPRO($B$1,H41,"PSFTID"),""))</f>
        <v/>
      </c>
      <c r="N41" s="100" t="str">
        <f>IF(_epmOfflineCondition_,"Advance Purchases",IF(_xll.EVDES(H41,$B$1)="#NODATA","",_xll.EVDES(H41,$B$1)))</f>
        <v>Advance Purchases</v>
      </c>
      <c r="O41" s="271">
        <v>24194.080000000002</v>
      </c>
      <c r="P41" s="272">
        <v>26363.74</v>
      </c>
      <c r="Q41" s="272">
        <v>53339.519999999997</v>
      </c>
      <c r="R41" s="272">
        <v>46984.3</v>
      </c>
      <c r="S41" s="272">
        <v>25320</v>
      </c>
      <c r="T41" s="272">
        <v>26960.86</v>
      </c>
      <c r="U41" s="272">
        <v>31553.91</v>
      </c>
      <c r="V41" s="272">
        <v>27605.48</v>
      </c>
      <c r="W41" s="272">
        <v>16887.28</v>
      </c>
      <c r="X41" s="272">
        <v>21723.439999999999</v>
      </c>
      <c r="Y41" s="272">
        <v>53285.98</v>
      </c>
      <c r="Z41" s="272">
        <v>77192.460000000006</v>
      </c>
      <c r="AA41" s="272">
        <f t="shared" si="0"/>
        <v>431411.05000000005</v>
      </c>
      <c r="AB41" s="273">
        <f t="shared" si="1"/>
        <v>6.804650218596392E-2</v>
      </c>
      <c r="AC41" s="136"/>
      <c r="AD41" s="274">
        <v>986246.6</v>
      </c>
      <c r="AE41" s="273">
        <f t="shared" si="2"/>
        <v>0.10913760983749278</v>
      </c>
      <c r="AF41" s="275">
        <f t="shared" si="3"/>
        <v>-554835.54999999993</v>
      </c>
      <c r="AG41" s="275">
        <v>71273.320000000007</v>
      </c>
      <c r="AH41" s="273">
        <f t="shared" si="4"/>
        <v>2.6864426980402627E-2</v>
      </c>
      <c r="AI41" s="276">
        <f t="shared" si="5"/>
        <v>360137.73000000004</v>
      </c>
    </row>
    <row r="42" spans="1:35" x14ac:dyDescent="0.25">
      <c r="A42" s="61" t="s">
        <v>39</v>
      </c>
      <c r="B42" s="62"/>
      <c r="C42" s="11"/>
      <c r="D42" s="11"/>
      <c r="E42" s="11"/>
      <c r="F42" s="11"/>
      <c r="G42" s="11"/>
      <c r="H42" s="84" t="s">
        <v>127</v>
      </c>
      <c r="I42" s="100" t="str">
        <f>IF(_epmOfflineCondition_,"T6",_xll.EVPRO($B$1,$H42,"STYLE"))</f>
        <v>T6</v>
      </c>
      <c r="J42" s="100" t="str">
        <f>IF(_epmOfflineCondition_,"Y",_xll.EVPRO($B$1,$H42,"CALC"))</f>
        <v>Y</v>
      </c>
      <c r="K42" s="100"/>
      <c r="L42" s="100" t="str">
        <f>IF(_epmOfflineCondition_,"402560",_xll.EVPRO($B$1,H42,"JDEID"))</f>
        <v>402560</v>
      </c>
      <c r="M42" s="86" t="str">
        <f>IF(_epmOfflineCondition_,"",IF(AND(I42="N",J42="N"),_xll.EVPRO($B$1,H42,"PSFTID"),""))</f>
        <v/>
      </c>
      <c r="N42" s="100" t="str">
        <f>IF(_epmOfflineCondition_,"Local Discounts",IF(_xll.EVDES(H42,$B$1)="#NODATA","",_xll.EVDES(H42,$B$1)))</f>
        <v>Local Discounts</v>
      </c>
      <c r="O42" s="271">
        <v>142552.14000000001</v>
      </c>
      <c r="P42" s="272">
        <v>154992.06</v>
      </c>
      <c r="Q42" s="272">
        <v>307269.09999999998</v>
      </c>
      <c r="R42" s="272">
        <v>200268.19</v>
      </c>
      <c r="S42" s="272">
        <v>122259.32</v>
      </c>
      <c r="T42" s="272">
        <v>79137.19</v>
      </c>
      <c r="U42" s="272">
        <v>127514.25</v>
      </c>
      <c r="V42" s="272">
        <v>161075.16</v>
      </c>
      <c r="W42" s="272">
        <v>101699.1</v>
      </c>
      <c r="X42" s="272">
        <v>121658.96</v>
      </c>
      <c r="Y42" s="272">
        <v>120638.85</v>
      </c>
      <c r="Z42" s="272">
        <v>103840.52</v>
      </c>
      <c r="AA42" s="272">
        <f t="shared" si="0"/>
        <v>1742904.84</v>
      </c>
      <c r="AB42" s="273">
        <f t="shared" si="1"/>
        <v>0.27490853098219686</v>
      </c>
      <c r="AC42" s="136"/>
      <c r="AD42" s="274">
        <v>1413463.98</v>
      </c>
      <c r="AE42" s="273">
        <f t="shared" si="2"/>
        <v>0.15641329497976439</v>
      </c>
      <c r="AF42" s="275">
        <f t="shared" si="3"/>
        <v>329440.8600000001</v>
      </c>
      <c r="AG42" s="275">
        <v>601620.1</v>
      </c>
      <c r="AH42" s="273">
        <f t="shared" si="4"/>
        <v>0.22676338420032244</v>
      </c>
      <c r="AI42" s="276">
        <f t="shared" si="5"/>
        <v>1141284.7400000002</v>
      </c>
    </row>
    <row r="43" spans="1:35" x14ac:dyDescent="0.25">
      <c r="A43" s="61" t="s">
        <v>40</v>
      </c>
      <c r="B43" s="62"/>
      <c r="C43" s="11"/>
      <c r="D43" s="11"/>
      <c r="E43" s="11"/>
      <c r="F43" s="11"/>
      <c r="G43" s="11"/>
      <c r="H43" s="84" t="s">
        <v>128</v>
      </c>
      <c r="I43" s="100" t="str">
        <f>IF(_epmOfflineCondition_,"T6",_xll.EVPRO($B$1,$H43,"STYLE"))</f>
        <v>T6</v>
      </c>
      <c r="J43" s="100" t="str">
        <f>IF(_epmOfflineCondition_,"Y",_xll.EVPRO($B$1,$H43,"CALC"))</f>
        <v>Y</v>
      </c>
      <c r="K43" s="100"/>
      <c r="L43" s="100" t="str">
        <f>IF(_epmOfflineCondition_,"402600",_xll.EVPRO($B$1,H43,"JDEID"))</f>
        <v>402600</v>
      </c>
      <c r="M43" s="86" t="str">
        <f>IF(_epmOfflineCondition_,"",IF(AND(I43="N",J43="N"),_xll.EVPRO($B$1,H43,"PSFTID"),""))</f>
        <v/>
      </c>
      <c r="N43" s="100" t="str">
        <f>IF(_epmOfflineCondition_,"Package &amp; Promo (Legacy)",IF(_xll.EVDES(H43,$B$1)="#NODATA","",_xll.EVDES(H43,$B$1)))</f>
        <v>Package &amp; Promo (Legacy)</v>
      </c>
      <c r="O43" s="271"/>
      <c r="P43" s="272"/>
      <c r="Q43" s="272"/>
      <c r="R43" s="272"/>
      <c r="S43" s="272"/>
      <c r="T43" s="272"/>
      <c r="U43" s="272"/>
      <c r="V43" s="272"/>
      <c r="W43" s="272"/>
      <c r="X43" s="272"/>
      <c r="Y43" s="272"/>
      <c r="Z43" s="272"/>
      <c r="AA43" s="272">
        <f t="shared" si="0"/>
        <v>0</v>
      </c>
      <c r="AB43" s="273" t="str">
        <f t="shared" si="1"/>
        <v/>
      </c>
      <c r="AC43" s="136"/>
      <c r="AD43" s="274"/>
      <c r="AE43" s="273" t="str">
        <f t="shared" si="2"/>
        <v/>
      </c>
      <c r="AF43" s="275">
        <f t="shared" si="3"/>
        <v>0</v>
      </c>
      <c r="AG43" s="275"/>
      <c r="AH43" s="273" t="str">
        <f t="shared" si="4"/>
        <v/>
      </c>
      <c r="AI43" s="276">
        <f t="shared" si="5"/>
        <v>0</v>
      </c>
    </row>
    <row r="44" spans="1:35" x14ac:dyDescent="0.25">
      <c r="A44" s="61" t="s">
        <v>41</v>
      </c>
      <c r="B44" s="62"/>
      <c r="C44" s="11"/>
      <c r="D44" s="11"/>
      <c r="E44" s="11"/>
      <c r="F44" s="11"/>
      <c r="G44" s="11"/>
      <c r="H44" s="84" t="s">
        <v>85</v>
      </c>
      <c r="I44" s="85" t="str">
        <f>IF(_epmOfflineCondition_,"T5",_xll.EVPRO($B$1,$H44,"STYLE"))</f>
        <v>T5</v>
      </c>
      <c r="J44" s="85" t="str">
        <f>IF(_epmOfflineCondition_,"Y",_xll.EVPRO($B$1,$H44,"CALC"))</f>
        <v>Y</v>
      </c>
      <c r="K44" s="103"/>
      <c r="L44" s="102" t="str">
        <f>IF(_epmOfflineCondition_,"",_xll.EVPRO($B$1,H44,"JDEID"))</f>
        <v/>
      </c>
      <c r="M44" s="86" t="str">
        <f>IF(_epmOfflineCondition_,"",IF(AND(I44="N",J44="N"),_xll.EVPRO($B$1,H44,"PSFTID"),""))</f>
        <v/>
      </c>
      <c r="N44" s="102" t="str">
        <f>IF(_epmOfflineCondition_,"Negotiated",IF(_xll.EVDES(H44,$B$1)="#NODATA","",_xll.EVDES(H44,$B$1)))</f>
        <v>Negotiated</v>
      </c>
      <c r="O44" s="265">
        <v>51851.34</v>
      </c>
      <c r="P44" s="266">
        <v>43953.08</v>
      </c>
      <c r="Q44" s="266">
        <v>41779.94</v>
      </c>
      <c r="R44" s="266">
        <v>40479.72</v>
      </c>
      <c r="S44" s="266">
        <v>34270.75</v>
      </c>
      <c r="T44" s="266">
        <v>16344.84</v>
      </c>
      <c r="U44" s="266">
        <v>11287.64</v>
      </c>
      <c r="V44" s="266">
        <v>17758.46</v>
      </c>
      <c r="W44" s="266">
        <v>12544.4</v>
      </c>
      <c r="X44" s="266">
        <v>33678.620000000003</v>
      </c>
      <c r="Y44" s="266">
        <v>32096.1</v>
      </c>
      <c r="Z44" s="266">
        <v>41995.92</v>
      </c>
      <c r="AA44" s="266">
        <f t="shared" si="0"/>
        <v>378040.80999999994</v>
      </c>
      <c r="AB44" s="267">
        <f t="shared" si="1"/>
        <v>5.9628409620125777E-2</v>
      </c>
      <c r="AC44" s="136"/>
      <c r="AD44" s="268">
        <v>521649.48</v>
      </c>
      <c r="AE44" s="267">
        <f t="shared" si="2"/>
        <v>5.7725499302274899E-2</v>
      </c>
      <c r="AF44" s="269">
        <f t="shared" si="3"/>
        <v>-143608.67000000004</v>
      </c>
      <c r="AG44" s="269">
        <v>175733.62</v>
      </c>
      <c r="AH44" s="267">
        <f t="shared" si="4"/>
        <v>6.6237731068116687E-2</v>
      </c>
      <c r="AI44" s="270">
        <f t="shared" si="5"/>
        <v>202307.18999999994</v>
      </c>
    </row>
    <row r="45" spans="1:35" x14ac:dyDescent="0.25">
      <c r="A45" s="61" t="s">
        <v>42</v>
      </c>
      <c r="B45" s="62"/>
      <c r="C45" s="11"/>
      <c r="D45" s="11"/>
      <c r="E45" s="11"/>
      <c r="F45" s="11"/>
      <c r="G45" s="11"/>
      <c r="H45" s="84" t="s">
        <v>129</v>
      </c>
      <c r="I45" s="100" t="str">
        <f>IF(_epmOfflineCondition_,"T6",_xll.EVPRO($B$1,$H45,"STYLE"))</f>
        <v>T6</v>
      </c>
      <c r="J45" s="100" t="str">
        <f>IF(_epmOfflineCondition_,"Y",_xll.EVPRO($B$1,$H45,"CALC"))</f>
        <v>Y</v>
      </c>
      <c r="K45" s="100"/>
      <c r="L45" s="100" t="str">
        <f>IF(_epmOfflineCondition_,"402300",_xll.EVPRO($B$1,H45,"JDEID"))</f>
        <v>402300</v>
      </c>
      <c r="M45" s="86" t="str">
        <f>IF(_epmOfflineCondition_,"",IF(AND(I45="N",J45="N"),_xll.EVPRO($B$1,H45,"PSFTID"),""))</f>
        <v/>
      </c>
      <c r="N45" s="100" t="str">
        <f>IF(_epmOfflineCondition_,"Consortia",IF(_xll.EVDES(H45,$B$1)="#NODATA","",_xll.EVDES(H45,$B$1)))</f>
        <v>Consortia</v>
      </c>
      <c r="O45" s="271">
        <v>6670</v>
      </c>
      <c r="P45" s="272">
        <v>3321</v>
      </c>
      <c r="Q45" s="272">
        <v>2084</v>
      </c>
      <c r="R45" s="272">
        <v>13074</v>
      </c>
      <c r="S45" s="272">
        <v>5862</v>
      </c>
      <c r="T45" s="272">
        <v>1373</v>
      </c>
      <c r="U45" s="272">
        <v>1421</v>
      </c>
      <c r="V45" s="272">
        <v>1986</v>
      </c>
      <c r="W45" s="272">
        <v>3210</v>
      </c>
      <c r="X45" s="272">
        <v>6564</v>
      </c>
      <c r="Y45" s="272">
        <v>3740</v>
      </c>
      <c r="Z45" s="272">
        <v>10796.92</v>
      </c>
      <c r="AA45" s="272">
        <f t="shared" si="0"/>
        <v>60101.919999999998</v>
      </c>
      <c r="AB45" s="273">
        <f t="shared" si="1"/>
        <v>9.4798810337858239E-3</v>
      </c>
      <c r="AC45" s="136"/>
      <c r="AD45" s="274">
        <v>223997.83</v>
      </c>
      <c r="AE45" s="273">
        <f t="shared" si="2"/>
        <v>2.4787500179960099E-2</v>
      </c>
      <c r="AF45" s="275">
        <f t="shared" si="3"/>
        <v>-163895.90999999997</v>
      </c>
      <c r="AG45" s="275">
        <v>23036.47</v>
      </c>
      <c r="AH45" s="273">
        <f t="shared" si="4"/>
        <v>8.6829344585215851E-3</v>
      </c>
      <c r="AI45" s="276">
        <f t="shared" si="5"/>
        <v>37065.449999999997</v>
      </c>
    </row>
    <row r="46" spans="1:35" x14ac:dyDescent="0.25">
      <c r="A46" s="61" t="s">
        <v>43</v>
      </c>
      <c r="B46" s="62"/>
      <c r="C46" s="11"/>
      <c r="D46" s="11"/>
      <c r="E46" s="11"/>
      <c r="F46" s="11"/>
      <c r="G46" s="11"/>
      <c r="H46" s="84" t="s">
        <v>130</v>
      </c>
      <c r="I46" s="100" t="str">
        <f>IF(_epmOfflineCondition_,"T6",_xll.EVPRO($B$1,$H46,"STYLE"))</f>
        <v>T6</v>
      </c>
      <c r="J46" s="100" t="str">
        <f>IF(_epmOfflineCondition_,"Y",_xll.EVPRO($B$1,$H46,"CALC"))</f>
        <v>Y</v>
      </c>
      <c r="K46" s="100"/>
      <c r="L46" s="100" t="str">
        <f>IF(_epmOfflineCondition_,"402350",_xll.EVPRO($B$1,H46,"JDEID"))</f>
        <v>402350</v>
      </c>
      <c r="M46" s="86" t="str">
        <f>IF(_epmOfflineCondition_,"",IF(AND(I46="N",J46="N"),_xll.EVPRO($B$1,H46,"PSFTID"),""))</f>
        <v/>
      </c>
      <c r="N46" s="100" t="str">
        <f>IF(_epmOfflineCondition_,"National Negotiated",IF(_xll.EVDES(H46,$B$1)="#NODATA","",_xll.EVDES(H46,$B$1)))</f>
        <v>National Negotiated</v>
      </c>
      <c r="O46" s="271">
        <v>23528.34</v>
      </c>
      <c r="P46" s="272">
        <v>24273.08</v>
      </c>
      <c r="Q46" s="272">
        <v>14700.94</v>
      </c>
      <c r="R46" s="272">
        <v>15212.72</v>
      </c>
      <c r="S46" s="272">
        <v>12458</v>
      </c>
      <c r="T46" s="272">
        <v>12386.84</v>
      </c>
      <c r="U46" s="272">
        <v>7831.64</v>
      </c>
      <c r="V46" s="272">
        <v>12427.46</v>
      </c>
      <c r="W46" s="272">
        <v>5548.4</v>
      </c>
      <c r="X46" s="272">
        <v>18840.62</v>
      </c>
      <c r="Y46" s="272">
        <v>22373.3</v>
      </c>
      <c r="Z46" s="272">
        <v>27469</v>
      </c>
      <c r="AA46" s="272">
        <f t="shared" si="0"/>
        <v>197050.33999999997</v>
      </c>
      <c r="AB46" s="273">
        <f t="shared" si="1"/>
        <v>3.1080767151316427E-2</v>
      </c>
      <c r="AC46" s="136"/>
      <c r="AD46" s="274">
        <v>166281.15</v>
      </c>
      <c r="AE46" s="273">
        <f t="shared" si="2"/>
        <v>1.8400598057351593E-2</v>
      </c>
      <c r="AF46" s="275">
        <f t="shared" si="3"/>
        <v>30769.189999999973</v>
      </c>
      <c r="AG46" s="275">
        <v>62341.15</v>
      </c>
      <c r="AH46" s="273">
        <f t="shared" si="4"/>
        <v>2.3497702535104682E-2</v>
      </c>
      <c r="AI46" s="276">
        <f t="shared" si="5"/>
        <v>134709.18999999997</v>
      </c>
    </row>
    <row r="47" spans="1:35" x14ac:dyDescent="0.25">
      <c r="A47" s="61" t="s">
        <v>44</v>
      </c>
      <c r="B47" s="62"/>
      <c r="C47" s="11"/>
      <c r="D47" s="11"/>
      <c r="E47" s="11"/>
      <c r="F47" s="11"/>
      <c r="G47" s="11"/>
      <c r="H47" s="84" t="s">
        <v>131</v>
      </c>
      <c r="I47" s="100" t="str">
        <f>IF(_epmOfflineCondition_,"T6",_xll.EVPRO($B$1,$H47,"STYLE"))</f>
        <v>T6</v>
      </c>
      <c r="J47" s="100" t="str">
        <f>IF(_epmOfflineCondition_,"Y",_xll.EVPRO($B$1,$H47,"CALC"))</f>
        <v>Y</v>
      </c>
      <c r="K47" s="100"/>
      <c r="L47" s="100" t="str">
        <f>IF(_epmOfflineCondition_,"402400",_xll.EVPRO($B$1,H47,"JDEID"))</f>
        <v>402400</v>
      </c>
      <c r="M47" s="86" t="str">
        <f>IF(_epmOfflineCondition_,"",IF(AND(I47="N",J47="N"),_xll.EVPRO($B$1,H47,"PSFTID"),""))</f>
        <v/>
      </c>
      <c r="N47" s="100" t="str">
        <f>IF(_epmOfflineCondition_,"Local Negotiated",IF(_xll.EVDES(H47,$B$1)="#NODATA","",_xll.EVDES(H47,$B$1)))</f>
        <v>Local Negotiated</v>
      </c>
      <c r="O47" s="271">
        <v>21653</v>
      </c>
      <c r="P47" s="272">
        <v>16359</v>
      </c>
      <c r="Q47" s="272">
        <v>24995</v>
      </c>
      <c r="R47" s="272">
        <v>12193</v>
      </c>
      <c r="S47" s="272">
        <v>15950.75</v>
      </c>
      <c r="T47" s="272">
        <v>2585</v>
      </c>
      <c r="U47" s="272">
        <v>2035</v>
      </c>
      <c r="V47" s="272">
        <v>3345</v>
      </c>
      <c r="W47" s="272">
        <v>3786</v>
      </c>
      <c r="X47" s="272">
        <v>8274</v>
      </c>
      <c r="Y47" s="272">
        <v>5982.8</v>
      </c>
      <c r="Z47" s="272">
        <v>3730</v>
      </c>
      <c r="AA47" s="272">
        <f t="shared" si="0"/>
        <v>120888.55</v>
      </c>
      <c r="AB47" s="273">
        <f t="shared" si="1"/>
        <v>1.906776143502353E-2</v>
      </c>
      <c r="AC47" s="136"/>
      <c r="AD47" s="274">
        <v>131370.5</v>
      </c>
      <c r="AE47" s="273">
        <f t="shared" si="2"/>
        <v>1.453740106496321E-2</v>
      </c>
      <c r="AF47" s="275">
        <f t="shared" si="3"/>
        <v>-10481.949999999997</v>
      </c>
      <c r="AG47" s="275">
        <v>90356</v>
      </c>
      <c r="AH47" s="273">
        <f t="shared" si="4"/>
        <v>3.4057094074490424E-2</v>
      </c>
      <c r="AI47" s="276">
        <f t="shared" si="5"/>
        <v>30532.550000000003</v>
      </c>
    </row>
    <row r="48" spans="1:35" x14ac:dyDescent="0.25">
      <c r="A48" s="61" t="s">
        <v>45</v>
      </c>
      <c r="B48" s="62"/>
      <c r="C48" s="11"/>
      <c r="D48" s="11"/>
      <c r="E48" s="11"/>
      <c r="F48" s="11"/>
      <c r="G48" s="11"/>
      <c r="H48" s="84" t="s">
        <v>86</v>
      </c>
      <c r="I48" s="85" t="str">
        <f>IF(_epmOfflineCondition_,"T5",_xll.EVPRO($B$1,$H48,"STYLE"))</f>
        <v>T5</v>
      </c>
      <c r="J48" s="85" t="str">
        <f>IF(_epmOfflineCondition_,"Y",_xll.EVPRO($B$1,$H48,"CALC"))</f>
        <v>Y</v>
      </c>
      <c r="K48" s="103"/>
      <c r="L48" s="102" t="str">
        <f>IF(_epmOfflineCondition_,"",_xll.EVPRO($B$1,H48,"JDEID"))</f>
        <v/>
      </c>
      <c r="M48" s="86" t="str">
        <f>IF(_epmOfflineCondition_,"",IF(AND(I48="N",J48="N"),_xll.EVPRO($B$1,H48,"PSFTID"),""))</f>
        <v/>
      </c>
      <c r="N48" s="102" t="str">
        <f>IF(_epmOfflineCondition_,"Qualified",IF(_xll.EVDES(H48,$B$1)="#NODATA","",_xll.EVDES(H48,$B$1)))</f>
        <v>Qualified</v>
      </c>
      <c r="O48" s="265">
        <v>28782.560000000001</v>
      </c>
      <c r="P48" s="266">
        <v>26112.6</v>
      </c>
      <c r="Q48" s="266">
        <v>26099.72</v>
      </c>
      <c r="R48" s="266">
        <v>29631.72</v>
      </c>
      <c r="S48" s="266">
        <v>31391</v>
      </c>
      <c r="T48" s="266">
        <v>16199.05</v>
      </c>
      <c r="U48" s="266">
        <v>15849.1</v>
      </c>
      <c r="V48" s="266">
        <v>12326.5</v>
      </c>
      <c r="W48" s="266">
        <v>13360.67</v>
      </c>
      <c r="X48" s="266">
        <v>23253.52</v>
      </c>
      <c r="Y48" s="266">
        <v>38153.279999999999</v>
      </c>
      <c r="Z48" s="266">
        <v>33614.6</v>
      </c>
      <c r="AA48" s="266">
        <f t="shared" si="0"/>
        <v>294774.32</v>
      </c>
      <c r="AB48" s="267">
        <f t="shared" si="1"/>
        <v>4.6494778959060103E-2</v>
      </c>
      <c r="AC48" s="136"/>
      <c r="AD48" s="268">
        <v>986047.88</v>
      </c>
      <c r="AE48" s="267">
        <f t="shared" si="2"/>
        <v>0.109115619570731</v>
      </c>
      <c r="AF48" s="269">
        <f t="shared" si="3"/>
        <v>-691273.56</v>
      </c>
      <c r="AG48" s="269">
        <v>201242.08</v>
      </c>
      <c r="AH48" s="267">
        <f t="shared" si="4"/>
        <v>7.5852411022025404E-2</v>
      </c>
      <c r="AI48" s="270">
        <f t="shared" si="5"/>
        <v>93532.24000000002</v>
      </c>
    </row>
    <row r="49" spans="1:35" x14ac:dyDescent="0.25">
      <c r="A49" s="61" t="s">
        <v>46</v>
      </c>
      <c r="B49" s="62"/>
      <c r="C49" s="11"/>
      <c r="D49" s="11"/>
      <c r="E49" s="11"/>
      <c r="F49" s="11"/>
      <c r="G49" s="11"/>
      <c r="H49" s="84" t="s">
        <v>132</v>
      </c>
      <c r="I49" s="100" t="str">
        <f>IF(_epmOfflineCondition_,"T6",_xll.EVPRO($B$1,$H49,"STYLE"))</f>
        <v>T6</v>
      </c>
      <c r="J49" s="100" t="str">
        <f>IF(_epmOfflineCondition_,"Y",_xll.EVPRO($B$1,$H49,"CALC"))</f>
        <v>Y</v>
      </c>
      <c r="K49" s="100"/>
      <c r="L49" s="100" t="str">
        <f>IF(_epmOfflineCondition_,"402700",_xll.EVPRO($B$1,H49,"JDEID"))</f>
        <v>402700</v>
      </c>
      <c r="M49" s="86" t="str">
        <f>IF(_epmOfflineCondition_,"",IF(AND(I49="N",J49="N"),_xll.EVPRO($B$1,H49,"PSFTID"),""))</f>
        <v/>
      </c>
      <c r="N49" s="100" t="str">
        <f>IF(_epmOfflineCondition_,"Qualified",IF(_xll.EVDES(H49,$B$1)="#NODATA","",_xll.EVDES(H49,$B$1)))</f>
        <v>Qualified</v>
      </c>
      <c r="O49" s="271">
        <v>25575.96</v>
      </c>
      <c r="P49" s="272">
        <v>19713.099999999999</v>
      </c>
      <c r="Q49" s="272">
        <v>22565.82</v>
      </c>
      <c r="R49" s="272">
        <v>29133.72</v>
      </c>
      <c r="S49" s="272">
        <v>25392</v>
      </c>
      <c r="T49" s="272">
        <v>13332.55</v>
      </c>
      <c r="U49" s="272">
        <v>9426.2000000000007</v>
      </c>
      <c r="V49" s="272">
        <v>10556.5</v>
      </c>
      <c r="W49" s="272">
        <v>10646.67</v>
      </c>
      <c r="X49" s="272">
        <v>15081.52</v>
      </c>
      <c r="Y49" s="272">
        <v>32153.279999999999</v>
      </c>
      <c r="Z49" s="272">
        <v>17184.599999999999</v>
      </c>
      <c r="AA49" s="272">
        <f t="shared" si="0"/>
        <v>230761.92</v>
      </c>
      <c r="AB49" s="273">
        <f t="shared" si="1"/>
        <v>3.6398097577049149E-2</v>
      </c>
      <c r="AC49" s="136"/>
      <c r="AD49" s="274">
        <v>912943.89</v>
      </c>
      <c r="AE49" s="273">
        <f t="shared" si="2"/>
        <v>0.10102596457148033</v>
      </c>
      <c r="AF49" s="275">
        <f t="shared" si="3"/>
        <v>-682181.97</v>
      </c>
      <c r="AG49" s="275">
        <v>150418.57</v>
      </c>
      <c r="AH49" s="273">
        <f t="shared" si="4"/>
        <v>5.6695951448053505E-2</v>
      </c>
      <c r="AI49" s="276">
        <f t="shared" si="5"/>
        <v>80343.350000000006</v>
      </c>
    </row>
    <row r="50" spans="1:35" x14ac:dyDescent="0.25">
      <c r="A50" s="11"/>
      <c r="B50" s="11"/>
      <c r="C50" s="11"/>
      <c r="D50" s="11"/>
      <c r="E50" s="11"/>
      <c r="F50" s="11"/>
      <c r="G50" s="11"/>
      <c r="H50" s="84" t="s">
        <v>133</v>
      </c>
      <c r="I50" s="100" t="str">
        <f>IF(_epmOfflineCondition_,"T6",_xll.EVPRO($B$1,$H50,"STYLE"))</f>
        <v>T6</v>
      </c>
      <c r="J50" s="100" t="str">
        <f>IF(_epmOfflineCondition_,"Y",_xll.EVPRO($B$1,$H50,"CALC"))</f>
        <v>Y</v>
      </c>
      <c r="K50" s="100"/>
      <c r="L50" s="100" t="str">
        <f>IF(_epmOfflineCondition_,"402730",_xll.EVPRO($B$1,H50,"JDEID"))</f>
        <v>402730</v>
      </c>
      <c r="M50" s="86" t="str">
        <f>IF(_epmOfflineCondition_,"",IF(AND(I50="N",J50="N"),_xll.EVPRO($B$1,H50,"PSFTID"),""))</f>
        <v/>
      </c>
      <c r="N50" s="100" t="str">
        <f>IF(_epmOfflineCondition_,"Government",IF(_xll.EVDES(H50,$B$1)="#NODATA","",_xll.EVDES(H50,$B$1)))</f>
        <v>Government</v>
      </c>
      <c r="O50" s="271">
        <v>3206.6</v>
      </c>
      <c r="P50" s="272">
        <v>6399.5</v>
      </c>
      <c r="Q50" s="272">
        <v>3533.9</v>
      </c>
      <c r="R50" s="272">
        <v>498</v>
      </c>
      <c r="S50" s="272">
        <v>5999</v>
      </c>
      <c r="T50" s="272">
        <v>2866.5</v>
      </c>
      <c r="U50" s="272">
        <v>6422.9</v>
      </c>
      <c r="V50" s="272">
        <v>1770</v>
      </c>
      <c r="W50" s="272">
        <v>2714</v>
      </c>
      <c r="X50" s="272">
        <v>8172</v>
      </c>
      <c r="Y50" s="272">
        <v>6000</v>
      </c>
      <c r="Z50" s="272">
        <v>16430</v>
      </c>
      <c r="AA50" s="272">
        <f t="shared" si="0"/>
        <v>64012.4</v>
      </c>
      <c r="AB50" s="273">
        <f t="shared" si="1"/>
        <v>1.0096681382010952E-2</v>
      </c>
      <c r="AC50" s="136"/>
      <c r="AD50" s="274">
        <v>73103.990000000005</v>
      </c>
      <c r="AE50" s="273">
        <f t="shared" si="2"/>
        <v>8.0896549992506683E-3</v>
      </c>
      <c r="AF50" s="275">
        <f t="shared" si="3"/>
        <v>-9091.5900000000038</v>
      </c>
      <c r="AG50" s="275">
        <v>50823.51</v>
      </c>
      <c r="AH50" s="273">
        <f t="shared" si="4"/>
        <v>1.9156459573971898E-2</v>
      </c>
      <c r="AI50" s="276">
        <f t="shared" si="5"/>
        <v>13188.89</v>
      </c>
    </row>
    <row r="51" spans="1:35" x14ac:dyDescent="0.25">
      <c r="A51" s="11"/>
      <c r="B51" s="11"/>
      <c r="C51" s="11"/>
      <c r="D51" s="11"/>
      <c r="E51" s="11"/>
      <c r="F51" s="11"/>
      <c r="G51" s="11"/>
      <c r="H51" s="84" t="s">
        <v>65</v>
      </c>
      <c r="I51" s="85" t="str">
        <f>IF(_epmOfflineCondition_,"T5",_xll.EVPRO($B$1,$H51,"STYLE"))</f>
        <v>T5</v>
      </c>
      <c r="J51" s="85" t="str">
        <f>IF(_epmOfflineCondition_,"Y",_xll.EVPRO($B$1,$H51,"CALC"))</f>
        <v>Y</v>
      </c>
      <c r="K51" s="103"/>
      <c r="L51" s="102" t="str">
        <f>IF(_epmOfflineCondition_,"402200",_xll.EVPRO($B$1,H51,"JDEID"))</f>
        <v>402200</v>
      </c>
      <c r="M51" s="86" t="str">
        <f>IF(_epmOfflineCondition_,"",IF(AND(I51="N",J51="N"),_xll.EVPRO($B$1,H51,"PSFTID"),""))</f>
        <v/>
      </c>
      <c r="N51" s="102" t="str">
        <f>IF(_epmOfflineCondition_,"Wholesale",IF(_xll.EVDES(H51,$B$1)="#NODATA","",_xll.EVDES(H51,$B$1)))</f>
        <v>Wholesale</v>
      </c>
      <c r="O51" s="277">
        <v>42180.12</v>
      </c>
      <c r="P51" s="278">
        <v>35279.25</v>
      </c>
      <c r="Q51" s="278">
        <v>74477.25</v>
      </c>
      <c r="R51" s="278">
        <v>74740.94</v>
      </c>
      <c r="S51" s="278">
        <v>49992</v>
      </c>
      <c r="T51" s="278">
        <v>45389.16</v>
      </c>
      <c r="U51" s="278">
        <v>51450.559999999998</v>
      </c>
      <c r="V51" s="278">
        <v>66806.600000000006</v>
      </c>
      <c r="W51" s="278">
        <v>32774.26</v>
      </c>
      <c r="X51" s="278">
        <v>18177</v>
      </c>
      <c r="Y51" s="278">
        <v>30834.48</v>
      </c>
      <c r="Z51" s="278">
        <v>67707.259999999995</v>
      </c>
      <c r="AA51" s="278">
        <f t="shared" si="0"/>
        <v>589808.88</v>
      </c>
      <c r="AB51" s="279">
        <f t="shared" si="1"/>
        <v>9.3030605595802243E-2</v>
      </c>
      <c r="AC51" s="136"/>
      <c r="AD51" s="280">
        <v>566452.80000000005</v>
      </c>
      <c r="AE51" s="279">
        <f t="shared" si="2"/>
        <v>6.268341475423625E-2</v>
      </c>
      <c r="AF51" s="281">
        <f t="shared" si="3"/>
        <v>23356.079999999958</v>
      </c>
      <c r="AG51" s="281">
        <v>230140.19</v>
      </c>
      <c r="AH51" s="279">
        <f t="shared" si="4"/>
        <v>8.6744722001318122E-2</v>
      </c>
      <c r="AI51" s="282">
        <f t="shared" si="5"/>
        <v>359668.69</v>
      </c>
    </row>
    <row r="52" spans="1:35" x14ac:dyDescent="0.25">
      <c r="A52" s="11"/>
      <c r="B52" s="11"/>
      <c r="C52" s="11"/>
      <c r="D52" s="11"/>
      <c r="E52" s="11"/>
      <c r="F52" s="11"/>
      <c r="G52" s="11"/>
      <c r="H52" s="84" t="s">
        <v>66</v>
      </c>
      <c r="I52" s="85" t="str">
        <f>IF(_epmOfflineCondition_,"T4",_xll.EVPRO($B$1,$H52,"STYLE"))</f>
        <v>T4</v>
      </c>
      <c r="J52" s="85" t="str">
        <f>IF(_epmOfflineCondition_,"Y",_xll.EVPRO($B$1,$H52,"CALC"))</f>
        <v>Y</v>
      </c>
      <c r="K52" s="103"/>
      <c r="L52" s="102" t="str">
        <f>IF(_epmOfflineCondition_,"402000",_xll.EVPRO($B$1,H52,"JDEID"))</f>
        <v>402000</v>
      </c>
      <c r="M52" s="86" t="str">
        <f>IF(_epmOfflineCondition_,"",IF(AND(I52="N",J52="N"),_xll.EVPRO($B$1,H52,"PSFTID"),""))</f>
        <v/>
      </c>
      <c r="N52" s="102" t="str">
        <f>IF(_epmOfflineCondition_,"Total Transient Room Rev",IF(_xll.EVDES(H52,$B$1)="#NODATA","",_xll.EVDES(H52,$B$1)))</f>
        <v>Total Transient Room Rev</v>
      </c>
      <c r="O52" s="283">
        <v>509206.33</v>
      </c>
      <c r="P52" s="284">
        <v>498756.18</v>
      </c>
      <c r="Q52" s="284">
        <v>691996.74</v>
      </c>
      <c r="R52" s="284">
        <v>563828.76</v>
      </c>
      <c r="S52" s="284">
        <v>449028.02</v>
      </c>
      <c r="T52" s="284">
        <v>280183.26</v>
      </c>
      <c r="U52" s="284">
        <v>381472.67</v>
      </c>
      <c r="V52" s="284">
        <v>376859.82</v>
      </c>
      <c r="W52" s="284">
        <v>258088.04</v>
      </c>
      <c r="X52" s="284">
        <v>366338.18</v>
      </c>
      <c r="Y52" s="284">
        <v>464701.9</v>
      </c>
      <c r="Z52" s="284">
        <v>841122.12</v>
      </c>
      <c r="AA52" s="284">
        <f t="shared" si="0"/>
        <v>5681582.0200000005</v>
      </c>
      <c r="AB52" s="285">
        <f t="shared" si="1"/>
        <v>0.89615642284467045</v>
      </c>
      <c r="AC52" s="136"/>
      <c r="AD52" s="286">
        <v>8079365.4699999997</v>
      </c>
      <c r="AE52" s="285">
        <f t="shared" si="2"/>
        <v>0.89405898727495892</v>
      </c>
      <c r="AF52" s="287">
        <f t="shared" si="3"/>
        <v>-2397783.4499999993</v>
      </c>
      <c r="AG52" s="287">
        <v>2361411.9700000002</v>
      </c>
      <c r="AH52" s="285">
        <f t="shared" si="4"/>
        <v>0.89006628902250828</v>
      </c>
      <c r="AI52" s="288">
        <f t="shared" si="5"/>
        <v>3320170.0500000003</v>
      </c>
    </row>
    <row r="53" spans="1:35" x14ac:dyDescent="0.25">
      <c r="A53" s="11"/>
      <c r="B53" s="11"/>
      <c r="C53" s="11"/>
      <c r="D53" s="11"/>
      <c r="E53" s="11"/>
      <c r="F53" s="11"/>
      <c r="G53" s="11"/>
      <c r="H53" s="84" t="s">
        <v>175</v>
      </c>
      <c r="I53" s="85" t="str">
        <f>IF(_epmOfflineCondition_,"B1",_xll.EVPRO($B$1,$H53,"STYLE"))</f>
        <v>B1</v>
      </c>
      <c r="J53" s="85" t="str">
        <f>IF(_epmOfflineCondition_,"Y",_xll.EVPRO($B$1,$H53,"CALC"))</f>
        <v>Y</v>
      </c>
      <c r="K53" s="103"/>
      <c r="L53" s="102" t="str">
        <f>IF(_epmOfflineCondition_,"",_xll.EVPRO($B$1,H53,"JDEID"))</f>
        <v/>
      </c>
      <c r="M53" s="86" t="str">
        <f>IF(_epmOfflineCondition_,"",IF(AND(I53="N",J53="N"),_xll.EVPRO($B$1,H53,"PSFTID"),""))</f>
        <v/>
      </c>
      <c r="N53" s="102" t="str">
        <f>IF(_epmOfflineCondition_,"BLANKROW",IF(_xll.EVDES(H53,$B$1)="#NODATA","",_xll.EVDES(H53,$B$1)))</f>
        <v>BLANKROW</v>
      </c>
      <c r="O53" s="289"/>
      <c r="P53" s="290"/>
      <c r="Q53" s="290"/>
      <c r="R53" s="290"/>
      <c r="S53" s="290"/>
      <c r="T53" s="290"/>
      <c r="U53" s="290"/>
      <c r="V53" s="290"/>
      <c r="W53" s="290"/>
      <c r="X53" s="290"/>
      <c r="Y53" s="290"/>
      <c r="Z53" s="290"/>
      <c r="AA53" s="290"/>
      <c r="AB53" s="291" t="str">
        <f t="shared" si="1"/>
        <v/>
      </c>
      <c r="AC53" s="136"/>
      <c r="AD53" s="292"/>
      <c r="AE53" s="291" t="str">
        <f t="shared" si="2"/>
        <v/>
      </c>
      <c r="AF53" s="293" t="str">
        <f t="shared" si="3"/>
        <v/>
      </c>
      <c r="AG53" s="293"/>
      <c r="AH53" s="291" t="str">
        <f t="shared" si="4"/>
        <v/>
      </c>
      <c r="AI53" s="294" t="str">
        <f t="shared" si="5"/>
        <v/>
      </c>
    </row>
    <row r="54" spans="1:35" x14ac:dyDescent="0.25">
      <c r="A54" s="11"/>
      <c r="B54" s="11"/>
      <c r="C54" s="11"/>
      <c r="D54" s="11"/>
      <c r="E54" s="11"/>
      <c r="F54" s="11"/>
      <c r="G54" s="11"/>
      <c r="H54" s="84" t="s">
        <v>87</v>
      </c>
      <c r="I54" s="85" t="str">
        <f>IF(_epmOfflineCondition_,"T5",_xll.EVPRO($B$1,$H54,"STYLE"))</f>
        <v>T5</v>
      </c>
      <c r="J54" s="85" t="str">
        <f>IF(_epmOfflineCondition_,"Y",_xll.EVPRO($B$1,$H54,"CALC"))</f>
        <v>Y</v>
      </c>
      <c r="K54" s="103"/>
      <c r="L54" s="102" t="str">
        <f>IF(_epmOfflineCondition_,"",_xll.EVPRO($B$1,H54,"JDEID"))</f>
        <v/>
      </c>
      <c r="M54" s="86" t="str">
        <f>IF(_epmOfflineCondition_,"",IF(AND(I54="N",J54="N"),_xll.EVPRO($B$1,H54,"PSFTID"),""))</f>
        <v/>
      </c>
      <c r="N54" s="102" t="str">
        <f>IF(_epmOfflineCondition_,"Corporate",IF(_xll.EVDES(H54,$B$1)="#NODATA","",_xll.EVDES(H54,$B$1)))</f>
        <v>Corporate</v>
      </c>
      <c r="O54" s="265">
        <v>120203</v>
      </c>
      <c r="P54" s="266">
        <v>114584</v>
      </c>
      <c r="Q54" s="266">
        <v>64233</v>
      </c>
      <c r="R54" s="266">
        <v>17495</v>
      </c>
      <c r="S54" s="266">
        <v>16659</v>
      </c>
      <c r="T54" s="266">
        <v>7064</v>
      </c>
      <c r="U54" s="266">
        <v>7551.98</v>
      </c>
      <c r="V54" s="266">
        <v>467</v>
      </c>
      <c r="W54" s="266"/>
      <c r="X54" s="266">
        <v>26380</v>
      </c>
      <c r="Y54" s="266">
        <v>20716.27</v>
      </c>
      <c r="Z54" s="266">
        <v>24312</v>
      </c>
      <c r="AA54" s="266">
        <f t="shared" ref="AA54:AA69" si="6">SUM(O54:Z54)</f>
        <v>419665.25</v>
      </c>
      <c r="AB54" s="267">
        <f t="shared" si="1"/>
        <v>6.6193836137247969E-2</v>
      </c>
      <c r="AC54" s="136"/>
      <c r="AD54" s="268">
        <v>760635.54</v>
      </c>
      <c r="AE54" s="267">
        <f t="shared" si="2"/>
        <v>8.4171590343683461E-2</v>
      </c>
      <c r="AF54" s="269">
        <f t="shared" si="3"/>
        <v>-340970.29000000004</v>
      </c>
      <c r="AG54" s="269">
        <v>199267.23</v>
      </c>
      <c r="AH54" s="267">
        <f t="shared" si="4"/>
        <v>7.5108048143710651E-2</v>
      </c>
      <c r="AI54" s="270">
        <f t="shared" si="5"/>
        <v>220398.02</v>
      </c>
    </row>
    <row r="55" spans="1:35" x14ac:dyDescent="0.25">
      <c r="A55" s="11"/>
      <c r="B55" s="11"/>
      <c r="C55" s="11"/>
      <c r="D55" s="11"/>
      <c r="E55" s="11"/>
      <c r="F55" s="11"/>
      <c r="G55" s="11"/>
      <c r="H55" s="84" t="s">
        <v>134</v>
      </c>
      <c r="I55" s="100" t="str">
        <f>IF(_epmOfflineCondition_,"T6",_xll.EVPRO($B$1,$H55,"STYLE"))</f>
        <v>T6</v>
      </c>
      <c r="J55" s="100" t="str">
        <f>IF(_epmOfflineCondition_,"Y",_xll.EVPRO($B$1,$H55,"CALC"))</f>
        <v>Y</v>
      </c>
      <c r="K55" s="100"/>
      <c r="L55" s="100" t="str">
        <f>IF(_epmOfflineCondition_,"401100",_xll.EVPRO($B$1,H55,"JDEID"))</f>
        <v>401100</v>
      </c>
      <c r="M55" s="86" t="str">
        <f>IF(_epmOfflineCondition_,"",IF(AND(I55="N",J55="N"),_xll.EVPRO($B$1,H55,"PSFTID"),""))</f>
        <v/>
      </c>
      <c r="N55" s="100" t="str">
        <f>IF(_epmOfflineCondition_,"Corporate",IF(_xll.EVDES(H55,$B$1)="#NODATA","",_xll.EVDES(H55,$B$1)))</f>
        <v>Corporate</v>
      </c>
      <c r="O55" s="271">
        <v>74136</v>
      </c>
      <c r="P55" s="272">
        <v>74276</v>
      </c>
      <c r="Q55" s="272">
        <v>37967</v>
      </c>
      <c r="R55" s="272">
        <v>10274</v>
      </c>
      <c r="S55" s="272">
        <v>12184</v>
      </c>
      <c r="T55" s="272">
        <v>7064</v>
      </c>
      <c r="U55" s="272">
        <v>4353</v>
      </c>
      <c r="V55" s="272">
        <v>467</v>
      </c>
      <c r="W55" s="272"/>
      <c r="X55" s="272">
        <v>21578</v>
      </c>
      <c r="Y55" s="272">
        <v>14070</v>
      </c>
      <c r="Z55" s="272">
        <v>5046</v>
      </c>
      <c r="AA55" s="272">
        <f t="shared" si="6"/>
        <v>261415</v>
      </c>
      <c r="AB55" s="273">
        <f t="shared" si="1"/>
        <v>4.1233010533559017E-2</v>
      </c>
      <c r="AC55" s="136"/>
      <c r="AD55" s="274">
        <v>637300.54</v>
      </c>
      <c r="AE55" s="273">
        <f t="shared" si="2"/>
        <v>7.0523394132606859E-2</v>
      </c>
      <c r="AF55" s="275">
        <f t="shared" si="3"/>
        <v>-375885.54000000004</v>
      </c>
      <c r="AG55" s="275">
        <v>31230.240000000002</v>
      </c>
      <c r="AH55" s="273">
        <f t="shared" si="4"/>
        <v>1.177134027235506E-2</v>
      </c>
      <c r="AI55" s="276">
        <f t="shared" si="5"/>
        <v>230184.76</v>
      </c>
    </row>
    <row r="56" spans="1:35" x14ac:dyDescent="0.25">
      <c r="A56" s="11"/>
      <c r="B56" s="11"/>
      <c r="C56" s="11"/>
      <c r="D56" s="11"/>
      <c r="E56" s="11"/>
      <c r="F56" s="11"/>
      <c r="G56" s="72"/>
      <c r="H56" s="84" t="s">
        <v>135</v>
      </c>
      <c r="I56" s="100" t="str">
        <f>IF(_epmOfflineCondition_,"T6",_xll.EVPRO($B$1,$H56,"STYLE"))</f>
        <v>T6</v>
      </c>
      <c r="J56" s="100" t="str">
        <f>IF(_epmOfflineCondition_,"Y",_xll.EVPRO($B$1,$H56,"CALC"))</f>
        <v>Y</v>
      </c>
      <c r="K56" s="100"/>
      <c r="L56" s="100" t="str">
        <f>IF(_epmOfflineCondition_,"401500",_xll.EVPRO($B$1,H56,"JDEID"))</f>
        <v>401500</v>
      </c>
      <c r="M56" s="86" t="str">
        <f>IF(_epmOfflineCondition_,"",IF(AND(I56="N",J56="N"),_xll.EVPRO($B$1,H56,"PSFTID"),""))</f>
        <v/>
      </c>
      <c r="N56" s="100" t="str">
        <f>IF(_epmOfflineCondition_,"Entertainment/Sports",IF(_xll.EVDES(H56,$B$1)="#NODATA","",_xll.EVDES(H56,$B$1)))</f>
        <v>Entertainment/Sports</v>
      </c>
      <c r="O56" s="271">
        <v>46067</v>
      </c>
      <c r="P56" s="272">
        <v>40308</v>
      </c>
      <c r="Q56" s="272">
        <v>26266</v>
      </c>
      <c r="R56" s="272">
        <v>7221</v>
      </c>
      <c r="S56" s="272">
        <v>4475</v>
      </c>
      <c r="T56" s="272"/>
      <c r="U56" s="272">
        <v>3198.98</v>
      </c>
      <c r="V56" s="272"/>
      <c r="W56" s="272"/>
      <c r="X56" s="272">
        <v>4802</v>
      </c>
      <c r="Y56" s="272">
        <v>6646.27</v>
      </c>
      <c r="Z56" s="272">
        <v>19266</v>
      </c>
      <c r="AA56" s="272">
        <f t="shared" si="6"/>
        <v>158250.24999999997</v>
      </c>
      <c r="AB56" s="273">
        <f t="shared" si="1"/>
        <v>2.4960825603688949E-2</v>
      </c>
      <c r="AC56" s="136"/>
      <c r="AD56" s="274">
        <v>123335</v>
      </c>
      <c r="AE56" s="273">
        <f t="shared" si="2"/>
        <v>1.3648196211076593E-2</v>
      </c>
      <c r="AF56" s="275">
        <f t="shared" si="3"/>
        <v>34915.249999999971</v>
      </c>
      <c r="AG56" s="275">
        <v>168036.99</v>
      </c>
      <c r="AH56" s="273">
        <f t="shared" si="4"/>
        <v>6.3336707871355591E-2</v>
      </c>
      <c r="AI56" s="276">
        <f t="shared" si="5"/>
        <v>-9786.7400000000198</v>
      </c>
    </row>
    <row r="57" spans="1:35" x14ac:dyDescent="0.25">
      <c r="A57" s="11"/>
      <c r="B57" s="11"/>
      <c r="C57" s="11"/>
      <c r="D57" s="11"/>
      <c r="E57" s="11"/>
      <c r="F57" s="11"/>
      <c r="G57" s="11"/>
      <c r="H57" s="84" t="s">
        <v>88</v>
      </c>
      <c r="I57" s="85" t="str">
        <f>IF(_epmOfflineCondition_,"T5",_xll.EVPRO($B$1,$H57,"STYLE"))</f>
        <v>T5</v>
      </c>
      <c r="J57" s="85" t="str">
        <f>IF(_epmOfflineCondition_,"Y",_xll.EVPRO($B$1,$H57,"CALC"))</f>
        <v>Y</v>
      </c>
      <c r="K57" s="103"/>
      <c r="L57" s="102" t="str">
        <f>IF(_epmOfflineCondition_,"",_xll.EVPRO($B$1,H57,"JDEID"))</f>
        <v/>
      </c>
      <c r="M57" s="86" t="str">
        <f>IF(_epmOfflineCondition_,"",IF(AND(I57="N",J57="N"),_xll.EVPRO($B$1,H57,"PSFTID"),""))</f>
        <v/>
      </c>
      <c r="N57" s="102" t="str">
        <f>IF(_epmOfflineCondition_,"Association/Convention",IF(_xll.EVDES(H57,$B$1)="#NODATA","",_xll.EVDES(H57,$B$1)))</f>
        <v>Association/Convention</v>
      </c>
      <c r="O57" s="265"/>
      <c r="P57" s="266"/>
      <c r="Q57" s="266">
        <v>13050</v>
      </c>
      <c r="R57" s="266"/>
      <c r="S57" s="266"/>
      <c r="T57" s="266">
        <v>36129.4</v>
      </c>
      <c r="U57" s="266"/>
      <c r="V57" s="266"/>
      <c r="W57" s="266"/>
      <c r="X57" s="266"/>
      <c r="Y57" s="266">
        <v>7328</v>
      </c>
      <c r="Z57" s="266"/>
      <c r="AA57" s="266">
        <f t="shared" si="6"/>
        <v>56507.4</v>
      </c>
      <c r="AB57" s="267">
        <f t="shared" si="1"/>
        <v>8.9129170836563798E-3</v>
      </c>
      <c r="AC57" s="136"/>
      <c r="AD57" s="268">
        <v>61820</v>
      </c>
      <c r="AE57" s="267">
        <f t="shared" si="2"/>
        <v>6.8409736876698015E-3</v>
      </c>
      <c r="AF57" s="269">
        <f t="shared" si="3"/>
        <v>-5312.5999999999985</v>
      </c>
      <c r="AG57" s="269">
        <v>23201</v>
      </c>
      <c r="AH57" s="267">
        <f t="shared" si="4"/>
        <v>8.7449493074311865E-3</v>
      </c>
      <c r="AI57" s="270">
        <f t="shared" si="5"/>
        <v>33306.400000000001</v>
      </c>
    </row>
    <row r="58" spans="1:35" x14ac:dyDescent="0.25">
      <c r="A58" s="11"/>
      <c r="B58" s="11"/>
      <c r="C58" s="11"/>
      <c r="D58" s="11"/>
      <c r="E58" s="11"/>
      <c r="F58" s="11"/>
      <c r="G58" s="11"/>
      <c r="H58" s="84" t="s">
        <v>136</v>
      </c>
      <c r="I58" s="100" t="str">
        <f>IF(_epmOfflineCondition_,"T6",_xll.EVPRO($B$1,$H58,"STYLE"))</f>
        <v>T6</v>
      </c>
      <c r="J58" s="100" t="str">
        <f>IF(_epmOfflineCondition_,"Y",_xll.EVPRO($B$1,$H58,"CALC"))</f>
        <v>Y</v>
      </c>
      <c r="K58" s="100"/>
      <c r="L58" s="100" t="str">
        <f>IF(_epmOfflineCondition_,"401400",_xll.EVPRO($B$1,H58,"JDEID"))</f>
        <v>401400</v>
      </c>
      <c r="M58" s="86" t="str">
        <f>IF(_epmOfflineCondition_,"",IF(AND(I58="N",J58="N"),_xll.EVPRO($B$1,H58,"PSFTID"),""))</f>
        <v/>
      </c>
      <c r="N58" s="100" t="str">
        <f>IF(_epmOfflineCondition_,"Association",IF(_xll.EVDES(H58,$B$1)="#NODATA","",_xll.EVDES(H58,$B$1)))</f>
        <v>Association</v>
      </c>
      <c r="O58" s="271"/>
      <c r="P58" s="272"/>
      <c r="Q58" s="272">
        <v>13050</v>
      </c>
      <c r="R58" s="272"/>
      <c r="S58" s="272"/>
      <c r="T58" s="272"/>
      <c r="U58" s="272"/>
      <c r="V58" s="272"/>
      <c r="W58" s="272"/>
      <c r="X58" s="272"/>
      <c r="Y58" s="272"/>
      <c r="Z58" s="272"/>
      <c r="AA58" s="272">
        <f t="shared" si="6"/>
        <v>13050</v>
      </c>
      <c r="AB58" s="273">
        <f t="shared" si="1"/>
        <v>2.0583776273853647E-3</v>
      </c>
      <c r="AC58" s="136"/>
      <c r="AD58" s="274"/>
      <c r="AE58" s="273" t="str">
        <f t="shared" si="2"/>
        <v/>
      </c>
      <c r="AF58" s="275">
        <f t="shared" si="3"/>
        <v>13050</v>
      </c>
      <c r="AG58" s="275">
        <v>6253</v>
      </c>
      <c r="AH58" s="273">
        <f t="shared" si="4"/>
        <v>2.3568884108170858E-3</v>
      </c>
      <c r="AI58" s="276">
        <f t="shared" si="5"/>
        <v>6797</v>
      </c>
    </row>
    <row r="59" spans="1:35" x14ac:dyDescent="0.25">
      <c r="A59" s="11"/>
      <c r="B59" s="11"/>
      <c r="C59" s="11"/>
      <c r="D59" s="11"/>
      <c r="E59" s="11"/>
      <c r="F59" s="11"/>
      <c r="G59" s="11"/>
      <c r="H59" s="84" t="s">
        <v>137</v>
      </c>
      <c r="I59" s="100" t="str">
        <f>IF(_epmOfflineCondition_,"T6",_xll.EVPRO($B$1,$H59,"STYLE"))</f>
        <v>T6</v>
      </c>
      <c r="J59" s="100" t="str">
        <f>IF(_epmOfflineCondition_,"Y",_xll.EVPRO($B$1,$H59,"CALC"))</f>
        <v>Y</v>
      </c>
      <c r="K59" s="100"/>
      <c r="L59" s="100" t="str">
        <f>IF(_epmOfflineCondition_,"401600",_xll.EVPRO($B$1,H59,"JDEID"))</f>
        <v>401600</v>
      </c>
      <c r="M59" s="86" t="str">
        <f>IF(_epmOfflineCondition_,"",IF(AND(I59="N",J59="N"),_xll.EVPRO($B$1,H59,"PSFTID"),""))</f>
        <v/>
      </c>
      <c r="N59" s="100" t="str">
        <f>IF(_epmOfflineCondition_,"Convention",IF(_xll.EVDES(H59,$B$1)="#NODATA","",_xll.EVDES(H59,$B$1)))</f>
        <v>Convention</v>
      </c>
      <c r="O59" s="271"/>
      <c r="P59" s="272"/>
      <c r="Q59" s="272"/>
      <c r="R59" s="272"/>
      <c r="S59" s="272"/>
      <c r="T59" s="272">
        <v>36129.4</v>
      </c>
      <c r="U59" s="272"/>
      <c r="V59" s="272"/>
      <c r="W59" s="272"/>
      <c r="X59" s="272"/>
      <c r="Y59" s="272">
        <v>7328</v>
      </c>
      <c r="Z59" s="272"/>
      <c r="AA59" s="272">
        <f t="shared" si="6"/>
        <v>43457.4</v>
      </c>
      <c r="AB59" s="273">
        <f t="shared" si="1"/>
        <v>6.8545394562710155E-3</v>
      </c>
      <c r="AC59" s="136"/>
      <c r="AD59" s="274">
        <v>61820</v>
      </c>
      <c r="AE59" s="273">
        <f t="shared" si="2"/>
        <v>6.8409736876698015E-3</v>
      </c>
      <c r="AF59" s="275">
        <f t="shared" si="3"/>
        <v>-18362.599999999999</v>
      </c>
      <c r="AG59" s="275">
        <v>16948</v>
      </c>
      <c r="AH59" s="273">
        <f t="shared" si="4"/>
        <v>6.3880608966141008E-3</v>
      </c>
      <c r="AI59" s="276">
        <f t="shared" si="5"/>
        <v>26509.4</v>
      </c>
    </row>
    <row r="60" spans="1:35" x14ac:dyDescent="0.25">
      <c r="A60" s="11"/>
      <c r="B60" s="11"/>
      <c r="C60" s="11"/>
      <c r="D60" s="11"/>
      <c r="E60" s="11"/>
      <c r="F60" s="11"/>
      <c r="G60" s="11"/>
      <c r="H60" s="84" t="s">
        <v>89</v>
      </c>
      <c r="I60" s="85" t="str">
        <f>IF(_epmOfflineCondition_,"T5",_xll.EVPRO($B$1,$H60,"STYLE"))</f>
        <v>T5</v>
      </c>
      <c r="J60" s="85" t="str">
        <f>IF(_epmOfflineCondition_,"Y",_xll.EVPRO($B$1,$H60,"CALC"))</f>
        <v>Y</v>
      </c>
      <c r="K60" s="103"/>
      <c r="L60" s="102" t="str">
        <f>IF(_epmOfflineCondition_,"401800",_xll.EVPRO($B$1,H60,"JDEID"))</f>
        <v>401800</v>
      </c>
      <c r="M60" s="86" t="str">
        <f>IF(_epmOfflineCondition_,"",IF(AND(I60="N",J60="N"),_xll.EVPRO($B$1,H60,"PSFTID"),""))</f>
        <v/>
      </c>
      <c r="N60" s="102" t="str">
        <f>IF(_epmOfflineCondition_,"Government",IF(_xll.EVDES(H60,$B$1)="#NODATA","",_xll.EVDES(H60,$B$1)))</f>
        <v>Government</v>
      </c>
      <c r="O60" s="265"/>
      <c r="P60" s="266"/>
      <c r="Q60" s="266"/>
      <c r="R60" s="266"/>
      <c r="S60" s="266"/>
      <c r="T60" s="266"/>
      <c r="U60" s="266"/>
      <c r="V60" s="266"/>
      <c r="W60" s="266"/>
      <c r="X60" s="266"/>
      <c r="Y60" s="266"/>
      <c r="Z60" s="266"/>
      <c r="AA60" s="266">
        <f t="shared" si="6"/>
        <v>0</v>
      </c>
      <c r="AB60" s="267" t="str">
        <f t="shared" si="1"/>
        <v/>
      </c>
      <c r="AC60" s="136"/>
      <c r="AD60" s="268">
        <v>11800</v>
      </c>
      <c r="AE60" s="267">
        <f t="shared" si="2"/>
        <v>1.3057827485361316E-3</v>
      </c>
      <c r="AF60" s="269">
        <f t="shared" si="3"/>
        <v>-11800</v>
      </c>
      <c r="AG60" s="269"/>
      <c r="AH60" s="267" t="str">
        <f t="shared" si="4"/>
        <v/>
      </c>
      <c r="AI60" s="270">
        <f t="shared" si="5"/>
        <v>0</v>
      </c>
    </row>
    <row r="61" spans="1:35" x14ac:dyDescent="0.25">
      <c r="A61" s="11"/>
      <c r="B61" s="11"/>
      <c r="C61" s="11"/>
      <c r="D61" s="11"/>
      <c r="E61" s="11"/>
      <c r="F61" s="11"/>
      <c r="G61" s="11"/>
      <c r="H61" s="84" t="s">
        <v>90</v>
      </c>
      <c r="I61" s="85" t="str">
        <f>IF(_epmOfflineCondition_,"T5",_xll.EVPRO($B$1,$H61,"STYLE"))</f>
        <v>T5</v>
      </c>
      <c r="J61" s="85" t="str">
        <f>IF(_epmOfflineCondition_,"Y",_xll.EVPRO($B$1,$H61,"CALC"))</f>
        <v>Y</v>
      </c>
      <c r="K61" s="103"/>
      <c r="L61" s="102" t="str">
        <f>IF(_epmOfflineCondition_,"",_xll.EVPRO($B$1,H61,"JDEID"))</f>
        <v/>
      </c>
      <c r="M61" s="86" t="str">
        <f>IF(_epmOfflineCondition_,"",IF(AND(I61="N",J61="N"),_xll.EVPRO($B$1,H61,"PSFTID"),""))</f>
        <v/>
      </c>
      <c r="N61" s="102" t="str">
        <f>IF(_epmOfflineCondition_,"Tour/Wholesalers",IF(_xll.EVDES(H61,$B$1)="#NODATA","",_xll.EVDES(H61,$B$1)))</f>
        <v>Tour/Wholesalers</v>
      </c>
      <c r="O61" s="265"/>
      <c r="P61" s="266">
        <v>62213</v>
      </c>
      <c r="Q61" s="266">
        <v>10086</v>
      </c>
      <c r="R61" s="266">
        <v>32163</v>
      </c>
      <c r="S61" s="266">
        <v>845</v>
      </c>
      <c r="T61" s="266">
        <v>6350</v>
      </c>
      <c r="U61" s="266">
        <v>3887</v>
      </c>
      <c r="V61" s="266"/>
      <c r="W61" s="266"/>
      <c r="X61" s="266"/>
      <c r="Y61" s="266">
        <v>6153</v>
      </c>
      <c r="Z61" s="266"/>
      <c r="AA61" s="266">
        <f t="shared" si="6"/>
        <v>121697</v>
      </c>
      <c r="AB61" s="267">
        <f t="shared" si="1"/>
        <v>1.9195278323365268E-2</v>
      </c>
      <c r="AC61" s="136"/>
      <c r="AD61" s="268">
        <v>88343.4</v>
      </c>
      <c r="AE61" s="267">
        <f t="shared" si="2"/>
        <v>9.7760413277141432E-3</v>
      </c>
      <c r="AF61" s="269">
        <f t="shared" si="3"/>
        <v>33353.600000000006</v>
      </c>
      <c r="AG61" s="269">
        <v>24028</v>
      </c>
      <c r="AH61" s="267">
        <f t="shared" si="4"/>
        <v>9.0566631593016044E-3</v>
      </c>
      <c r="AI61" s="270">
        <f t="shared" si="5"/>
        <v>97669</v>
      </c>
    </row>
    <row r="62" spans="1:35" x14ac:dyDescent="0.25">
      <c r="A62" s="11"/>
      <c r="B62" s="11"/>
      <c r="C62" s="11"/>
      <c r="D62" s="11"/>
      <c r="E62" s="11"/>
      <c r="F62" s="11"/>
      <c r="G62" s="11"/>
      <c r="H62" s="84" t="s">
        <v>138</v>
      </c>
      <c r="I62" s="100" t="str">
        <f>IF(_epmOfflineCondition_,"T6",_xll.EVPRO($B$1,$H62,"STYLE"))</f>
        <v>T6</v>
      </c>
      <c r="J62" s="100" t="str">
        <f>IF(_epmOfflineCondition_,"Y",_xll.EVPRO($B$1,$H62,"CALC"))</f>
        <v>Y</v>
      </c>
      <c r="K62" s="100"/>
      <c r="L62" s="100" t="str">
        <f>IF(_epmOfflineCondition_,"401300",_xll.EVPRO($B$1,H62,"JDEID"))</f>
        <v>401300</v>
      </c>
      <c r="M62" s="86" t="str">
        <f>IF(_epmOfflineCondition_,"",IF(AND(I62="N",J62="N"),_xll.EVPRO($B$1,H62,"PSFTID"),""))</f>
        <v/>
      </c>
      <c r="N62" s="100" t="str">
        <f>IF(_epmOfflineCondition_,"Tour/Wholesale",IF(_xll.EVDES(H62,$B$1)="#NODATA","",_xll.EVDES(H62,$B$1)))</f>
        <v>Tour/Wholesale</v>
      </c>
      <c r="O62" s="271"/>
      <c r="P62" s="272"/>
      <c r="Q62" s="272"/>
      <c r="R62" s="272"/>
      <c r="S62" s="272"/>
      <c r="T62" s="272"/>
      <c r="U62" s="272"/>
      <c r="V62" s="272"/>
      <c r="W62" s="272"/>
      <c r="X62" s="272"/>
      <c r="Y62" s="272"/>
      <c r="Z62" s="272"/>
      <c r="AA62" s="272">
        <f t="shared" si="6"/>
        <v>0</v>
      </c>
      <c r="AB62" s="273" t="str">
        <f t="shared" si="1"/>
        <v/>
      </c>
      <c r="AC62" s="136"/>
      <c r="AD62" s="274"/>
      <c r="AE62" s="273" t="str">
        <f t="shared" si="2"/>
        <v/>
      </c>
      <c r="AF62" s="275">
        <f t="shared" si="3"/>
        <v>0</v>
      </c>
      <c r="AG62" s="275"/>
      <c r="AH62" s="273" t="str">
        <f t="shared" si="4"/>
        <v/>
      </c>
      <c r="AI62" s="276">
        <f t="shared" si="5"/>
        <v>0</v>
      </c>
    </row>
    <row r="63" spans="1:35" x14ac:dyDescent="0.25">
      <c r="A63" s="11"/>
      <c r="B63" s="11"/>
      <c r="C63" s="11"/>
      <c r="D63" s="11"/>
      <c r="E63" s="11"/>
      <c r="F63" s="11"/>
      <c r="G63" s="11"/>
      <c r="H63" s="84" t="s">
        <v>139</v>
      </c>
      <c r="I63" s="100" t="str">
        <f>IF(_epmOfflineCondition_,"T6",_xll.EVPRO($B$1,$H63,"STYLE"))</f>
        <v>T6</v>
      </c>
      <c r="J63" s="100" t="str">
        <f>IF(_epmOfflineCondition_,"Y",_xll.EVPRO($B$1,$H63,"CALC"))</f>
        <v>Y</v>
      </c>
      <c r="K63" s="100"/>
      <c r="L63" s="100" t="str">
        <f>IF(_epmOfflineCondition_,"401330",_xll.EVPRO($B$1,H63,"JDEID"))</f>
        <v>401330</v>
      </c>
      <c r="M63" s="86" t="str">
        <f>IF(_epmOfflineCondition_,"",IF(AND(I63="N",J63="N"),_xll.EVPRO($B$1,H63,"PSFTID"),""))</f>
        <v/>
      </c>
      <c r="N63" s="100" t="str">
        <f>IF(_epmOfflineCondition_,"MICE",IF(_xll.EVDES(H63,$B$1)="#NODATA","",_xll.EVDES(H63,$B$1)))</f>
        <v>MICE</v>
      </c>
      <c r="O63" s="271"/>
      <c r="P63" s="272">
        <v>62213</v>
      </c>
      <c r="Q63" s="272">
        <v>10086</v>
      </c>
      <c r="R63" s="272">
        <v>32163</v>
      </c>
      <c r="S63" s="272">
        <v>845</v>
      </c>
      <c r="T63" s="272">
        <v>6350</v>
      </c>
      <c r="U63" s="272">
        <v>3887</v>
      </c>
      <c r="V63" s="272"/>
      <c r="W63" s="272"/>
      <c r="X63" s="272"/>
      <c r="Y63" s="272">
        <v>6153</v>
      </c>
      <c r="Z63" s="272"/>
      <c r="AA63" s="272">
        <f t="shared" si="6"/>
        <v>121697</v>
      </c>
      <c r="AB63" s="273">
        <f t="shared" si="1"/>
        <v>1.9195278323365268E-2</v>
      </c>
      <c r="AC63" s="136"/>
      <c r="AD63" s="274">
        <v>88343.4</v>
      </c>
      <c r="AE63" s="273">
        <f t="shared" si="2"/>
        <v>9.7760413277141432E-3</v>
      </c>
      <c r="AF63" s="275">
        <f t="shared" si="3"/>
        <v>33353.600000000006</v>
      </c>
      <c r="AG63" s="275">
        <v>24028</v>
      </c>
      <c r="AH63" s="273">
        <f t="shared" si="4"/>
        <v>9.0566631593016044E-3</v>
      </c>
      <c r="AI63" s="276">
        <f t="shared" si="5"/>
        <v>97669</v>
      </c>
    </row>
    <row r="64" spans="1:35" x14ac:dyDescent="0.25">
      <c r="A64" s="11"/>
      <c r="B64" s="11"/>
      <c r="C64" s="11"/>
      <c r="D64" s="11"/>
      <c r="E64" s="11"/>
      <c r="F64" s="11"/>
      <c r="G64" s="11"/>
      <c r="H64" s="84" t="s">
        <v>68</v>
      </c>
      <c r="I64" s="85" t="str">
        <f>IF(_epmOfflineCondition_,"T5",_xll.EVPRO($B$1,$H64,"STYLE"))</f>
        <v>T5</v>
      </c>
      <c r="J64" s="85" t="str">
        <f>IF(_epmOfflineCondition_,"Y",_xll.EVPRO($B$1,$H64,"CALC"))</f>
        <v>Y</v>
      </c>
      <c r="K64" s="103"/>
      <c r="L64" s="102" t="str">
        <f>IF(_epmOfflineCondition_,"401200",_xll.EVPRO($B$1,H64,"JDEID"))</f>
        <v>401200</v>
      </c>
      <c r="M64" s="86" t="str">
        <f>IF(_epmOfflineCondition_,"",IF(AND(I64="N",J64="N"),_xll.EVPRO($B$1,H64,"PSFTID"),""))</f>
        <v/>
      </c>
      <c r="N64" s="102" t="str">
        <f>IF(_epmOfflineCondition_,"SMERF",IF(_xll.EVDES(H64,$B$1)="#NODATA","",_xll.EVDES(H64,$B$1)))</f>
        <v>SMERF</v>
      </c>
      <c r="O64" s="277">
        <v>6137</v>
      </c>
      <c r="P64" s="278">
        <v>6840</v>
      </c>
      <c r="Q64" s="278">
        <v>9456</v>
      </c>
      <c r="R64" s="278">
        <v>796</v>
      </c>
      <c r="S64" s="278">
        <v>6355</v>
      </c>
      <c r="T64" s="278">
        <v>2704</v>
      </c>
      <c r="U64" s="278"/>
      <c r="V64" s="278">
        <v>645</v>
      </c>
      <c r="W64" s="278">
        <v>2423</v>
      </c>
      <c r="X64" s="278"/>
      <c r="Y64" s="278">
        <v>4151.28</v>
      </c>
      <c r="Z64" s="278">
        <v>7238</v>
      </c>
      <c r="AA64" s="278">
        <f t="shared" si="6"/>
        <v>46745.279999999999</v>
      </c>
      <c r="AB64" s="279">
        <f t="shared" si="1"/>
        <v>7.3731370527099268E-3</v>
      </c>
      <c r="AC64" s="136"/>
      <c r="AD64" s="280">
        <v>50920</v>
      </c>
      <c r="AE64" s="279">
        <f t="shared" si="2"/>
        <v>5.6347845385982904E-3</v>
      </c>
      <c r="AF64" s="281">
        <f t="shared" si="3"/>
        <v>-4174.7200000000012</v>
      </c>
      <c r="AG64" s="281">
        <v>36328</v>
      </c>
      <c r="AH64" s="279">
        <f t="shared" si="4"/>
        <v>1.369279420888583E-2</v>
      </c>
      <c r="AI64" s="282">
        <f t="shared" si="5"/>
        <v>10417.279999999999</v>
      </c>
    </row>
    <row r="65" spans="1:35" x14ac:dyDescent="0.25">
      <c r="A65" s="11"/>
      <c r="B65" s="11"/>
      <c r="C65" s="11"/>
      <c r="D65" s="11"/>
      <c r="E65" s="11"/>
      <c r="F65" s="11"/>
      <c r="G65" s="11"/>
      <c r="H65" s="84" t="s">
        <v>64</v>
      </c>
      <c r="I65" s="85" t="str">
        <f>IF(_epmOfflineCondition_,"T4",_xll.EVPRO($B$1,$H65,"STYLE"))</f>
        <v>T4</v>
      </c>
      <c r="J65" s="85" t="str">
        <f>IF(_epmOfflineCondition_,"Y",_xll.EVPRO($B$1,$H65,"CALC"))</f>
        <v>Y</v>
      </c>
      <c r="K65" s="103"/>
      <c r="L65" s="102" t="str">
        <f>IF(_epmOfflineCondition_,"401000",_xll.EVPRO($B$1,H65,"JDEID"))</f>
        <v>401000</v>
      </c>
      <c r="M65" s="86" t="str">
        <f>IF(_epmOfflineCondition_,"",IF(AND(I65="N",J65="N"),_xll.EVPRO($B$1,H65,"PSFTID"),""))</f>
        <v/>
      </c>
      <c r="N65" s="102" t="str">
        <f>IF(_epmOfflineCondition_,"Total Group Room Rev",IF(_xll.EVDES(H65,$B$1)="#NODATA","",_xll.EVDES(H65,$B$1)))</f>
        <v>Total Group Room Rev</v>
      </c>
      <c r="O65" s="283">
        <v>126340</v>
      </c>
      <c r="P65" s="284">
        <v>183637</v>
      </c>
      <c r="Q65" s="284">
        <v>96825</v>
      </c>
      <c r="R65" s="284">
        <v>50454</v>
      </c>
      <c r="S65" s="284">
        <v>23859</v>
      </c>
      <c r="T65" s="284">
        <v>52247.4</v>
      </c>
      <c r="U65" s="284">
        <v>11438.98</v>
      </c>
      <c r="V65" s="284">
        <v>1112</v>
      </c>
      <c r="W65" s="284">
        <v>2423</v>
      </c>
      <c r="X65" s="284">
        <v>26380</v>
      </c>
      <c r="Y65" s="284">
        <v>38348.550000000003</v>
      </c>
      <c r="Z65" s="284">
        <v>31550</v>
      </c>
      <c r="AA65" s="284">
        <f t="shared" si="6"/>
        <v>644614.93000000005</v>
      </c>
      <c r="AB65" s="285">
        <f t="shared" si="1"/>
        <v>0.10167516859697955</v>
      </c>
      <c r="AC65" s="136"/>
      <c r="AD65" s="286">
        <v>973518.94</v>
      </c>
      <c r="AE65" s="285">
        <f t="shared" si="2"/>
        <v>0.10772917264620181</v>
      </c>
      <c r="AF65" s="287">
        <f t="shared" si="3"/>
        <v>-328904.00999999989</v>
      </c>
      <c r="AG65" s="287">
        <v>282824.23</v>
      </c>
      <c r="AH65" s="285">
        <f t="shared" si="4"/>
        <v>0.10660245481932927</v>
      </c>
      <c r="AI65" s="288">
        <f t="shared" si="5"/>
        <v>361790.70000000007</v>
      </c>
    </row>
    <row r="66" spans="1:35" x14ac:dyDescent="0.25">
      <c r="A66" s="11"/>
      <c r="B66" s="11"/>
      <c r="C66" s="11"/>
      <c r="D66" s="11"/>
      <c r="E66" s="11"/>
      <c r="F66" s="11"/>
      <c r="G66" s="11"/>
      <c r="H66" s="84" t="s">
        <v>140</v>
      </c>
      <c r="I66" s="100" t="str">
        <f>IF(_epmOfflineCondition_,"T6",_xll.EVPRO($B$1,$H66,"STYLE"))</f>
        <v>T6</v>
      </c>
      <c r="J66" s="100" t="str">
        <f>IF(_epmOfflineCondition_,"Y",_xll.EVPRO($B$1,$H66,"CALC"))</f>
        <v>Y</v>
      </c>
      <c r="K66" s="100"/>
      <c r="L66" s="100" t="str">
        <f>IF(_epmOfflineCondition_,"401700",_xll.EVPRO($B$1,H66,"JDEID"))</f>
        <v>401700</v>
      </c>
      <c r="M66" s="86" t="str">
        <f>IF(_epmOfflineCondition_,"",IF(AND(I66="N",J66="N"),_xll.EVPRO($B$1,H66,"PSFTID"),""))</f>
        <v/>
      </c>
      <c r="N66" s="100" t="str">
        <f>IF(_epmOfflineCondition_,"Contract",IF(_xll.EVDES(H66,$B$1)="#NODATA","",_xll.EVDES(H66,$B$1)))</f>
        <v>Contract</v>
      </c>
      <c r="O66" s="295"/>
      <c r="P66" s="296"/>
      <c r="Q66" s="296"/>
      <c r="R66" s="296"/>
      <c r="S66" s="296"/>
      <c r="T66" s="296"/>
      <c r="U66" s="296"/>
      <c r="V66" s="296"/>
      <c r="W66" s="296"/>
      <c r="X66" s="296"/>
      <c r="Y66" s="296"/>
      <c r="Z66" s="296"/>
      <c r="AA66" s="296">
        <f t="shared" si="6"/>
        <v>0</v>
      </c>
      <c r="AB66" s="297" t="str">
        <f t="shared" si="1"/>
        <v/>
      </c>
      <c r="AC66" s="136"/>
      <c r="AD66" s="298"/>
      <c r="AE66" s="297" t="str">
        <f t="shared" si="2"/>
        <v/>
      </c>
      <c r="AF66" s="299">
        <f t="shared" si="3"/>
        <v>0</v>
      </c>
      <c r="AG66" s="299">
        <v>22320</v>
      </c>
      <c r="AH66" s="297">
        <f t="shared" si="4"/>
        <v>8.4128817094894226E-3</v>
      </c>
      <c r="AI66" s="300">
        <f t="shared" si="5"/>
        <v>-22320</v>
      </c>
    </row>
    <row r="67" spans="1:35" x14ac:dyDescent="0.25">
      <c r="A67" s="11"/>
      <c r="B67" s="11"/>
      <c r="C67" s="11"/>
      <c r="D67" s="11"/>
      <c r="E67" s="11"/>
      <c r="F67" s="11"/>
      <c r="G67" s="11"/>
      <c r="H67" s="84" t="s">
        <v>67</v>
      </c>
      <c r="I67" s="85" t="str">
        <f>IF(_epmOfflineCondition_,"T5",_xll.EVPRO($B$1,$H67,"STYLE"))</f>
        <v>T5</v>
      </c>
      <c r="J67" s="85" t="str">
        <f>IF(_epmOfflineCondition_,"Y",_xll.EVPRO($B$1,$H67,"CALC"))</f>
        <v>Y</v>
      </c>
      <c r="K67" s="103"/>
      <c r="L67" s="102" t="str">
        <f>IF(_epmOfflineCondition_,"403000",_xll.EVPRO($B$1,H67,"JDEID"))</f>
        <v>403000</v>
      </c>
      <c r="M67" s="86" t="str">
        <f>IF(_epmOfflineCondition_,"",IF(AND(I67="N",J67="N"),_xll.EVPRO($B$1,H67,"PSFTID"),""))</f>
        <v/>
      </c>
      <c r="N67" s="102" t="str">
        <f>IF(_epmOfflineCondition_,"Other Rooms Revenue",IF(_xll.EVDES(H67,$B$1)="#NODATA","",_xll.EVDES(H67,$B$1)))</f>
        <v>Other Rooms Revenue</v>
      </c>
      <c r="O67" s="265">
        <v>11594.24</v>
      </c>
      <c r="P67" s="266">
        <v>10018.58</v>
      </c>
      <c r="Q67" s="266">
        <v>9699.52</v>
      </c>
      <c r="R67" s="266">
        <v>-6724.96</v>
      </c>
      <c r="S67" s="266">
        <v>6584.11</v>
      </c>
      <c r="T67" s="266">
        <v>3632.46</v>
      </c>
      <c r="U67" s="266">
        <v>2554.06</v>
      </c>
      <c r="V67" s="266">
        <v>4182.74</v>
      </c>
      <c r="W67" s="266">
        <v>1438.7</v>
      </c>
      <c r="X67" s="266">
        <v>1278.94</v>
      </c>
      <c r="Y67" s="266">
        <v>1658.52</v>
      </c>
      <c r="Z67" s="266">
        <v>4398.47</v>
      </c>
      <c r="AA67" s="266">
        <f t="shared" si="6"/>
        <v>50315.38</v>
      </c>
      <c r="AB67" s="267">
        <f t="shared" si="1"/>
        <v>7.9362492341297341E-3</v>
      </c>
      <c r="AC67" s="136"/>
      <c r="AD67" s="268">
        <v>23358.3</v>
      </c>
      <c r="AE67" s="267">
        <f t="shared" si="2"/>
        <v>2.5848190826382646E-3</v>
      </c>
      <c r="AF67" s="269">
        <f t="shared" si="3"/>
        <v>26957.079999999998</v>
      </c>
      <c r="AG67" s="269">
        <v>21725.5</v>
      </c>
      <c r="AH67" s="267">
        <f t="shared" si="4"/>
        <v>8.1888020420928503E-3</v>
      </c>
      <c r="AI67" s="270">
        <f t="shared" si="5"/>
        <v>28589.879999999997</v>
      </c>
    </row>
    <row r="68" spans="1:35" x14ac:dyDescent="0.25">
      <c r="A68" s="11"/>
      <c r="B68" s="11"/>
      <c r="C68" s="11"/>
      <c r="D68" s="11"/>
      <c r="E68" s="11"/>
      <c r="F68" s="11"/>
      <c r="G68" s="11"/>
      <c r="H68" s="84" t="s">
        <v>91</v>
      </c>
      <c r="I68" s="100" t="str">
        <f>IF(_epmOfflineCondition_,"N",_xll.EVPRO($B$1,$H68,"STYLE"))</f>
        <v>N</v>
      </c>
      <c r="J68" s="100" t="str">
        <f>IF(_epmOfflineCondition_,"N",_xll.EVPRO($B$1,$H68,"CALC"))</f>
        <v>N</v>
      </c>
      <c r="K68" s="100"/>
      <c r="L68" s="100" t="str">
        <f>IF(_epmOfflineCondition_,"403990",_xll.EVPRO($B$1,H68,"JDEID"))</f>
        <v>403990</v>
      </c>
      <c r="M68" s="86" t="str">
        <f>IF(_epmOfflineCondition_,"200529",IF(AND(I68="N",J68="N"),_xll.EVPRO($B$1,H68,"PSFTID"),""))</f>
        <v>200529</v>
      </c>
      <c r="N68" s="100" t="str">
        <f>IF(_epmOfflineCondition_,"Rooms: Allowances",IF(_xll.EVDES(H68,$B$1)="#NODATA","",_xll.EVDES(H68,$B$1)))</f>
        <v>Rooms: Allowances</v>
      </c>
      <c r="O68" s="301">
        <v>-4650.8</v>
      </c>
      <c r="P68" s="302">
        <v>-3100.43</v>
      </c>
      <c r="Q68" s="302">
        <v>-4198.5</v>
      </c>
      <c r="R68" s="302">
        <v>-7842.33</v>
      </c>
      <c r="S68" s="302">
        <v>-3334.25</v>
      </c>
      <c r="T68" s="302">
        <v>-2544.71</v>
      </c>
      <c r="U68" s="302">
        <v>-1816.31</v>
      </c>
      <c r="V68" s="302">
        <v>-2327.6</v>
      </c>
      <c r="W68" s="302">
        <v>-296.02999999999997</v>
      </c>
      <c r="X68" s="302">
        <v>-1460.22</v>
      </c>
      <c r="Y68" s="302">
        <v>-1356.35</v>
      </c>
      <c r="Z68" s="302">
        <v>-3640.26</v>
      </c>
      <c r="AA68" s="302">
        <f t="shared" si="6"/>
        <v>-36567.79</v>
      </c>
      <c r="AB68" s="303">
        <f t="shared" si="1"/>
        <v>-5.7678406757797913E-3</v>
      </c>
      <c r="AC68" s="136"/>
      <c r="AD68" s="304">
        <v>-39517.410000000003</v>
      </c>
      <c r="AE68" s="303">
        <f t="shared" si="2"/>
        <v>-4.372979003799086E-3</v>
      </c>
      <c r="AF68" s="305">
        <f t="shared" si="3"/>
        <v>2949.6200000000026</v>
      </c>
      <c r="AG68" s="305">
        <v>-35207.43</v>
      </c>
      <c r="AH68" s="303">
        <f t="shared" si="4"/>
        <v>-1.3270427593419764E-2</v>
      </c>
      <c r="AI68" s="306">
        <f t="shared" si="5"/>
        <v>-1360.3600000000006</v>
      </c>
    </row>
    <row r="69" spans="1:35" x14ac:dyDescent="0.25">
      <c r="A69" s="11"/>
      <c r="B69" s="11"/>
      <c r="C69" s="11"/>
      <c r="D69" s="11"/>
      <c r="E69" s="11"/>
      <c r="F69" s="11"/>
      <c r="G69" s="72"/>
      <c r="H69" s="84" t="s">
        <v>72</v>
      </c>
      <c r="I69" s="85" t="str">
        <f>IF(_epmOfflineCondition_,"T4",_xll.EVPRO($B$1,$H69,"STYLE"))</f>
        <v>T4</v>
      </c>
      <c r="J69" s="85" t="str">
        <f>IF(_epmOfflineCondition_,"Y",_xll.EVPRO($B$1,$H69,"CALC"))</f>
        <v>Y</v>
      </c>
      <c r="K69" s="103"/>
      <c r="L69" s="102" t="str">
        <f>IF(_epmOfflineCondition_,"",_xll.EVPRO($B$1,H69,"JDEID"))</f>
        <v/>
      </c>
      <c r="M69" s="86" t="str">
        <f>IF(_epmOfflineCondition_,"",IF(AND(I69="N",J69="N"),_xll.EVPRO($B$1,H69,"PSFTID"),""))</f>
        <v/>
      </c>
      <c r="N69" s="102" t="str">
        <f>IF(_epmOfflineCondition_,"Total Rooms Revenue",IF(_xll.EVDES(H69,$B$1)="#NODATA","",_xll.EVDES(H69,$B$1)))</f>
        <v>Total Rooms Revenue</v>
      </c>
      <c r="O69" s="283">
        <v>642489.77</v>
      </c>
      <c r="P69" s="284">
        <v>689311.33</v>
      </c>
      <c r="Q69" s="284">
        <v>794322.76</v>
      </c>
      <c r="R69" s="284">
        <v>599715.47</v>
      </c>
      <c r="S69" s="284">
        <v>476136.88</v>
      </c>
      <c r="T69" s="284">
        <v>333518.40999999997</v>
      </c>
      <c r="U69" s="284">
        <v>393649.4</v>
      </c>
      <c r="V69" s="284">
        <v>379826.96</v>
      </c>
      <c r="W69" s="284">
        <v>261653.71</v>
      </c>
      <c r="X69" s="284">
        <v>392536.9</v>
      </c>
      <c r="Y69" s="284">
        <v>503352.62</v>
      </c>
      <c r="Z69" s="284">
        <v>873430.33</v>
      </c>
      <c r="AA69" s="284">
        <f t="shared" si="6"/>
        <v>6339944.540000001</v>
      </c>
      <c r="AB69" s="285">
        <f t="shared" si="1"/>
        <v>1</v>
      </c>
      <c r="AC69" s="136"/>
      <c r="AD69" s="286">
        <v>9036725.3000000007</v>
      </c>
      <c r="AE69" s="285">
        <f t="shared" si="2"/>
        <v>1</v>
      </c>
      <c r="AF69" s="287">
        <f t="shared" si="3"/>
        <v>-2696780.76</v>
      </c>
      <c r="AG69" s="287">
        <v>2653074.27</v>
      </c>
      <c r="AH69" s="285">
        <f t="shared" si="4"/>
        <v>1</v>
      </c>
      <c r="AI69" s="288">
        <f t="shared" si="5"/>
        <v>3686870.2700000009</v>
      </c>
    </row>
    <row r="70" spans="1:35" x14ac:dyDescent="0.25">
      <c r="A70" s="11"/>
      <c r="B70" s="11"/>
      <c r="C70" s="11"/>
      <c r="D70" s="11"/>
      <c r="E70" s="11"/>
      <c r="F70" s="11"/>
      <c r="G70" s="72"/>
      <c r="H70" s="51"/>
      <c r="I70" s="55"/>
      <c r="J70" s="55"/>
      <c r="K70" s="11"/>
      <c r="L70" s="11"/>
      <c r="M70" s="11"/>
      <c r="N70" s="11"/>
      <c r="O70" s="199"/>
      <c r="P70" s="200"/>
      <c r="Q70" s="200"/>
      <c r="R70" s="200"/>
      <c r="S70" s="200"/>
      <c r="T70" s="200"/>
      <c r="U70" s="200"/>
      <c r="V70" s="200"/>
      <c r="W70" s="200"/>
      <c r="X70" s="200"/>
      <c r="Y70" s="200"/>
      <c r="Z70" s="200"/>
      <c r="AA70" s="200"/>
      <c r="AB70" s="114"/>
      <c r="AC70" s="11"/>
      <c r="AD70" s="199"/>
      <c r="AE70" s="200"/>
      <c r="AF70" s="114"/>
      <c r="AG70" s="199"/>
      <c r="AH70" s="200"/>
      <c r="AI70" s="114"/>
    </row>
    <row r="71" spans="1:35" x14ac:dyDescent="0.25">
      <c r="A71" s="11"/>
      <c r="B71" s="11"/>
      <c r="C71" s="11"/>
      <c r="D71" s="11"/>
      <c r="E71" s="11"/>
      <c r="F71" s="11"/>
      <c r="G71" s="72"/>
      <c r="H71" s="11" t="s">
        <v>173</v>
      </c>
      <c r="I71" s="55" t="str">
        <f>IF(_epmOfflineCondition_,"T1",_xll.EVPRO($B$1,$H71,"STYLE"))</f>
        <v>T1</v>
      </c>
      <c r="J71" s="55" t="str">
        <f>IF(_epmOfflineCondition_,"Y",_xll.EVPRO($B$1,$H71,"CALC"))</f>
        <v>Y</v>
      </c>
      <c r="K71" s="11"/>
      <c r="L71" s="11"/>
      <c r="M71" s="11"/>
      <c r="N71" s="101" t="str">
        <f>IF(_epmOfflineCondition_,"Rooms Statistics",IF(_xll.EVDES(H71,$B$1)="#NODATA","",_xll.EVDES(H71,$B$1)))</f>
        <v>Rooms Statistics</v>
      </c>
      <c r="O71" s="199"/>
      <c r="P71" s="200"/>
      <c r="Q71" s="200"/>
      <c r="R71" s="200"/>
      <c r="S71" s="200"/>
      <c r="T71" s="200"/>
      <c r="U71" s="200"/>
      <c r="V71" s="200"/>
      <c r="W71" s="200"/>
      <c r="X71" s="200"/>
      <c r="Y71" s="200"/>
      <c r="Z71" s="200"/>
      <c r="AA71" s="200"/>
      <c r="AB71" s="260" t="s">
        <v>743</v>
      </c>
      <c r="AC71" s="11"/>
      <c r="AD71" s="199"/>
      <c r="AE71" s="200"/>
      <c r="AF71" s="114"/>
      <c r="AG71" s="199"/>
      <c r="AH71" s="200"/>
      <c r="AI71" s="114"/>
    </row>
    <row r="72" spans="1:35" x14ac:dyDescent="0.25">
      <c r="A72" s="11"/>
      <c r="B72" s="11"/>
      <c r="C72" s="11"/>
      <c r="D72" s="11"/>
      <c r="E72" s="11"/>
      <c r="F72" s="11"/>
      <c r="G72" s="11"/>
      <c r="H72" s="84" t="s">
        <v>142</v>
      </c>
      <c r="I72" s="85" t="str">
        <f>IF(_epmOfflineCondition_,"T3",_xll.EVPRO($B$1,$H72,"STYLE"))</f>
        <v>T3</v>
      </c>
      <c r="J72" s="85" t="str">
        <f>IF(_epmOfflineCondition_,"Y",_xll.EVPRO($B$1,$H72,"CALC"))</f>
        <v>Y</v>
      </c>
      <c r="K72" s="261"/>
      <c r="L72" s="102" t="str">
        <f>IF(_epmOfflineCondition_,"",_xll.EVPRO($B$1,H72,"JDEID"))</f>
        <v/>
      </c>
      <c r="M72" s="86" t="str">
        <f>IF(_epmOfflineCondition_,"",IF(AND(I72="N",J72="N"),_xll.EVPRO($B$1,H72,"PSFTID"),""))</f>
        <v/>
      </c>
      <c r="N72" s="102" t="str">
        <f>IF(_epmOfflineCondition_,"Retail",IF(_xll.EVDES(H72,$B$1)="#NODATA","",_xll.EVDES(H72,$B$1)))</f>
        <v>Retail</v>
      </c>
      <c r="O72" s="265">
        <v>733</v>
      </c>
      <c r="P72" s="266">
        <v>541</v>
      </c>
      <c r="Q72" s="266">
        <v>512</v>
      </c>
      <c r="R72" s="266">
        <v>501</v>
      </c>
      <c r="S72" s="266">
        <v>722</v>
      </c>
      <c r="T72" s="266">
        <v>460</v>
      </c>
      <c r="U72" s="266">
        <v>556</v>
      </c>
      <c r="V72" s="266">
        <v>409</v>
      </c>
      <c r="W72" s="266">
        <v>431</v>
      </c>
      <c r="X72" s="266">
        <v>650</v>
      </c>
      <c r="Y72" s="266">
        <v>815</v>
      </c>
      <c r="Z72" s="266">
        <v>1509</v>
      </c>
      <c r="AA72" s="266">
        <f t="shared" ref="AA72:AA116" si="7">SUM(O72:Z72)</f>
        <v>7839</v>
      </c>
      <c r="AB72" s="307">
        <f t="shared" ref="AB72:AB116" si="8">IF($H72="907300",TEXT(IFERROR(AA72/AA$20,""),"0.00"),IF(AA72=0,"",IFERROR(AA72/AA$20,"")))</f>
        <v>0.23839790766984978</v>
      </c>
      <c r="AC72" s="136"/>
      <c r="AD72" s="268">
        <v>7219</v>
      </c>
      <c r="AE72" s="307">
        <f t="shared" ref="AE72:AE116" si="9">IF($H72="907300",TEXT(IFERROR(AD72/AD$20,""),"0.00"),IF(AD72=0,"",IFERROR(AD72/AD$20,"""")))</f>
        <v>0.19840048370252295</v>
      </c>
      <c r="AF72" s="269">
        <f t="shared" ref="AF72:AF116" si="10">IF(AND($AA72="",AD72=""),"",$AA72-AD72)</f>
        <v>620</v>
      </c>
      <c r="AG72" s="269">
        <v>4347</v>
      </c>
      <c r="AH72" s="307">
        <f t="shared" ref="AH72:AH116" si="11">IF($H72="907300",TEXT(IFERROR(AG72/AG$20,""),"0.00"),IF(AG72=0,"",IFERROR(AG72/AG$20,"""")))</f>
        <v>0.28636363636363638</v>
      </c>
      <c r="AI72" s="270">
        <f t="shared" ref="AI72:AI116" si="12">IF(AND($AA72="",AG72=""),"",$AA72-AG72)</f>
        <v>3492</v>
      </c>
    </row>
    <row r="73" spans="1:35" x14ac:dyDescent="0.25">
      <c r="A73" s="11"/>
      <c r="B73" s="11"/>
      <c r="C73" s="11"/>
      <c r="D73" s="11"/>
      <c r="E73" s="11"/>
      <c r="F73" s="11"/>
      <c r="G73" s="11"/>
      <c r="H73" s="84" t="s">
        <v>143</v>
      </c>
      <c r="I73" s="100" t="str">
        <f>IF(_epmOfflineCondition_,"N",_xll.EVPRO($B$1,$H73,"STYLE"))</f>
        <v>N</v>
      </c>
      <c r="J73" s="100" t="str">
        <f>IF(_epmOfflineCondition_,"N",_xll.EVPRO($B$1,$H73,"CALC"))</f>
        <v>N</v>
      </c>
      <c r="K73" s="100"/>
      <c r="L73" s="100" t="str">
        <f>IF(_epmOfflineCondition_,"902100",_xll.EVPRO($B$1,H73,"JDEID"))</f>
        <v>902100</v>
      </c>
      <c r="M73" s="86" t="str">
        <f>IF(_epmOfflineCondition_,"991768",IF(AND(I73="N",J73="N"),_xll.EVPRO($B$1,H73,"PSFTID"),""))</f>
        <v>991768</v>
      </c>
      <c r="N73" s="100" t="str">
        <f>IF(_epmOfflineCondition_,"Room Only",IF(_xll.EVDES(H73,$B$1)="#NODATA","",_xll.EVDES(H73,$B$1)))</f>
        <v>Room Only</v>
      </c>
      <c r="O73" s="271">
        <v>158</v>
      </c>
      <c r="P73" s="272">
        <v>148</v>
      </c>
      <c r="Q73" s="272">
        <v>190</v>
      </c>
      <c r="R73" s="272">
        <v>134</v>
      </c>
      <c r="S73" s="272">
        <v>230</v>
      </c>
      <c r="T73" s="272">
        <v>113</v>
      </c>
      <c r="U73" s="272">
        <v>108</v>
      </c>
      <c r="V73" s="272">
        <v>102</v>
      </c>
      <c r="W73" s="272">
        <v>105</v>
      </c>
      <c r="X73" s="272">
        <v>163</v>
      </c>
      <c r="Y73" s="272">
        <v>331</v>
      </c>
      <c r="Z73" s="272">
        <v>235</v>
      </c>
      <c r="AA73" s="272">
        <f t="shared" si="7"/>
        <v>2017</v>
      </c>
      <c r="AB73" s="308">
        <f t="shared" si="8"/>
        <v>6.1340551061370964E-2</v>
      </c>
      <c r="AC73" s="136"/>
      <c r="AD73" s="274">
        <v>2067</v>
      </c>
      <c r="AE73" s="308">
        <f t="shared" si="9"/>
        <v>5.6807563348540646E-2</v>
      </c>
      <c r="AF73" s="275">
        <f t="shared" si="10"/>
        <v>-50</v>
      </c>
      <c r="AG73" s="275">
        <v>1030</v>
      </c>
      <c r="AH73" s="308">
        <f t="shared" si="11"/>
        <v>6.7852437417654815E-2</v>
      </c>
      <c r="AI73" s="276">
        <f t="shared" si="12"/>
        <v>987</v>
      </c>
    </row>
    <row r="74" spans="1:35" x14ac:dyDescent="0.25">
      <c r="A74" s="11"/>
      <c r="B74" s="11"/>
      <c r="C74" s="11"/>
      <c r="D74" s="11"/>
      <c r="E74" s="11"/>
      <c r="F74" s="11"/>
      <c r="G74" s="11"/>
      <c r="H74" s="84" t="s">
        <v>144</v>
      </c>
      <c r="I74" s="100" t="str">
        <f>IF(_epmOfflineCondition_,"N",_xll.EVPRO($B$1,$H74,"STYLE"))</f>
        <v>N</v>
      </c>
      <c r="J74" s="100" t="str">
        <f>IF(_epmOfflineCondition_,"N",_xll.EVPRO($B$1,$H74,"CALC"))</f>
        <v>N</v>
      </c>
      <c r="K74" s="100"/>
      <c r="L74" s="100" t="str">
        <f>IF(_epmOfflineCondition_,"902130",_xll.EVPRO($B$1,H74,"JDEID"))</f>
        <v>902130</v>
      </c>
      <c r="M74" s="86" t="str">
        <f>IF(_epmOfflineCondition_,"991755",IF(AND(I74="N",J74="N"),_xll.EVPRO($B$1,H74,"PSFTID"),""))</f>
        <v>991755</v>
      </c>
      <c r="N74" s="100" t="str">
        <f>IF(_epmOfflineCondition_,"Retail Web",IF(_xll.EVDES(H74,$B$1)="#NODATA","",_xll.EVDES(H74,$B$1)))</f>
        <v>Retail Web</v>
      </c>
      <c r="O74" s="271">
        <v>575</v>
      </c>
      <c r="P74" s="272">
        <v>393</v>
      </c>
      <c r="Q74" s="272">
        <v>322</v>
      </c>
      <c r="R74" s="272">
        <v>367</v>
      </c>
      <c r="S74" s="272">
        <v>492</v>
      </c>
      <c r="T74" s="272">
        <v>347</v>
      </c>
      <c r="U74" s="272">
        <v>448</v>
      </c>
      <c r="V74" s="272">
        <v>307</v>
      </c>
      <c r="W74" s="272">
        <v>326</v>
      </c>
      <c r="X74" s="272">
        <v>487</v>
      </c>
      <c r="Y74" s="272">
        <v>484</v>
      </c>
      <c r="Z74" s="272">
        <v>1274</v>
      </c>
      <c r="AA74" s="272">
        <f t="shared" si="7"/>
        <v>5822</v>
      </c>
      <c r="AB74" s="308">
        <f t="shared" si="8"/>
        <v>0.17705735660847879</v>
      </c>
      <c r="AC74" s="136"/>
      <c r="AD74" s="274">
        <v>5152</v>
      </c>
      <c r="AE74" s="308">
        <f t="shared" si="9"/>
        <v>0.1415929203539823</v>
      </c>
      <c r="AF74" s="275">
        <f t="shared" si="10"/>
        <v>670</v>
      </c>
      <c r="AG74" s="275">
        <v>3317</v>
      </c>
      <c r="AH74" s="308">
        <f t="shared" si="11"/>
        <v>0.21851119894598156</v>
      </c>
      <c r="AI74" s="276">
        <f t="shared" si="12"/>
        <v>2505</v>
      </c>
    </row>
    <row r="75" spans="1:35" x14ac:dyDescent="0.25">
      <c r="A75" s="11"/>
      <c r="B75" s="11"/>
      <c r="C75" s="11"/>
      <c r="D75" s="11"/>
      <c r="E75" s="11"/>
      <c r="F75" s="11"/>
      <c r="G75" s="11"/>
      <c r="H75" s="84" t="s">
        <v>145</v>
      </c>
      <c r="I75" s="85" t="str">
        <f>IF(_epmOfflineCondition_,"T3",_xll.EVPRO($B$1,$H75,"STYLE"))</f>
        <v>T3</v>
      </c>
      <c r="J75" s="85" t="str">
        <f>IF(_epmOfflineCondition_,"Y",_xll.EVPRO($B$1,$H75,"CALC"))</f>
        <v>Y</v>
      </c>
      <c r="K75" s="261"/>
      <c r="L75" s="102" t="str">
        <f>IF(_epmOfflineCondition_,"",_xll.EVPRO($B$1,H75,"JDEID"))</f>
        <v/>
      </c>
      <c r="M75" s="86" t="str">
        <f>IF(_epmOfflineCondition_,"",IF(AND(I75="N",J75="N"),_xll.EVPRO($B$1,H75,"PSFTID"),""))</f>
        <v/>
      </c>
      <c r="N75" s="102" t="str">
        <f>IF(_epmOfflineCondition_,"Discount",IF(_xll.EVDES(H75,$B$1)="#NODATA","",_xll.EVDES(H75,$B$1)))</f>
        <v>Discount</v>
      </c>
      <c r="O75" s="265">
        <v>923</v>
      </c>
      <c r="P75" s="266">
        <v>1021</v>
      </c>
      <c r="Q75" s="266">
        <v>1566</v>
      </c>
      <c r="R75" s="266">
        <v>1260</v>
      </c>
      <c r="S75" s="266">
        <v>1013</v>
      </c>
      <c r="T75" s="266">
        <v>746</v>
      </c>
      <c r="U75" s="266">
        <v>1267</v>
      </c>
      <c r="V75" s="266">
        <v>1561</v>
      </c>
      <c r="W75" s="266">
        <v>1114</v>
      </c>
      <c r="X75" s="266">
        <v>1294</v>
      </c>
      <c r="Y75" s="266">
        <v>1275</v>
      </c>
      <c r="Z75" s="266">
        <v>1182</v>
      </c>
      <c r="AA75" s="266">
        <f t="shared" si="7"/>
        <v>14222</v>
      </c>
      <c r="AB75" s="307">
        <f t="shared" si="8"/>
        <v>0.43251627029986012</v>
      </c>
      <c r="AC75" s="136"/>
      <c r="AD75" s="268">
        <v>15964</v>
      </c>
      <c r="AE75" s="307">
        <f t="shared" si="9"/>
        <v>0.4387401747925026</v>
      </c>
      <c r="AF75" s="269">
        <f t="shared" si="10"/>
        <v>-1742</v>
      </c>
      <c r="AG75" s="269">
        <v>5009</v>
      </c>
      <c r="AH75" s="307">
        <f t="shared" si="11"/>
        <v>0.32997364953886693</v>
      </c>
      <c r="AI75" s="270">
        <f t="shared" si="12"/>
        <v>9213</v>
      </c>
    </row>
    <row r="76" spans="1:35" x14ac:dyDescent="0.25">
      <c r="A76" s="11"/>
      <c r="B76" s="11"/>
      <c r="C76" s="11"/>
      <c r="D76" s="11"/>
      <c r="E76" s="11"/>
      <c r="F76" s="11"/>
      <c r="G76" s="72"/>
      <c r="H76" s="84" t="s">
        <v>146</v>
      </c>
      <c r="I76" s="100" t="str">
        <f>IF(_epmOfflineCondition_,"N",_xll.EVPRO($B$1,$H76,"STYLE"))</f>
        <v>N</v>
      </c>
      <c r="J76" s="100" t="str">
        <f>IF(_epmOfflineCondition_,"N",_xll.EVPRO($B$1,$H76,"CALC"))</f>
        <v>N</v>
      </c>
      <c r="K76" s="100"/>
      <c r="L76" s="100" t="str">
        <f>IF(_epmOfflineCondition_,"902530",_xll.EVPRO($B$1,H76,"JDEID"))</f>
        <v>902530</v>
      </c>
      <c r="M76" s="86" t="str">
        <f>IF(_epmOfflineCondition_,"991014",IF(AND(I76="N",J76="N"),_xll.EVPRO($B$1,H76,"PSFTID"),""))</f>
        <v>991014</v>
      </c>
      <c r="N76" s="100" t="str">
        <f>IF(_epmOfflineCondition_,"Package",IF(_xll.EVDES(H76,$B$1)="#NODATA","",_xll.EVDES(H76,$B$1)))</f>
        <v>Package</v>
      </c>
      <c r="O76" s="271">
        <v>62</v>
      </c>
      <c r="P76" s="272">
        <v>100</v>
      </c>
      <c r="Q76" s="272">
        <v>41</v>
      </c>
      <c r="R76" s="272">
        <v>36</v>
      </c>
      <c r="S76" s="272">
        <v>52</v>
      </c>
      <c r="T76" s="272">
        <v>17</v>
      </c>
      <c r="U76" s="272">
        <v>38</v>
      </c>
      <c r="V76" s="272">
        <v>16</v>
      </c>
      <c r="W76" s="272">
        <v>17</v>
      </c>
      <c r="X76" s="272">
        <v>26</v>
      </c>
      <c r="Y76" s="272">
        <v>18</v>
      </c>
      <c r="Z76" s="272">
        <v>21</v>
      </c>
      <c r="AA76" s="272">
        <f t="shared" si="7"/>
        <v>444</v>
      </c>
      <c r="AB76" s="308">
        <f t="shared" si="8"/>
        <v>1.3502828295115869E-2</v>
      </c>
      <c r="AC76" s="136"/>
      <c r="AD76" s="274">
        <v>1409</v>
      </c>
      <c r="AE76" s="308">
        <f t="shared" si="9"/>
        <v>3.8723684933765733E-2</v>
      </c>
      <c r="AF76" s="275">
        <f t="shared" si="10"/>
        <v>-965</v>
      </c>
      <c r="AG76" s="275">
        <v>397</v>
      </c>
      <c r="AH76" s="308">
        <f t="shared" si="11"/>
        <v>2.6152832674571806E-2</v>
      </c>
      <c r="AI76" s="276">
        <f t="shared" si="12"/>
        <v>47</v>
      </c>
    </row>
    <row r="77" spans="1:35" x14ac:dyDescent="0.25">
      <c r="A77" s="11"/>
      <c r="B77" s="11"/>
      <c r="C77" s="11"/>
      <c r="D77" s="11"/>
      <c r="E77" s="11"/>
      <c r="F77" s="11"/>
      <c r="G77" s="72"/>
      <c r="H77" s="84" t="s">
        <v>147</v>
      </c>
      <c r="I77" s="100" t="str">
        <f>IF(_epmOfflineCondition_,"N",_xll.EVPRO($B$1,$H77,"STYLE"))</f>
        <v>N</v>
      </c>
      <c r="J77" s="100" t="str">
        <f>IF(_epmOfflineCondition_,"N",_xll.EVPRO($B$1,$H77,"CALC"))</f>
        <v>N</v>
      </c>
      <c r="K77" s="100"/>
      <c r="L77" s="100" t="str">
        <f>IF(_epmOfflineCondition_,"902500",_xll.EVPRO($B$1,H77,"JDEID"))</f>
        <v>902500</v>
      </c>
      <c r="M77" s="86" t="str">
        <f>IF(_epmOfflineCondition_,"991759",IF(AND(I77="N",J77="N"),_xll.EVPRO($B$1,H77,"PSFTID"),""))</f>
        <v>991759</v>
      </c>
      <c r="N77" s="100" t="str">
        <f>IF(_epmOfflineCondition_,"OTA Opaque",IF(_xll.EVDES(H77,$B$1)="#NODATA","",_xll.EVDES(H77,$B$1)))</f>
        <v>OTA Opaque</v>
      </c>
      <c r="O77" s="271">
        <v>35</v>
      </c>
      <c r="P77" s="272">
        <v>27</v>
      </c>
      <c r="Q77" s="272">
        <v>24</v>
      </c>
      <c r="R77" s="272">
        <v>30</v>
      </c>
      <c r="S77" s="272">
        <v>72</v>
      </c>
      <c r="T77" s="272">
        <v>25</v>
      </c>
      <c r="U77" s="272">
        <v>167</v>
      </c>
      <c r="V77" s="272">
        <v>48</v>
      </c>
      <c r="W77" s="272">
        <v>56</v>
      </c>
      <c r="X77" s="272">
        <v>61</v>
      </c>
      <c r="Y77" s="272">
        <v>127</v>
      </c>
      <c r="Z77" s="272">
        <v>138</v>
      </c>
      <c r="AA77" s="272">
        <f t="shared" si="7"/>
        <v>810</v>
      </c>
      <c r="AB77" s="308">
        <f t="shared" si="8"/>
        <v>2.4633538105954627E-2</v>
      </c>
      <c r="AC77" s="136"/>
      <c r="AD77" s="274">
        <v>776</v>
      </c>
      <c r="AE77" s="308">
        <f t="shared" si="9"/>
        <v>2.1326883966360687E-2</v>
      </c>
      <c r="AF77" s="275">
        <f t="shared" si="10"/>
        <v>34</v>
      </c>
      <c r="AG77" s="275">
        <v>288</v>
      </c>
      <c r="AH77" s="308">
        <f t="shared" si="11"/>
        <v>1.8972332015810278E-2</v>
      </c>
      <c r="AI77" s="276">
        <f t="shared" si="12"/>
        <v>522</v>
      </c>
    </row>
    <row r="78" spans="1:35" x14ac:dyDescent="0.25">
      <c r="A78" s="11"/>
      <c r="B78" s="11"/>
      <c r="C78" s="11"/>
      <c r="D78" s="11"/>
      <c r="E78" s="11"/>
      <c r="F78" s="11"/>
      <c r="G78" s="11"/>
      <c r="H78" s="84" t="s">
        <v>148</v>
      </c>
      <c r="I78" s="100" t="str">
        <f>IF(_epmOfflineCondition_,"N",_xll.EVPRO($B$1,$H78,"STYLE"))</f>
        <v>N</v>
      </c>
      <c r="J78" s="100" t="str">
        <f>IF(_epmOfflineCondition_,"N",_xll.EVPRO($B$1,$H78,"CALC"))</f>
        <v>N</v>
      </c>
      <c r="K78" s="100"/>
      <c r="L78" s="100" t="str">
        <f>IF(_epmOfflineCondition_,"902540",_xll.EVPRO($B$1,H78,"JDEID"))</f>
        <v>902540</v>
      </c>
      <c r="M78" s="86" t="str">
        <f>IF(_epmOfflineCondition_,"991762",IF(AND(I78="N",J78="N"),_xll.EVPRO($B$1,H78,"PSFTID"),""))</f>
        <v>991762</v>
      </c>
      <c r="N78" s="100" t="str">
        <f>IF(_epmOfflineCondition_,"Brand/Media Promotions",IF(_xll.EVDES(H78,$B$1)="#NODATA","",_xll.EVDES(H78,$B$1)))</f>
        <v>Brand/Media Promotions</v>
      </c>
      <c r="O78" s="271">
        <v>151</v>
      </c>
      <c r="P78" s="272">
        <v>231</v>
      </c>
      <c r="Q78" s="272">
        <v>189</v>
      </c>
      <c r="R78" s="272">
        <v>169</v>
      </c>
      <c r="S78" s="272">
        <v>115</v>
      </c>
      <c r="T78" s="272">
        <v>95</v>
      </c>
      <c r="U78" s="272">
        <v>117</v>
      </c>
      <c r="V78" s="272">
        <v>105</v>
      </c>
      <c r="W78" s="272">
        <v>92</v>
      </c>
      <c r="X78" s="272">
        <v>238</v>
      </c>
      <c r="Y78" s="272">
        <v>160</v>
      </c>
      <c r="Z78" s="272">
        <v>408</v>
      </c>
      <c r="AA78" s="272">
        <f t="shared" si="7"/>
        <v>2070</v>
      </c>
      <c r="AB78" s="308">
        <f t="shared" si="8"/>
        <v>6.2952375159661816E-2</v>
      </c>
      <c r="AC78" s="136"/>
      <c r="AD78" s="274">
        <v>4048</v>
      </c>
      <c r="AE78" s="308">
        <f t="shared" si="9"/>
        <v>0.11125158027812895</v>
      </c>
      <c r="AF78" s="275">
        <f t="shared" si="10"/>
        <v>-1978</v>
      </c>
      <c r="AG78" s="275">
        <v>1070</v>
      </c>
      <c r="AH78" s="308">
        <f t="shared" si="11"/>
        <v>7.0487483530961792E-2</v>
      </c>
      <c r="AI78" s="276">
        <f t="shared" si="12"/>
        <v>1000</v>
      </c>
    </row>
    <row r="79" spans="1:35" x14ac:dyDescent="0.25">
      <c r="A79" s="11"/>
      <c r="B79" s="11"/>
      <c r="C79" s="11"/>
      <c r="D79" s="11"/>
      <c r="E79" s="11"/>
      <c r="F79" s="11"/>
      <c r="G79" s="11"/>
      <c r="H79" s="84" t="s">
        <v>149</v>
      </c>
      <c r="I79" s="100" t="str">
        <f>IF(_epmOfflineCondition_,"N",_xll.EVPRO($B$1,$H79,"STYLE"))</f>
        <v>N</v>
      </c>
      <c r="J79" s="100" t="str">
        <f>IF(_epmOfflineCondition_,"N",_xll.EVPRO($B$1,$H79,"CALC"))</f>
        <v>N</v>
      </c>
      <c r="K79" s="100"/>
      <c r="L79" s="100" t="str">
        <f>IF(_epmOfflineCondition_,"902550",_xll.EVPRO($B$1,H79,"JDEID"))</f>
        <v>902550</v>
      </c>
      <c r="M79" s="86" t="str">
        <f>IF(_epmOfflineCondition_,"991764",IF(AND(I79="N",J79="N"),_xll.EVPRO($B$1,H79,"PSFTID"),""))</f>
        <v>991764</v>
      </c>
      <c r="N79" s="100" t="str">
        <f>IF(_epmOfflineCondition_,"Advance Purchases",IF(_xll.EVDES(H79,$B$1)="#NODATA","",_xll.EVDES(H79,$B$1)))</f>
        <v>Advance Purchases</v>
      </c>
      <c r="O79" s="271">
        <v>98</v>
      </c>
      <c r="P79" s="272">
        <v>78</v>
      </c>
      <c r="Q79" s="272">
        <v>176</v>
      </c>
      <c r="R79" s="272">
        <v>167</v>
      </c>
      <c r="S79" s="272">
        <v>117</v>
      </c>
      <c r="T79" s="272">
        <v>139</v>
      </c>
      <c r="U79" s="272">
        <v>158</v>
      </c>
      <c r="V79" s="272">
        <v>160</v>
      </c>
      <c r="W79" s="272">
        <v>119</v>
      </c>
      <c r="X79" s="272">
        <v>127</v>
      </c>
      <c r="Y79" s="272">
        <v>278</v>
      </c>
      <c r="Z79" s="272">
        <v>284</v>
      </c>
      <c r="AA79" s="272">
        <f t="shared" si="7"/>
        <v>1901</v>
      </c>
      <c r="AB79" s="308">
        <f t="shared" si="8"/>
        <v>5.7812785110394747E-2</v>
      </c>
      <c r="AC79" s="136"/>
      <c r="AD79" s="274">
        <v>3735</v>
      </c>
      <c r="AE79" s="308">
        <f t="shared" si="9"/>
        <v>0.10264937063705822</v>
      </c>
      <c r="AF79" s="275">
        <f t="shared" si="10"/>
        <v>-1834</v>
      </c>
      <c r="AG79" s="275">
        <v>308</v>
      </c>
      <c r="AH79" s="308">
        <f t="shared" si="11"/>
        <v>2.0289855072463767E-2</v>
      </c>
      <c r="AI79" s="276">
        <f t="shared" si="12"/>
        <v>1593</v>
      </c>
    </row>
    <row r="80" spans="1:35" x14ac:dyDescent="0.25">
      <c r="A80" s="11"/>
      <c r="B80" s="11"/>
      <c r="C80" s="11"/>
      <c r="D80" s="11"/>
      <c r="E80" s="11"/>
      <c r="F80" s="11"/>
      <c r="G80" s="11"/>
      <c r="H80" s="84" t="s">
        <v>150</v>
      </c>
      <c r="I80" s="100" t="str">
        <f>IF(_epmOfflineCondition_,"N",_xll.EVPRO($B$1,$H80,"STYLE"))</f>
        <v>N</v>
      </c>
      <c r="J80" s="100" t="str">
        <f>IF(_epmOfflineCondition_,"N",_xll.EVPRO($B$1,$H80,"CALC"))</f>
        <v>N</v>
      </c>
      <c r="K80" s="100"/>
      <c r="L80" s="100" t="str">
        <f>IF(_epmOfflineCondition_,"902560",_xll.EVPRO($B$1,H80,"JDEID"))</f>
        <v>902560</v>
      </c>
      <c r="M80" s="86" t="str">
        <f>IF(_epmOfflineCondition_,"991769",IF(AND(I80="N",J80="N"),_xll.EVPRO($B$1,H80,"PSFTID"),""))</f>
        <v>991769</v>
      </c>
      <c r="N80" s="100" t="str">
        <f>IF(_epmOfflineCondition_,"Local Discounts",IF(_xll.EVDES(H80,$B$1)="#NODATA","",_xll.EVDES(H80,$B$1)))</f>
        <v>Local Discounts</v>
      </c>
      <c r="O80" s="271">
        <v>577</v>
      </c>
      <c r="P80" s="272">
        <v>585</v>
      </c>
      <c r="Q80" s="272">
        <v>1136</v>
      </c>
      <c r="R80" s="272">
        <v>858</v>
      </c>
      <c r="S80" s="272">
        <v>657</v>
      </c>
      <c r="T80" s="272">
        <v>470</v>
      </c>
      <c r="U80" s="272">
        <v>787</v>
      </c>
      <c r="V80" s="272">
        <v>1232</v>
      </c>
      <c r="W80" s="272">
        <v>830</v>
      </c>
      <c r="X80" s="272">
        <v>842</v>
      </c>
      <c r="Y80" s="272">
        <v>692</v>
      </c>
      <c r="Z80" s="272">
        <v>331</v>
      </c>
      <c r="AA80" s="272">
        <f t="shared" si="7"/>
        <v>8997</v>
      </c>
      <c r="AB80" s="308">
        <f t="shared" si="8"/>
        <v>0.27361474362873306</v>
      </c>
      <c r="AC80" s="136"/>
      <c r="AD80" s="274">
        <v>5996</v>
      </c>
      <c r="AE80" s="308">
        <f t="shared" si="9"/>
        <v>0.16478865497718903</v>
      </c>
      <c r="AF80" s="275">
        <f t="shared" si="10"/>
        <v>3001</v>
      </c>
      <c r="AG80" s="275">
        <v>2946</v>
      </c>
      <c r="AH80" s="308">
        <f t="shared" si="11"/>
        <v>0.19407114624505928</v>
      </c>
      <c r="AI80" s="276">
        <f t="shared" si="12"/>
        <v>6051</v>
      </c>
    </row>
    <row r="81" spans="1:35" x14ac:dyDescent="0.25">
      <c r="A81" s="11"/>
      <c r="B81" s="11"/>
      <c r="C81" s="11"/>
      <c r="D81" s="11"/>
      <c r="E81" s="11"/>
      <c r="F81" s="11"/>
      <c r="G81" s="11"/>
      <c r="H81" s="84" t="s">
        <v>151</v>
      </c>
      <c r="I81" s="100" t="str">
        <f>IF(_epmOfflineCondition_,"N",_xll.EVPRO($B$1,$H81,"STYLE"))</f>
        <v>N</v>
      </c>
      <c r="J81" s="100" t="str">
        <f>IF(_epmOfflineCondition_,"N",_xll.EVPRO($B$1,$H81,"CALC"))</f>
        <v>N</v>
      </c>
      <c r="K81" s="100"/>
      <c r="L81" s="100" t="str">
        <f>IF(_epmOfflineCondition_,"902600",_xll.EVPRO($B$1,H81,"JDEID"))</f>
        <v>902600</v>
      </c>
      <c r="M81" s="86" t="str">
        <f>IF(_epmOfflineCondition_,"991763",IF(AND(I81="N",J81="N"),_xll.EVPRO($B$1,H81,"PSFTID"),""))</f>
        <v>991763</v>
      </c>
      <c r="N81" s="100" t="str">
        <f>IF(_epmOfflineCondition_,"Package &amp; Promo (Legacy)",IF(_xll.EVDES(H81,$B$1)="#NODATA","",_xll.EVDES(H81,$B$1)))</f>
        <v>Package &amp; Promo (Legacy)</v>
      </c>
      <c r="O81" s="271"/>
      <c r="P81" s="272"/>
      <c r="Q81" s="272"/>
      <c r="R81" s="272"/>
      <c r="S81" s="272"/>
      <c r="T81" s="272"/>
      <c r="U81" s="272"/>
      <c r="V81" s="272"/>
      <c r="W81" s="272"/>
      <c r="X81" s="272"/>
      <c r="Y81" s="272"/>
      <c r="Z81" s="272"/>
      <c r="AA81" s="272">
        <f t="shared" si="7"/>
        <v>0</v>
      </c>
      <c r="AB81" s="308" t="str">
        <f t="shared" si="8"/>
        <v/>
      </c>
      <c r="AC81" s="136"/>
      <c r="AD81" s="274"/>
      <c r="AE81" s="308" t="str">
        <f t="shared" si="9"/>
        <v/>
      </c>
      <c r="AF81" s="275">
        <f t="shared" si="10"/>
        <v>0</v>
      </c>
      <c r="AG81" s="275"/>
      <c r="AH81" s="308" t="str">
        <f t="shared" si="11"/>
        <v/>
      </c>
      <c r="AI81" s="276">
        <f t="shared" si="12"/>
        <v>0</v>
      </c>
    </row>
    <row r="82" spans="1:35" x14ac:dyDescent="0.25">
      <c r="A82" s="11"/>
      <c r="B82" s="11"/>
      <c r="C82" s="11"/>
      <c r="D82" s="11"/>
      <c r="E82" s="11"/>
      <c r="F82" s="11"/>
      <c r="G82" s="11"/>
      <c r="H82" s="84" t="s">
        <v>152</v>
      </c>
      <c r="I82" s="85" t="str">
        <f>IF(_epmOfflineCondition_,"T3",_xll.EVPRO($B$1,$H82,"STYLE"))</f>
        <v>T3</v>
      </c>
      <c r="J82" s="85" t="str">
        <f>IF(_epmOfflineCondition_,"Y",_xll.EVPRO($B$1,$H82,"CALC"))</f>
        <v>Y</v>
      </c>
      <c r="K82" s="261"/>
      <c r="L82" s="102" t="str">
        <f>IF(_epmOfflineCondition_,"",_xll.EVPRO($B$1,H82,"JDEID"))</f>
        <v/>
      </c>
      <c r="M82" s="86" t="str">
        <f>IF(_epmOfflineCondition_,"",IF(AND(I82="N",J82="N"),_xll.EVPRO($B$1,H82,"PSFTID"),""))</f>
        <v/>
      </c>
      <c r="N82" s="102" t="str">
        <f>IF(_epmOfflineCondition_,"Negotiated",IF(_xll.EVDES(H82,$B$1)="#NODATA","",_xll.EVDES(H82,$B$1)))</f>
        <v>Negotiated</v>
      </c>
      <c r="O82" s="265">
        <v>221</v>
      </c>
      <c r="P82" s="266">
        <v>192</v>
      </c>
      <c r="Q82" s="266">
        <v>173</v>
      </c>
      <c r="R82" s="266">
        <v>164</v>
      </c>
      <c r="S82" s="266">
        <v>176</v>
      </c>
      <c r="T82" s="266">
        <v>89</v>
      </c>
      <c r="U82" s="266">
        <v>67</v>
      </c>
      <c r="V82" s="266">
        <v>112</v>
      </c>
      <c r="W82" s="266">
        <v>83</v>
      </c>
      <c r="X82" s="266">
        <v>221</v>
      </c>
      <c r="Y82" s="266">
        <v>190</v>
      </c>
      <c r="Z82" s="266">
        <v>142</v>
      </c>
      <c r="AA82" s="266">
        <f t="shared" si="7"/>
        <v>1830</v>
      </c>
      <c r="AB82" s="307">
        <f t="shared" si="8"/>
        <v>5.5653549054193785E-2</v>
      </c>
      <c r="AC82" s="136"/>
      <c r="AD82" s="268">
        <v>2032</v>
      </c>
      <c r="AE82" s="307">
        <f t="shared" si="9"/>
        <v>5.5845654922222834E-2</v>
      </c>
      <c r="AF82" s="269">
        <f t="shared" si="10"/>
        <v>-202</v>
      </c>
      <c r="AG82" s="269">
        <v>867</v>
      </c>
      <c r="AH82" s="307">
        <f t="shared" si="11"/>
        <v>5.7114624505928857E-2</v>
      </c>
      <c r="AI82" s="270">
        <f t="shared" si="12"/>
        <v>963</v>
      </c>
    </row>
    <row r="83" spans="1:35" x14ac:dyDescent="0.25">
      <c r="A83" s="11"/>
      <c r="B83" s="11"/>
      <c r="C83" s="11"/>
      <c r="D83" s="11"/>
      <c r="E83" s="11"/>
      <c r="F83" s="11"/>
      <c r="G83" s="11"/>
      <c r="H83" s="84" t="s">
        <v>153</v>
      </c>
      <c r="I83" s="100" t="str">
        <f>IF(_epmOfflineCondition_,"N",_xll.EVPRO($B$1,$H83,"STYLE"))</f>
        <v>N</v>
      </c>
      <c r="J83" s="100" t="str">
        <f>IF(_epmOfflineCondition_,"N",_xll.EVPRO($B$1,$H83,"CALC"))</f>
        <v>N</v>
      </c>
      <c r="K83" s="100"/>
      <c r="L83" s="100" t="str">
        <f>IF(_epmOfflineCondition_,"902300",_xll.EVPRO($B$1,H83,"JDEID"))</f>
        <v>902300</v>
      </c>
      <c r="M83" s="86" t="str">
        <f>IF(_epmOfflineCondition_,"991757",IF(AND(I83="N",J83="N"),_xll.EVPRO($B$1,H83,"PSFTID"),""))</f>
        <v>991757</v>
      </c>
      <c r="N83" s="100" t="str">
        <f>IF(_epmOfflineCondition_,"Consortia",IF(_xll.EVDES(H83,$B$1)="#NODATA","",_xll.EVDES(H83,$B$1)))</f>
        <v>Consortia</v>
      </c>
      <c r="O83" s="271">
        <v>20</v>
      </c>
      <c r="P83" s="272">
        <v>9</v>
      </c>
      <c r="Q83" s="272">
        <v>6</v>
      </c>
      <c r="R83" s="272">
        <v>46</v>
      </c>
      <c r="S83" s="272">
        <v>28</v>
      </c>
      <c r="T83" s="272">
        <v>7</v>
      </c>
      <c r="U83" s="272">
        <v>9</v>
      </c>
      <c r="V83" s="272">
        <v>9</v>
      </c>
      <c r="W83" s="272">
        <v>20</v>
      </c>
      <c r="X83" s="272">
        <v>41</v>
      </c>
      <c r="Y83" s="272">
        <v>20</v>
      </c>
      <c r="Z83" s="272">
        <v>31</v>
      </c>
      <c r="AA83" s="272">
        <f t="shared" si="7"/>
        <v>246</v>
      </c>
      <c r="AB83" s="308">
        <f t="shared" si="8"/>
        <v>7.481296758104738E-3</v>
      </c>
      <c r="AC83" s="136"/>
      <c r="AD83" s="274">
        <v>727</v>
      </c>
      <c r="AE83" s="308">
        <f t="shared" si="9"/>
        <v>1.9980212169515749E-2</v>
      </c>
      <c r="AF83" s="275">
        <f t="shared" si="10"/>
        <v>-481</v>
      </c>
      <c r="AG83" s="275">
        <v>99</v>
      </c>
      <c r="AH83" s="308">
        <f t="shared" si="11"/>
        <v>6.5217391304347823E-3</v>
      </c>
      <c r="AI83" s="276">
        <f t="shared" si="12"/>
        <v>147</v>
      </c>
    </row>
    <row r="84" spans="1:35" x14ac:dyDescent="0.25">
      <c r="A84" s="11"/>
      <c r="B84" s="11"/>
      <c r="C84" s="11"/>
      <c r="D84" s="11"/>
      <c r="E84" s="11"/>
      <c r="F84" s="11"/>
      <c r="G84" s="11"/>
      <c r="H84" s="84" t="s">
        <v>154</v>
      </c>
      <c r="I84" s="100" t="str">
        <f>IF(_epmOfflineCondition_,"N",_xll.EVPRO($B$1,$H84,"STYLE"))</f>
        <v>N</v>
      </c>
      <c r="J84" s="100" t="str">
        <f>IF(_epmOfflineCondition_,"N",_xll.EVPRO($B$1,$H84,"CALC"))</f>
        <v>N</v>
      </c>
      <c r="K84" s="100"/>
      <c r="L84" s="100" t="str">
        <f>IF(_epmOfflineCondition_,"902350",_xll.EVPRO($B$1,H84,"JDEID"))</f>
        <v>902350</v>
      </c>
      <c r="M84" s="86" t="str">
        <f>IF(_epmOfflineCondition_,"991758",IF(AND(I84="N",J84="N"),_xll.EVPRO($B$1,H84,"PSFTID"),""))</f>
        <v>991758</v>
      </c>
      <c r="N84" s="100" t="str">
        <f>IF(_epmOfflineCondition_,"National Negotiated",IF(_xll.EVDES(H84,$B$1)="#NODATA","",_xll.EVDES(H84,$B$1)))</f>
        <v>National Negotiated</v>
      </c>
      <c r="O84" s="271">
        <v>86</v>
      </c>
      <c r="P84" s="272">
        <v>88</v>
      </c>
      <c r="Q84" s="272">
        <v>60</v>
      </c>
      <c r="R84" s="272">
        <v>61</v>
      </c>
      <c r="S84" s="272">
        <v>63</v>
      </c>
      <c r="T84" s="272">
        <v>67</v>
      </c>
      <c r="U84" s="272">
        <v>43</v>
      </c>
      <c r="V84" s="272">
        <v>78</v>
      </c>
      <c r="W84" s="272">
        <v>40</v>
      </c>
      <c r="X84" s="272">
        <v>119</v>
      </c>
      <c r="Y84" s="272">
        <v>130</v>
      </c>
      <c r="Z84" s="272">
        <v>91</v>
      </c>
      <c r="AA84" s="272">
        <f t="shared" si="7"/>
        <v>926</v>
      </c>
      <c r="AB84" s="308">
        <f t="shared" si="8"/>
        <v>2.8161304056930844E-2</v>
      </c>
      <c r="AC84" s="136"/>
      <c r="AD84" s="274">
        <v>695</v>
      </c>
      <c r="AE84" s="308">
        <f t="shared" si="9"/>
        <v>1.9100753036882318E-2</v>
      </c>
      <c r="AF84" s="275">
        <f t="shared" si="10"/>
        <v>231</v>
      </c>
      <c r="AG84" s="275">
        <v>284</v>
      </c>
      <c r="AH84" s="308">
        <f t="shared" si="11"/>
        <v>1.8708827404479579E-2</v>
      </c>
      <c r="AI84" s="276">
        <f t="shared" si="12"/>
        <v>642</v>
      </c>
    </row>
    <row r="85" spans="1:35" x14ac:dyDescent="0.25">
      <c r="A85" s="11"/>
      <c r="B85" s="11"/>
      <c r="C85" s="11"/>
      <c r="D85" s="11"/>
      <c r="E85" s="11"/>
      <c r="F85" s="11"/>
      <c r="G85" s="11"/>
      <c r="H85" s="84" t="s">
        <v>155</v>
      </c>
      <c r="I85" s="100" t="str">
        <f>IF(_epmOfflineCondition_,"N",_xll.EVPRO($B$1,$H85,"STYLE"))</f>
        <v>N</v>
      </c>
      <c r="J85" s="100" t="str">
        <f>IF(_epmOfflineCondition_,"N",_xll.EVPRO($B$1,$H85,"CALC"))</f>
        <v>N</v>
      </c>
      <c r="K85" s="100"/>
      <c r="L85" s="100" t="str">
        <f>IF(_epmOfflineCondition_,"902200",_xll.EVPRO($B$1,H85,"JDEID"))</f>
        <v>902200</v>
      </c>
      <c r="M85" s="86" t="str">
        <f>IF(_epmOfflineCondition_,"991756",IF(AND(I85="N",J85="N"),_xll.EVPRO($B$1,H85,"PSFTID"),""))</f>
        <v>991756</v>
      </c>
      <c r="N85" s="100" t="str">
        <f>IF(_epmOfflineCondition_,"Local Negotiated",IF(_xll.EVDES(H85,$B$1)="#NODATA","",_xll.EVDES(H85,$B$1)))</f>
        <v>Local Negotiated</v>
      </c>
      <c r="O85" s="271">
        <v>115</v>
      </c>
      <c r="P85" s="272">
        <v>95</v>
      </c>
      <c r="Q85" s="272">
        <v>107</v>
      </c>
      <c r="R85" s="272">
        <v>57</v>
      </c>
      <c r="S85" s="272">
        <v>85</v>
      </c>
      <c r="T85" s="272">
        <v>15</v>
      </c>
      <c r="U85" s="272">
        <v>15</v>
      </c>
      <c r="V85" s="272">
        <v>25</v>
      </c>
      <c r="W85" s="272">
        <v>23</v>
      </c>
      <c r="X85" s="272">
        <v>61</v>
      </c>
      <c r="Y85" s="272">
        <v>40</v>
      </c>
      <c r="Z85" s="272">
        <v>20</v>
      </c>
      <c r="AA85" s="272">
        <f t="shared" si="7"/>
        <v>658</v>
      </c>
      <c r="AB85" s="308">
        <f t="shared" si="8"/>
        <v>2.0010948239158201E-2</v>
      </c>
      <c r="AC85" s="136"/>
      <c r="AD85" s="274">
        <v>610</v>
      </c>
      <c r="AE85" s="308">
        <f t="shared" si="9"/>
        <v>1.6764689715824767E-2</v>
      </c>
      <c r="AF85" s="275">
        <f t="shared" si="10"/>
        <v>48</v>
      </c>
      <c r="AG85" s="275">
        <v>484</v>
      </c>
      <c r="AH85" s="308">
        <f t="shared" si="11"/>
        <v>3.1884057971014491E-2</v>
      </c>
      <c r="AI85" s="276">
        <f t="shared" si="12"/>
        <v>174</v>
      </c>
    </row>
    <row r="86" spans="1:35" x14ac:dyDescent="0.25">
      <c r="A86" s="11"/>
      <c r="B86" s="11"/>
      <c r="C86" s="11"/>
      <c r="D86" s="11"/>
      <c r="E86" s="11"/>
      <c r="F86" s="11"/>
      <c r="G86" s="11"/>
      <c r="H86" s="84" t="s">
        <v>156</v>
      </c>
      <c r="I86" s="85" t="str">
        <f>IF(_epmOfflineCondition_,"T3",_xll.EVPRO($B$1,$H86,"STYLE"))</f>
        <v>T3</v>
      </c>
      <c r="J86" s="85" t="str">
        <f>IF(_epmOfflineCondition_,"Y",_xll.EVPRO($B$1,$H86,"CALC"))</f>
        <v>Y</v>
      </c>
      <c r="K86" s="261"/>
      <c r="L86" s="102" t="str">
        <f>IF(_epmOfflineCondition_,"",_xll.EVPRO($B$1,H86,"JDEID"))</f>
        <v/>
      </c>
      <c r="M86" s="86" t="str">
        <f>IF(_epmOfflineCondition_,"",IF(AND(I86="N",J86="N"),_xll.EVPRO($B$1,H86,"PSFTID"),""))</f>
        <v/>
      </c>
      <c r="N86" s="102" t="str">
        <f>IF(_epmOfflineCondition_,"Qualified",IF(_xll.EVDES(H86,$B$1)="#NODATA","",_xll.EVDES(H86,$B$1)))</f>
        <v>Qualified</v>
      </c>
      <c r="O86" s="265">
        <v>127</v>
      </c>
      <c r="P86" s="266">
        <v>104</v>
      </c>
      <c r="Q86" s="266">
        <v>98</v>
      </c>
      <c r="R86" s="266">
        <v>134</v>
      </c>
      <c r="S86" s="266">
        <v>174</v>
      </c>
      <c r="T86" s="266">
        <v>99</v>
      </c>
      <c r="U86" s="266">
        <v>125</v>
      </c>
      <c r="V86" s="266">
        <v>110</v>
      </c>
      <c r="W86" s="266">
        <v>121</v>
      </c>
      <c r="X86" s="266">
        <v>234</v>
      </c>
      <c r="Y86" s="266">
        <v>243</v>
      </c>
      <c r="Z86" s="266">
        <v>169</v>
      </c>
      <c r="AA86" s="266">
        <f t="shared" si="7"/>
        <v>1738</v>
      </c>
      <c r="AB86" s="307">
        <f t="shared" si="8"/>
        <v>5.285566571376437E-2</v>
      </c>
      <c r="AC86" s="136"/>
      <c r="AD86" s="268">
        <v>3496</v>
      </c>
      <c r="AE86" s="307">
        <f t="shared" si="9"/>
        <v>9.608091024020228E-2</v>
      </c>
      <c r="AF86" s="269">
        <f t="shared" si="10"/>
        <v>-1758</v>
      </c>
      <c r="AG86" s="269">
        <v>1332</v>
      </c>
      <c r="AH86" s="307">
        <f t="shared" si="11"/>
        <v>8.7747035573122537E-2</v>
      </c>
      <c r="AI86" s="270">
        <f t="shared" si="12"/>
        <v>406</v>
      </c>
    </row>
    <row r="87" spans="1:35" x14ac:dyDescent="0.25">
      <c r="A87" s="11"/>
      <c r="B87" s="11"/>
      <c r="C87" s="11"/>
      <c r="D87" s="11"/>
      <c r="E87" s="11"/>
      <c r="F87" s="11"/>
      <c r="G87" s="11"/>
      <c r="H87" s="84" t="s">
        <v>157</v>
      </c>
      <c r="I87" s="100" t="str">
        <f>IF(_epmOfflineCondition_,"N",_xll.EVPRO($B$1,$H87,"STYLE"))</f>
        <v>N</v>
      </c>
      <c r="J87" s="100" t="str">
        <f>IF(_epmOfflineCondition_,"N",_xll.EVPRO($B$1,$H87,"CALC"))</f>
        <v>N</v>
      </c>
      <c r="K87" s="100"/>
      <c r="L87" s="100" t="str">
        <f>IF(_epmOfflineCondition_,"902700",_xll.EVPRO($B$1,H87,"JDEID"))</f>
        <v>902700</v>
      </c>
      <c r="M87" s="86" t="str">
        <f>IF(_epmOfflineCondition_,"991770",IF(AND(I87="N",J87="N"),_xll.EVPRO($B$1,H87,"PSFTID"),""))</f>
        <v>991770</v>
      </c>
      <c r="N87" s="100" t="str">
        <f>IF(_epmOfflineCondition_,"Qualified",IF(_xll.EVDES(H87,$B$1)="#NODATA","",_xll.EVDES(H87,$B$1)))</f>
        <v>Qualified</v>
      </c>
      <c r="O87" s="271">
        <v>114</v>
      </c>
      <c r="P87" s="272">
        <v>86</v>
      </c>
      <c r="Q87" s="272">
        <v>89</v>
      </c>
      <c r="R87" s="272">
        <v>132</v>
      </c>
      <c r="S87" s="272">
        <v>150</v>
      </c>
      <c r="T87" s="272">
        <v>84</v>
      </c>
      <c r="U87" s="272">
        <v>81</v>
      </c>
      <c r="V87" s="272">
        <v>95</v>
      </c>
      <c r="W87" s="272">
        <v>98</v>
      </c>
      <c r="X87" s="272">
        <v>178</v>
      </c>
      <c r="Y87" s="272">
        <v>203</v>
      </c>
      <c r="Z87" s="272">
        <v>87</v>
      </c>
      <c r="AA87" s="272">
        <f t="shared" si="7"/>
        <v>1397</v>
      </c>
      <c r="AB87" s="308">
        <f t="shared" si="8"/>
        <v>4.2485250288911869E-2</v>
      </c>
      <c r="AC87" s="136"/>
      <c r="AD87" s="274">
        <v>3023</v>
      </c>
      <c r="AE87" s="308">
        <f t="shared" si="9"/>
        <v>8.3081404935964387E-2</v>
      </c>
      <c r="AF87" s="275">
        <f t="shared" si="10"/>
        <v>-1626</v>
      </c>
      <c r="AG87" s="275">
        <v>1004</v>
      </c>
      <c r="AH87" s="308">
        <f t="shared" si="11"/>
        <v>6.6139657444005268E-2</v>
      </c>
      <c r="AI87" s="276">
        <f t="shared" si="12"/>
        <v>393</v>
      </c>
    </row>
    <row r="88" spans="1:35" x14ac:dyDescent="0.25">
      <c r="A88" s="11"/>
      <c r="B88" s="11"/>
      <c r="C88" s="11"/>
      <c r="D88" s="11"/>
      <c r="E88" s="11"/>
      <c r="F88" s="11"/>
      <c r="G88" s="11"/>
      <c r="H88" s="84" t="s">
        <v>158</v>
      </c>
      <c r="I88" s="100" t="str">
        <f>IF(_epmOfflineCondition_,"N",_xll.EVPRO($B$1,$H88,"STYLE"))</f>
        <v>N</v>
      </c>
      <c r="J88" s="100" t="str">
        <f>IF(_epmOfflineCondition_,"N",_xll.EVPRO($B$1,$H88,"CALC"))</f>
        <v>N</v>
      </c>
      <c r="K88" s="100"/>
      <c r="L88" s="100" t="str">
        <f>IF(_epmOfflineCondition_,"902730",_xll.EVPRO($B$1,H88,"JDEID"))</f>
        <v>902730</v>
      </c>
      <c r="M88" s="86" t="str">
        <f>IF(_epmOfflineCondition_,"991030",IF(AND(I88="N",J88="N"),_xll.EVPRO($B$1,H88,"PSFTID"),""))</f>
        <v>991030</v>
      </c>
      <c r="N88" s="100" t="str">
        <f>IF(_epmOfflineCondition_,"Government",IF(_xll.EVDES(H88,$B$1)="#NODATA","",_xll.EVDES(H88,$B$1)))</f>
        <v>Government</v>
      </c>
      <c r="O88" s="271">
        <v>13</v>
      </c>
      <c r="P88" s="272">
        <v>18</v>
      </c>
      <c r="Q88" s="272">
        <v>9</v>
      </c>
      <c r="R88" s="272">
        <v>2</v>
      </c>
      <c r="S88" s="272">
        <v>24</v>
      </c>
      <c r="T88" s="272">
        <v>15</v>
      </c>
      <c r="U88" s="272">
        <v>44</v>
      </c>
      <c r="V88" s="272">
        <v>15</v>
      </c>
      <c r="W88" s="272">
        <v>23</v>
      </c>
      <c r="X88" s="272">
        <v>56</v>
      </c>
      <c r="Y88" s="272">
        <v>40</v>
      </c>
      <c r="Z88" s="272">
        <v>82</v>
      </c>
      <c r="AA88" s="272">
        <f t="shared" si="7"/>
        <v>341</v>
      </c>
      <c r="AB88" s="308">
        <f t="shared" si="8"/>
        <v>1.0370415424852503E-2</v>
      </c>
      <c r="AC88" s="136"/>
      <c r="AD88" s="274">
        <v>473</v>
      </c>
      <c r="AE88" s="308">
        <f t="shared" si="9"/>
        <v>1.2999505304237893E-2</v>
      </c>
      <c r="AF88" s="275">
        <f t="shared" si="10"/>
        <v>-132</v>
      </c>
      <c r="AG88" s="275">
        <v>328</v>
      </c>
      <c r="AH88" s="308">
        <f t="shared" si="11"/>
        <v>2.1607378129117259E-2</v>
      </c>
      <c r="AI88" s="276">
        <f t="shared" si="12"/>
        <v>13</v>
      </c>
    </row>
    <row r="89" spans="1:35" x14ac:dyDescent="0.25">
      <c r="A89" s="11"/>
      <c r="B89" s="11"/>
      <c r="C89" s="11"/>
      <c r="D89" s="11"/>
      <c r="E89" s="11"/>
      <c r="F89" s="11"/>
      <c r="G89" s="11"/>
      <c r="H89" s="84" t="s">
        <v>159</v>
      </c>
      <c r="I89" s="85" t="str">
        <f>IF(_epmOfflineCondition_,"T3",_xll.EVPRO($B$1,$H89,"STYLE"))</f>
        <v>T3</v>
      </c>
      <c r="J89" s="85" t="str">
        <f>IF(_epmOfflineCondition_,"N",_xll.EVPRO($B$1,$H89,"CALC"))</f>
        <v>N</v>
      </c>
      <c r="K89" s="261"/>
      <c r="L89" s="102" t="str">
        <f>IF(_epmOfflineCondition_,"902400",_xll.EVPRO($B$1,H89,"JDEID"))</f>
        <v>902400</v>
      </c>
      <c r="M89" s="86" t="str">
        <f>IF(_epmOfflineCondition_,"",IF(AND(I89="N",J89="N"),_xll.EVPRO($B$1,H89,"PSFTID"),""))</f>
        <v/>
      </c>
      <c r="N89" s="102" t="str">
        <f>IF(_epmOfflineCondition_,"Wholesale",IF(_xll.EVDES(H89,$B$1)="#NODATA","",_xll.EVDES(H89,$B$1)))</f>
        <v>Wholesale</v>
      </c>
      <c r="O89" s="277">
        <v>271</v>
      </c>
      <c r="P89" s="278">
        <v>133</v>
      </c>
      <c r="Q89" s="278">
        <v>312</v>
      </c>
      <c r="R89" s="278">
        <v>395</v>
      </c>
      <c r="S89" s="278">
        <v>347</v>
      </c>
      <c r="T89" s="278">
        <v>362</v>
      </c>
      <c r="U89" s="278">
        <v>414</v>
      </c>
      <c r="V89" s="278">
        <v>597</v>
      </c>
      <c r="W89" s="278">
        <v>340</v>
      </c>
      <c r="X89" s="278">
        <v>126</v>
      </c>
      <c r="Y89" s="278">
        <v>197</v>
      </c>
      <c r="Z89" s="278">
        <v>329</v>
      </c>
      <c r="AA89" s="278">
        <f t="shared" si="7"/>
        <v>3823</v>
      </c>
      <c r="AB89" s="309">
        <f t="shared" si="8"/>
        <v>0.11626421750501795</v>
      </c>
      <c r="AC89" s="136"/>
      <c r="AD89" s="280">
        <v>3510</v>
      </c>
      <c r="AE89" s="309">
        <f t="shared" si="9"/>
        <v>9.6465673610729399E-2</v>
      </c>
      <c r="AF89" s="281">
        <f t="shared" si="10"/>
        <v>313</v>
      </c>
      <c r="AG89" s="281">
        <v>1439</v>
      </c>
      <c r="AH89" s="309">
        <f t="shared" si="11"/>
        <v>9.4795783926218707E-2</v>
      </c>
      <c r="AI89" s="282">
        <f t="shared" si="12"/>
        <v>2384</v>
      </c>
    </row>
    <row r="90" spans="1:35" x14ac:dyDescent="0.25">
      <c r="A90" s="11"/>
      <c r="B90" s="11"/>
      <c r="C90" s="11"/>
      <c r="D90" s="11"/>
      <c r="E90" s="11"/>
      <c r="F90" s="11"/>
      <c r="G90" s="11"/>
      <c r="H90" s="84" t="s">
        <v>141</v>
      </c>
      <c r="I90" s="85" t="str">
        <f>IF(_epmOfflineCondition_,"T2",_xll.EVPRO($B$1,$H90,"STYLE"))</f>
        <v>T2</v>
      </c>
      <c r="J90" s="85" t="str">
        <f>IF(_epmOfflineCondition_,"Y",_xll.EVPRO($B$1,$H90,"CALC"))</f>
        <v>Y</v>
      </c>
      <c r="K90" s="261"/>
      <c r="L90" s="102" t="str">
        <f>IF(_epmOfflineCondition_,"902000",_xll.EVPRO($B$1,H90,"JDEID"))</f>
        <v>902000</v>
      </c>
      <c r="M90" s="86" t="str">
        <f>IF(_epmOfflineCondition_,"",IF(AND(I90="N",J90="N"),_xll.EVPRO($B$1,H90,"PSFTID"),""))</f>
        <v/>
      </c>
      <c r="N90" s="102" t="str">
        <f>IF(_epmOfflineCondition_,"Total Transient Rooms Occupied",IF(_xll.EVDES(H90,$B$1)="#NODATA","",_xll.EVDES(H90,$B$1)))</f>
        <v>Total Transient Rooms Occupied</v>
      </c>
      <c r="O90" s="283">
        <v>2275</v>
      </c>
      <c r="P90" s="284">
        <v>1991</v>
      </c>
      <c r="Q90" s="284">
        <v>2661</v>
      </c>
      <c r="R90" s="284">
        <v>2454</v>
      </c>
      <c r="S90" s="284">
        <v>2432</v>
      </c>
      <c r="T90" s="284">
        <v>1756</v>
      </c>
      <c r="U90" s="284">
        <v>2429</v>
      </c>
      <c r="V90" s="284">
        <v>2789</v>
      </c>
      <c r="W90" s="284">
        <v>2089</v>
      </c>
      <c r="X90" s="284">
        <v>2525</v>
      </c>
      <c r="Y90" s="284">
        <v>2720</v>
      </c>
      <c r="Z90" s="284">
        <v>3331</v>
      </c>
      <c r="AA90" s="284">
        <f t="shared" si="7"/>
        <v>29452</v>
      </c>
      <c r="AB90" s="310">
        <f t="shared" si="8"/>
        <v>0.89568761024268595</v>
      </c>
      <c r="AC90" s="136"/>
      <c r="AD90" s="286">
        <v>32221</v>
      </c>
      <c r="AE90" s="310">
        <f t="shared" si="9"/>
        <v>0.88553289726818007</v>
      </c>
      <c r="AF90" s="287">
        <f t="shared" si="10"/>
        <v>-2769</v>
      </c>
      <c r="AG90" s="287">
        <v>12994</v>
      </c>
      <c r="AH90" s="310">
        <f t="shared" si="11"/>
        <v>0.85599472990777337</v>
      </c>
      <c r="AI90" s="288">
        <f t="shared" si="12"/>
        <v>16458</v>
      </c>
    </row>
    <row r="91" spans="1:35" x14ac:dyDescent="0.25">
      <c r="A91" s="11"/>
      <c r="B91" s="11"/>
      <c r="C91" s="11"/>
      <c r="D91" s="11"/>
      <c r="E91" s="11"/>
      <c r="F91" s="11"/>
      <c r="G91" s="11"/>
      <c r="H91" s="84" t="s">
        <v>175</v>
      </c>
      <c r="I91" s="100" t="str">
        <f>IF(_epmOfflineCondition_,"B1",_xll.EVPRO($B$1,$H91,"STYLE"))</f>
        <v>B1</v>
      </c>
      <c r="J91" s="100" t="str">
        <f>IF(_epmOfflineCondition_,"Y",_xll.EVPRO($B$1,$H91,"CALC"))</f>
        <v>Y</v>
      </c>
      <c r="K91" s="100"/>
      <c r="L91" s="100" t="str">
        <f>IF(_epmOfflineCondition_,"",_xll.EVPRO($B$1,H91,"JDEID"))</f>
        <v/>
      </c>
      <c r="M91" s="86" t="str">
        <f>IF(_epmOfflineCondition_,"",IF(AND(I91="N",J91="N"),_xll.EVPRO($B$1,H91,"PSFTID"),""))</f>
        <v/>
      </c>
      <c r="N91" s="100" t="str">
        <f>IF(_epmOfflineCondition_,"BLANKROW",IF(_xll.EVDES(H91,$B$1)="#NODATA","",_xll.EVDES(H91,$B$1)))</f>
        <v>BLANKROW</v>
      </c>
      <c r="O91" s="289"/>
      <c r="P91" s="290"/>
      <c r="Q91" s="290"/>
      <c r="R91" s="290"/>
      <c r="S91" s="290"/>
      <c r="T91" s="290"/>
      <c r="U91" s="290"/>
      <c r="V91" s="290"/>
      <c r="W91" s="290"/>
      <c r="X91" s="290"/>
      <c r="Y91" s="290"/>
      <c r="Z91" s="290"/>
      <c r="AA91" s="290">
        <f t="shared" si="7"/>
        <v>0</v>
      </c>
      <c r="AB91" s="311" t="str">
        <f t="shared" si="8"/>
        <v/>
      </c>
      <c r="AC91" s="136"/>
      <c r="AD91" s="292"/>
      <c r="AE91" s="311" t="str">
        <f t="shared" si="9"/>
        <v/>
      </c>
      <c r="AF91" s="293">
        <f t="shared" si="10"/>
        <v>0</v>
      </c>
      <c r="AG91" s="293"/>
      <c r="AH91" s="311" t="str">
        <f t="shared" si="11"/>
        <v/>
      </c>
      <c r="AI91" s="294">
        <f t="shared" si="12"/>
        <v>0</v>
      </c>
    </row>
    <row r="92" spans="1:35" x14ac:dyDescent="0.25">
      <c r="A92" s="11"/>
      <c r="B92" s="11"/>
      <c r="C92" s="11"/>
      <c r="D92" s="11"/>
      <c r="E92" s="11"/>
      <c r="F92" s="11"/>
      <c r="G92" s="11"/>
      <c r="H92" s="84" t="s">
        <v>161</v>
      </c>
      <c r="I92" s="85" t="str">
        <f>IF(_epmOfflineCondition_,"T3",_xll.EVPRO($B$1,$H92,"STYLE"))</f>
        <v>T3</v>
      </c>
      <c r="J92" s="85" t="str">
        <f>IF(_epmOfflineCondition_,"Y",_xll.EVPRO($B$1,$H92,"CALC"))</f>
        <v>Y</v>
      </c>
      <c r="K92" s="261"/>
      <c r="L92" s="102" t="str">
        <f>IF(_epmOfflineCondition_,"",_xll.EVPRO($B$1,H92,"JDEID"))</f>
        <v/>
      </c>
      <c r="M92" s="86" t="str">
        <f>IF(_epmOfflineCondition_,"",IF(AND(I92="N",J92="N"),_xll.EVPRO($B$1,H92,"PSFTID"),""))</f>
        <v/>
      </c>
      <c r="N92" s="102" t="str">
        <f>IF(_epmOfflineCondition_,"Corporate",IF(_xll.EVDES(H92,$B$1)="#NODATA","",_xll.EVDES(H92,$B$1)))</f>
        <v>Corporate</v>
      </c>
      <c r="O92" s="265">
        <v>545</v>
      </c>
      <c r="P92" s="266">
        <v>455</v>
      </c>
      <c r="Q92" s="266">
        <v>254</v>
      </c>
      <c r="R92" s="266">
        <v>85</v>
      </c>
      <c r="S92" s="266">
        <v>101</v>
      </c>
      <c r="T92" s="266">
        <v>48</v>
      </c>
      <c r="U92" s="266">
        <v>48</v>
      </c>
      <c r="V92" s="266">
        <v>3</v>
      </c>
      <c r="W92" s="266">
        <v>8</v>
      </c>
      <c r="X92" s="266">
        <v>206</v>
      </c>
      <c r="Y92" s="266">
        <v>163</v>
      </c>
      <c r="Z92" s="266">
        <v>128</v>
      </c>
      <c r="AA92" s="266">
        <f t="shared" si="7"/>
        <v>2044</v>
      </c>
      <c r="AB92" s="307">
        <f t="shared" si="8"/>
        <v>6.2161668998236115E-2</v>
      </c>
      <c r="AC92" s="136"/>
      <c r="AD92" s="268">
        <v>3039</v>
      </c>
      <c r="AE92" s="307">
        <f t="shared" si="9"/>
        <v>8.3521134502281102E-2</v>
      </c>
      <c r="AF92" s="269">
        <f t="shared" si="10"/>
        <v>-995</v>
      </c>
      <c r="AG92" s="269">
        <v>1139</v>
      </c>
      <c r="AH92" s="307">
        <f t="shared" si="11"/>
        <v>7.5032938076416339E-2</v>
      </c>
      <c r="AI92" s="270">
        <f t="shared" si="12"/>
        <v>905</v>
      </c>
    </row>
    <row r="93" spans="1:35" x14ac:dyDescent="0.25">
      <c r="A93" s="11"/>
      <c r="B93" s="11"/>
      <c r="C93" s="11"/>
      <c r="D93" s="11"/>
      <c r="E93" s="11"/>
      <c r="F93" s="11"/>
      <c r="G93" s="11"/>
      <c r="H93" s="84" t="s">
        <v>162</v>
      </c>
      <c r="I93" s="100" t="str">
        <f>IF(_epmOfflineCondition_,"N",_xll.EVPRO($B$1,$H93,"STYLE"))</f>
        <v>N</v>
      </c>
      <c r="J93" s="100" t="str">
        <f>IF(_epmOfflineCondition_,"N",_xll.EVPRO($B$1,$H93,"CALC"))</f>
        <v>N</v>
      </c>
      <c r="K93" s="100"/>
      <c r="L93" s="100" t="str">
        <f>IF(_epmOfflineCondition_,"901100",_xll.EVPRO($B$1,H93,"JDEID"))</f>
        <v>901100</v>
      </c>
      <c r="M93" s="86" t="str">
        <f>IF(_epmOfflineCondition_,"991704",IF(AND(I93="N",J93="N"),_xll.EVPRO($B$1,H93,"PSFTID"),""))</f>
        <v>991704</v>
      </c>
      <c r="N93" s="100" t="str">
        <f>IF(_epmOfflineCondition_,"Corporate",IF(_xll.EVDES(H93,$B$1)="#NODATA","",_xll.EVDES(H93,$B$1)))</f>
        <v>Corporate</v>
      </c>
      <c r="O93" s="271">
        <v>328</v>
      </c>
      <c r="P93" s="272">
        <v>303</v>
      </c>
      <c r="Q93" s="272">
        <v>133</v>
      </c>
      <c r="R93" s="272">
        <v>46</v>
      </c>
      <c r="S93" s="272">
        <v>76</v>
      </c>
      <c r="T93" s="272">
        <v>48</v>
      </c>
      <c r="U93" s="272">
        <v>27</v>
      </c>
      <c r="V93" s="272">
        <v>3</v>
      </c>
      <c r="W93" s="272">
        <v>8</v>
      </c>
      <c r="X93" s="272">
        <v>164</v>
      </c>
      <c r="Y93" s="272">
        <v>101</v>
      </c>
      <c r="Z93" s="272">
        <v>34</v>
      </c>
      <c r="AA93" s="272">
        <f t="shared" si="7"/>
        <v>1271</v>
      </c>
      <c r="AB93" s="308">
        <f t="shared" si="8"/>
        <v>3.8653366583541147E-2</v>
      </c>
      <c r="AC93" s="136"/>
      <c r="AD93" s="274">
        <v>2424</v>
      </c>
      <c r="AE93" s="308">
        <f t="shared" si="9"/>
        <v>6.6619029296982352E-2</v>
      </c>
      <c r="AF93" s="275">
        <f t="shared" si="10"/>
        <v>-1153</v>
      </c>
      <c r="AG93" s="275">
        <v>214</v>
      </c>
      <c r="AH93" s="308">
        <f t="shared" si="11"/>
        <v>1.4097496706192359E-2</v>
      </c>
      <c r="AI93" s="276">
        <f t="shared" si="12"/>
        <v>1057</v>
      </c>
    </row>
    <row r="94" spans="1:35" x14ac:dyDescent="0.25">
      <c r="A94" s="11"/>
      <c r="B94" s="11"/>
      <c r="C94" s="11"/>
      <c r="D94" s="11"/>
      <c r="E94" s="11"/>
      <c r="F94" s="11"/>
      <c r="G94" s="11"/>
      <c r="H94" s="84" t="s">
        <v>163</v>
      </c>
      <c r="I94" s="100" t="str">
        <f>IF(_epmOfflineCondition_,"N",_xll.EVPRO($B$1,$H94,"STYLE"))</f>
        <v>N</v>
      </c>
      <c r="J94" s="100" t="str">
        <f>IF(_epmOfflineCondition_,"N",_xll.EVPRO($B$1,$H94,"CALC"))</f>
        <v>N</v>
      </c>
      <c r="K94" s="100"/>
      <c r="L94" s="100" t="str">
        <f>IF(_epmOfflineCondition_,"901500",_xll.EVPRO($B$1,H94,"JDEID"))</f>
        <v>901500</v>
      </c>
      <c r="M94" s="86" t="str">
        <f>IF(_epmOfflineCondition_,"991754",IF(AND(I94="N",J94="N"),_xll.EVPRO($B$1,H94,"PSFTID"),""))</f>
        <v>991754</v>
      </c>
      <c r="N94" s="100" t="str">
        <f>IF(_epmOfflineCondition_,"Entertainment/ Sports",IF(_xll.EVDES(H94,$B$1)="#NODATA","",_xll.EVDES(H94,$B$1)))</f>
        <v>Entertainment/ Sports</v>
      </c>
      <c r="O94" s="271">
        <v>217</v>
      </c>
      <c r="P94" s="272">
        <v>152</v>
      </c>
      <c r="Q94" s="272">
        <v>121</v>
      </c>
      <c r="R94" s="272">
        <v>39</v>
      </c>
      <c r="S94" s="272">
        <v>25</v>
      </c>
      <c r="T94" s="272"/>
      <c r="U94" s="272">
        <v>21</v>
      </c>
      <c r="V94" s="272"/>
      <c r="W94" s="272"/>
      <c r="X94" s="272">
        <v>42</v>
      </c>
      <c r="Y94" s="272">
        <v>62</v>
      </c>
      <c r="Z94" s="272">
        <v>94</v>
      </c>
      <c r="AA94" s="272">
        <f t="shared" si="7"/>
        <v>773</v>
      </c>
      <c r="AB94" s="308">
        <f t="shared" si="8"/>
        <v>2.3508302414694971E-2</v>
      </c>
      <c r="AC94" s="136"/>
      <c r="AD94" s="274">
        <v>615</v>
      </c>
      <c r="AE94" s="308">
        <f t="shared" si="9"/>
        <v>1.690210520529874E-2</v>
      </c>
      <c r="AF94" s="275">
        <f t="shared" si="10"/>
        <v>158</v>
      </c>
      <c r="AG94" s="275">
        <v>925</v>
      </c>
      <c r="AH94" s="308">
        <f t="shared" si="11"/>
        <v>6.0935441370223976E-2</v>
      </c>
      <c r="AI94" s="276">
        <f t="shared" si="12"/>
        <v>-152</v>
      </c>
    </row>
    <row r="95" spans="1:35" x14ac:dyDescent="0.25">
      <c r="A95" s="11"/>
      <c r="B95" s="11"/>
      <c r="C95" s="11"/>
      <c r="D95" s="11"/>
      <c r="E95" s="11"/>
      <c r="F95" s="11"/>
      <c r="G95" s="11"/>
      <c r="H95" s="84" t="s">
        <v>164</v>
      </c>
      <c r="I95" s="85" t="str">
        <f>IF(_epmOfflineCondition_,"T3",_xll.EVPRO($B$1,$H95,"STYLE"))</f>
        <v>T3</v>
      </c>
      <c r="J95" s="85" t="str">
        <f>IF(_epmOfflineCondition_,"Y",_xll.EVPRO($B$1,$H95,"CALC"))</f>
        <v>Y</v>
      </c>
      <c r="K95" s="261"/>
      <c r="L95" s="102" t="str">
        <f>IF(_epmOfflineCondition_,"",_xll.EVPRO($B$1,H95,"JDEID"))</f>
        <v/>
      </c>
      <c r="M95" s="86" t="str">
        <f>IF(_epmOfflineCondition_,"",IF(AND(I95="N",J95="N"),_xll.EVPRO($B$1,H95,"PSFTID"),""))</f>
        <v/>
      </c>
      <c r="N95" s="102" t="str">
        <f>IF(_epmOfflineCondition_,"Association/ Convention",IF(_xll.EVDES(H95,$B$1)="#NODATA","",_xll.EVDES(H95,$B$1)))</f>
        <v>Association/ Convention</v>
      </c>
      <c r="O95" s="265"/>
      <c r="P95" s="266"/>
      <c r="Q95" s="266">
        <v>50</v>
      </c>
      <c r="R95" s="266"/>
      <c r="S95" s="266"/>
      <c r="T95" s="266">
        <v>306</v>
      </c>
      <c r="U95" s="266"/>
      <c r="V95" s="266"/>
      <c r="W95" s="266"/>
      <c r="X95" s="266"/>
      <c r="Y95" s="266">
        <v>32</v>
      </c>
      <c r="Z95" s="266"/>
      <c r="AA95" s="266">
        <f t="shared" si="7"/>
        <v>388</v>
      </c>
      <c r="AB95" s="307">
        <f t="shared" si="8"/>
        <v>1.179976887050666E-2</v>
      </c>
      <c r="AC95" s="136"/>
      <c r="AD95" s="268">
        <v>280</v>
      </c>
      <c r="AE95" s="307">
        <f t="shared" si="9"/>
        <v>7.6952674105425162E-3</v>
      </c>
      <c r="AF95" s="269">
        <f t="shared" si="10"/>
        <v>108</v>
      </c>
      <c r="AG95" s="269">
        <v>169</v>
      </c>
      <c r="AH95" s="307">
        <f t="shared" si="11"/>
        <v>1.1133069828722003E-2</v>
      </c>
      <c r="AI95" s="270">
        <f t="shared" si="12"/>
        <v>219</v>
      </c>
    </row>
    <row r="96" spans="1:35" x14ac:dyDescent="0.25">
      <c r="A96" s="11"/>
      <c r="B96" s="11"/>
      <c r="C96" s="11"/>
      <c r="D96" s="11"/>
      <c r="E96" s="11"/>
      <c r="F96" s="11"/>
      <c r="G96" s="11"/>
      <c r="H96" s="84" t="s">
        <v>165</v>
      </c>
      <c r="I96" s="100" t="str">
        <f>IF(_epmOfflineCondition_,"N",_xll.EVPRO($B$1,$H96,"STYLE"))</f>
        <v>N</v>
      </c>
      <c r="J96" s="100" t="str">
        <f>IF(_epmOfflineCondition_,"N",_xll.EVPRO($B$1,$H96,"CALC"))</f>
        <v>N</v>
      </c>
      <c r="K96" s="100"/>
      <c r="L96" s="100" t="str">
        <f>IF(_epmOfflineCondition_,"901200",_xll.EVPRO($B$1,H96,"JDEID"))</f>
        <v>901200</v>
      </c>
      <c r="M96" s="86" t="str">
        <f>IF(_epmOfflineCondition_,"991715",IF(AND(I96="N",J96="N"),_xll.EVPRO($B$1,H96,"PSFTID"),""))</f>
        <v>991715</v>
      </c>
      <c r="N96" s="100" t="str">
        <f>IF(_epmOfflineCondition_,"Association",IF(_xll.EVDES(H96,$B$1)="#NODATA","",_xll.EVDES(H96,$B$1)))</f>
        <v>Association</v>
      </c>
      <c r="O96" s="271"/>
      <c r="P96" s="272"/>
      <c r="Q96" s="272">
        <v>50</v>
      </c>
      <c r="R96" s="272"/>
      <c r="S96" s="272"/>
      <c r="T96" s="272"/>
      <c r="U96" s="272"/>
      <c r="V96" s="272"/>
      <c r="W96" s="272"/>
      <c r="X96" s="272"/>
      <c r="Y96" s="272"/>
      <c r="Z96" s="272"/>
      <c r="AA96" s="272">
        <f t="shared" si="7"/>
        <v>50</v>
      </c>
      <c r="AB96" s="308">
        <f t="shared" si="8"/>
        <v>1.5205887719725079E-3</v>
      </c>
      <c r="AC96" s="136"/>
      <c r="AD96" s="274"/>
      <c r="AE96" s="308" t="str">
        <f t="shared" si="9"/>
        <v/>
      </c>
      <c r="AF96" s="275">
        <f t="shared" si="10"/>
        <v>50</v>
      </c>
      <c r="AG96" s="275">
        <v>37</v>
      </c>
      <c r="AH96" s="308">
        <f t="shared" si="11"/>
        <v>2.4374176548089591E-3</v>
      </c>
      <c r="AI96" s="276">
        <f t="shared" si="12"/>
        <v>13</v>
      </c>
    </row>
    <row r="97" spans="1:35" x14ac:dyDescent="0.25">
      <c r="A97" s="11"/>
      <c r="B97" s="11"/>
      <c r="C97" s="11"/>
      <c r="D97" s="11"/>
      <c r="E97" s="11"/>
      <c r="F97" s="11"/>
      <c r="G97" s="11"/>
      <c r="H97" s="84" t="s">
        <v>166</v>
      </c>
      <c r="I97" s="100" t="str">
        <f>IF(_epmOfflineCondition_,"N",_xll.EVPRO($B$1,$H97,"STYLE"))</f>
        <v>N</v>
      </c>
      <c r="J97" s="100" t="str">
        <f>IF(_epmOfflineCondition_,"N",_xll.EVPRO($B$1,$H97,"CALC"))</f>
        <v>N</v>
      </c>
      <c r="K97" s="100"/>
      <c r="L97" s="100" t="str">
        <f>IF(_epmOfflineCondition_,"901600",_xll.EVPRO($B$1,H97,"JDEID"))</f>
        <v>901600</v>
      </c>
      <c r="M97" s="86" t="str">
        <f>IF(_epmOfflineCondition_,"991767",IF(AND(I97="N",J97="N"),_xll.EVPRO($B$1,H97,"PSFTID"),""))</f>
        <v>991767</v>
      </c>
      <c r="N97" s="100" t="str">
        <f>IF(_epmOfflineCondition_,"Convention",IF(_xll.EVDES(H97,$B$1)="#NODATA","",_xll.EVDES(H97,$B$1)))</f>
        <v>Convention</v>
      </c>
      <c r="O97" s="271"/>
      <c r="P97" s="272"/>
      <c r="Q97" s="272"/>
      <c r="R97" s="272"/>
      <c r="S97" s="272"/>
      <c r="T97" s="272">
        <v>306</v>
      </c>
      <c r="U97" s="272"/>
      <c r="V97" s="272"/>
      <c r="W97" s="272"/>
      <c r="X97" s="272"/>
      <c r="Y97" s="272">
        <v>32</v>
      </c>
      <c r="Z97" s="272"/>
      <c r="AA97" s="272">
        <f t="shared" si="7"/>
        <v>338</v>
      </c>
      <c r="AB97" s="308">
        <f t="shared" si="8"/>
        <v>1.0279180098534152E-2</v>
      </c>
      <c r="AC97" s="136"/>
      <c r="AD97" s="274">
        <v>280</v>
      </c>
      <c r="AE97" s="308">
        <f t="shared" si="9"/>
        <v>7.6952674105425162E-3</v>
      </c>
      <c r="AF97" s="275">
        <f t="shared" si="10"/>
        <v>58</v>
      </c>
      <c r="AG97" s="275">
        <v>132</v>
      </c>
      <c r="AH97" s="308">
        <f t="shared" si="11"/>
        <v>8.6956521739130436E-3</v>
      </c>
      <c r="AI97" s="276">
        <f t="shared" si="12"/>
        <v>206</v>
      </c>
    </row>
    <row r="98" spans="1:35" x14ac:dyDescent="0.25">
      <c r="A98" s="11"/>
      <c r="B98" s="11"/>
      <c r="C98" s="11"/>
      <c r="D98" s="11"/>
      <c r="E98" s="11"/>
      <c r="F98" s="11"/>
      <c r="G98" s="11"/>
      <c r="H98" s="84" t="s">
        <v>167</v>
      </c>
      <c r="I98" s="85" t="str">
        <f>IF(_epmOfflineCondition_,"T3",_xll.EVPRO($B$1,$H98,"STYLE"))</f>
        <v>T3</v>
      </c>
      <c r="J98" s="85" t="str">
        <f>IF(_epmOfflineCondition_,"N",_xll.EVPRO($B$1,$H98,"CALC"))</f>
        <v>N</v>
      </c>
      <c r="K98" s="261"/>
      <c r="L98" s="102" t="str">
        <f>IF(_epmOfflineCondition_,"901800",_xll.EVPRO($B$1,H98,"JDEID"))</f>
        <v>901800</v>
      </c>
      <c r="M98" s="86" t="str">
        <f>IF(_epmOfflineCondition_,"",IF(AND(I98="N",J98="N"),_xll.EVPRO($B$1,H98,"PSFTID"),""))</f>
        <v/>
      </c>
      <c r="N98" s="102" t="str">
        <f>IF(_epmOfflineCondition_,"Government",IF(_xll.EVDES(H98,$B$1)="#NODATA","",_xll.EVDES(H98,$B$1)))</f>
        <v>Government</v>
      </c>
      <c r="O98" s="265"/>
      <c r="P98" s="266"/>
      <c r="Q98" s="266"/>
      <c r="R98" s="266"/>
      <c r="S98" s="266"/>
      <c r="T98" s="266"/>
      <c r="U98" s="266"/>
      <c r="V98" s="266"/>
      <c r="W98" s="266"/>
      <c r="X98" s="266"/>
      <c r="Y98" s="266"/>
      <c r="Z98" s="266"/>
      <c r="AA98" s="266">
        <f t="shared" si="7"/>
        <v>0</v>
      </c>
      <c r="AB98" s="307" t="str">
        <f t="shared" si="8"/>
        <v/>
      </c>
      <c r="AC98" s="136"/>
      <c r="AD98" s="268">
        <v>100</v>
      </c>
      <c r="AE98" s="307">
        <f t="shared" si="9"/>
        <v>2.7483097894794701E-3</v>
      </c>
      <c r="AF98" s="269">
        <f t="shared" si="10"/>
        <v>-100</v>
      </c>
      <c r="AG98" s="269"/>
      <c r="AH98" s="307" t="str">
        <f t="shared" si="11"/>
        <v/>
      </c>
      <c r="AI98" s="270">
        <f t="shared" si="12"/>
        <v>0</v>
      </c>
    </row>
    <row r="99" spans="1:35" x14ac:dyDescent="0.25">
      <c r="A99" s="11"/>
      <c r="B99" s="11"/>
      <c r="C99" s="11"/>
      <c r="D99" s="11"/>
      <c r="E99" s="11"/>
      <c r="F99" s="11"/>
      <c r="G99" s="11"/>
      <c r="H99" s="84" t="s">
        <v>168</v>
      </c>
      <c r="I99" s="85" t="str">
        <f>IF(_epmOfflineCondition_,"T3",_xll.EVPRO($B$1,$H99,"STYLE"))</f>
        <v>T3</v>
      </c>
      <c r="J99" s="85" t="str">
        <f>IF(_epmOfflineCondition_,"Y",_xll.EVPRO($B$1,$H99,"CALC"))</f>
        <v>Y</v>
      </c>
      <c r="K99" s="261"/>
      <c r="L99" s="102" t="str">
        <f>IF(_epmOfflineCondition_,"",_xll.EVPRO($B$1,H99,"JDEID"))</f>
        <v/>
      </c>
      <c r="M99" s="86" t="str">
        <f>IF(_epmOfflineCondition_,"",IF(AND(I99="N",J99="N"),_xll.EVPRO($B$1,H99,"PSFTID"),""))</f>
        <v/>
      </c>
      <c r="N99" s="102" t="str">
        <f>IF(_epmOfflineCondition_,"Tour/ Wholesalers",IF(_xll.EVDES(H99,$B$1)="#NODATA","",_xll.EVDES(H99,$B$1)))</f>
        <v>Tour/ Wholesalers</v>
      </c>
      <c r="O99" s="265"/>
      <c r="P99" s="266">
        <v>167</v>
      </c>
      <c r="Q99" s="266">
        <v>34</v>
      </c>
      <c r="R99" s="266">
        <v>177</v>
      </c>
      <c r="S99" s="266">
        <v>5</v>
      </c>
      <c r="T99" s="266">
        <v>50</v>
      </c>
      <c r="U99" s="266">
        <v>23</v>
      </c>
      <c r="V99" s="266"/>
      <c r="W99" s="266"/>
      <c r="X99" s="266"/>
      <c r="Y99" s="266">
        <v>27</v>
      </c>
      <c r="Z99" s="266"/>
      <c r="AA99" s="266">
        <f t="shared" si="7"/>
        <v>483</v>
      </c>
      <c r="AB99" s="307">
        <f t="shared" si="8"/>
        <v>1.4688887537254424E-2</v>
      </c>
      <c r="AC99" s="136"/>
      <c r="AD99" s="268">
        <v>420</v>
      </c>
      <c r="AE99" s="307">
        <f t="shared" si="9"/>
        <v>1.1542901115813775E-2</v>
      </c>
      <c r="AF99" s="269">
        <f t="shared" si="10"/>
        <v>63</v>
      </c>
      <c r="AG99" s="269">
        <v>152</v>
      </c>
      <c r="AH99" s="307">
        <f t="shared" si="11"/>
        <v>1.0013175230566536E-2</v>
      </c>
      <c r="AI99" s="270">
        <f t="shared" si="12"/>
        <v>331</v>
      </c>
    </row>
    <row r="100" spans="1:35" x14ac:dyDescent="0.25">
      <c r="A100" s="11"/>
      <c r="B100" s="11"/>
      <c r="C100" s="11"/>
      <c r="D100" s="11"/>
      <c r="E100" s="11"/>
      <c r="F100" s="11"/>
      <c r="G100" s="11"/>
      <c r="H100" s="84" t="s">
        <v>169</v>
      </c>
      <c r="I100" s="100" t="str">
        <f>IF(_epmOfflineCondition_,"N",_xll.EVPRO($B$1,$H100,"STYLE"))</f>
        <v>N</v>
      </c>
      <c r="J100" s="100" t="str">
        <f>IF(_epmOfflineCondition_,"N",_xll.EVPRO($B$1,$H100,"CALC"))</f>
        <v>N</v>
      </c>
      <c r="K100" s="100"/>
      <c r="L100" s="100" t="str">
        <f>IF(_epmOfflineCondition_,"901300",_xll.EVPRO($B$1,H100,"JDEID"))</f>
        <v>901300</v>
      </c>
      <c r="M100" s="86" t="str">
        <f>IF(_epmOfflineCondition_,"991010",IF(AND(I100="N",J100="N"),_xll.EVPRO($B$1,H100,"PSFTID"),""))</f>
        <v>991010</v>
      </c>
      <c r="N100" s="100" t="str">
        <f>IF(_epmOfflineCondition_,"Tour/ Wholesale",IF(_xll.EVDES(H100,$B$1)="#NODATA","",_xll.EVDES(H100,$B$1)))</f>
        <v>Tour/ Wholesale</v>
      </c>
      <c r="O100" s="271"/>
      <c r="P100" s="272"/>
      <c r="Q100" s="272"/>
      <c r="R100" s="272"/>
      <c r="S100" s="272"/>
      <c r="T100" s="272"/>
      <c r="U100" s="272"/>
      <c r="V100" s="272"/>
      <c r="W100" s="272"/>
      <c r="X100" s="272"/>
      <c r="Y100" s="272"/>
      <c r="Z100" s="272"/>
      <c r="AA100" s="272">
        <f t="shared" si="7"/>
        <v>0</v>
      </c>
      <c r="AB100" s="308" t="str">
        <f t="shared" si="8"/>
        <v/>
      </c>
      <c r="AC100" s="136"/>
      <c r="AD100" s="274"/>
      <c r="AE100" s="308" t="str">
        <f t="shared" si="9"/>
        <v/>
      </c>
      <c r="AF100" s="275">
        <f t="shared" si="10"/>
        <v>0</v>
      </c>
      <c r="AG100" s="275"/>
      <c r="AH100" s="308" t="str">
        <f t="shared" si="11"/>
        <v/>
      </c>
      <c r="AI100" s="276">
        <f t="shared" si="12"/>
        <v>0</v>
      </c>
    </row>
    <row r="101" spans="1:35" x14ac:dyDescent="0.25">
      <c r="A101" s="11"/>
      <c r="B101" s="11"/>
      <c r="C101" s="11"/>
      <c r="D101" s="11"/>
      <c r="E101" s="11"/>
      <c r="F101" s="11"/>
      <c r="G101" s="11"/>
      <c r="H101" s="84" t="s">
        <v>170</v>
      </c>
      <c r="I101" s="100" t="str">
        <f>IF(_epmOfflineCondition_,"N",_xll.EVPRO($B$1,$H101,"STYLE"))</f>
        <v>N</v>
      </c>
      <c r="J101" s="100" t="str">
        <f>IF(_epmOfflineCondition_,"N",_xll.EVPRO($B$1,$H101,"CALC"))</f>
        <v>N</v>
      </c>
      <c r="K101" s="100"/>
      <c r="L101" s="100" t="str">
        <f>IF(_epmOfflineCondition_,"901330",_xll.EVPRO($B$1,H101,"JDEID"))</f>
        <v>901330</v>
      </c>
      <c r="M101" s="86" t="str">
        <f>IF(_epmOfflineCondition_,"991752",IF(AND(I101="N",J101="N"),_xll.EVPRO($B$1,H101,"PSFTID"),""))</f>
        <v>991752</v>
      </c>
      <c r="N101" s="100" t="str">
        <f>IF(_epmOfflineCondition_,"MICE",IF(_xll.EVDES(H101,$B$1)="#NODATA","",_xll.EVDES(H101,$B$1)))</f>
        <v>MICE</v>
      </c>
      <c r="O101" s="271"/>
      <c r="P101" s="272">
        <v>167</v>
      </c>
      <c r="Q101" s="272">
        <v>34</v>
      </c>
      <c r="R101" s="272">
        <v>177</v>
      </c>
      <c r="S101" s="272">
        <v>5</v>
      </c>
      <c r="T101" s="272">
        <v>50</v>
      </c>
      <c r="U101" s="272">
        <v>23</v>
      </c>
      <c r="V101" s="272"/>
      <c r="W101" s="272"/>
      <c r="X101" s="272"/>
      <c r="Y101" s="272">
        <v>27</v>
      </c>
      <c r="Z101" s="272"/>
      <c r="AA101" s="272">
        <f t="shared" si="7"/>
        <v>483</v>
      </c>
      <c r="AB101" s="308">
        <f t="shared" si="8"/>
        <v>1.4688887537254424E-2</v>
      </c>
      <c r="AC101" s="136"/>
      <c r="AD101" s="274">
        <v>420</v>
      </c>
      <c r="AE101" s="308">
        <f t="shared" si="9"/>
        <v>1.1542901115813775E-2</v>
      </c>
      <c r="AF101" s="275">
        <f t="shared" si="10"/>
        <v>63</v>
      </c>
      <c r="AG101" s="275">
        <v>152</v>
      </c>
      <c r="AH101" s="308">
        <f t="shared" si="11"/>
        <v>1.0013175230566536E-2</v>
      </c>
      <c r="AI101" s="276">
        <f t="shared" si="12"/>
        <v>331</v>
      </c>
    </row>
    <row r="102" spans="1:35" x14ac:dyDescent="0.25">
      <c r="A102" s="11"/>
      <c r="B102" s="11"/>
      <c r="C102" s="11"/>
      <c r="D102" s="11"/>
      <c r="E102" s="11"/>
      <c r="F102" s="11"/>
      <c r="G102" s="11"/>
      <c r="H102" s="84" t="s">
        <v>171</v>
      </c>
      <c r="I102" s="85" t="str">
        <f>IF(_epmOfflineCondition_,"T3",_xll.EVPRO($B$1,$H102,"STYLE"))</f>
        <v>T3</v>
      </c>
      <c r="J102" s="85" t="str">
        <f>IF(_epmOfflineCondition_,"N",_xll.EVPRO($B$1,$H102,"CALC"))</f>
        <v>N</v>
      </c>
      <c r="K102" s="261"/>
      <c r="L102" s="102" t="str">
        <f>IF(_epmOfflineCondition_,"901400",_xll.EVPRO($B$1,H102,"JDEID"))</f>
        <v>901400</v>
      </c>
      <c r="M102" s="86" t="str">
        <f>IF(_epmOfflineCondition_,"",IF(AND(I102="N",J102="N"),_xll.EVPRO($B$1,H102,"PSFTID"),""))</f>
        <v/>
      </c>
      <c r="N102" s="102" t="str">
        <f>IF(_epmOfflineCondition_,"SMERF",IF(_xll.EVDES(H102,$B$1)="#NODATA","",_xll.EVDES(H102,$B$1)))</f>
        <v>SMERF</v>
      </c>
      <c r="O102" s="277">
        <v>24</v>
      </c>
      <c r="P102" s="278">
        <v>22</v>
      </c>
      <c r="Q102" s="278">
        <v>24</v>
      </c>
      <c r="R102" s="278">
        <v>4</v>
      </c>
      <c r="S102" s="278">
        <v>35</v>
      </c>
      <c r="T102" s="278">
        <v>16</v>
      </c>
      <c r="U102" s="278"/>
      <c r="V102" s="278">
        <v>5</v>
      </c>
      <c r="W102" s="278">
        <v>17</v>
      </c>
      <c r="X102" s="278"/>
      <c r="Y102" s="278">
        <v>24</v>
      </c>
      <c r="Z102" s="278">
        <v>26</v>
      </c>
      <c r="AA102" s="278">
        <f t="shared" si="7"/>
        <v>197</v>
      </c>
      <c r="AB102" s="309">
        <f t="shared" si="8"/>
        <v>5.9911197615716803E-3</v>
      </c>
      <c r="AC102" s="136"/>
      <c r="AD102" s="280">
        <v>230</v>
      </c>
      <c r="AE102" s="309">
        <f t="shared" si="9"/>
        <v>6.321112515802781E-3</v>
      </c>
      <c r="AF102" s="281">
        <f t="shared" si="10"/>
        <v>-33</v>
      </c>
      <c r="AG102" s="281">
        <v>130</v>
      </c>
      <c r="AH102" s="309">
        <f t="shared" si="11"/>
        <v>8.563899868247694E-3</v>
      </c>
      <c r="AI102" s="282">
        <f t="shared" si="12"/>
        <v>67</v>
      </c>
    </row>
    <row r="103" spans="1:35" x14ac:dyDescent="0.25">
      <c r="A103" s="11"/>
      <c r="B103" s="11"/>
      <c r="C103" s="11"/>
      <c r="D103" s="11"/>
      <c r="E103" s="11"/>
      <c r="F103" s="11"/>
      <c r="G103" s="11"/>
      <c r="H103" s="84" t="s">
        <v>160</v>
      </c>
      <c r="I103" s="85" t="str">
        <f>IF(_epmOfflineCondition_,"T2",_xll.EVPRO($B$1,$H103,"STYLE"))</f>
        <v>T2</v>
      </c>
      <c r="J103" s="85" t="str">
        <f>IF(_epmOfflineCondition_,"Y",_xll.EVPRO($B$1,$H103,"CALC"))</f>
        <v>Y</v>
      </c>
      <c r="K103" s="261"/>
      <c r="L103" s="102" t="str">
        <f>IF(_epmOfflineCondition_,"901000",_xll.EVPRO($B$1,H103,"JDEID"))</f>
        <v>901000</v>
      </c>
      <c r="M103" s="86" t="str">
        <f>IF(_epmOfflineCondition_,"",IF(AND(I103="N",J103="N"),_xll.EVPRO($B$1,H103,"PSFTID"),""))</f>
        <v/>
      </c>
      <c r="N103" s="102" t="str">
        <f>IF(_epmOfflineCondition_,"Total Group Rooms Occupied",IF(_xll.EVDES(H103,$B$1)="#NODATA","",_xll.EVDES(H103,$B$1)))</f>
        <v>Total Group Rooms Occupied</v>
      </c>
      <c r="O103" s="283">
        <v>569</v>
      </c>
      <c r="P103" s="284">
        <v>644</v>
      </c>
      <c r="Q103" s="284">
        <v>362</v>
      </c>
      <c r="R103" s="284">
        <v>266</v>
      </c>
      <c r="S103" s="284">
        <v>141</v>
      </c>
      <c r="T103" s="284">
        <v>420</v>
      </c>
      <c r="U103" s="284">
        <v>71</v>
      </c>
      <c r="V103" s="284">
        <v>8</v>
      </c>
      <c r="W103" s="284">
        <v>25</v>
      </c>
      <c r="X103" s="284">
        <v>206</v>
      </c>
      <c r="Y103" s="284">
        <v>246</v>
      </c>
      <c r="Z103" s="284">
        <v>154</v>
      </c>
      <c r="AA103" s="284">
        <f t="shared" si="7"/>
        <v>3112</v>
      </c>
      <c r="AB103" s="310">
        <f t="shared" si="8"/>
        <v>9.464144516756888E-2</v>
      </c>
      <c r="AC103" s="136"/>
      <c r="AD103" s="286">
        <v>4069</v>
      </c>
      <c r="AE103" s="310">
        <f t="shared" si="9"/>
        <v>0.11182872533391965</v>
      </c>
      <c r="AF103" s="287">
        <f t="shared" si="10"/>
        <v>-957</v>
      </c>
      <c r="AG103" s="287">
        <v>1590</v>
      </c>
      <c r="AH103" s="310">
        <f t="shared" si="11"/>
        <v>0.10474308300395258</v>
      </c>
      <c r="AI103" s="288">
        <f t="shared" si="12"/>
        <v>1522</v>
      </c>
    </row>
    <row r="104" spans="1:35" x14ac:dyDescent="0.25">
      <c r="A104" s="11"/>
      <c r="B104" s="11"/>
      <c r="C104" s="11"/>
      <c r="D104" s="11"/>
      <c r="E104" s="11"/>
      <c r="F104" s="11"/>
      <c r="G104" s="11"/>
      <c r="H104" s="84" t="s">
        <v>172</v>
      </c>
      <c r="I104" s="100" t="str">
        <f>IF(_epmOfflineCondition_,"N",_xll.EVPRO($B$1,$H104,"STYLE"))</f>
        <v>N</v>
      </c>
      <c r="J104" s="100" t="str">
        <f>IF(_epmOfflineCondition_,"N",_xll.EVPRO($B$1,$H104,"CALC"))</f>
        <v>N</v>
      </c>
      <c r="K104" s="100"/>
      <c r="L104" s="100" t="str">
        <f>IF(_epmOfflineCondition_,"901700",_xll.EVPRO($B$1,H104,"JDEID"))</f>
        <v>901700</v>
      </c>
      <c r="M104" s="86" t="str">
        <f>IF(_epmOfflineCondition_,"991753",IF(AND(I104="N",J104="N"),_xll.EVPRO($B$1,H104,"PSFTID"),""))</f>
        <v>991753</v>
      </c>
      <c r="N104" s="100" t="str">
        <f>IF(_epmOfflineCondition_,"Contract",IF(_xll.EVDES(H104,$B$1)="#NODATA","",_xll.EVDES(H104,$B$1)))</f>
        <v>Contract</v>
      </c>
      <c r="O104" s="312"/>
      <c r="P104" s="313"/>
      <c r="Q104" s="313"/>
      <c r="R104" s="313"/>
      <c r="S104" s="313"/>
      <c r="T104" s="313"/>
      <c r="U104" s="313"/>
      <c r="V104" s="313"/>
      <c r="W104" s="313"/>
      <c r="X104" s="313"/>
      <c r="Y104" s="313"/>
      <c r="Z104" s="313"/>
      <c r="AA104" s="313">
        <f t="shared" si="7"/>
        <v>0</v>
      </c>
      <c r="AB104" s="314" t="str">
        <f t="shared" si="8"/>
        <v/>
      </c>
      <c r="AC104" s="136"/>
      <c r="AD104" s="315"/>
      <c r="AE104" s="314" t="str">
        <f t="shared" si="9"/>
        <v/>
      </c>
      <c r="AF104" s="316">
        <f t="shared" si="10"/>
        <v>0</v>
      </c>
      <c r="AG104" s="316">
        <v>144</v>
      </c>
      <c r="AH104" s="314">
        <f t="shared" si="11"/>
        <v>9.4861660079051391E-3</v>
      </c>
      <c r="AI104" s="317">
        <f t="shared" si="12"/>
        <v>-144</v>
      </c>
    </row>
    <row r="105" spans="1:35" x14ac:dyDescent="0.25">
      <c r="A105" s="11"/>
      <c r="B105" s="11"/>
      <c r="C105" s="11"/>
      <c r="D105" s="11"/>
      <c r="E105" s="11"/>
      <c r="F105" s="11"/>
      <c r="G105" s="11"/>
      <c r="H105" s="84" t="s">
        <v>257</v>
      </c>
      <c r="I105" s="85" t="str">
        <f>IF(_epmOfflineCondition_,"T2",_xll.EVPRO($B$1,$H105,"STYLE"))</f>
        <v>T2</v>
      </c>
      <c r="J105" s="85" t="str">
        <f>IF(_epmOfflineCondition_,"Y",_xll.EVPRO($B$1,$H105,"CALC"))</f>
        <v>Y</v>
      </c>
      <c r="K105" s="261"/>
      <c r="L105" s="102" t="str">
        <f>IF(_epmOfflineCondition_,"",_xll.EVPRO($B$1,H105,"JDEID"))</f>
        <v/>
      </c>
      <c r="M105" s="86" t="str">
        <f>IF(_epmOfflineCondition_,"",IF(AND(I105="N",J105="N"),_xll.EVPRO($B$1,H105,"PSFTID"),""))</f>
        <v/>
      </c>
      <c r="N105" s="102" t="str">
        <f>IF(_epmOfflineCondition_,"Total Rooms Sold",IF(_xll.EVDES(H105,$B$1)="#NODATA","",_xll.EVDES(H105,$B$1)))</f>
        <v>Total Rooms Sold</v>
      </c>
      <c r="O105" s="283">
        <v>2844</v>
      </c>
      <c r="P105" s="284">
        <v>2635</v>
      </c>
      <c r="Q105" s="284">
        <v>3023</v>
      </c>
      <c r="R105" s="284">
        <v>2720</v>
      </c>
      <c r="S105" s="284">
        <v>2573</v>
      </c>
      <c r="T105" s="284">
        <v>2176</v>
      </c>
      <c r="U105" s="284">
        <v>2500</v>
      </c>
      <c r="V105" s="284">
        <v>2797</v>
      </c>
      <c r="W105" s="284">
        <v>2114</v>
      </c>
      <c r="X105" s="284">
        <v>2731</v>
      </c>
      <c r="Y105" s="284">
        <v>2966</v>
      </c>
      <c r="Z105" s="284">
        <v>3485</v>
      </c>
      <c r="AA105" s="284">
        <f t="shared" si="7"/>
        <v>32564</v>
      </c>
      <c r="AB105" s="310">
        <f t="shared" si="8"/>
        <v>0.99032905541025484</v>
      </c>
      <c r="AC105" s="136"/>
      <c r="AD105" s="286">
        <v>36290</v>
      </c>
      <c r="AE105" s="310">
        <f t="shared" si="9"/>
        <v>0.99736162260209971</v>
      </c>
      <c r="AF105" s="287">
        <f t="shared" si="10"/>
        <v>-3726</v>
      </c>
      <c r="AG105" s="287">
        <v>14728</v>
      </c>
      <c r="AH105" s="310">
        <f t="shared" si="11"/>
        <v>0.97022397891963108</v>
      </c>
      <c r="AI105" s="288">
        <f t="shared" si="12"/>
        <v>17836</v>
      </c>
    </row>
    <row r="106" spans="1:35" x14ac:dyDescent="0.25">
      <c r="A106" s="11"/>
      <c r="B106" s="11"/>
      <c r="C106" s="11"/>
      <c r="D106" s="11"/>
      <c r="E106" s="11"/>
      <c r="F106" s="11"/>
      <c r="G106" s="11"/>
      <c r="H106" s="84" t="s">
        <v>176</v>
      </c>
      <c r="I106" s="100" t="str">
        <f>IF(_epmOfflineCondition_,"N",_xll.EVPRO($B$1,$H106,"STYLE"))</f>
        <v>N</v>
      </c>
      <c r="J106" s="100" t="str">
        <f>IF(_epmOfflineCondition_,"N",_xll.EVPRO($B$1,$H106,"CALC"))</f>
        <v>N</v>
      </c>
      <c r="K106" s="100"/>
      <c r="L106" s="100" t="str">
        <f>IF(_epmOfflineCondition_,"903100",_xll.EVPRO($B$1,H106,"JDEID"))</f>
        <v>903100</v>
      </c>
      <c r="M106" s="86" t="str">
        <f>IF(_epmOfflineCondition_,"991022",IF(AND(I106="N",J106="N"),_xll.EVPRO($B$1,H106,"PSFTID"),""))</f>
        <v>991022</v>
      </c>
      <c r="N106" s="100" t="str">
        <f>IF(_epmOfflineCondition_,"Comp Rooms",IF(_xll.EVDES(H106,$B$1)="#NODATA","",_xll.EVDES(H106,$B$1)))</f>
        <v>Comp Rooms</v>
      </c>
      <c r="O106" s="312">
        <v>41</v>
      </c>
      <c r="P106" s="313">
        <v>13</v>
      </c>
      <c r="Q106" s="313">
        <v>15</v>
      </c>
      <c r="R106" s="313">
        <v>17</v>
      </c>
      <c r="S106" s="313">
        <v>27</v>
      </c>
      <c r="T106" s="313">
        <v>26</v>
      </c>
      <c r="U106" s="313">
        <v>16</v>
      </c>
      <c r="V106" s="313">
        <v>33</v>
      </c>
      <c r="W106" s="313">
        <v>6</v>
      </c>
      <c r="X106" s="313">
        <v>41</v>
      </c>
      <c r="Y106" s="313">
        <v>27</v>
      </c>
      <c r="Z106" s="313">
        <v>56</v>
      </c>
      <c r="AA106" s="313">
        <f t="shared" si="7"/>
        <v>318</v>
      </c>
      <c r="AB106" s="314">
        <f t="shared" si="8"/>
        <v>9.6709445897451493E-3</v>
      </c>
      <c r="AC106" s="136"/>
      <c r="AD106" s="315">
        <v>96</v>
      </c>
      <c r="AE106" s="314">
        <f t="shared" si="9"/>
        <v>2.6383773979002912E-3</v>
      </c>
      <c r="AF106" s="316">
        <f t="shared" si="10"/>
        <v>222</v>
      </c>
      <c r="AG106" s="316">
        <v>452</v>
      </c>
      <c r="AH106" s="314">
        <f t="shared" si="11"/>
        <v>2.9776021080368906E-2</v>
      </c>
      <c r="AI106" s="317">
        <f t="shared" si="12"/>
        <v>-134</v>
      </c>
    </row>
    <row r="107" spans="1:35" x14ac:dyDescent="0.25">
      <c r="A107" s="11"/>
      <c r="B107" s="11"/>
      <c r="C107" s="11"/>
      <c r="D107" s="11"/>
      <c r="E107" s="11"/>
      <c r="F107" s="11"/>
      <c r="G107" s="11"/>
      <c r="H107" s="84" t="s">
        <v>174</v>
      </c>
      <c r="I107" s="85" t="str">
        <f>IF(_epmOfflineCondition_,"T2",_xll.EVPRO($B$1,$H107,"STYLE"))</f>
        <v>T2</v>
      </c>
      <c r="J107" s="85" t="str">
        <f>IF(_epmOfflineCondition_,"Y",_xll.EVPRO($B$1,$H107,"CALC"))</f>
        <v>Y</v>
      </c>
      <c r="K107" s="261"/>
      <c r="L107" s="102" t="str">
        <f>IF(_epmOfflineCondition_,"900200",_xll.EVPRO($B$1,H107,"JDEID"))</f>
        <v>900200</v>
      </c>
      <c r="M107" s="86" t="str">
        <f>IF(_epmOfflineCondition_,"",IF(AND(I107="N",J107="N"),_xll.EVPRO($B$1,H107,"PSFTID"),""))</f>
        <v/>
      </c>
      <c r="N107" s="102" t="str">
        <f>IF(_epmOfflineCondition_,"Total Rooms Occupied",IF(_xll.EVDES(H107,$B$1)="#NODATA","",_xll.EVDES(H107,$B$1)))</f>
        <v>Total Rooms Occupied</v>
      </c>
      <c r="O107" s="283">
        <v>2885</v>
      </c>
      <c r="P107" s="284">
        <v>2648</v>
      </c>
      <c r="Q107" s="284">
        <v>3038</v>
      </c>
      <c r="R107" s="284">
        <v>2737</v>
      </c>
      <c r="S107" s="284">
        <v>2600</v>
      </c>
      <c r="T107" s="284">
        <v>2202</v>
      </c>
      <c r="U107" s="284">
        <v>2516</v>
      </c>
      <c r="V107" s="284">
        <v>2830</v>
      </c>
      <c r="W107" s="284">
        <v>2120</v>
      </c>
      <c r="X107" s="284">
        <v>2772</v>
      </c>
      <c r="Y107" s="284">
        <v>2993</v>
      </c>
      <c r="Z107" s="284">
        <v>3541</v>
      </c>
      <c r="AA107" s="284">
        <f t="shared" si="7"/>
        <v>32882</v>
      </c>
      <c r="AB107" s="310">
        <f t="shared" si="8"/>
        <v>1</v>
      </c>
      <c r="AC107" s="136"/>
      <c r="AD107" s="286">
        <v>36386</v>
      </c>
      <c r="AE107" s="310">
        <f t="shared" si="9"/>
        <v>1</v>
      </c>
      <c r="AF107" s="287">
        <f t="shared" si="10"/>
        <v>-3504</v>
      </c>
      <c r="AG107" s="287">
        <v>15180</v>
      </c>
      <c r="AH107" s="310">
        <f t="shared" si="11"/>
        <v>1</v>
      </c>
      <c r="AI107" s="288">
        <f t="shared" si="12"/>
        <v>17702</v>
      </c>
    </row>
    <row r="108" spans="1:35" x14ac:dyDescent="0.25">
      <c r="A108" s="11"/>
      <c r="B108" s="11"/>
      <c r="C108" s="11"/>
      <c r="D108" s="11"/>
      <c r="E108" s="11"/>
      <c r="F108" s="11"/>
      <c r="G108" s="11"/>
      <c r="H108" s="84" t="s">
        <v>175</v>
      </c>
      <c r="I108" s="100" t="str">
        <f>IF(_epmOfflineCondition_,"B1",_xll.EVPRO($B$1,$H108,"STYLE"))</f>
        <v>B1</v>
      </c>
      <c r="J108" s="100" t="str">
        <f>IF(_epmOfflineCondition_,"Y",_xll.EVPRO($B$1,$H108,"CALC"))</f>
        <v>Y</v>
      </c>
      <c r="K108" s="100"/>
      <c r="L108" s="100" t="str">
        <f>IF(_epmOfflineCondition_,"",_xll.EVPRO($B$1,H108,"JDEID"))</f>
        <v/>
      </c>
      <c r="M108" s="86" t="str">
        <f>IF(_epmOfflineCondition_,"",IF(AND(I108="N",J108="N"),_xll.EVPRO($B$1,H108,"PSFTID"),""))</f>
        <v/>
      </c>
      <c r="N108" s="100" t="str">
        <f>IF(_epmOfflineCondition_,"BLANKROW",IF(_xll.EVDES(H108,$B$1)="#NODATA","",_xll.EVDES(H108,$B$1)))</f>
        <v>BLANKROW</v>
      </c>
      <c r="O108" s="289"/>
      <c r="P108" s="290"/>
      <c r="Q108" s="290"/>
      <c r="R108" s="290"/>
      <c r="S108" s="290"/>
      <c r="T108" s="290"/>
      <c r="U108" s="290"/>
      <c r="V108" s="290"/>
      <c r="W108" s="290"/>
      <c r="X108" s="290"/>
      <c r="Y108" s="290"/>
      <c r="Z108" s="290"/>
      <c r="AA108" s="290">
        <f t="shared" si="7"/>
        <v>0</v>
      </c>
      <c r="AB108" s="311" t="str">
        <f t="shared" si="8"/>
        <v/>
      </c>
      <c r="AC108" s="136"/>
      <c r="AD108" s="292"/>
      <c r="AE108" s="311" t="str">
        <f t="shared" si="9"/>
        <v/>
      </c>
      <c r="AF108" s="293">
        <f t="shared" si="10"/>
        <v>0</v>
      </c>
      <c r="AG108" s="293"/>
      <c r="AH108" s="311" t="str">
        <f t="shared" si="11"/>
        <v/>
      </c>
      <c r="AI108" s="294">
        <f t="shared" si="12"/>
        <v>0</v>
      </c>
    </row>
    <row r="109" spans="1:35" x14ac:dyDescent="0.25">
      <c r="A109" s="11"/>
      <c r="B109" s="11"/>
      <c r="C109" s="11"/>
      <c r="D109" s="11"/>
      <c r="E109" s="11"/>
      <c r="F109" s="11"/>
      <c r="G109" s="11"/>
      <c r="H109" s="84" t="s">
        <v>211</v>
      </c>
      <c r="I109" s="100" t="str">
        <f>IF(_epmOfflineCondition_,"N",_xll.EVPRO($B$1,$H109,"STYLE"))</f>
        <v>N</v>
      </c>
      <c r="J109" s="100" t="str">
        <f>IF(_epmOfflineCondition_,"N",_xll.EVPRO($B$1,$H109,"CALC"))</f>
        <v>N</v>
      </c>
      <c r="K109" s="100"/>
      <c r="L109" s="100" t="str">
        <f>IF(_epmOfflineCondition_,"904100",_xll.EVPRO($B$1,H109,"JDEID"))</f>
        <v>904100</v>
      </c>
      <c r="M109" s="86" t="str">
        <f>IF(_epmOfflineCondition_,"991001",IF(AND(I109="N",J109="N"),_xll.EVPRO($B$1,H109,"PSFTID"),""))</f>
        <v>991001</v>
      </c>
      <c r="N109" s="100" t="str">
        <f>IF(_epmOfflineCondition_,"Available rooms",IF(_xll.EVDES(H109,$B$1)="#NODATA","",_xll.EVDES(H109,$B$1)))</f>
        <v>Available rooms</v>
      </c>
      <c r="O109" s="271">
        <v>4092</v>
      </c>
      <c r="P109" s="272">
        <v>3696</v>
      </c>
      <c r="Q109" s="272">
        <v>4092</v>
      </c>
      <c r="R109" s="272">
        <v>3960</v>
      </c>
      <c r="S109" s="272">
        <v>4092</v>
      </c>
      <c r="T109" s="272">
        <v>3960</v>
      </c>
      <c r="U109" s="272">
        <v>4092</v>
      </c>
      <c r="V109" s="272">
        <v>4092</v>
      </c>
      <c r="W109" s="272">
        <v>3960</v>
      </c>
      <c r="X109" s="272">
        <v>4092</v>
      </c>
      <c r="Y109" s="272">
        <v>3960</v>
      </c>
      <c r="Z109" s="272">
        <v>4092</v>
      </c>
      <c r="AA109" s="272">
        <f t="shared" si="7"/>
        <v>48180</v>
      </c>
      <c r="AB109" s="308">
        <f t="shared" si="8"/>
        <v>1.4652393406727084</v>
      </c>
      <c r="AC109" s="136"/>
      <c r="AD109" s="274">
        <v>48180</v>
      </c>
      <c r="AE109" s="308">
        <f t="shared" si="9"/>
        <v>1.3241356565712088</v>
      </c>
      <c r="AF109" s="275">
        <f t="shared" si="10"/>
        <v>0</v>
      </c>
      <c r="AG109" s="275">
        <v>37251</v>
      </c>
      <c r="AH109" s="308">
        <f t="shared" si="11"/>
        <v>2.4539525691699606</v>
      </c>
      <c r="AI109" s="276">
        <f t="shared" si="12"/>
        <v>10929</v>
      </c>
    </row>
    <row r="110" spans="1:35" x14ac:dyDescent="0.25">
      <c r="A110" s="11"/>
      <c r="B110" s="11"/>
      <c r="C110" s="11"/>
      <c r="D110" s="11"/>
      <c r="E110" s="11"/>
      <c r="F110" s="11"/>
      <c r="G110" s="11"/>
      <c r="H110" s="84" t="s">
        <v>212</v>
      </c>
      <c r="I110" s="100" t="str">
        <f>IF(_epmOfflineCondition_,"N",_xll.EVPRO($B$1,$H110,"STYLE"))</f>
        <v>N</v>
      </c>
      <c r="J110" s="100" t="str">
        <f>IF(_epmOfflineCondition_,"N",_xll.EVPRO($B$1,$H110,"CALC"))</f>
        <v>N</v>
      </c>
      <c r="K110" s="100"/>
      <c r="L110" s="100" t="str">
        <f>IF(_epmOfflineCondition_,"905100",_xll.EVPRO($B$1,H110,"JDEID"))</f>
        <v>905100</v>
      </c>
      <c r="M110" s="86" t="str">
        <f>IF(_epmOfflineCondition_,"991765",IF(AND(I110="N",J110="N"),_xll.EVPRO($B$1,H110,"PSFTID"),""))</f>
        <v>991765</v>
      </c>
      <c r="N110" s="100" t="str">
        <f>IF(_epmOfflineCondition_,"Seasonally Closed Rooms",IF(_xll.EVDES(H110,$B$1)="#NODATA","",_xll.EVDES(H110,$B$1)))</f>
        <v>Seasonally Closed Rooms</v>
      </c>
      <c r="O110" s="271"/>
      <c r="P110" s="272"/>
      <c r="Q110" s="272"/>
      <c r="R110" s="272"/>
      <c r="S110" s="272"/>
      <c r="T110" s="272"/>
      <c r="U110" s="272"/>
      <c r="V110" s="272"/>
      <c r="W110" s="272"/>
      <c r="X110" s="272"/>
      <c r="Y110" s="272"/>
      <c r="Z110" s="272"/>
      <c r="AA110" s="272">
        <f t="shared" si="7"/>
        <v>0</v>
      </c>
      <c r="AB110" s="308" t="str">
        <f t="shared" si="8"/>
        <v/>
      </c>
      <c r="AC110" s="136"/>
      <c r="AD110" s="274"/>
      <c r="AE110" s="308" t="str">
        <f t="shared" si="9"/>
        <v/>
      </c>
      <c r="AF110" s="275">
        <f t="shared" si="10"/>
        <v>0</v>
      </c>
      <c r="AG110" s="275"/>
      <c r="AH110" s="308" t="str">
        <f t="shared" si="11"/>
        <v/>
      </c>
      <c r="AI110" s="276">
        <f t="shared" si="12"/>
        <v>0</v>
      </c>
    </row>
    <row r="111" spans="1:35" x14ac:dyDescent="0.25">
      <c r="A111" s="11"/>
      <c r="B111" s="11"/>
      <c r="C111" s="11"/>
      <c r="D111" s="11"/>
      <c r="E111" s="11"/>
      <c r="F111" s="11"/>
      <c r="G111" s="11"/>
      <c r="H111" s="84" t="s">
        <v>213</v>
      </c>
      <c r="I111" s="100" t="str">
        <f>IF(_epmOfflineCondition_,"N",_xll.EVPRO($B$1,$H111,"STYLE"))</f>
        <v>N</v>
      </c>
      <c r="J111" s="100" t="str">
        <f>IF(_epmOfflineCondition_,"N",_xll.EVPRO($B$1,$H111,"CALC"))</f>
        <v>N</v>
      </c>
      <c r="K111" s="100"/>
      <c r="L111" s="100" t="str">
        <f>IF(_epmOfflineCondition_,"905200",_xll.EVPRO($B$1,H111,"JDEID"))</f>
        <v>905200</v>
      </c>
      <c r="M111" s="86" t="str">
        <f>IF(_epmOfflineCondition_,"991766",IF(AND(I111="N",J111="N"),_xll.EVPRO($B$1,H111,"PSFTID"),""))</f>
        <v>991766</v>
      </c>
      <c r="N111" s="100" t="str">
        <f>IF(_epmOfflineCondition_,"Extended Closed Rooms",IF(_xll.EVDES(H111,$B$1)="#NODATA","",_xll.EVDES(H111,$B$1)))</f>
        <v>Extended Closed Rooms</v>
      </c>
      <c r="O111" s="271">
        <v>891</v>
      </c>
      <c r="P111" s="272">
        <v>817</v>
      </c>
      <c r="Q111" s="272">
        <v>848</v>
      </c>
      <c r="R111" s="272">
        <v>885</v>
      </c>
      <c r="S111" s="272">
        <v>842</v>
      </c>
      <c r="T111" s="272">
        <v>802</v>
      </c>
      <c r="U111" s="272">
        <v>847</v>
      </c>
      <c r="V111" s="272">
        <v>799</v>
      </c>
      <c r="W111" s="272">
        <v>854</v>
      </c>
      <c r="X111" s="272">
        <v>314</v>
      </c>
      <c r="Y111" s="272">
        <v>124</v>
      </c>
      <c r="Z111" s="272">
        <v>62</v>
      </c>
      <c r="AA111" s="272">
        <f t="shared" si="7"/>
        <v>8085</v>
      </c>
      <c r="AB111" s="308">
        <f t="shared" si="8"/>
        <v>0.2458792044279545</v>
      </c>
      <c r="AC111" s="136"/>
      <c r="AD111" s="274"/>
      <c r="AE111" s="308" t="str">
        <f t="shared" si="9"/>
        <v/>
      </c>
      <c r="AF111" s="275">
        <f t="shared" si="10"/>
        <v>8085</v>
      </c>
      <c r="AG111" s="275">
        <v>26904</v>
      </c>
      <c r="AH111" s="308">
        <f t="shared" si="11"/>
        <v>1.7723320158102767</v>
      </c>
      <c r="AI111" s="276">
        <f t="shared" si="12"/>
        <v>-18819</v>
      </c>
    </row>
    <row r="112" spans="1:35" x14ac:dyDescent="0.25">
      <c r="A112" s="11"/>
      <c r="B112" s="11"/>
      <c r="C112" s="11"/>
      <c r="D112" s="11"/>
      <c r="E112" s="11"/>
      <c r="F112" s="11"/>
      <c r="G112" s="11"/>
      <c r="H112" s="84" t="s">
        <v>214</v>
      </c>
      <c r="I112" s="100" t="str">
        <f>IF(_epmOfflineCondition_,"N",_xll.EVPRO($B$1,$H112,"STYLE"))</f>
        <v>N</v>
      </c>
      <c r="J112" s="100" t="str">
        <f>IF(_epmOfflineCondition_,"N",_xll.EVPRO($B$1,$H112,"CALC"))</f>
        <v>N</v>
      </c>
      <c r="K112" s="100"/>
      <c r="L112" s="100" t="str">
        <f>IF(_epmOfflineCondition_,"905300",_xll.EVPRO($B$1,H112,"JDEID"))</f>
        <v>905300</v>
      </c>
      <c r="M112" s="86" t="str">
        <f>IF(_epmOfflineCondition_,"991009",IF(AND(I112="N",J112="N"),_xll.EVPRO($B$1,H112,"PSFTID"),""))</f>
        <v>991009</v>
      </c>
      <c r="N112" s="100" t="str">
        <f>IF(_epmOfflineCondition_,"Rooms for Permanent House Use",IF(_xll.EVDES(H112,$B$1)="#NODATA","",_xll.EVDES(H112,$B$1)))</f>
        <v>Rooms for Permanent House Use</v>
      </c>
      <c r="O112" s="271"/>
      <c r="P112" s="272"/>
      <c r="Q112" s="272"/>
      <c r="R112" s="272"/>
      <c r="S112" s="272"/>
      <c r="T112" s="272"/>
      <c r="U112" s="272"/>
      <c r="V112" s="272"/>
      <c r="W112" s="272"/>
      <c r="X112" s="272"/>
      <c r="Y112" s="272"/>
      <c r="Z112" s="272"/>
      <c r="AA112" s="272">
        <f t="shared" si="7"/>
        <v>0</v>
      </c>
      <c r="AB112" s="308" t="str">
        <f t="shared" si="8"/>
        <v/>
      </c>
      <c r="AC112" s="136"/>
      <c r="AD112" s="274"/>
      <c r="AE112" s="308" t="str">
        <f t="shared" si="9"/>
        <v/>
      </c>
      <c r="AF112" s="275">
        <f t="shared" si="10"/>
        <v>0</v>
      </c>
      <c r="AG112" s="275"/>
      <c r="AH112" s="308" t="str">
        <f t="shared" si="11"/>
        <v/>
      </c>
      <c r="AI112" s="276">
        <f t="shared" si="12"/>
        <v>0</v>
      </c>
    </row>
    <row r="113" spans="1:35" x14ac:dyDescent="0.25">
      <c r="A113" s="11"/>
      <c r="B113" s="11"/>
      <c r="C113" s="11"/>
      <c r="D113" s="11"/>
      <c r="E113" s="11"/>
      <c r="F113" s="11"/>
      <c r="G113" s="11"/>
      <c r="H113" s="84" t="s">
        <v>215</v>
      </c>
      <c r="I113" s="100" t="str">
        <f>IF(_epmOfflineCondition_,"N",_xll.EVPRO($B$1,$H113,"STYLE"))</f>
        <v>N</v>
      </c>
      <c r="J113" s="100" t="str">
        <f>IF(_epmOfflineCondition_,"N",_xll.EVPRO($B$1,$H113,"CALC"))</f>
        <v>N</v>
      </c>
      <c r="K113" s="100"/>
      <c r="L113" s="100" t="str">
        <f>IF(_epmOfflineCondition_,"906100",_xll.EVPRO($B$1,H113,"JDEID"))</f>
        <v>906100</v>
      </c>
      <c r="M113" s="86" t="str">
        <f>IF(_epmOfflineCondition_,"991008",IF(AND(I113="N",J113="N"),_xll.EVPRO($B$1,H113,"PSFTID"),""))</f>
        <v>991008</v>
      </c>
      <c r="N113" s="100" t="str">
        <f>IF(_epmOfflineCondition_,"Number of Arrivals",IF(_xll.EVDES(H113,$B$1)="#NODATA","",_xll.EVDES(H113,$B$1)))</f>
        <v>Number of Arrivals</v>
      </c>
      <c r="O113" s="271">
        <v>1129</v>
      </c>
      <c r="P113" s="272">
        <v>1013</v>
      </c>
      <c r="Q113" s="272">
        <v>1117</v>
      </c>
      <c r="R113" s="272">
        <v>1024</v>
      </c>
      <c r="S113" s="272">
        <v>1088</v>
      </c>
      <c r="T113" s="272">
        <v>848</v>
      </c>
      <c r="U113" s="272">
        <v>991</v>
      </c>
      <c r="V113" s="272">
        <v>1100</v>
      </c>
      <c r="W113" s="272">
        <v>915</v>
      </c>
      <c r="X113" s="272">
        <v>1114</v>
      </c>
      <c r="Y113" s="272">
        <v>1337</v>
      </c>
      <c r="Z113" s="272">
        <v>1497</v>
      </c>
      <c r="AA113" s="272">
        <f t="shared" si="7"/>
        <v>13173</v>
      </c>
      <c r="AB113" s="308">
        <f t="shared" si="8"/>
        <v>0.40061431786387691</v>
      </c>
      <c r="AC113" s="136"/>
      <c r="AD113" s="274"/>
      <c r="AE113" s="308" t="str">
        <f t="shared" si="9"/>
        <v/>
      </c>
      <c r="AF113" s="275">
        <f t="shared" si="10"/>
        <v>13173</v>
      </c>
      <c r="AG113" s="275">
        <v>6218</v>
      </c>
      <c r="AH113" s="308">
        <f t="shared" si="11"/>
        <v>0.40961791831357047</v>
      </c>
      <c r="AI113" s="276">
        <f t="shared" si="12"/>
        <v>6955</v>
      </c>
    </row>
    <row r="114" spans="1:35" x14ac:dyDescent="0.25">
      <c r="A114" s="11"/>
      <c r="B114" s="11"/>
      <c r="C114" s="11"/>
      <c r="D114" s="11"/>
      <c r="E114" s="11"/>
      <c r="F114" s="11"/>
      <c r="G114" s="11"/>
      <c r="H114" s="84" t="s">
        <v>216</v>
      </c>
      <c r="I114" s="100" t="str">
        <f>IF(_epmOfflineCondition_,"N",_xll.EVPRO($B$1,$H114,"STYLE"))</f>
        <v>N</v>
      </c>
      <c r="J114" s="100" t="str">
        <f>IF(_epmOfflineCondition_,"N",_xll.EVPRO($B$1,$H114,"CALC"))</f>
        <v>N</v>
      </c>
      <c r="K114" s="100"/>
      <c r="L114" s="100" t="str">
        <f>IF(_epmOfflineCondition_,"907100",_xll.EVPRO($B$1,H114,"JDEID"))</f>
        <v>907100</v>
      </c>
      <c r="M114" s="86" t="str">
        <f>IF(_epmOfflineCondition_,"991007",IF(AND(I114="N",J114="N"),_xll.EVPRO($B$1,H114,"PSFTID"),""))</f>
        <v>991007</v>
      </c>
      <c r="N114" s="100" t="str">
        <f>IF(_epmOfflineCondition_,"Rooms Cleaned",IF(_xll.EVDES(H114,$B$1)="#NODATA","",_xll.EVDES(H114,$B$1)))</f>
        <v>Rooms Cleaned</v>
      </c>
      <c r="O114" s="271">
        <v>1128</v>
      </c>
      <c r="P114" s="272">
        <v>1021</v>
      </c>
      <c r="Q114" s="272">
        <v>1124</v>
      </c>
      <c r="R114" s="272">
        <v>1027</v>
      </c>
      <c r="S114" s="272">
        <v>1108</v>
      </c>
      <c r="T114" s="272">
        <v>852</v>
      </c>
      <c r="U114" s="272">
        <v>977</v>
      </c>
      <c r="V114" s="272">
        <v>1132</v>
      </c>
      <c r="W114" s="272">
        <v>909</v>
      </c>
      <c r="X114" s="272">
        <v>1087</v>
      </c>
      <c r="Y114" s="272">
        <v>1303</v>
      </c>
      <c r="Z114" s="272">
        <v>1480</v>
      </c>
      <c r="AA114" s="272">
        <f t="shared" si="7"/>
        <v>13148</v>
      </c>
      <c r="AB114" s="308">
        <f t="shared" si="8"/>
        <v>0.39985402347789062</v>
      </c>
      <c r="AC114" s="136"/>
      <c r="AD114" s="274"/>
      <c r="AE114" s="308" t="str">
        <f t="shared" si="9"/>
        <v/>
      </c>
      <c r="AF114" s="275">
        <f t="shared" si="10"/>
        <v>13148</v>
      </c>
      <c r="AG114" s="275">
        <v>6159</v>
      </c>
      <c r="AH114" s="308">
        <f t="shared" si="11"/>
        <v>0.40573122529644268</v>
      </c>
      <c r="AI114" s="276">
        <f t="shared" si="12"/>
        <v>6989</v>
      </c>
    </row>
    <row r="115" spans="1:35" x14ac:dyDescent="0.25">
      <c r="A115" s="11"/>
      <c r="B115" s="11"/>
      <c r="C115" s="11"/>
      <c r="D115" s="11"/>
      <c r="E115" s="11"/>
      <c r="F115" s="11"/>
      <c r="G115" s="11"/>
      <c r="H115" s="84" t="s">
        <v>217</v>
      </c>
      <c r="I115" s="100" t="str">
        <f>IF(_epmOfflineCondition_,"N",_xll.EVPRO($B$1,$H115,"STYLE"))</f>
        <v>N</v>
      </c>
      <c r="J115" s="100" t="str">
        <f>IF(_epmOfflineCondition_,"N",_xll.EVPRO($B$1,$H115,"CALC"))</f>
        <v>N</v>
      </c>
      <c r="K115" s="100"/>
      <c r="L115" s="100" t="str">
        <f>IF(_epmOfflineCondition_,"907200",_xll.EVPRO($B$1,H115,"JDEID"))</f>
        <v>907200</v>
      </c>
      <c r="M115" s="86" t="str">
        <f>IF(_epmOfflineCondition_,"991700",IF(AND(I115="N",J115="N"),_xll.EVPRO($B$1,H115,"PSFTID"),""))</f>
        <v>991700</v>
      </c>
      <c r="N115" s="100" t="str">
        <f>IF(_epmOfflineCondition_,"KIT Rooms Occupied",IF(_xll.EVDES(H115,$B$1)="#NODATA","",_xll.EVDES(H115,$B$1)))</f>
        <v>KIT Rooms Occupied</v>
      </c>
      <c r="O115" s="271">
        <v>68</v>
      </c>
      <c r="P115" s="272">
        <v>238</v>
      </c>
      <c r="Q115" s="272">
        <v>-29</v>
      </c>
      <c r="R115" s="272">
        <v>338</v>
      </c>
      <c r="S115" s="272">
        <v>67</v>
      </c>
      <c r="T115" s="272">
        <v>276</v>
      </c>
      <c r="U115" s="272">
        <v>101</v>
      </c>
      <c r="V115" s="272">
        <v>36</v>
      </c>
      <c r="W115" s="272">
        <v>232</v>
      </c>
      <c r="X115" s="272">
        <v>54</v>
      </c>
      <c r="Y115" s="272">
        <v>331</v>
      </c>
      <c r="Z115" s="272">
        <v>-123</v>
      </c>
      <c r="AA115" s="272">
        <f t="shared" si="7"/>
        <v>1589</v>
      </c>
      <c r="AB115" s="308">
        <f t="shared" si="8"/>
        <v>4.8324311173286297E-2</v>
      </c>
      <c r="AC115" s="136"/>
      <c r="AD115" s="274"/>
      <c r="AE115" s="308" t="str">
        <f t="shared" si="9"/>
        <v/>
      </c>
      <c r="AF115" s="275">
        <f t="shared" si="10"/>
        <v>1589</v>
      </c>
      <c r="AG115" s="275">
        <v>1066</v>
      </c>
      <c r="AH115" s="308">
        <f t="shared" si="11"/>
        <v>7.02239789196311E-2</v>
      </c>
      <c r="AI115" s="276">
        <f t="shared" si="12"/>
        <v>523</v>
      </c>
    </row>
    <row r="116" spans="1:35" x14ac:dyDescent="0.25">
      <c r="A116" s="11"/>
      <c r="B116" s="11"/>
      <c r="C116" s="11"/>
      <c r="D116" s="11"/>
      <c r="E116" s="11"/>
      <c r="F116" s="11"/>
      <c r="G116" s="11"/>
      <c r="H116" s="84" t="s">
        <v>218</v>
      </c>
      <c r="I116" s="100" t="str">
        <f>IF(_epmOfflineCondition_,"N",_xll.EVPRO($B$1,$H116,"STYLE"))</f>
        <v>N</v>
      </c>
      <c r="J116" s="100" t="str">
        <f>IF(_epmOfflineCondition_,"N",_xll.EVPRO($B$1,$H116,"CALC"))</f>
        <v>N</v>
      </c>
      <c r="K116" s="100"/>
      <c r="L116" s="100" t="str">
        <f>IF(_epmOfflineCondition_,"907300",_xll.EVPRO($B$1,H116,"JDEID"))</f>
        <v>907300</v>
      </c>
      <c r="M116" s="86" t="str">
        <f>IF(_epmOfflineCondition_,"991059",IF(AND(I116="N",J116="N"),_xll.EVPRO($B$1,H116,"PSFTID"),""))</f>
        <v>991059</v>
      </c>
      <c r="N116" s="100" t="str">
        <f>IF(_epmOfflineCondition_,"Number of Guests",IF(_xll.EVDES(H116,$B$1)="#NODATA","",_xll.EVDES(H116,$B$1)))</f>
        <v>Number of Guests</v>
      </c>
      <c r="O116" s="318">
        <v>4650</v>
      </c>
      <c r="P116" s="319">
        <v>4269</v>
      </c>
      <c r="Q116" s="319">
        <v>5644</v>
      </c>
      <c r="R116" s="319">
        <v>5128</v>
      </c>
      <c r="S116" s="319">
        <v>4764</v>
      </c>
      <c r="T116" s="319">
        <v>3932</v>
      </c>
      <c r="U116" s="319">
        <v>5411</v>
      </c>
      <c r="V116" s="319">
        <v>6019</v>
      </c>
      <c r="W116" s="319">
        <v>4055</v>
      </c>
      <c r="X116" s="319">
        <v>4882</v>
      </c>
      <c r="Y116" s="319">
        <v>4986</v>
      </c>
      <c r="Z116" s="319">
        <v>6351</v>
      </c>
      <c r="AA116" s="319">
        <f t="shared" si="7"/>
        <v>60091</v>
      </c>
      <c r="AB116" s="320" t="str">
        <f t="shared" si="8"/>
        <v>1.83</v>
      </c>
      <c r="AC116" s="136"/>
      <c r="AD116" s="321"/>
      <c r="AE116" s="320" t="str">
        <f t="shared" si="9"/>
        <v>0.00</v>
      </c>
      <c r="AF116" s="322">
        <f t="shared" si="10"/>
        <v>60091</v>
      </c>
      <c r="AG116" s="322">
        <v>26463</v>
      </c>
      <c r="AH116" s="320" t="str">
        <f t="shared" si="11"/>
        <v>1.74</v>
      </c>
      <c r="AI116" s="323">
        <f t="shared" si="12"/>
        <v>33628</v>
      </c>
    </row>
    <row r="117" spans="1:35" x14ac:dyDescent="0.25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00"/>
      <c r="O117" s="199"/>
      <c r="P117" s="200"/>
      <c r="Q117" s="200"/>
      <c r="R117" s="200"/>
      <c r="S117" s="200"/>
      <c r="T117" s="200"/>
      <c r="U117" s="200"/>
      <c r="V117" s="200"/>
      <c r="W117" s="200"/>
      <c r="X117" s="200"/>
      <c r="Y117" s="200"/>
      <c r="Z117" s="200"/>
      <c r="AA117" s="200"/>
      <c r="AB117" s="114"/>
      <c r="AC117" s="11"/>
      <c r="AD117" s="199"/>
      <c r="AE117" s="200"/>
      <c r="AF117" s="114"/>
      <c r="AG117" s="199"/>
      <c r="AH117" s="200"/>
      <c r="AI117" s="114"/>
    </row>
    <row r="118" spans="1:35" x14ac:dyDescent="0.25">
      <c r="A118" s="11"/>
      <c r="B118" s="11"/>
      <c r="C118" s="11"/>
      <c r="D118" s="11"/>
      <c r="E118" s="11"/>
      <c r="F118" s="11"/>
      <c r="G118" s="11"/>
      <c r="H118" s="11" t="s">
        <v>494</v>
      </c>
      <c r="I118" s="55" t="str">
        <f>IF(_epmOfflineCondition_,"B1",_xll.EVPRO($B$1,$H118,"STYLE"))</f>
        <v>B1</v>
      </c>
      <c r="J118" s="55" t="str">
        <f>IF(_epmOfflineCondition_,"Y",_xll.EVPRO($B$1,$H118,"CALC"))</f>
        <v>Y</v>
      </c>
      <c r="K118" s="11"/>
      <c r="L118" s="11"/>
      <c r="M118" s="11"/>
      <c r="N118" s="101" t="str">
        <f>IF(_epmOfflineCondition_,"ADR &amp; OCC% Calculations",IF(_xll.EVDES(H118,$B$1)="#NODATA","",_xll.EVDES(H118,$B$1)))</f>
        <v>ADR &amp; OCC% Calculations</v>
      </c>
      <c r="O118" s="262" t="s">
        <v>744</v>
      </c>
      <c r="P118" s="262" t="s">
        <v>744</v>
      </c>
      <c r="Q118" s="262" t="s">
        <v>744</v>
      </c>
      <c r="R118" s="262" t="s">
        <v>744</v>
      </c>
      <c r="S118" s="262" t="s">
        <v>744</v>
      </c>
      <c r="T118" s="262" t="s">
        <v>744</v>
      </c>
      <c r="U118" s="262" t="s">
        <v>744</v>
      </c>
      <c r="V118" s="262" t="s">
        <v>744</v>
      </c>
      <c r="W118" s="262" t="s">
        <v>744</v>
      </c>
      <c r="X118" s="262" t="s">
        <v>744</v>
      </c>
      <c r="Y118" s="262" t="s">
        <v>744</v>
      </c>
      <c r="Z118" s="262" t="s">
        <v>744</v>
      </c>
      <c r="AA118" s="262" t="s">
        <v>744</v>
      </c>
      <c r="AB118" s="262" t="s">
        <v>745</v>
      </c>
      <c r="AC118" s="11"/>
      <c r="AD118" s="262" t="s">
        <v>744</v>
      </c>
      <c r="AE118" s="262" t="s">
        <v>745</v>
      </c>
      <c r="AF118" s="262"/>
      <c r="AG118" s="262" t="s">
        <v>744</v>
      </c>
      <c r="AH118" s="262" t="s">
        <v>745</v>
      </c>
      <c r="AI118" s="262"/>
    </row>
    <row r="119" spans="1:35" x14ac:dyDescent="0.25">
      <c r="A119" s="11"/>
      <c r="B119" s="11"/>
      <c r="C119" s="11"/>
      <c r="D119" s="11"/>
      <c r="E119" s="11"/>
      <c r="F119" s="11"/>
      <c r="G119" s="261" t="str">
        <f t="shared" ref="G119:G151" si="13">REPLACE(H119,1,3,"OCC")</f>
        <v>OCC_RETAIL</v>
      </c>
      <c r="H119" s="84" t="s">
        <v>190</v>
      </c>
      <c r="I119" s="85" t="str">
        <f>IF(_epmOfflineCondition_,"T3",_xll.EVPRO($B$1,$H119,"STYLE"))</f>
        <v>T3</v>
      </c>
      <c r="J119" s="85" t="str">
        <f>IF(_epmOfflineCondition_,"Y",_xll.EVPRO($B$1,$H119,"CALC"))</f>
        <v>Y</v>
      </c>
      <c r="K119" s="11"/>
      <c r="L119" s="102" t="str">
        <f>IF(_epmOfflineCondition_,"",_xll.EVPRO($B$1,H119,"JDEID"))</f>
        <v/>
      </c>
      <c r="M119" s="86" t="str">
        <f>IF(_epmOfflineCondition_,"",IF(AND(I119="N",J119="N"),_xll.EVPRO($B$1,H119,"PSFTID"),""))</f>
        <v/>
      </c>
      <c r="N119" s="102" t="str">
        <f>IF(_epmOfflineCondition_,"Retail",IF(_xll.EVDES(H119,$B$1)="#NODATA","",_xll.EVDES(H119,$B$1)))</f>
        <v>Retail</v>
      </c>
      <c r="O119" s="324">
        <v>217.17321964529299</v>
      </c>
      <c r="P119" s="325">
        <v>219.977116451017</v>
      </c>
      <c r="Q119" s="325">
        <v>251.2719140625</v>
      </c>
      <c r="R119" s="325">
        <v>249.31131736526899</v>
      </c>
      <c r="S119" s="325">
        <v>206.966869806094</v>
      </c>
      <c r="T119" s="325">
        <v>172.58743478260899</v>
      </c>
      <c r="U119" s="325">
        <v>183.23500000000001</v>
      </c>
      <c r="V119" s="325">
        <v>164.53574572127101</v>
      </c>
      <c r="W119" s="325">
        <v>142.28656612528999</v>
      </c>
      <c r="X119" s="325">
        <v>158.50247692307701</v>
      </c>
      <c r="Y119" s="325">
        <v>180.46078527607401</v>
      </c>
      <c r="Z119" s="325">
        <v>274.80119946984797</v>
      </c>
      <c r="AA119" s="325">
        <f t="shared" ref="AA119:AA150" si="14">IFERROR(AA34/AA72,0)</f>
        <v>211.23211251435131</v>
      </c>
      <c r="AB119" s="326">
        <f>IF(_epmOfflineCondition_,0.162702366127024,IF(_xll.EVGET($B$1,$B$3,$B$5,$B$6,$B$7,$B$9,AA$16,AA$17,AA$18,$G119)="#NODATA","",_xll.EVGET($B$1,$B$3,$B$5,$B$6,$B$7,$B$9,AA$16,AA$17,AA$18,$G119)))</f>
        <v>0.16270236612702399</v>
      </c>
      <c r="AC119" s="136"/>
      <c r="AD119" s="324">
        <v>290.47294777669998</v>
      </c>
      <c r="AE119" s="326">
        <f>IF(_epmOfflineCondition_,0.14983395599834,IF(_xll.EVGET($B$1,$B$3,$B$5,$B$6,$B$7,$B$9,AD$16,AD$17,AD$18,$G119)="#NODATA","",_xll.EVGET($B$1,$B$3,$B$5,$B$6,$B$7,$B$9,AD$16,AD$17,AD$18,$G119)))</f>
        <v>0.14983395599834001</v>
      </c>
      <c r="AF119" s="327">
        <f t="shared" ref="AF119:AF152" si="15">IF(AND($AA119="",AD119=""),"",$AA119-AD119)</f>
        <v>-79.240835262348668</v>
      </c>
      <c r="AG119" s="324">
        <v>174.421099608926</v>
      </c>
      <c r="AH119" s="326">
        <f>IF(_epmOfflineCondition_,0.116694853829427,IF(_xll.EVGET($B$1,$B$3,$B$5,$B$6,$B$7,$B$9,AG$16,AG$17,AG$18,$G119)="#NODATA","",_xll.EVGET($B$1,$B$3,$B$5,$B$6,$B$7,$B$9,AG$16,AG$17,AG$18,$G119)))</f>
        <v>0.116694853829427</v>
      </c>
      <c r="AI119" s="328">
        <f t="shared" ref="AI119:AI152" si="16">IF(AND($AA119="",AG119=""),"",$AA119-AG119)</f>
        <v>36.811012905425315</v>
      </c>
    </row>
    <row r="120" spans="1:35" x14ac:dyDescent="0.25">
      <c r="A120" s="11"/>
      <c r="B120" s="11"/>
      <c r="C120" s="11"/>
      <c r="D120" s="11"/>
      <c r="E120" s="11"/>
      <c r="F120" s="11"/>
      <c r="G120" s="263" t="str">
        <f t="shared" si="13"/>
        <v>OCC_ROOM</v>
      </c>
      <c r="H120" s="84" t="s">
        <v>191</v>
      </c>
      <c r="I120" s="100" t="str">
        <f>IF(_epmOfflineCondition_,"N",_xll.EVPRO($B$1,$H120,"STYLE"))</f>
        <v>N</v>
      </c>
      <c r="J120" s="100" t="str">
        <f>IF(_epmOfflineCondition_,"Y",_xll.EVPRO($B$1,$H120,"CALC"))</f>
        <v>Y</v>
      </c>
      <c r="K120" s="11"/>
      <c r="L120" s="100" t="str">
        <f>IF(_epmOfflineCondition_,"",_xll.EVPRO($B$1,H120,"JDEID"))</f>
        <v/>
      </c>
      <c r="M120" s="86" t="str">
        <f>IF(_epmOfflineCondition_,"",IF(AND(I120="N",J120="N"),_xll.EVPRO($B$1,H120,"PSFTID"),""))</f>
        <v/>
      </c>
      <c r="N120" s="100" t="str">
        <f>IF(_epmOfflineCondition_,"Room Only",IF(_xll.EVDES(H120,$B$1)="#NODATA","",_xll.EVDES(H120,$B$1)))</f>
        <v>Room Only</v>
      </c>
      <c r="O120" s="329">
        <v>258.53518987341801</v>
      </c>
      <c r="P120" s="330">
        <v>225.452432432432</v>
      </c>
      <c r="Q120" s="330">
        <v>232.02252631578901</v>
      </c>
      <c r="R120" s="330">
        <v>232.63320895522401</v>
      </c>
      <c r="S120" s="330">
        <v>233.11447826086999</v>
      </c>
      <c r="T120" s="330">
        <v>188.832477876106</v>
      </c>
      <c r="U120" s="330">
        <v>195.666666666667</v>
      </c>
      <c r="V120" s="330">
        <v>170.95725490196099</v>
      </c>
      <c r="W120" s="330">
        <v>172.34847619047599</v>
      </c>
      <c r="X120" s="330">
        <v>155.31085889570599</v>
      </c>
      <c r="Y120" s="330">
        <v>195.354229607251</v>
      </c>
      <c r="Z120" s="330">
        <v>406.952893617021</v>
      </c>
      <c r="AA120" s="330">
        <f t="shared" si="14"/>
        <v>231.38578582052554</v>
      </c>
      <c r="AB120" s="331">
        <f>IF(_epmOfflineCondition_,0.0418638439186384,IF(_xll.EVGET($B$1,$B$3,$B$5,$B$6,$B$7,$B$9,AA$16,AA$17,AA$18,$G120)="#NODATA","",_xll.EVGET($B$1,$B$3,$B$5,$B$6,$B$7,$B$9,AA$16,AA$17,AA$18,$G120)))</f>
        <v>4.1863843918638399E-2</v>
      </c>
      <c r="AC120" s="136"/>
      <c r="AD120" s="329">
        <v>370.71686502177101</v>
      </c>
      <c r="AE120" s="331">
        <f>IF(_epmOfflineCondition_,0.0429016189290162,IF(_xll.EVGET($B$1,$B$3,$B$5,$B$6,$B$7,$B$9,AD$16,AD$17,AD$18,$G120)="#NODATA","",_xll.EVGET($B$1,$B$3,$B$5,$B$6,$B$7,$B$9,AD$16,AD$17,AD$18,$G120)))</f>
        <v>4.29016189290162E-2</v>
      </c>
      <c r="AF120" s="332">
        <f t="shared" si="15"/>
        <v>-139.33107920124547</v>
      </c>
      <c r="AG120" s="329">
        <v>172.85607766990299</v>
      </c>
      <c r="AH120" s="331">
        <f>IF(_epmOfflineCondition_,0.0276502644224316,IF(_xll.EVGET($B$1,$B$3,$B$5,$B$6,$B$7,$B$9,AG$16,AG$17,AG$18,$G120)="#NODATA","",_xll.EVGET($B$1,$B$3,$B$5,$B$6,$B$7,$B$9,AG$16,AG$17,AG$18,$G120)))</f>
        <v>2.7650264422431601E-2</v>
      </c>
      <c r="AI120" s="333">
        <f t="shared" si="16"/>
        <v>58.529708150622554</v>
      </c>
    </row>
    <row r="121" spans="1:35" x14ac:dyDescent="0.25">
      <c r="A121" s="11"/>
      <c r="B121" s="11"/>
      <c r="C121" s="11"/>
      <c r="D121" s="11"/>
      <c r="E121" s="11"/>
      <c r="F121" s="11"/>
      <c r="G121" s="263" t="str">
        <f t="shared" si="13"/>
        <v>OCC_RWEB</v>
      </c>
      <c r="H121" s="84" t="s">
        <v>192</v>
      </c>
      <c r="I121" s="100" t="str">
        <f>IF(_epmOfflineCondition_,"N",_xll.EVPRO($B$1,$H121,"STYLE"))</f>
        <v>N</v>
      </c>
      <c r="J121" s="100" t="str">
        <f>IF(_epmOfflineCondition_,"Y",_xll.EVPRO($B$1,$H121,"CALC"))</f>
        <v>Y</v>
      </c>
      <c r="K121" s="11"/>
      <c r="L121" s="100" t="str">
        <f>IF(_epmOfflineCondition_,"",_xll.EVPRO($B$1,H121,"JDEID"))</f>
        <v/>
      </c>
      <c r="M121" s="86" t="str">
        <f>IF(_epmOfflineCondition_,"",IF(AND(I121="N",J121="N"),_xll.EVPRO($B$1,H121,"PSFTID"),""))</f>
        <v/>
      </c>
      <c r="N121" s="100" t="str">
        <f>IF(_epmOfflineCondition_,"Retail Web",IF(_xll.EVDES(H121,$B$1)="#NODATA","",_xll.EVDES(H121,$B$1)))</f>
        <v>Retail Web</v>
      </c>
      <c r="O121" s="329">
        <v>205.807669565217</v>
      </c>
      <c r="P121" s="330">
        <v>217.91516539440201</v>
      </c>
      <c r="Q121" s="330">
        <v>262.63024844720502</v>
      </c>
      <c r="R121" s="330">
        <v>255.40087193460499</v>
      </c>
      <c r="S121" s="330">
        <v>194.74339430894301</v>
      </c>
      <c r="T121" s="330">
        <v>167.297262247839</v>
      </c>
      <c r="U121" s="330">
        <v>180.23808035714299</v>
      </c>
      <c r="V121" s="330">
        <v>162.40221498371301</v>
      </c>
      <c r="W121" s="330">
        <v>132.60404907975499</v>
      </c>
      <c r="X121" s="330">
        <v>159.57071868583199</v>
      </c>
      <c r="Y121" s="330">
        <v>170.27539256198301</v>
      </c>
      <c r="Z121" s="330">
        <v>250.42470957613801</v>
      </c>
      <c r="AA121" s="330">
        <f t="shared" si="14"/>
        <v>204.24998282377192</v>
      </c>
      <c r="AB121" s="331">
        <f>IF(_epmOfflineCondition_,0.120838522208385,IF(_xll.EVGET($B$1,$B$3,$B$5,$B$6,$B$7,$B$9,AA$16,AA$17,AA$18,$G121)="#NODATA","",_xll.EVGET($B$1,$B$3,$B$5,$B$6,$B$7,$B$9,AA$16,AA$17,AA$18,$G121)))</f>
        <v>0.12083852220838499</v>
      </c>
      <c r="AC121" s="136"/>
      <c r="AD121" s="329">
        <v>258.27881405279498</v>
      </c>
      <c r="AE121" s="331">
        <f>IF(_epmOfflineCondition_,0.106932337069323,IF(_xll.EVGET($B$1,$B$3,$B$5,$B$6,$B$7,$B$9,AD$16,AD$17,AD$18,$G121)="#NODATA","",_xll.EVGET($B$1,$B$3,$B$5,$B$6,$B$7,$B$9,AD$16,AD$17,AD$18,$G121)))</f>
        <v>0.10693233706932299</v>
      </c>
      <c r="AF121" s="332">
        <f t="shared" si="15"/>
        <v>-54.028831229023069</v>
      </c>
      <c r="AG121" s="329">
        <v>174.90707265601401</v>
      </c>
      <c r="AH121" s="331">
        <f>IF(_epmOfflineCondition_,0.0890445894069958,IF(_xll.EVGET($B$1,$B$3,$B$5,$B$6,$B$7,$B$9,AG$16,AG$17,AG$18,$G121)="#NODATA","",_xll.EVGET($B$1,$B$3,$B$5,$B$6,$B$7,$B$9,AG$16,AG$17,AG$18,$G121)))</f>
        <v>8.9044589406995805E-2</v>
      </c>
      <c r="AI121" s="333">
        <f t="shared" si="16"/>
        <v>29.342910167757907</v>
      </c>
    </row>
    <row r="122" spans="1:35" x14ac:dyDescent="0.25">
      <c r="A122" s="11"/>
      <c r="B122" s="11"/>
      <c r="C122" s="11"/>
      <c r="D122" s="11"/>
      <c r="E122" s="11"/>
      <c r="F122" s="11"/>
      <c r="G122" s="261" t="str">
        <f t="shared" si="13"/>
        <v>OCC_DISCNT</v>
      </c>
      <c r="H122" s="84" t="s">
        <v>193</v>
      </c>
      <c r="I122" s="85" t="str">
        <f>IF(_epmOfflineCondition_,"T3",_xll.EVPRO($B$1,$H122,"STYLE"))</f>
        <v>T3</v>
      </c>
      <c r="J122" s="85" t="str">
        <f>IF(_epmOfflineCondition_,"Y",_xll.EVPRO($B$1,$H122,"CALC"))</f>
        <v>Y</v>
      </c>
      <c r="K122" s="11"/>
      <c r="L122" s="102" t="str">
        <f>IF(_epmOfflineCondition_,"",_xll.EVPRO($B$1,H122,"JDEID"))</f>
        <v/>
      </c>
      <c r="M122" s="86" t="str">
        <f>IF(_epmOfflineCondition_,"",IF(AND(I122="N",J122="N"),_xll.EVPRO($B$1,H122,"PSFTID"),""))</f>
        <v/>
      </c>
      <c r="N122" s="102" t="str">
        <f>IF(_epmOfflineCondition_,"Discount",IF(_xll.EVDES(H122,$B$1)="#NODATA","",_xll.EVDES(H122,$B$1)))</f>
        <v>Discount</v>
      </c>
      <c r="O122" s="324">
        <v>246.15854821235101</v>
      </c>
      <c r="P122" s="325">
        <v>268.75967678746298</v>
      </c>
      <c r="Q122" s="325">
        <v>268.83053001277102</v>
      </c>
      <c r="R122" s="325">
        <v>233.390007936508</v>
      </c>
      <c r="S122" s="325">
        <v>181.58360315893401</v>
      </c>
      <c r="T122" s="325">
        <v>164.69167560321699</v>
      </c>
      <c r="U122" s="325">
        <v>158.647758484609</v>
      </c>
      <c r="V122" s="325">
        <v>136.24160153747599</v>
      </c>
      <c r="W122" s="325">
        <v>123.952603231598</v>
      </c>
      <c r="X122" s="325">
        <v>145.44237248840801</v>
      </c>
      <c r="Y122" s="325">
        <v>169.83725490196099</v>
      </c>
      <c r="Z122" s="325">
        <v>239.53412013536399</v>
      </c>
      <c r="AA122" s="325">
        <f t="shared" si="14"/>
        <v>194.28417100267191</v>
      </c>
      <c r="AB122" s="326">
        <f>IF(_epmOfflineCondition_,0.295184723951847,IF(_xll.EVGET($B$1,$B$3,$B$5,$B$6,$B$7,$B$9,AA$16,AA$17,AA$18,$G122)="#NODATA","",_xll.EVGET($B$1,$B$3,$B$5,$B$6,$B$7,$B$9,AA$16,AA$17,AA$18,$G122)))</f>
        <v>0.29518472395184697</v>
      </c>
      <c r="AC122" s="136"/>
      <c r="AD122" s="324">
        <v>244.81903658230999</v>
      </c>
      <c r="AE122" s="326">
        <f>IF(_epmOfflineCondition_,0.331340805313408,IF(_xll.EVGET($B$1,$B$3,$B$5,$B$6,$B$7,$B$9,AD$16,AD$17,AD$18,$G122)="#NODATA","",_xll.EVGET($B$1,$B$3,$B$5,$B$6,$B$7,$B$9,AD$16,AD$17,AD$18,$G122)))</f>
        <v>0.33134080531340798</v>
      </c>
      <c r="AF122" s="327">
        <f t="shared" si="15"/>
        <v>-50.53486557963808</v>
      </c>
      <c r="AG122" s="324">
        <v>198.85956478339</v>
      </c>
      <c r="AH122" s="326">
        <f>IF(_epmOfflineCondition_,0.134466188827146,IF(_xll.EVGET($B$1,$B$3,$B$5,$B$6,$B$7,$B$9,AG$16,AG$17,AG$18,$G122)="#NODATA","",_xll.EVGET($B$1,$B$3,$B$5,$B$6,$B$7,$B$9,AG$16,AG$17,AG$18,$G122)))</f>
        <v>0.134466188827146</v>
      </c>
      <c r="AI122" s="328">
        <f t="shared" si="16"/>
        <v>-4.5753937807180876</v>
      </c>
    </row>
    <row r="123" spans="1:35" x14ac:dyDescent="0.25">
      <c r="A123" s="11"/>
      <c r="B123" s="11"/>
      <c r="C123" s="11"/>
      <c r="D123" s="11"/>
      <c r="E123" s="11"/>
      <c r="F123" s="11"/>
      <c r="G123" s="263" t="str">
        <f t="shared" si="13"/>
        <v>OCC_PACK</v>
      </c>
      <c r="H123" s="84" t="s">
        <v>194</v>
      </c>
      <c r="I123" s="100" t="str">
        <f>IF(_epmOfflineCondition_,"N",_xll.EVPRO($B$1,$H123,"STYLE"))</f>
        <v>N</v>
      </c>
      <c r="J123" s="100" t="str">
        <f>IF(_epmOfflineCondition_,"Y",_xll.EVPRO($B$1,$H123,"CALC"))</f>
        <v>Y</v>
      </c>
      <c r="K123" s="11"/>
      <c r="L123" s="100" t="str">
        <f>IF(_epmOfflineCondition_,"",_xll.EVPRO($B$1,H123,"JDEID"))</f>
        <v/>
      </c>
      <c r="M123" s="86" t="str">
        <f>IF(_epmOfflineCondition_,"",IF(AND(I123="N",J123="N"),_xll.EVPRO($B$1,H123,"PSFTID"),""))</f>
        <v/>
      </c>
      <c r="N123" s="100" t="str">
        <f>IF(_epmOfflineCondition_,"Package",IF(_xll.EVDES(H123,$B$1)="#NODATA","",_xll.EVDES(H123,$B$1)))</f>
        <v>Package</v>
      </c>
      <c r="O123" s="329">
        <v>340.07903225806501</v>
      </c>
      <c r="P123" s="330">
        <v>434.7824</v>
      </c>
      <c r="Q123" s="330">
        <v>412.46560975609799</v>
      </c>
      <c r="R123" s="330">
        <v>325.5</v>
      </c>
      <c r="S123" s="330">
        <v>350.86</v>
      </c>
      <c r="T123" s="330">
        <v>244.82352941176501</v>
      </c>
      <c r="U123" s="330">
        <v>261.39657894736803</v>
      </c>
      <c r="V123" s="330">
        <v>231.125</v>
      </c>
      <c r="W123" s="330">
        <v>213.41411764705899</v>
      </c>
      <c r="X123" s="330">
        <v>240.95307692307699</v>
      </c>
      <c r="Y123" s="330">
        <v>207.96555555555599</v>
      </c>
      <c r="Z123" s="330">
        <v>392.68095238095202</v>
      </c>
      <c r="AA123" s="330">
        <f t="shared" si="14"/>
        <v>340.34351351351347</v>
      </c>
      <c r="AB123" s="331">
        <f>IF(_epmOfflineCondition_,0.00921544209215442,IF(_xll.EVGET($B$1,$B$3,$B$5,$B$6,$B$7,$B$9,AA$16,AA$17,AA$18,$G123)="#NODATA","",_xll.EVGET($B$1,$B$3,$B$5,$B$6,$B$7,$B$9,AA$16,AA$17,AA$18,$G123)))</f>
        <v>9.2154420921544203E-3</v>
      </c>
      <c r="AC123" s="136"/>
      <c r="AD123" s="329">
        <v>321.09658623137</v>
      </c>
      <c r="AE123" s="331">
        <f>IF(_epmOfflineCondition_,0.029244499792445,IF(_xll.EVGET($B$1,$B$3,$B$5,$B$6,$B$7,$B$9,AD$16,AD$17,AD$18,$G123)="#NODATA","",_xll.EVGET($B$1,$B$3,$B$5,$B$6,$B$7,$B$9,AD$16,AD$17,AD$18,$G123)))</f>
        <v>2.9244499792444999E-2</v>
      </c>
      <c r="AF123" s="332">
        <f t="shared" si="15"/>
        <v>19.246927282143474</v>
      </c>
      <c r="AG123" s="329">
        <v>307.24141057934497</v>
      </c>
      <c r="AH123" s="331">
        <f>IF(_epmOfflineCondition_,0.0106574320152479,IF(_xll.EVGET($B$1,$B$3,$B$5,$B$6,$B$7,$B$9,AG$16,AG$17,AG$18,$G123)="#NODATA","",_xll.EVGET($B$1,$B$3,$B$5,$B$6,$B$7,$B$9,AG$16,AG$17,AG$18,$G123)))</f>
        <v>1.06574320152479E-2</v>
      </c>
      <c r="AI123" s="333">
        <f t="shared" si="16"/>
        <v>33.102102934168499</v>
      </c>
    </row>
    <row r="124" spans="1:35" x14ac:dyDescent="0.25">
      <c r="A124" s="11"/>
      <c r="B124" s="11"/>
      <c r="C124" s="11"/>
      <c r="D124" s="11"/>
      <c r="E124" s="11"/>
      <c r="F124" s="11"/>
      <c r="G124" s="263" t="str">
        <f t="shared" si="13"/>
        <v>OCC_OTA</v>
      </c>
      <c r="H124" s="84" t="s">
        <v>195</v>
      </c>
      <c r="I124" s="100" t="str">
        <f>IF(_epmOfflineCondition_,"N",_xll.EVPRO($B$1,$H124,"STYLE"))</f>
        <v>N</v>
      </c>
      <c r="J124" s="100" t="str">
        <f>IF(_epmOfflineCondition_,"Y",_xll.EVPRO($B$1,$H124,"CALC"))</f>
        <v>Y</v>
      </c>
      <c r="K124" s="11"/>
      <c r="L124" s="100" t="str">
        <f>IF(_epmOfflineCondition_,"",_xll.EVPRO($B$1,H124,"JDEID"))</f>
        <v/>
      </c>
      <c r="M124" s="86" t="str">
        <f>IF(_epmOfflineCondition_,"",IF(AND(I124="N",J124="N"),_xll.EVPRO($B$1,H124,"PSFTID"),""))</f>
        <v/>
      </c>
      <c r="N124" s="100" t="str">
        <f>IF(_epmOfflineCondition_,"OTA Opaque",IF(_xll.EVDES(H124,$B$1)="#NODATA","",_xll.EVDES(H124,$B$1)))</f>
        <v>OTA Opaque</v>
      </c>
      <c r="O124" s="329">
        <v>41.653142857142903</v>
      </c>
      <c r="P124" s="330">
        <v>233.22962962963001</v>
      </c>
      <c r="Q124" s="330">
        <v>250.06874999999999</v>
      </c>
      <c r="R124" s="330">
        <v>177.77533333333301</v>
      </c>
      <c r="S124" s="330">
        <v>133.888888888889</v>
      </c>
      <c r="T124" s="330">
        <v>140.99039999999999</v>
      </c>
      <c r="U124" s="330">
        <v>108.235209580838</v>
      </c>
      <c r="V124" s="330">
        <v>121.65875</v>
      </c>
      <c r="W124" s="330">
        <v>115.062142857143</v>
      </c>
      <c r="X124" s="330">
        <v>135.00065573770499</v>
      </c>
      <c r="Y124" s="330">
        <v>156.459527559055</v>
      </c>
      <c r="Z124" s="330">
        <v>221.78637681159401</v>
      </c>
      <c r="AA124" s="330">
        <f t="shared" si="14"/>
        <v>149.78398765432098</v>
      </c>
      <c r="AB124" s="331">
        <f>IF(_epmOfflineCondition_,0.0168119551681196,IF(_xll.EVGET($B$1,$B$3,$B$5,$B$6,$B$7,$B$9,AA$16,AA$17,AA$18,$G124)="#NODATA","",_xll.EVGET($B$1,$B$3,$B$5,$B$6,$B$7,$B$9,AA$16,AA$17,AA$18,$G124)))</f>
        <v>1.6811955168119602E-2</v>
      </c>
      <c r="AC124" s="136"/>
      <c r="AD124" s="329">
        <v>160.952835051546</v>
      </c>
      <c r="AE124" s="331">
        <f>IF(_epmOfflineCondition_,0.0161062681610627,IF(_xll.EVGET($B$1,$B$3,$B$5,$B$6,$B$7,$B$9,AD$16,AD$17,AD$18,$G124)="#NODATA","",_xll.EVGET($B$1,$B$3,$B$5,$B$6,$B$7,$B$9,AD$16,AD$17,AD$18,$G124)))</f>
        <v>1.6106268161062701E-2</v>
      </c>
      <c r="AF124" s="332">
        <f t="shared" si="15"/>
        <v>-11.168847397225022</v>
      </c>
      <c r="AG124" s="329">
        <v>182.01381944444401</v>
      </c>
      <c r="AH124" s="331">
        <f>IF(_epmOfflineCondition_,0.00773133607151486,IF(_xll.EVGET($B$1,$B$3,$B$5,$B$6,$B$7,$B$9,AG$16,AG$17,AG$18,$G124)="#NODATA","",_xll.EVGET($B$1,$B$3,$B$5,$B$6,$B$7,$B$9,AG$16,AG$17,AG$18,$G124)))</f>
        <v>7.7313360715148601E-3</v>
      </c>
      <c r="AI124" s="333">
        <f t="shared" si="16"/>
        <v>-32.229831790123029</v>
      </c>
    </row>
    <row r="125" spans="1:35" x14ac:dyDescent="0.25">
      <c r="A125" s="11"/>
      <c r="B125" s="11"/>
      <c r="C125" s="11"/>
      <c r="D125" s="11"/>
      <c r="E125" s="11"/>
      <c r="F125" s="11"/>
      <c r="G125" s="263" t="str">
        <f t="shared" si="13"/>
        <v>OCC_BMPRO</v>
      </c>
      <c r="H125" s="84" t="s">
        <v>196</v>
      </c>
      <c r="I125" s="100" t="str">
        <f>IF(_epmOfflineCondition_,"N",_xll.EVPRO($B$1,$H125,"STYLE"))</f>
        <v>N</v>
      </c>
      <c r="J125" s="100" t="str">
        <f>IF(_epmOfflineCondition_,"Y",_xll.EVPRO($B$1,$H125,"CALC"))</f>
        <v>Y</v>
      </c>
      <c r="K125" s="11"/>
      <c r="L125" s="100" t="str">
        <f>IF(_epmOfflineCondition_,"",_xll.EVPRO($B$1,H125,"JDEID"))</f>
        <v/>
      </c>
      <c r="M125" s="86" t="str">
        <f>IF(_epmOfflineCondition_,"",IF(AND(I125="N",J125="N"),_xll.EVPRO($B$1,H125,"PSFTID"),""))</f>
        <v/>
      </c>
      <c r="N125" s="100" t="str">
        <f>IF(_epmOfflineCondition_,"Brand/Media Promotions",IF(_xll.EVDES(H125,$B$1)="#NODATA","",_xll.EVDES(H125,$B$1)))</f>
        <v>Brand/Media Promotions</v>
      </c>
      <c r="O125" s="329">
        <v>251.095099337748</v>
      </c>
      <c r="P125" s="330">
        <v>187.32636363636399</v>
      </c>
      <c r="Q125" s="330">
        <v>198.239417989418</v>
      </c>
      <c r="R125" s="330">
        <v>176.14</v>
      </c>
      <c r="S125" s="330">
        <v>73.740434782608702</v>
      </c>
      <c r="T125" s="330">
        <v>95.528210526315803</v>
      </c>
      <c r="U125" s="330">
        <v>119.06153846153801</v>
      </c>
      <c r="V125" s="330">
        <v>137.66552380952399</v>
      </c>
      <c r="W125" s="330">
        <v>102.448913043478</v>
      </c>
      <c r="X125" s="330">
        <v>127.395840336134</v>
      </c>
      <c r="Y125" s="330">
        <v>118.7745625</v>
      </c>
      <c r="Z125" s="330">
        <v>155.00865196078399</v>
      </c>
      <c r="AA125" s="330">
        <f t="shared" si="14"/>
        <v>152.82900483091785</v>
      </c>
      <c r="AB125" s="331">
        <f>IF(_epmOfflineCondition_,0.0429638854296389,IF(_xll.EVGET($B$1,$B$3,$B$5,$B$6,$B$7,$B$9,AA$16,AA$17,AA$18,$G125)="#NODATA","",_xll.EVGET($B$1,$B$3,$B$5,$B$6,$B$7,$B$9,AA$16,AA$17,AA$18,$G125)))</f>
        <v>4.2963885429638901E-2</v>
      </c>
      <c r="AC125" s="136"/>
      <c r="AD125" s="329">
        <v>230.05336709486201</v>
      </c>
      <c r="AE125" s="331">
        <f>IF(_epmOfflineCondition_,0.0840182648401827,IF(_xll.EVGET($B$1,$B$3,$B$5,$B$6,$B$7,$B$9,AD$16,AD$17,AD$18,$G125)="#NODATA","",_xll.EVGET($B$1,$B$3,$B$5,$B$6,$B$7,$B$9,AD$16,AD$17,AD$18,$G125)))</f>
        <v>8.4018264840182696E-2</v>
      </c>
      <c r="AF125" s="332">
        <f t="shared" si="15"/>
        <v>-77.224362263944158</v>
      </c>
      <c r="AG125" s="329">
        <v>139.06478504672901</v>
      </c>
      <c r="AH125" s="331">
        <f>IF(_epmOfflineCondition_,0.0287240610990309,IF(_xll.EVGET($B$1,$B$3,$B$5,$B$6,$B$7,$B$9,AG$16,AG$17,AG$18,$G125)="#NODATA","",_xll.EVGET($B$1,$B$3,$B$5,$B$6,$B$7,$B$9,AG$16,AG$17,AG$18,$G125)))</f>
        <v>2.87240610990309E-2</v>
      </c>
      <c r="AI125" s="333">
        <f t="shared" si="16"/>
        <v>13.764219784188839</v>
      </c>
    </row>
    <row r="126" spans="1:35" x14ac:dyDescent="0.25">
      <c r="A126" s="11"/>
      <c r="B126" s="11"/>
      <c r="C126" s="11"/>
      <c r="D126" s="11"/>
      <c r="E126" s="11"/>
      <c r="F126" s="11"/>
      <c r="G126" s="263" t="str">
        <f t="shared" si="13"/>
        <v>OCC_ADVPR</v>
      </c>
      <c r="H126" s="84" t="s">
        <v>197</v>
      </c>
      <c r="I126" s="100" t="str">
        <f>IF(_epmOfflineCondition_,"N",_xll.EVPRO($B$1,$H126,"STYLE"))</f>
        <v>N</v>
      </c>
      <c r="J126" s="100" t="str">
        <f>IF(_epmOfflineCondition_,"Y",_xll.EVPRO($B$1,$H126,"CALC"))</f>
        <v>Y</v>
      </c>
      <c r="K126" s="11"/>
      <c r="L126" s="100" t="str">
        <f>IF(_epmOfflineCondition_,"",_xll.EVPRO($B$1,H126,"JDEID"))</f>
        <v/>
      </c>
      <c r="M126" s="86" t="str">
        <f>IF(_epmOfflineCondition_,"",IF(AND(I126="N",J126="N"),_xll.EVPRO($B$1,H126,"PSFTID"),""))</f>
        <v/>
      </c>
      <c r="N126" s="100" t="str">
        <f>IF(_epmOfflineCondition_,"Advance Purchases",IF(_xll.EVDES(H126,$B$1)="#NODATA","",_xll.EVDES(H126,$B$1)))</f>
        <v>Advance Purchases</v>
      </c>
      <c r="O126" s="329">
        <v>246.878367346939</v>
      </c>
      <c r="P126" s="330">
        <v>337.99666666666701</v>
      </c>
      <c r="Q126" s="330">
        <v>303.065454545455</v>
      </c>
      <c r="R126" s="330">
        <v>281.34311377245501</v>
      </c>
      <c r="S126" s="330">
        <v>216.41025641025601</v>
      </c>
      <c r="T126" s="330">
        <v>193.963021582734</v>
      </c>
      <c r="U126" s="330">
        <v>199.708291139241</v>
      </c>
      <c r="V126" s="330">
        <v>172.53424999999999</v>
      </c>
      <c r="W126" s="330">
        <v>141.90991596638699</v>
      </c>
      <c r="X126" s="330">
        <v>171.05070866141699</v>
      </c>
      <c r="Y126" s="330">
        <v>191.67618705036</v>
      </c>
      <c r="Z126" s="330">
        <v>271.80443661971799</v>
      </c>
      <c r="AA126" s="330">
        <f t="shared" si="14"/>
        <v>226.93900578642823</v>
      </c>
      <c r="AB126" s="331">
        <f>IF(_epmOfflineCondition_,0.0394562058945621,IF(_xll.EVGET($B$1,$B$3,$B$5,$B$6,$B$7,$B$9,AA$16,AA$17,AA$18,$G126)="#NODATA","",_xll.EVGET($B$1,$B$3,$B$5,$B$6,$B$7,$B$9,AA$16,AA$17,AA$18,$G126)))</f>
        <v>3.9456205894562099E-2</v>
      </c>
      <c r="AC126" s="136"/>
      <c r="AD126" s="329">
        <v>264.05531459169998</v>
      </c>
      <c r="AE126" s="331">
        <f>IF(_epmOfflineCondition_,0.0775217932752179,IF(_xll.EVGET($B$1,$B$3,$B$5,$B$6,$B$7,$B$9,AD$16,AD$17,AD$18,$G126)="#NODATA","",_xll.EVGET($B$1,$B$3,$B$5,$B$6,$B$7,$B$9,AD$16,AD$17,AD$18,$G126)))</f>
        <v>7.7521793275217896E-2</v>
      </c>
      <c r="AF126" s="332">
        <f t="shared" si="15"/>
        <v>-37.116308805271757</v>
      </c>
      <c r="AG126" s="329">
        <v>231.40688311688299</v>
      </c>
      <c r="AH126" s="331">
        <f>IF(_epmOfflineCondition_,0.0082682344098145,IF(_xll.EVGET($B$1,$B$3,$B$5,$B$6,$B$7,$B$9,AG$16,AG$17,AG$18,$G126)="#NODATA","",_xll.EVGET($B$1,$B$3,$B$5,$B$6,$B$7,$B$9,AG$16,AG$17,AG$18,$G126)))</f>
        <v>8.2682344098144993E-3</v>
      </c>
      <c r="AI126" s="333">
        <f t="shared" si="16"/>
        <v>-4.467877330454769</v>
      </c>
    </row>
    <row r="127" spans="1:35" x14ac:dyDescent="0.25">
      <c r="A127" s="11"/>
      <c r="B127" s="11"/>
      <c r="C127" s="11"/>
      <c r="D127" s="11"/>
      <c r="E127" s="11"/>
      <c r="F127" s="11"/>
      <c r="G127" s="263" t="str">
        <f t="shared" si="13"/>
        <v>OCC_LDISCNT</v>
      </c>
      <c r="H127" s="84" t="s">
        <v>198</v>
      </c>
      <c r="I127" s="100" t="str">
        <f>IF(_epmOfflineCondition_,"N",_xll.EVPRO($B$1,$H127,"STYLE"))</f>
        <v>N</v>
      </c>
      <c r="J127" s="100" t="str">
        <f>IF(_epmOfflineCondition_,"Y",_xll.EVPRO($B$1,$H127,"CALC"))</f>
        <v>Y</v>
      </c>
      <c r="K127" s="11"/>
      <c r="L127" s="100" t="str">
        <f>IF(_epmOfflineCondition_,"",_xll.EVPRO($B$1,H127,"JDEID"))</f>
        <v/>
      </c>
      <c r="M127" s="86" t="str">
        <f>IF(_epmOfflineCondition_,"",IF(AND(I127="N",J127="N"),_xll.EVPRO($B$1,H127,"PSFTID"),""))</f>
        <v/>
      </c>
      <c r="N127" s="100" t="str">
        <f>IF(_epmOfflineCondition_,"Local Discounts",IF(_xll.EVDES(H127,$B$1)="#NODATA","",_xll.EVDES(H127,$B$1)))</f>
        <v>Local Discounts</v>
      </c>
      <c r="O127" s="329">
        <v>247.057435008666</v>
      </c>
      <c r="P127" s="330">
        <v>264.943692307692</v>
      </c>
      <c r="Q127" s="330">
        <v>270.483362676056</v>
      </c>
      <c r="R127" s="330">
        <v>233.41280885780901</v>
      </c>
      <c r="S127" s="330">
        <v>186.087245053272</v>
      </c>
      <c r="T127" s="330">
        <v>168.37700000000001</v>
      </c>
      <c r="U127" s="330">
        <v>162.025730622618</v>
      </c>
      <c r="V127" s="330">
        <v>130.74282467532501</v>
      </c>
      <c r="W127" s="330">
        <v>122.529036144578</v>
      </c>
      <c r="X127" s="330">
        <v>144.48807600950099</v>
      </c>
      <c r="Y127" s="330">
        <v>174.333598265896</v>
      </c>
      <c r="Z127" s="330">
        <v>313.71758308157098</v>
      </c>
      <c r="AA127" s="330">
        <f t="shared" si="14"/>
        <v>193.720666888963</v>
      </c>
      <c r="AB127" s="331">
        <f>IF(_epmOfflineCondition_,0.186737235367372,IF(_xll.EVGET($B$1,$B$3,$B$5,$B$6,$B$7,$B$9,AA$16,AA$17,AA$18,$G127)="#NODATA","",_xll.EVGET($B$1,$B$3,$B$5,$B$6,$B$7,$B$9,AA$16,AA$17,AA$18,$G127)))</f>
        <v>0.186737235367372</v>
      </c>
      <c r="AC127" s="136"/>
      <c r="AD127" s="329">
        <v>235.73448632421599</v>
      </c>
      <c r="AE127" s="331">
        <f>IF(_epmOfflineCondition_,0.1244499792445,IF(_xll.EVGET($B$1,$B$3,$B$5,$B$6,$B$7,$B$9,AD$16,AD$17,AD$18,$G127)="#NODATA","",_xll.EVGET($B$1,$B$3,$B$5,$B$6,$B$7,$B$9,AD$16,AD$17,AD$18,$G127)))</f>
        <v>0.12444997924450001</v>
      </c>
      <c r="AF127" s="332">
        <f t="shared" si="15"/>
        <v>-42.013819435252998</v>
      </c>
      <c r="AG127" s="329">
        <v>204.21591989137801</v>
      </c>
      <c r="AH127" s="331">
        <f>IF(_epmOfflineCondition_,0.0790851252315374,IF(_xll.EVGET($B$1,$B$3,$B$5,$B$6,$B$7,$B$9,AG$16,AG$17,AG$18,$G127)="#NODATA","",_xll.EVGET($B$1,$B$3,$B$5,$B$6,$B$7,$B$9,AG$16,AG$17,AG$18,$G127)))</f>
        <v>7.9085125231537406E-2</v>
      </c>
      <c r="AI127" s="333">
        <f t="shared" si="16"/>
        <v>-10.495253002415012</v>
      </c>
    </row>
    <row r="128" spans="1:35" x14ac:dyDescent="0.25">
      <c r="A128" s="11"/>
      <c r="B128" s="11"/>
      <c r="C128" s="11"/>
      <c r="D128" s="11"/>
      <c r="E128" s="11"/>
      <c r="F128" s="11"/>
      <c r="G128" s="263" t="str">
        <f t="shared" si="13"/>
        <v>OCC_PAPR</v>
      </c>
      <c r="H128" s="84" t="s">
        <v>199</v>
      </c>
      <c r="I128" s="100" t="str">
        <f>IF(_epmOfflineCondition_,"N",_xll.EVPRO($B$1,$H128,"STYLE"))</f>
        <v>N</v>
      </c>
      <c r="J128" s="100" t="str">
        <f>IF(_epmOfflineCondition_,"Y",_xll.EVPRO($B$1,$H128,"CALC"))</f>
        <v>Y</v>
      </c>
      <c r="K128" s="11"/>
      <c r="L128" s="100" t="str">
        <f>IF(_epmOfflineCondition_,"",_xll.EVPRO($B$1,H128,"JDEID"))</f>
        <v/>
      </c>
      <c r="M128" s="86" t="str">
        <f>IF(_epmOfflineCondition_,"",IF(AND(I128="N",J128="N"),_xll.EVPRO($B$1,H128,"PSFTID"),""))</f>
        <v/>
      </c>
      <c r="N128" s="100" t="str">
        <f>IF(_epmOfflineCondition_,"Package &amp; Promo (Legacy)",IF(_xll.EVDES(H128,$B$1)="#NODATA","",_xll.EVDES(H128,$B$1)))</f>
        <v>Package &amp; Promo (Legacy)</v>
      </c>
      <c r="O128" s="329"/>
      <c r="P128" s="330"/>
      <c r="Q128" s="330"/>
      <c r="R128" s="330"/>
      <c r="S128" s="330"/>
      <c r="T128" s="330"/>
      <c r="U128" s="330"/>
      <c r="V128" s="330"/>
      <c r="W128" s="330"/>
      <c r="X128" s="330"/>
      <c r="Y128" s="330"/>
      <c r="Z128" s="330"/>
      <c r="AA128" s="330">
        <f t="shared" si="14"/>
        <v>0</v>
      </c>
      <c r="AB128" s="331">
        <f>IF(_epmOfflineCondition_,0,IF(_xll.EVGET($B$1,$B$3,$B$5,$B$6,$B$7,$B$9,AA$16,AA$17,AA$18,$G128)="#NODATA","",_xll.EVGET($B$1,$B$3,$B$5,$B$6,$B$7,$B$9,AA$16,AA$17,AA$18,$G128)))</f>
        <v>0</v>
      </c>
      <c r="AC128" s="136"/>
      <c r="AD128" s="329"/>
      <c r="AE128" s="331">
        <f>IF(_epmOfflineCondition_,0,IF(_xll.EVGET($B$1,$B$3,$B$5,$B$6,$B$7,$B$9,AD$16,AD$17,AD$18,$G128)="#NODATA","",_xll.EVGET($B$1,$B$3,$B$5,$B$6,$B$7,$B$9,AD$16,AD$17,AD$18,$G128)))</f>
        <v>0</v>
      </c>
      <c r="AF128" s="332">
        <f t="shared" si="15"/>
        <v>0</v>
      </c>
      <c r="AG128" s="329"/>
      <c r="AH128" s="331">
        <f>IF(_epmOfflineCondition_,0,IF(_xll.EVGET($B$1,$B$3,$B$5,$B$6,$B$7,$B$9,AG$16,AG$17,AG$18,$G128)="#NODATA","",_xll.EVGET($B$1,$B$3,$B$5,$B$6,$B$7,$B$9,AG$16,AG$17,AG$18,$G128)))</f>
        <v>0</v>
      </c>
      <c r="AI128" s="333">
        <f t="shared" si="16"/>
        <v>0</v>
      </c>
    </row>
    <row r="129" spans="1:35" x14ac:dyDescent="0.25">
      <c r="A129" s="11"/>
      <c r="B129" s="11"/>
      <c r="C129" s="11"/>
      <c r="D129" s="11"/>
      <c r="E129" s="11"/>
      <c r="F129" s="11"/>
      <c r="G129" s="261" t="str">
        <f t="shared" si="13"/>
        <v>OCC_NEGOT</v>
      </c>
      <c r="H129" s="84" t="s">
        <v>200</v>
      </c>
      <c r="I129" s="85" t="str">
        <f>IF(_epmOfflineCondition_,"T3",_xll.EVPRO($B$1,$H129,"STYLE"))</f>
        <v>T3</v>
      </c>
      <c r="J129" s="85" t="str">
        <f>IF(_epmOfflineCondition_,"Y",_xll.EVPRO($B$1,$H129,"CALC"))</f>
        <v>Y</v>
      </c>
      <c r="K129" s="11"/>
      <c r="L129" s="102" t="str">
        <f>IF(_epmOfflineCondition_,"",_xll.EVPRO($B$1,H129,"JDEID"))</f>
        <v/>
      </c>
      <c r="M129" s="86" t="str">
        <f>IF(_epmOfflineCondition_,"",IF(AND(I129="N",J129="N"),_xll.EVPRO($B$1,H129,"PSFTID"),""))</f>
        <v/>
      </c>
      <c r="N129" s="102" t="str">
        <f>IF(_epmOfflineCondition_,"Negotiated",IF(_xll.EVDES(H129,$B$1)="#NODATA","",_xll.EVDES(H129,$B$1)))</f>
        <v>Negotiated</v>
      </c>
      <c r="O129" s="324">
        <v>234.62144796380099</v>
      </c>
      <c r="P129" s="325">
        <v>228.92229166666701</v>
      </c>
      <c r="Q129" s="325">
        <v>241.50254335260101</v>
      </c>
      <c r="R129" s="325">
        <v>246.82756097561</v>
      </c>
      <c r="S129" s="325">
        <v>194.72017045454501</v>
      </c>
      <c r="T129" s="325">
        <v>183.64988764044901</v>
      </c>
      <c r="U129" s="325">
        <v>168.47223880596999</v>
      </c>
      <c r="V129" s="325">
        <v>158.55767857142899</v>
      </c>
      <c r="W129" s="325">
        <v>151.13734939758999</v>
      </c>
      <c r="X129" s="325">
        <v>152.391945701357</v>
      </c>
      <c r="Y129" s="325">
        <v>168.92684210526301</v>
      </c>
      <c r="Z129" s="325">
        <v>295.74591549295798</v>
      </c>
      <c r="AA129" s="325">
        <f t="shared" si="14"/>
        <v>206.57967759562837</v>
      </c>
      <c r="AB129" s="326">
        <f>IF(_epmOfflineCondition_,0.0379825653798257,IF(_xll.EVGET($B$1,$B$3,$B$5,$B$6,$B$7,$B$9,AA$16,AA$17,AA$18,$G129)="#NODATA","",_xll.EVGET($B$1,$B$3,$B$5,$B$6,$B$7,$B$9,AA$16,AA$17,AA$18,$G129)))</f>
        <v>3.7982565379825702E-2</v>
      </c>
      <c r="AC129" s="136"/>
      <c r="AD129" s="324">
        <v>256.71726377952803</v>
      </c>
      <c r="AE129" s="326">
        <f>IF(_epmOfflineCondition_,0.0421751764217518,IF(_xll.EVGET($B$1,$B$3,$B$5,$B$6,$B$7,$B$9,AD$16,AD$17,AD$18,$G129)="#NODATA","",_xll.EVGET($B$1,$B$3,$B$5,$B$6,$B$7,$B$9,AD$16,AD$17,AD$18,$G129)))</f>
        <v>4.2175176421751802E-2</v>
      </c>
      <c r="AF129" s="327">
        <f t="shared" si="15"/>
        <v>-50.137586183899657</v>
      </c>
      <c r="AG129" s="324">
        <v>202.691603229527</v>
      </c>
      <c r="AH129" s="326">
        <f>IF(_epmOfflineCondition_,0.0232745429652895,IF(_xll.EVGET($B$1,$B$3,$B$5,$B$6,$B$7,$B$9,AG$16,AG$17,AG$18,$G129)="#NODATA","",_xll.EVGET($B$1,$B$3,$B$5,$B$6,$B$7,$B$9,AG$16,AG$17,AG$18,$G129)))</f>
        <v>2.32745429652895E-2</v>
      </c>
      <c r="AI129" s="328">
        <f t="shared" si="16"/>
        <v>3.8880743661013639</v>
      </c>
    </row>
    <row r="130" spans="1:35" x14ac:dyDescent="0.25">
      <c r="A130" s="11"/>
      <c r="B130" s="11"/>
      <c r="C130" s="11"/>
      <c r="D130" s="11"/>
      <c r="E130" s="11"/>
      <c r="F130" s="11"/>
      <c r="G130" s="263" t="str">
        <f t="shared" si="13"/>
        <v>OCC_CONS</v>
      </c>
      <c r="H130" s="84" t="s">
        <v>201</v>
      </c>
      <c r="I130" s="100" t="str">
        <f>IF(_epmOfflineCondition_,"N",_xll.EVPRO($B$1,$H130,"STYLE"))</f>
        <v>N</v>
      </c>
      <c r="J130" s="100" t="str">
        <f>IF(_epmOfflineCondition_,"Y",_xll.EVPRO($B$1,$H130,"CALC"))</f>
        <v>Y</v>
      </c>
      <c r="K130" s="11"/>
      <c r="L130" s="100" t="str">
        <f>IF(_epmOfflineCondition_,"",_xll.EVPRO($B$1,H130,"JDEID"))</f>
        <v/>
      </c>
      <c r="M130" s="86" t="str">
        <f>IF(_epmOfflineCondition_,"",IF(AND(I130="N",J130="N"),_xll.EVPRO($B$1,H130,"PSFTID"),""))</f>
        <v/>
      </c>
      <c r="N130" s="100" t="str">
        <f>IF(_epmOfflineCondition_,"Consortia",IF(_xll.EVDES(H130,$B$1)="#NODATA","",_xll.EVDES(H130,$B$1)))</f>
        <v>Consortia</v>
      </c>
      <c r="O130" s="329">
        <v>333.5</v>
      </c>
      <c r="P130" s="330">
        <v>369</v>
      </c>
      <c r="Q130" s="330">
        <v>347.33333333333297</v>
      </c>
      <c r="R130" s="330">
        <v>284.21739130434798</v>
      </c>
      <c r="S130" s="330">
        <v>209.357142857143</v>
      </c>
      <c r="T130" s="330">
        <v>196.142857142857</v>
      </c>
      <c r="U130" s="330">
        <v>157.888888888889</v>
      </c>
      <c r="V130" s="330">
        <v>220.666666666667</v>
      </c>
      <c r="W130" s="330">
        <v>160.5</v>
      </c>
      <c r="X130" s="330">
        <v>160.09756097561001</v>
      </c>
      <c r="Y130" s="330">
        <v>187</v>
      </c>
      <c r="Z130" s="330">
        <v>348.28774193548401</v>
      </c>
      <c r="AA130" s="330">
        <f t="shared" si="14"/>
        <v>244.31674796747967</v>
      </c>
      <c r="AB130" s="331">
        <f>IF(_epmOfflineCondition_,0.00510585305105853,IF(_xll.EVGET($B$1,$B$3,$B$5,$B$6,$B$7,$B$9,AA$16,AA$17,AA$18,$G130)="#NODATA","",_xll.EVGET($B$1,$B$3,$B$5,$B$6,$B$7,$B$9,AA$16,AA$17,AA$18,$G130)))</f>
        <v>5.1058530510585303E-3</v>
      </c>
      <c r="AC130" s="136"/>
      <c r="AD130" s="329">
        <v>308.11255845942202</v>
      </c>
      <c r="AE130" s="331">
        <f>IF(_epmOfflineCondition_,0.0150892486508925,IF(_xll.EVGET($B$1,$B$3,$B$5,$B$6,$B$7,$B$9,AD$16,AD$17,AD$18,$G130)="#NODATA","",_xll.EVGET($B$1,$B$3,$B$5,$B$6,$B$7,$B$9,AD$16,AD$17,AD$18,$G130)))</f>
        <v>1.5089248650892499E-2</v>
      </c>
      <c r="AF130" s="332">
        <f t="shared" si="15"/>
        <v>-63.795810491942348</v>
      </c>
      <c r="AG130" s="329">
        <v>232.691616161616</v>
      </c>
      <c r="AH130" s="331">
        <f>IF(_epmOfflineCondition_,0.00265764677458323,IF(_xll.EVGET($B$1,$B$3,$B$5,$B$6,$B$7,$B$9,AG$16,AG$17,AG$18,$G130)="#NODATA","",_xll.EVGET($B$1,$B$3,$B$5,$B$6,$B$7,$B$9,AG$16,AG$17,AG$18,$G130)))</f>
        <v>2.6576467745832301E-3</v>
      </c>
      <c r="AI130" s="333">
        <f t="shared" si="16"/>
        <v>11.625131805863674</v>
      </c>
    </row>
    <row r="131" spans="1:35" x14ac:dyDescent="0.25">
      <c r="A131" s="11"/>
      <c r="B131" s="11"/>
      <c r="C131" s="11"/>
      <c r="D131" s="11"/>
      <c r="E131" s="11"/>
      <c r="F131" s="11"/>
      <c r="G131" s="263" t="str">
        <f t="shared" si="13"/>
        <v>OCC_NNEG</v>
      </c>
      <c r="H131" s="84" t="s">
        <v>202</v>
      </c>
      <c r="I131" s="100" t="str">
        <f>IF(_epmOfflineCondition_,"N",_xll.EVPRO($B$1,$H131,"STYLE"))</f>
        <v>N</v>
      </c>
      <c r="J131" s="100" t="str">
        <f>IF(_epmOfflineCondition_,"Y",_xll.EVPRO($B$1,$H131,"CALC"))</f>
        <v>Y</v>
      </c>
      <c r="K131" s="11"/>
      <c r="L131" s="100" t="str">
        <f>IF(_epmOfflineCondition_,"",_xll.EVPRO($B$1,H131,"JDEID"))</f>
        <v/>
      </c>
      <c r="M131" s="86" t="str">
        <f>IF(_epmOfflineCondition_,"",IF(AND(I131="N",J131="N"),_xll.EVPRO($B$1,H131,"PSFTID"),""))</f>
        <v/>
      </c>
      <c r="N131" s="100" t="str">
        <f>IF(_epmOfflineCondition_,"National Negotiated",IF(_xll.EVDES(H131,$B$1)="#NODATA","",_xll.EVDES(H131,$B$1)))</f>
        <v>National Negotiated</v>
      </c>
      <c r="O131" s="329">
        <v>273.58534883720898</v>
      </c>
      <c r="P131" s="330">
        <v>275.83045454545498</v>
      </c>
      <c r="Q131" s="330">
        <v>245.01566666666699</v>
      </c>
      <c r="R131" s="330">
        <v>249.38885245901599</v>
      </c>
      <c r="S131" s="330">
        <v>197.746031746032</v>
      </c>
      <c r="T131" s="330">
        <v>184.87820895522401</v>
      </c>
      <c r="U131" s="330">
        <v>182.131162790698</v>
      </c>
      <c r="V131" s="330">
        <v>159.32641025641001</v>
      </c>
      <c r="W131" s="330">
        <v>138.71</v>
      </c>
      <c r="X131" s="330">
        <v>158.32453781512601</v>
      </c>
      <c r="Y131" s="330">
        <v>172.10230769230799</v>
      </c>
      <c r="Z131" s="330">
        <v>301.857142857143</v>
      </c>
      <c r="AA131" s="330">
        <f t="shared" si="14"/>
        <v>212.79734341252697</v>
      </c>
      <c r="AB131" s="331">
        <f>IF(_epmOfflineCondition_,0.0192195931921959,IF(_xll.EVGET($B$1,$B$3,$B$5,$B$6,$B$7,$B$9,AA$16,AA$17,AA$18,$G131)="#NODATA","",_xll.EVGET($B$1,$B$3,$B$5,$B$6,$B$7,$B$9,AA$16,AA$17,AA$18,$G131)))</f>
        <v>1.9219593192195902E-2</v>
      </c>
      <c r="AC131" s="136"/>
      <c r="AD131" s="329">
        <v>239.25345323741001</v>
      </c>
      <c r="AE131" s="331">
        <f>IF(_epmOfflineCondition_,0.0144250726442507,IF(_xll.EVGET($B$1,$B$3,$B$5,$B$6,$B$7,$B$9,AD$16,AD$17,AD$18,$G131)="#NODATA","",_xll.EVGET($B$1,$B$3,$B$5,$B$6,$B$7,$B$9,AD$16,AD$17,AD$18,$G131)))</f>
        <v>1.44250726442507E-2</v>
      </c>
      <c r="AF131" s="332">
        <f t="shared" si="15"/>
        <v>-26.456109824883043</v>
      </c>
      <c r="AG131" s="329">
        <v>219.511091549296</v>
      </c>
      <c r="AH131" s="331">
        <f>IF(_epmOfflineCondition_,0.00762395640385493,IF(_xll.EVGET($B$1,$B$3,$B$5,$B$6,$B$7,$B$9,AG$16,AG$17,AG$18,$G131)="#NODATA","",_xll.EVGET($B$1,$B$3,$B$5,$B$6,$B$7,$B$9,AG$16,AG$17,AG$18,$G131)))</f>
        <v>7.6239564038549298E-3</v>
      </c>
      <c r="AI131" s="333">
        <f t="shared" si="16"/>
        <v>-6.713748136769027</v>
      </c>
    </row>
    <row r="132" spans="1:35" x14ac:dyDescent="0.25">
      <c r="A132" s="11"/>
      <c r="B132" s="11"/>
      <c r="C132" s="11"/>
      <c r="D132" s="11"/>
      <c r="E132" s="11"/>
      <c r="F132" s="11"/>
      <c r="G132" s="263" t="str">
        <f t="shared" si="13"/>
        <v>OCC_LNEG</v>
      </c>
      <c r="H132" s="84" t="s">
        <v>203</v>
      </c>
      <c r="I132" s="100" t="str">
        <f>IF(_epmOfflineCondition_,"N",_xll.EVPRO($B$1,$H132,"STYLE"))</f>
        <v>N</v>
      </c>
      <c r="J132" s="100" t="str">
        <f>IF(_epmOfflineCondition_,"Y",_xll.EVPRO($B$1,$H132,"CALC"))</f>
        <v>Y</v>
      </c>
      <c r="K132" s="11"/>
      <c r="L132" s="100" t="str">
        <f>IF(_epmOfflineCondition_,"",_xll.EVPRO($B$1,H132,"JDEID"))</f>
        <v/>
      </c>
      <c r="M132" s="86" t="str">
        <f>IF(_epmOfflineCondition_,"",IF(AND(I132="N",J132="N"),_xll.EVPRO($B$1,H132,"PSFTID"),""))</f>
        <v/>
      </c>
      <c r="N132" s="100" t="str">
        <f>IF(_epmOfflineCondition_,"Local Negotiated",IF(_xll.EVDES(H132,$B$1)="#NODATA","",_xll.EVDES(H132,$B$1)))</f>
        <v>Local Negotiated</v>
      </c>
      <c r="O132" s="329">
        <v>188.286956521739</v>
      </c>
      <c r="P132" s="330">
        <v>172.2</v>
      </c>
      <c r="Q132" s="330">
        <v>233.59813084112201</v>
      </c>
      <c r="R132" s="330">
        <v>213.91228070175401</v>
      </c>
      <c r="S132" s="330">
        <v>187.65588235294101</v>
      </c>
      <c r="T132" s="330">
        <v>172.333333333333</v>
      </c>
      <c r="U132" s="330">
        <v>135.666666666667</v>
      </c>
      <c r="V132" s="330">
        <v>133.80000000000001</v>
      </c>
      <c r="W132" s="330">
        <v>164.60869565217399</v>
      </c>
      <c r="X132" s="330">
        <v>135.639344262295</v>
      </c>
      <c r="Y132" s="330">
        <v>149.57</v>
      </c>
      <c r="Z132" s="330">
        <v>186.5</v>
      </c>
      <c r="AA132" s="330">
        <f t="shared" si="14"/>
        <v>183.72120060790274</v>
      </c>
      <c r="AB132" s="331">
        <f>IF(_epmOfflineCondition_,0.0136571191365712,IF(_xll.EVGET($B$1,$B$3,$B$5,$B$6,$B$7,$B$9,AA$16,AA$17,AA$18,$G132)="#NODATA","",_xll.EVGET($B$1,$B$3,$B$5,$B$6,$B$7,$B$9,AA$16,AA$17,AA$18,$G132)))</f>
        <v>1.3657119136571199E-2</v>
      </c>
      <c r="AC132" s="136"/>
      <c r="AD132" s="329">
        <v>215.361475409836</v>
      </c>
      <c r="AE132" s="331">
        <f>IF(_epmOfflineCondition_,0.0126608551266086,IF(_xll.EVGET($B$1,$B$3,$B$5,$B$6,$B$7,$B$9,AD$16,AD$17,AD$18,$G132)="#NODATA","",_xll.EVGET($B$1,$B$3,$B$5,$B$6,$B$7,$B$9,AD$16,AD$17,AD$18,$G132)))</f>
        <v>1.2660855126608601E-2</v>
      </c>
      <c r="AF132" s="332">
        <f t="shared" si="15"/>
        <v>-31.640274801933259</v>
      </c>
      <c r="AG132" s="329">
        <v>186.685950413223</v>
      </c>
      <c r="AH132" s="331">
        <f>IF(_epmOfflineCondition_,0.0129929397868514,IF(_xll.EVGET($B$1,$B$3,$B$5,$B$6,$B$7,$B$9,AG$16,AG$17,AG$18,$G132)="#NODATA","",_xll.EVGET($B$1,$B$3,$B$5,$B$6,$B$7,$B$9,AG$16,AG$17,AG$18,$G132)))</f>
        <v>1.29929397868514E-2</v>
      </c>
      <c r="AI132" s="333">
        <f t="shared" si="16"/>
        <v>-2.9647498053202526</v>
      </c>
    </row>
    <row r="133" spans="1:35" x14ac:dyDescent="0.25">
      <c r="A133" s="11"/>
      <c r="B133" s="11"/>
      <c r="C133" s="11"/>
      <c r="D133" s="11"/>
      <c r="E133" s="11"/>
      <c r="F133" s="11"/>
      <c r="G133" s="261" t="str">
        <f t="shared" si="13"/>
        <v>OCC_QUALF</v>
      </c>
      <c r="H133" s="84" t="s">
        <v>204</v>
      </c>
      <c r="I133" s="85" t="str">
        <f>IF(_epmOfflineCondition_,"T3",_xll.EVPRO($B$1,$H133,"STYLE"))</f>
        <v>T3</v>
      </c>
      <c r="J133" s="85" t="str">
        <f>IF(_epmOfflineCondition_,"Y",_xll.EVPRO($B$1,$H133,"CALC"))</f>
        <v>Y</v>
      </c>
      <c r="K133" s="11"/>
      <c r="L133" s="102" t="str">
        <f>IF(_epmOfflineCondition_,"",_xll.EVPRO($B$1,H133,"JDEID"))</f>
        <v/>
      </c>
      <c r="M133" s="86" t="str">
        <f>IF(_epmOfflineCondition_,"",IF(AND(I133="N",J133="N"),_xll.EVPRO($B$1,H133,"PSFTID"),""))</f>
        <v/>
      </c>
      <c r="N133" s="102" t="str">
        <f>IF(_epmOfflineCondition_,"Qualified",IF(_xll.EVDES(H133,$B$1)="#NODATA","",_xll.EVDES(H133,$B$1)))</f>
        <v>Qualified</v>
      </c>
      <c r="O133" s="324">
        <v>226.634330708661</v>
      </c>
      <c r="P133" s="325">
        <v>251.08269230769201</v>
      </c>
      <c r="Q133" s="325">
        <v>266.32367346938798</v>
      </c>
      <c r="R133" s="325">
        <v>221.13223880596999</v>
      </c>
      <c r="S133" s="325">
        <v>180.408045977011</v>
      </c>
      <c r="T133" s="325">
        <v>163.626767676768</v>
      </c>
      <c r="U133" s="325">
        <v>126.7928</v>
      </c>
      <c r="V133" s="325">
        <v>112.059090909091</v>
      </c>
      <c r="W133" s="325">
        <v>110.418760330579</v>
      </c>
      <c r="X133" s="325">
        <v>99.374017094017105</v>
      </c>
      <c r="Y133" s="325">
        <v>157.009382716049</v>
      </c>
      <c r="Z133" s="325">
        <v>198.90295857988201</v>
      </c>
      <c r="AA133" s="325">
        <f t="shared" si="14"/>
        <v>169.60547756041427</v>
      </c>
      <c r="AB133" s="326">
        <f>IF(_epmOfflineCondition_,0.0360730593607306,IF(_xll.EVGET($B$1,$B$3,$B$5,$B$6,$B$7,$B$9,AA$16,AA$17,AA$18,$G133)="#NODATA","",_xll.EVGET($B$1,$B$3,$B$5,$B$6,$B$7,$B$9,AA$16,AA$17,AA$18,$G133)))</f>
        <v>3.6073059360730603E-2</v>
      </c>
      <c r="AC133" s="136"/>
      <c r="AD133" s="324">
        <v>282.05030892448502</v>
      </c>
      <c r="AE133" s="326">
        <f>IF(_epmOfflineCondition_,0.0725612287256123,IF(_xll.EVGET($B$1,$B$3,$B$5,$B$6,$B$7,$B$9,AD$16,AD$17,AD$18,$G133)="#NODATA","",_xll.EVGET($B$1,$B$3,$B$5,$B$6,$B$7,$B$9,AD$16,AD$17,AD$18,$G133)))</f>
        <v>7.2561228725612298E-2</v>
      </c>
      <c r="AF133" s="327">
        <f t="shared" si="15"/>
        <v>-112.44483136407075</v>
      </c>
      <c r="AG133" s="324">
        <v>151.08264264264301</v>
      </c>
      <c r="AH133" s="326">
        <f>IF(_epmOfflineCondition_,0.0357574293307562,IF(_xll.EVGET($B$1,$B$3,$B$5,$B$6,$B$7,$B$9,AG$16,AG$17,AG$18,$G133)="#NODATA","",_xll.EVGET($B$1,$B$3,$B$5,$B$6,$B$7,$B$9,AG$16,AG$17,AG$18,$G133)))</f>
        <v>3.5757429330756201E-2</v>
      </c>
      <c r="AI133" s="328">
        <f t="shared" si="16"/>
        <v>18.522834917771263</v>
      </c>
    </row>
    <row r="134" spans="1:35" x14ac:dyDescent="0.25">
      <c r="A134" s="11"/>
      <c r="B134" s="11"/>
      <c r="C134" s="11"/>
      <c r="D134" s="11"/>
      <c r="E134" s="11"/>
      <c r="F134" s="11"/>
      <c r="G134" s="263" t="str">
        <f t="shared" si="13"/>
        <v>OCC_QUDI</v>
      </c>
      <c r="H134" s="84" t="s">
        <v>205</v>
      </c>
      <c r="I134" s="100" t="str">
        <f>IF(_epmOfflineCondition_,"N",_xll.EVPRO($B$1,$H134,"STYLE"))</f>
        <v>N</v>
      </c>
      <c r="J134" s="100" t="str">
        <f>IF(_epmOfflineCondition_,"Y",_xll.EVPRO($B$1,$H134,"CALC"))</f>
        <v>Y</v>
      </c>
      <c r="K134" s="11"/>
      <c r="L134" s="100" t="str">
        <f>IF(_epmOfflineCondition_,"",_xll.EVPRO($B$1,H134,"JDEID"))</f>
        <v/>
      </c>
      <c r="M134" s="86" t="str">
        <f>IF(_epmOfflineCondition_,"",IF(AND(I134="N",J134="N"),_xll.EVPRO($B$1,H134,"PSFTID"),""))</f>
        <v/>
      </c>
      <c r="N134" s="100" t="str">
        <f>IF(_epmOfflineCondition_,"Qualified",IF(_xll.EVDES(H134,$B$1)="#NODATA","",_xll.EVDES(H134,$B$1)))</f>
        <v>Qualified</v>
      </c>
      <c r="O134" s="329">
        <v>224.35052631578901</v>
      </c>
      <c r="P134" s="330">
        <v>229.22209302325601</v>
      </c>
      <c r="Q134" s="330">
        <v>253.548539325843</v>
      </c>
      <c r="R134" s="330">
        <v>220.71</v>
      </c>
      <c r="S134" s="330">
        <v>169.28</v>
      </c>
      <c r="T134" s="330">
        <v>158.72083333333299</v>
      </c>
      <c r="U134" s="330">
        <v>116.37283950617299</v>
      </c>
      <c r="V134" s="330">
        <v>111.121052631579</v>
      </c>
      <c r="W134" s="330">
        <v>108.639489795918</v>
      </c>
      <c r="X134" s="330">
        <v>84.727640449438198</v>
      </c>
      <c r="Y134" s="330">
        <v>158.39054187192099</v>
      </c>
      <c r="Z134" s="330">
        <v>197.52413793103401</v>
      </c>
      <c r="AA134" s="330">
        <f t="shared" si="14"/>
        <v>165.18390837508949</v>
      </c>
      <c r="AB134" s="331">
        <f>IF(_epmOfflineCondition_,0.0289954337899543,IF(_xll.EVGET($B$1,$B$3,$B$5,$B$6,$B$7,$B$9,AA$16,AA$17,AA$18,$G134)="#NODATA","",_xll.EVGET($B$1,$B$3,$B$5,$B$6,$B$7,$B$9,AA$16,AA$17,AA$18,$G134)))</f>
        <v>2.8995433789954301E-2</v>
      </c>
      <c r="AC134" s="136"/>
      <c r="AD134" s="329">
        <v>301.99930201786299</v>
      </c>
      <c r="AE134" s="331">
        <f>IF(_epmOfflineCondition_,0.0627438771274388,IF(_xll.EVGET($B$1,$B$3,$B$5,$B$6,$B$7,$B$9,AD$16,AD$17,AD$18,$G134)="#NODATA","",_xll.EVGET($B$1,$B$3,$B$5,$B$6,$B$7,$B$9,AD$16,AD$17,AD$18,$G134)))</f>
        <v>6.2743877127438799E-2</v>
      </c>
      <c r="AF134" s="332">
        <f t="shared" si="15"/>
        <v>-136.8153936427735</v>
      </c>
      <c r="AG134" s="329">
        <v>149.81929282868501</v>
      </c>
      <c r="AH134" s="331">
        <f>IF(_epmOfflineCondition_,0.0269522965826421,IF(_xll.EVGET($B$1,$B$3,$B$5,$B$6,$B$7,$B$9,AG$16,AG$17,AG$18,$G134)="#NODATA","",_xll.EVGET($B$1,$B$3,$B$5,$B$6,$B$7,$B$9,AG$16,AG$17,AG$18,$G134)))</f>
        <v>2.6952296582642098E-2</v>
      </c>
      <c r="AI134" s="333">
        <f t="shared" si="16"/>
        <v>15.36461554640448</v>
      </c>
    </row>
    <row r="135" spans="1:35" x14ac:dyDescent="0.25">
      <c r="A135" s="11"/>
      <c r="B135" s="11"/>
      <c r="C135" s="11"/>
      <c r="D135" s="11"/>
      <c r="E135" s="11"/>
      <c r="F135" s="11"/>
      <c r="G135" s="263" t="str">
        <f t="shared" si="13"/>
        <v>OCC_TGOV</v>
      </c>
      <c r="H135" s="84" t="s">
        <v>206</v>
      </c>
      <c r="I135" s="100" t="str">
        <f>IF(_epmOfflineCondition_,"N",_xll.EVPRO($B$1,$H135,"STYLE"))</f>
        <v>N</v>
      </c>
      <c r="J135" s="100" t="str">
        <f>IF(_epmOfflineCondition_,"Y",_xll.EVPRO($B$1,$H135,"CALC"))</f>
        <v>Y</v>
      </c>
      <c r="K135" s="11"/>
      <c r="L135" s="100" t="str">
        <f>IF(_epmOfflineCondition_,"",_xll.EVPRO($B$1,H135,"JDEID"))</f>
        <v/>
      </c>
      <c r="M135" s="86" t="str">
        <f>IF(_epmOfflineCondition_,"",IF(AND(I135="N",J135="N"),_xll.EVPRO($B$1,H135,"PSFTID"),""))</f>
        <v/>
      </c>
      <c r="N135" s="100" t="str">
        <f>IF(_epmOfflineCondition_,"Government",IF(_xll.EVDES(H135,$B$1)="#NODATA","",_xll.EVDES(H135,$B$1)))</f>
        <v>Government</v>
      </c>
      <c r="O135" s="329">
        <v>246.66153846153799</v>
      </c>
      <c r="P135" s="330">
        <v>355.527777777778</v>
      </c>
      <c r="Q135" s="330">
        <v>392.65555555555602</v>
      </c>
      <c r="R135" s="330">
        <v>249</v>
      </c>
      <c r="S135" s="330">
        <v>249.958333333333</v>
      </c>
      <c r="T135" s="330">
        <v>191.1</v>
      </c>
      <c r="U135" s="330">
        <v>145.97499999999999</v>
      </c>
      <c r="V135" s="330">
        <v>118</v>
      </c>
      <c r="W135" s="330">
        <v>118</v>
      </c>
      <c r="X135" s="330">
        <v>145.92857142857099</v>
      </c>
      <c r="Y135" s="330">
        <v>150</v>
      </c>
      <c r="Z135" s="330">
        <v>200.36585365853699</v>
      </c>
      <c r="AA135" s="330">
        <f t="shared" si="14"/>
        <v>187.71964809384164</v>
      </c>
      <c r="AB135" s="331">
        <f>IF(_epmOfflineCondition_,0.00707762557077626,IF(_xll.EVGET($B$1,$B$3,$B$5,$B$6,$B$7,$B$9,AA$16,AA$17,AA$18,$G135)="#NODATA","",_xll.EVGET($B$1,$B$3,$B$5,$B$6,$B$7,$B$9,AA$16,AA$17,AA$18,$G135)))</f>
        <v>7.0776255707762602E-3</v>
      </c>
      <c r="AC135" s="136"/>
      <c r="AD135" s="329">
        <v>154.553890063425</v>
      </c>
      <c r="AE135" s="331">
        <f>IF(_epmOfflineCondition_,0.00981735159817352,IF(_xll.EVGET($B$1,$B$3,$B$5,$B$6,$B$7,$B$9,AD$16,AD$17,AD$18,$G135)="#NODATA","",_xll.EVGET($B$1,$B$3,$B$5,$B$6,$B$7,$B$9,AD$16,AD$17,AD$18,$G135)))</f>
        <v>9.8173515981735196E-3</v>
      </c>
      <c r="AF135" s="332">
        <f t="shared" si="15"/>
        <v>33.16575803041664</v>
      </c>
      <c r="AG135" s="329">
        <v>154.949725609756</v>
      </c>
      <c r="AH135" s="331">
        <f>IF(_epmOfflineCondition_,0.00880513274811414,IF(_xll.EVGET($B$1,$B$3,$B$5,$B$6,$B$7,$B$9,AG$16,AG$17,AG$18,$G135)="#NODATA","",_xll.EVGET($B$1,$B$3,$B$5,$B$6,$B$7,$B$9,AG$16,AG$17,AG$18,$G135)))</f>
        <v>8.8051327481141403E-3</v>
      </c>
      <c r="AI135" s="333">
        <f t="shared" si="16"/>
        <v>32.76992248408564</v>
      </c>
    </row>
    <row r="136" spans="1:35" x14ac:dyDescent="0.25">
      <c r="A136" s="11"/>
      <c r="B136" s="11"/>
      <c r="C136" s="11"/>
      <c r="D136" s="11"/>
      <c r="E136" s="11"/>
      <c r="F136" s="11"/>
      <c r="G136" s="261" t="str">
        <f t="shared" si="13"/>
        <v>OCC_WHOL</v>
      </c>
      <c r="H136" s="84" t="s">
        <v>207</v>
      </c>
      <c r="I136" s="85" t="str">
        <f>IF(_epmOfflineCondition_,"T3",_xll.EVPRO($B$1,$H136,"STYLE"))</f>
        <v>T3</v>
      </c>
      <c r="J136" s="85" t="str">
        <f>IF(_epmOfflineCondition_,"Y",_xll.EVPRO($B$1,$H136,"CALC"))</f>
        <v>Y</v>
      </c>
      <c r="K136" s="11"/>
      <c r="L136" s="102" t="str">
        <f>IF(_epmOfflineCondition_,"",_xll.EVPRO($B$1,H136,"JDEID"))</f>
        <v/>
      </c>
      <c r="M136" s="86" t="str">
        <f>IF(_epmOfflineCondition_,"",IF(AND(I136="N",J136="N"),_xll.EVPRO($B$1,H136,"PSFTID"),""))</f>
        <v/>
      </c>
      <c r="N136" s="102" t="str">
        <f>IF(_epmOfflineCondition_,"Wholesale",IF(_xll.EVDES(H136,$B$1)="#NODATA","",_xll.EVDES(H136,$B$1)))</f>
        <v>Wholesale</v>
      </c>
      <c r="O136" s="334">
        <v>155.64619926199299</v>
      </c>
      <c r="P136" s="335">
        <v>265.25751879699197</v>
      </c>
      <c r="Q136" s="335">
        <v>238.70913461538501</v>
      </c>
      <c r="R136" s="335">
        <v>189.21756962025299</v>
      </c>
      <c r="S136" s="335">
        <v>144.06916426513001</v>
      </c>
      <c r="T136" s="335">
        <v>125.38441988950299</v>
      </c>
      <c r="U136" s="335">
        <v>124.276714975845</v>
      </c>
      <c r="V136" s="335">
        <v>111.90385259631501</v>
      </c>
      <c r="W136" s="335">
        <v>96.394882352941195</v>
      </c>
      <c r="X136" s="335">
        <v>144.26190476190499</v>
      </c>
      <c r="Y136" s="335">
        <v>156.52020304568501</v>
      </c>
      <c r="Z136" s="335">
        <v>205.797142857143</v>
      </c>
      <c r="AA136" s="335">
        <f t="shared" si="14"/>
        <v>154.27906879414073</v>
      </c>
      <c r="AB136" s="336">
        <f>IF(_epmOfflineCondition_,0.0793482772934828,IF(_xll.EVGET($B$1,$B$3,$B$5,$B$6,$B$7,$B$9,AA$16,AA$17,AA$18,$G136)="#NODATA","",_xll.EVGET($B$1,$B$3,$B$5,$B$6,$B$7,$B$9,AA$16,AA$17,AA$18,$G136)))</f>
        <v>7.9348277293482802E-2</v>
      </c>
      <c r="AC136" s="136"/>
      <c r="AD136" s="334">
        <v>161.382564102564</v>
      </c>
      <c r="AE136" s="336">
        <f>IF(_epmOfflineCondition_,0.0728518057285181,IF(_xll.EVGET($B$1,$B$3,$B$5,$B$6,$B$7,$B$9,AD$16,AD$17,AD$18,$G136)="#NODATA","",_xll.EVGET($B$1,$B$3,$B$5,$B$6,$B$7,$B$9,AD$16,AD$17,AD$18,$G136)))</f>
        <v>7.2851805728518099E-2</v>
      </c>
      <c r="AF136" s="337">
        <f t="shared" si="15"/>
        <v>-7.1034953084232768</v>
      </c>
      <c r="AG136" s="334">
        <v>159.93063933286999</v>
      </c>
      <c r="AH136" s="336">
        <f>IF(_epmOfflineCondition_,0.0386298354406593,IF(_xll.EVGET($B$1,$B$3,$B$5,$B$6,$B$7,$B$9,AG$16,AG$17,AG$18,$G136)="#NODATA","",_xll.EVGET($B$1,$B$3,$B$5,$B$6,$B$7,$B$9,AG$16,AG$17,AG$18,$G136)))</f>
        <v>3.8629835440659302E-2</v>
      </c>
      <c r="AI136" s="338">
        <f t="shared" si="16"/>
        <v>-5.6515705387292599</v>
      </c>
    </row>
    <row r="137" spans="1:35" x14ac:dyDescent="0.25">
      <c r="A137" s="11"/>
      <c r="B137" s="11"/>
      <c r="C137" s="11"/>
      <c r="D137" s="11"/>
      <c r="E137" s="11"/>
      <c r="F137" s="11"/>
      <c r="G137" s="261" t="str">
        <f t="shared" si="13"/>
        <v>OCC_INDT</v>
      </c>
      <c r="H137" s="84" t="s">
        <v>177</v>
      </c>
      <c r="I137" s="85" t="str">
        <f>IF(_epmOfflineCondition_,"T2",_xll.EVPRO($B$1,$H137,"STYLE"))</f>
        <v>T2</v>
      </c>
      <c r="J137" s="85" t="str">
        <f>IF(_epmOfflineCondition_,"Y",_xll.EVPRO($B$1,$H137,"CALC"))</f>
        <v>Y</v>
      </c>
      <c r="K137" s="11"/>
      <c r="L137" s="102" t="str">
        <f>IF(_epmOfflineCondition_,"",_xll.EVPRO($B$1,H137,"JDEID"))</f>
        <v/>
      </c>
      <c r="M137" s="86" t="str">
        <f>IF(_epmOfflineCondition_,"",IF(AND(I137="N",J137="N"),_xll.EVPRO($B$1,H137,"PSFTID"),""))</f>
        <v/>
      </c>
      <c r="N137" s="102" t="str">
        <f>IF(_epmOfflineCondition_,"Total Transient ADR",IF(_xll.EVDES(H137,$B$1)="#NODATA","",_xll.EVDES(H137,$B$1)))</f>
        <v>Total Transient ADR</v>
      </c>
      <c r="O137" s="339">
        <v>223.82695824175801</v>
      </c>
      <c r="P137" s="340">
        <v>250.505364138624</v>
      </c>
      <c r="Q137" s="340">
        <v>260.05138669673102</v>
      </c>
      <c r="R137" s="340">
        <v>229.759070904645</v>
      </c>
      <c r="S137" s="340">
        <v>184.63323190789501</v>
      </c>
      <c r="T137" s="340">
        <v>159.55766514806399</v>
      </c>
      <c r="U137" s="340">
        <v>157.04926718814301</v>
      </c>
      <c r="V137" s="340">
        <v>135.123635711725</v>
      </c>
      <c r="W137" s="340">
        <v>123.546213499282</v>
      </c>
      <c r="X137" s="340">
        <v>145.08442772277201</v>
      </c>
      <c r="Y137" s="340">
        <v>170.84628676470601</v>
      </c>
      <c r="Z137" s="340">
        <v>252.51339537676401</v>
      </c>
      <c r="AA137" s="340">
        <f t="shared" si="14"/>
        <v>192.90988795327993</v>
      </c>
      <c r="AB137" s="341">
        <f>IF(_epmOfflineCondition_,0.61129099211291,IF(_xll.EVGET($B$1,$B$3,$B$5,$B$6,$B$7,$B$9,AA$16,AA$17,AA$18,$G137)="#NODATA","",_xll.EVGET($B$1,$B$3,$B$5,$B$6,$B$7,$B$9,AA$16,AA$17,AA$18,$G137)))</f>
        <v>0.61129099211291005</v>
      </c>
      <c r="AC137" s="136"/>
      <c r="AD137" s="339">
        <v>250.74843952701599</v>
      </c>
      <c r="AE137" s="341">
        <f>IF(_epmOfflineCondition_,0.66876297218763,IF(_xll.EVGET($B$1,$B$3,$B$5,$B$6,$B$7,$B$9,AD$16,AD$17,AD$18,$G137)="#NODATA","",_xll.EVGET($B$1,$B$3,$B$5,$B$6,$B$7,$B$9,AD$16,AD$17,AD$18,$G137)))</f>
        <v>0.66876297218763003</v>
      </c>
      <c r="AF137" s="342">
        <f t="shared" si="15"/>
        <v>-57.838551573736055</v>
      </c>
      <c r="AG137" s="339">
        <v>181.730950438664</v>
      </c>
      <c r="AH137" s="341">
        <f>IF(_epmOfflineCondition_,0.348822850393278,IF(_xll.EVGET($B$1,$B$3,$B$5,$B$6,$B$7,$B$9,AG$16,AG$17,AG$18,$G137)="#NODATA","",_xll.EVGET($B$1,$B$3,$B$5,$B$6,$B$7,$B$9,AG$16,AG$17,AG$18,$G137)))</f>
        <v>0.34882285039327798</v>
      </c>
      <c r="AI137" s="343">
        <f t="shared" si="16"/>
        <v>11.178937514615939</v>
      </c>
    </row>
    <row r="138" spans="1:35" x14ac:dyDescent="0.25">
      <c r="A138" s="11"/>
      <c r="B138" s="11"/>
      <c r="C138" s="11"/>
      <c r="D138" s="11"/>
      <c r="E138" s="11"/>
      <c r="F138" s="11"/>
      <c r="G138" s="263" t="str">
        <f t="shared" si="13"/>
        <v>OCCNKROW</v>
      </c>
      <c r="H138" s="84" t="s">
        <v>175</v>
      </c>
      <c r="I138" s="100" t="str">
        <f>IF(_epmOfflineCondition_,"B1",_xll.EVPRO($B$1,$H138,"STYLE"))</f>
        <v>B1</v>
      </c>
      <c r="J138" s="100" t="str">
        <f>IF(_epmOfflineCondition_,"Y",_xll.EVPRO($B$1,$H138,"CALC"))</f>
        <v>Y</v>
      </c>
      <c r="K138" s="11"/>
      <c r="L138" s="100" t="str">
        <f>IF(_epmOfflineCondition_,"",_xll.EVPRO($B$1,H138,"JDEID"))</f>
        <v/>
      </c>
      <c r="M138" s="86" t="str">
        <f>IF(_epmOfflineCondition_,"",IF(AND(I138="N",J138="N"),_xll.EVPRO($B$1,H138,"PSFTID"),""))</f>
        <v/>
      </c>
      <c r="N138" s="100" t="str">
        <f>IF(_epmOfflineCondition_,"BLANKROW",IF(_xll.EVDES(H138,$B$1)="#NODATA","",_xll.EVDES(H138,$B$1)))</f>
        <v>BLANKROW</v>
      </c>
      <c r="O138" s="344"/>
      <c r="P138" s="345"/>
      <c r="Q138" s="345"/>
      <c r="R138" s="345"/>
      <c r="S138" s="345"/>
      <c r="T138" s="345"/>
      <c r="U138" s="345"/>
      <c r="V138" s="345"/>
      <c r="W138" s="345"/>
      <c r="X138" s="345"/>
      <c r="Y138" s="345"/>
      <c r="Z138" s="345"/>
      <c r="AA138" s="345">
        <f t="shared" si="14"/>
        <v>0</v>
      </c>
      <c r="AB138" s="346" t="str">
        <f>IF(_epmOfflineCondition_,"",IF(_xll.EVGET($B$1,$B$3,$B$5,$B$6,$B$7,$B$9,AA$16,AA$17,AA$18,$G138)="#NODATA","",_xll.EVGET($B$1,$B$3,$B$5,$B$6,$B$7,$B$9,AA$16,AA$17,AA$18,$G138)))</f>
        <v/>
      </c>
      <c r="AC138" s="136"/>
      <c r="AD138" s="344"/>
      <c r="AE138" s="346" t="str">
        <f>IF(_epmOfflineCondition_,"",IF(_xll.EVGET($B$1,$B$3,$B$5,$B$6,$B$7,$B$9,AD$16,AD$17,AD$18,$G138)="#NODATA","",_xll.EVGET($B$1,$B$3,$B$5,$B$6,$B$7,$B$9,AD$16,AD$17,AD$18,$G138)))</f>
        <v/>
      </c>
      <c r="AF138" s="347">
        <f t="shared" si="15"/>
        <v>0</v>
      </c>
      <c r="AG138" s="344"/>
      <c r="AH138" s="346" t="str">
        <f>IF(_epmOfflineCondition_,"",IF(_xll.EVGET($B$1,$B$3,$B$5,$B$6,$B$7,$B$9,AG$16,AG$17,AG$18,$G138)="#NODATA","",_xll.EVGET($B$1,$B$3,$B$5,$B$6,$B$7,$B$9,AG$16,AG$17,AG$18,$G138)))</f>
        <v/>
      </c>
      <c r="AI138" s="348">
        <f t="shared" si="16"/>
        <v>0</v>
      </c>
    </row>
    <row r="139" spans="1:35" x14ac:dyDescent="0.25">
      <c r="A139" s="11"/>
      <c r="B139" s="11"/>
      <c r="C139" s="11"/>
      <c r="D139" s="11"/>
      <c r="E139" s="11"/>
      <c r="F139" s="11"/>
      <c r="G139" s="261" t="str">
        <f t="shared" si="13"/>
        <v>OCC_CORPT</v>
      </c>
      <c r="H139" s="84" t="s">
        <v>179</v>
      </c>
      <c r="I139" s="85" t="str">
        <f>IF(_epmOfflineCondition_,"T3",_xll.EVPRO($B$1,$H139,"STYLE"))</f>
        <v>T3</v>
      </c>
      <c r="J139" s="85" t="str">
        <f>IF(_epmOfflineCondition_,"Y",_xll.EVPRO($B$1,$H139,"CALC"))</f>
        <v>Y</v>
      </c>
      <c r="K139" s="11"/>
      <c r="L139" s="102" t="str">
        <f>IF(_epmOfflineCondition_,"",_xll.EVPRO($B$1,H139,"JDEID"))</f>
        <v/>
      </c>
      <c r="M139" s="86" t="str">
        <f>IF(_epmOfflineCondition_,"",IF(AND(I139="N",J139="N"),_xll.EVPRO($B$1,H139,"PSFTID"),""))</f>
        <v/>
      </c>
      <c r="N139" s="102" t="str">
        <f>IF(_epmOfflineCondition_,"Corporate",IF(_xll.EVDES(H139,$B$1)="#NODATA","",_xll.EVDES(H139,$B$1)))</f>
        <v>Corporate</v>
      </c>
      <c r="O139" s="324">
        <v>220.55596330275199</v>
      </c>
      <c r="P139" s="325">
        <v>251.83296703296699</v>
      </c>
      <c r="Q139" s="325">
        <v>252.885826771654</v>
      </c>
      <c r="R139" s="325">
        <v>205.82352941176501</v>
      </c>
      <c r="S139" s="325">
        <v>164.94059405940601</v>
      </c>
      <c r="T139" s="325">
        <v>147.166666666667</v>
      </c>
      <c r="U139" s="325">
        <v>157.33291666666699</v>
      </c>
      <c r="V139" s="325">
        <v>155.666666666667</v>
      </c>
      <c r="W139" s="325"/>
      <c r="X139" s="325">
        <v>128.05825242718399</v>
      </c>
      <c r="Y139" s="325">
        <v>127.093680981595</v>
      </c>
      <c r="Z139" s="325">
        <v>189.9375</v>
      </c>
      <c r="AA139" s="325">
        <f t="shared" si="14"/>
        <v>205.31568003913895</v>
      </c>
      <c r="AB139" s="326">
        <f>IF(_epmOfflineCondition_,0.0424242424242424,IF(_xll.EVGET($B$1,$B$3,$B$5,$B$6,$B$7,$B$9,AA$16,AA$17,AA$18,$G139)="#NODATA","",_xll.EVGET($B$1,$B$3,$B$5,$B$6,$B$7,$B$9,AA$16,AA$17,AA$18,$G139)))</f>
        <v>4.2424242424242399E-2</v>
      </c>
      <c r="AC139" s="136"/>
      <c r="AD139" s="324">
        <v>250.29139190523199</v>
      </c>
      <c r="AE139" s="326">
        <f>IF(_epmOfflineCondition_,0.0630759651307597,IF(_xll.EVGET($B$1,$B$3,$B$5,$B$6,$B$7,$B$9,AD$16,AD$17,AD$18,$G139)="#NODATA","",_xll.EVGET($B$1,$B$3,$B$5,$B$6,$B$7,$B$9,AD$16,AD$17,AD$18,$G139)))</f>
        <v>6.3075965130759706E-2</v>
      </c>
      <c r="AF139" s="327">
        <f t="shared" si="15"/>
        <v>-44.975711866093036</v>
      </c>
      <c r="AG139" s="324">
        <v>174.94928007023699</v>
      </c>
      <c r="AH139" s="326">
        <f>IF(_epmOfflineCondition_,0.0305763603661647,IF(_xll.EVGET($B$1,$B$3,$B$5,$B$6,$B$7,$B$9,AG$16,AG$17,AG$18,$G139)="#NODATA","",_xll.EVGET($B$1,$B$3,$B$5,$B$6,$B$7,$B$9,AG$16,AG$17,AG$18,$G139)))</f>
        <v>3.05763603661647E-2</v>
      </c>
      <c r="AI139" s="328">
        <f t="shared" si="16"/>
        <v>30.366399968901959</v>
      </c>
    </row>
    <row r="140" spans="1:35" x14ac:dyDescent="0.25">
      <c r="A140" s="11"/>
      <c r="B140" s="11"/>
      <c r="C140" s="11"/>
      <c r="D140" s="11"/>
      <c r="E140" s="11"/>
      <c r="F140" s="11"/>
      <c r="G140" s="263" t="str">
        <f t="shared" si="13"/>
        <v>OCC_CORP</v>
      </c>
      <c r="H140" s="84" t="s">
        <v>180</v>
      </c>
      <c r="I140" s="100" t="str">
        <f>IF(_epmOfflineCondition_,"N",_xll.EVPRO($B$1,$H140,"STYLE"))</f>
        <v>N</v>
      </c>
      <c r="J140" s="100" t="str">
        <f>IF(_epmOfflineCondition_,"Y",_xll.EVPRO($B$1,$H140,"CALC"))</f>
        <v>Y</v>
      </c>
      <c r="K140" s="11"/>
      <c r="L140" s="100" t="str">
        <f>IF(_epmOfflineCondition_,"",_xll.EVPRO($B$1,H140,"JDEID"))</f>
        <v/>
      </c>
      <c r="M140" s="86" t="str">
        <f>IF(_epmOfflineCondition_,"",IF(AND(I140="N",J140="N"),_xll.EVPRO($B$1,H140,"PSFTID"),""))</f>
        <v/>
      </c>
      <c r="N140" s="100" t="str">
        <f>IF(_epmOfflineCondition_,"Corporate",IF(_xll.EVDES(H140,$B$1)="#NODATA","",_xll.EVDES(H140,$B$1)))</f>
        <v>Corporate</v>
      </c>
      <c r="O140" s="329">
        <v>226.02439024390199</v>
      </c>
      <c r="P140" s="330">
        <v>245.13531353135301</v>
      </c>
      <c r="Q140" s="330">
        <v>285.46616541353399</v>
      </c>
      <c r="R140" s="330">
        <v>223.34782608695701</v>
      </c>
      <c r="S140" s="330">
        <v>160.31578947368399</v>
      </c>
      <c r="T140" s="330">
        <v>147.166666666667</v>
      </c>
      <c r="U140" s="330">
        <v>161.222222222222</v>
      </c>
      <c r="V140" s="330">
        <v>155.666666666667</v>
      </c>
      <c r="W140" s="330"/>
      <c r="X140" s="330">
        <v>131.57317073170699</v>
      </c>
      <c r="Y140" s="330">
        <v>139.30693069306901</v>
      </c>
      <c r="Z140" s="330">
        <v>148.41176470588201</v>
      </c>
      <c r="AA140" s="330">
        <f t="shared" si="14"/>
        <v>205.67663257277735</v>
      </c>
      <c r="AB140" s="331">
        <f>IF(_epmOfflineCondition_,0.0263802407638024,IF(_xll.EVGET($B$1,$B$3,$B$5,$B$6,$B$7,$B$9,AA$16,AA$17,AA$18,$G140)="#NODATA","",_xll.EVGET($B$1,$B$3,$B$5,$B$6,$B$7,$B$9,AA$16,AA$17,AA$18,$G140)))</f>
        <v>2.6380240763802399E-2</v>
      </c>
      <c r="AC140" s="136"/>
      <c r="AD140" s="329">
        <v>262.91276402640301</v>
      </c>
      <c r="AE140" s="331">
        <f>IF(_epmOfflineCondition_,0.0503113325031133,IF(_xll.EVGET($B$1,$B$3,$B$5,$B$6,$B$7,$B$9,AD$16,AD$17,AD$18,$G140)="#NODATA","",_xll.EVGET($B$1,$B$3,$B$5,$B$6,$B$7,$B$9,AD$16,AD$17,AD$18,$G140)))</f>
        <v>5.0311332503113301E-2</v>
      </c>
      <c r="AF140" s="332">
        <f t="shared" si="15"/>
        <v>-57.23613145362566</v>
      </c>
      <c r="AG140" s="329">
        <v>145.93570093457899</v>
      </c>
      <c r="AH140" s="331">
        <f>IF(_epmOfflineCondition_,0.00574481221980618,IF(_xll.EVGET($B$1,$B$3,$B$5,$B$6,$B$7,$B$9,AG$16,AG$17,AG$18,$G140)="#NODATA","",_xll.EVGET($B$1,$B$3,$B$5,$B$6,$B$7,$B$9,AG$16,AG$17,AG$18,$G140)))</f>
        <v>5.7448122198061804E-3</v>
      </c>
      <c r="AI140" s="333">
        <f t="shared" si="16"/>
        <v>59.740931638198361</v>
      </c>
    </row>
    <row r="141" spans="1:35" x14ac:dyDescent="0.25">
      <c r="A141" s="11"/>
      <c r="B141" s="11"/>
      <c r="C141" s="11"/>
      <c r="D141" s="11"/>
      <c r="E141" s="11"/>
      <c r="F141" s="11"/>
      <c r="G141" s="263" t="str">
        <f t="shared" si="13"/>
        <v>OCC_ENTR</v>
      </c>
      <c r="H141" s="84" t="s">
        <v>181</v>
      </c>
      <c r="I141" s="100" t="str">
        <f>IF(_epmOfflineCondition_,"N",_xll.EVPRO($B$1,$H141,"STYLE"))</f>
        <v>N</v>
      </c>
      <c r="J141" s="100" t="str">
        <f>IF(_epmOfflineCondition_,"Y",_xll.EVPRO($B$1,$H141,"CALC"))</f>
        <v>Y</v>
      </c>
      <c r="K141" s="11"/>
      <c r="L141" s="100" t="str">
        <f>IF(_epmOfflineCondition_,"",_xll.EVPRO($B$1,H141,"JDEID"))</f>
        <v/>
      </c>
      <c r="M141" s="86" t="str">
        <f>IF(_epmOfflineCondition_,"",IF(AND(I141="N",J141="N"),_xll.EVPRO($B$1,H141,"PSFTID"),""))</f>
        <v/>
      </c>
      <c r="N141" s="100" t="str">
        <f>IF(_epmOfflineCondition_,"Entertainment/Sports",IF(_xll.EVDES(H141,$B$1)="#NODATA","",_xll.EVDES(H141,$B$1)))</f>
        <v>Entertainment/Sports</v>
      </c>
      <c r="O141" s="329">
        <v>212.29032258064501</v>
      </c>
      <c r="P141" s="330">
        <v>265.18421052631601</v>
      </c>
      <c r="Q141" s="330">
        <v>217.074380165289</v>
      </c>
      <c r="R141" s="330">
        <v>185.15384615384599</v>
      </c>
      <c r="S141" s="330">
        <v>179</v>
      </c>
      <c r="T141" s="330"/>
      <c r="U141" s="330">
        <v>152.33238095238099</v>
      </c>
      <c r="V141" s="330"/>
      <c r="W141" s="330"/>
      <c r="X141" s="330">
        <v>114.333333333333</v>
      </c>
      <c r="Y141" s="330">
        <v>107.197903225806</v>
      </c>
      <c r="Z141" s="330">
        <v>204.95744680851101</v>
      </c>
      <c r="AA141" s="330">
        <f t="shared" si="14"/>
        <v>204.72218628719273</v>
      </c>
      <c r="AB141" s="331">
        <f>IF(_epmOfflineCondition_,0.01604400166044,IF(_xll.EVGET($B$1,$B$3,$B$5,$B$6,$B$7,$B$9,AA$16,AA$17,AA$18,$G141)="#NODATA","",_xll.EVGET($B$1,$B$3,$B$5,$B$6,$B$7,$B$9,AA$16,AA$17,AA$18,$G141)))</f>
        <v>1.604400166044E-2</v>
      </c>
      <c r="AC141" s="136"/>
      <c r="AD141" s="329">
        <v>200.544715447154</v>
      </c>
      <c r="AE141" s="331">
        <f>IF(_epmOfflineCondition_,0.0127646326276463,IF(_xll.EVGET($B$1,$B$3,$B$5,$B$6,$B$7,$B$9,AD$16,AD$17,AD$18,$G141)="#NODATA","",_xll.EVGET($B$1,$B$3,$B$5,$B$6,$B$7,$B$9,AD$16,AD$17,AD$18,$G141)))</f>
        <v>1.2764632627646299E-2</v>
      </c>
      <c r="AF141" s="332">
        <f t="shared" si="15"/>
        <v>4.1774708400387226</v>
      </c>
      <c r="AG141" s="329">
        <v>181.661610810811</v>
      </c>
      <c r="AH141" s="331">
        <f>IF(_epmOfflineCondition_,0.0248315481463585,IF(_xll.EVGET($B$1,$B$3,$B$5,$B$6,$B$7,$B$9,AG$16,AG$17,AG$18,$G141)="#NODATA","",_xll.EVGET($B$1,$B$3,$B$5,$B$6,$B$7,$B$9,AG$16,AG$17,AG$18,$G141)))</f>
        <v>2.48315481463585E-2</v>
      </c>
      <c r="AI141" s="333">
        <f t="shared" si="16"/>
        <v>23.060575476381729</v>
      </c>
    </row>
    <row r="142" spans="1:35" x14ac:dyDescent="0.25">
      <c r="A142" s="11"/>
      <c r="B142" s="11"/>
      <c r="C142" s="11"/>
      <c r="D142" s="11"/>
      <c r="E142" s="11"/>
      <c r="F142" s="11"/>
      <c r="G142" s="261" t="str">
        <f t="shared" si="13"/>
        <v>OCC_ASSCN</v>
      </c>
      <c r="H142" s="84" t="s">
        <v>182</v>
      </c>
      <c r="I142" s="85" t="str">
        <f>IF(_epmOfflineCondition_,"T3",_xll.EVPRO($B$1,$H142,"STYLE"))</f>
        <v>T3</v>
      </c>
      <c r="J142" s="85" t="str">
        <f>IF(_epmOfflineCondition_,"Y",_xll.EVPRO($B$1,$H142,"CALC"))</f>
        <v>Y</v>
      </c>
      <c r="K142" s="11"/>
      <c r="L142" s="102" t="str">
        <f>IF(_epmOfflineCondition_,"",_xll.EVPRO($B$1,H142,"JDEID"))</f>
        <v/>
      </c>
      <c r="M142" s="86" t="str">
        <f>IF(_epmOfflineCondition_,"",IF(AND(I142="N",J142="N"),_xll.EVPRO($B$1,H142,"PSFTID"),""))</f>
        <v/>
      </c>
      <c r="N142" s="102" t="str">
        <f>IF(_epmOfflineCondition_,"Association/Convention",IF(_xll.EVDES(H142,$B$1)="#NODATA","",_xll.EVDES(H142,$B$1)))</f>
        <v>Association/Convention</v>
      </c>
      <c r="O142" s="324"/>
      <c r="P142" s="325"/>
      <c r="Q142" s="325">
        <v>261</v>
      </c>
      <c r="R142" s="325"/>
      <c r="S142" s="325"/>
      <c r="T142" s="325">
        <v>118.069934640523</v>
      </c>
      <c r="U142" s="325"/>
      <c r="V142" s="325"/>
      <c r="W142" s="325"/>
      <c r="X142" s="325"/>
      <c r="Y142" s="325">
        <v>229</v>
      </c>
      <c r="Z142" s="325"/>
      <c r="AA142" s="325">
        <f t="shared" si="14"/>
        <v>145.63762886597939</v>
      </c>
      <c r="AB142" s="326">
        <f>IF(_epmOfflineCondition_,0.00805313408053134,IF(_xll.EVGET($B$1,$B$3,$B$5,$B$6,$B$7,$B$9,AA$16,AA$17,AA$18,$G142)="#NODATA","",_xll.EVGET($B$1,$B$3,$B$5,$B$6,$B$7,$B$9,AA$16,AA$17,AA$18,$G142)))</f>
        <v>8.0531340805313403E-3</v>
      </c>
      <c r="AC142" s="136"/>
      <c r="AD142" s="324">
        <v>220.78571428571399</v>
      </c>
      <c r="AE142" s="326">
        <f>IF(_epmOfflineCondition_,0.0058115400581154,IF(_xll.EVGET($B$1,$B$3,$B$5,$B$6,$B$7,$B$9,AD$16,AD$17,AD$18,$G142)="#NODATA","",_xll.EVGET($B$1,$B$3,$B$5,$B$6,$B$7,$B$9,AD$16,AD$17,AD$18,$G142)))</f>
        <v>5.8115400581154001E-3</v>
      </c>
      <c r="AF142" s="327">
        <f t="shared" si="15"/>
        <v>-75.148085419734599</v>
      </c>
      <c r="AG142" s="324">
        <v>137.28402366863901</v>
      </c>
      <c r="AH142" s="326">
        <f>IF(_epmOfflineCondition_,0.00453679095863198,IF(_xll.EVGET($B$1,$B$3,$B$5,$B$6,$B$7,$B$9,AG$16,AG$17,AG$18,$G142)="#NODATA","",_xll.EVGET($B$1,$B$3,$B$5,$B$6,$B$7,$B$9,AG$16,AG$17,AG$18,$G142)))</f>
        <v>4.53679095863198E-3</v>
      </c>
      <c r="AI142" s="328">
        <f t="shared" si="16"/>
        <v>8.3536051973403858</v>
      </c>
    </row>
    <row r="143" spans="1:35" x14ac:dyDescent="0.25">
      <c r="A143" s="11"/>
      <c r="B143" s="11"/>
      <c r="C143" s="11"/>
      <c r="D143" s="11"/>
      <c r="E143" s="11"/>
      <c r="F143" s="11"/>
      <c r="G143" s="263" t="str">
        <f t="shared" si="13"/>
        <v>OCC_ASSC</v>
      </c>
      <c r="H143" s="84" t="s">
        <v>183</v>
      </c>
      <c r="I143" s="100" t="str">
        <f>IF(_epmOfflineCondition_,"N",_xll.EVPRO($B$1,$H143,"STYLE"))</f>
        <v>N</v>
      </c>
      <c r="J143" s="100" t="str">
        <f>IF(_epmOfflineCondition_,"Y",_xll.EVPRO($B$1,$H143,"CALC"))</f>
        <v>Y</v>
      </c>
      <c r="K143" s="11"/>
      <c r="L143" s="100" t="str">
        <f>IF(_epmOfflineCondition_,"",_xll.EVPRO($B$1,H143,"JDEID"))</f>
        <v/>
      </c>
      <c r="M143" s="86" t="str">
        <f>IF(_epmOfflineCondition_,"",IF(AND(I143="N",J143="N"),_xll.EVPRO($B$1,H143,"PSFTID"),""))</f>
        <v/>
      </c>
      <c r="N143" s="100" t="str">
        <f>IF(_epmOfflineCondition_,"Association",IF(_xll.EVDES(H143,$B$1)="#NODATA","",_xll.EVDES(H143,$B$1)))</f>
        <v>Association</v>
      </c>
      <c r="O143" s="329"/>
      <c r="P143" s="330"/>
      <c r="Q143" s="330">
        <v>261</v>
      </c>
      <c r="R143" s="330"/>
      <c r="S143" s="330"/>
      <c r="T143" s="330"/>
      <c r="U143" s="330"/>
      <c r="V143" s="330"/>
      <c r="W143" s="330"/>
      <c r="X143" s="330"/>
      <c r="Y143" s="330"/>
      <c r="Z143" s="330"/>
      <c r="AA143" s="330">
        <f t="shared" si="14"/>
        <v>261</v>
      </c>
      <c r="AB143" s="331">
        <f>IF(_epmOfflineCondition_,0.00103777501037775,IF(_xll.EVGET($B$1,$B$3,$B$5,$B$6,$B$7,$B$9,AA$16,AA$17,AA$18,$G143)="#NODATA","",_xll.EVGET($B$1,$B$3,$B$5,$B$6,$B$7,$B$9,AA$16,AA$17,AA$18,$G143)))</f>
        <v>1.03777501037775E-3</v>
      </c>
      <c r="AC143" s="136"/>
      <c r="AD143" s="329"/>
      <c r="AE143" s="331">
        <f>IF(_epmOfflineCondition_,0,IF(_xll.EVGET($B$1,$B$3,$B$5,$B$6,$B$7,$B$9,AD$16,AD$17,AD$18,$G143)="#NODATA","",_xll.EVGET($B$1,$B$3,$B$5,$B$6,$B$7,$B$9,AD$16,AD$17,AD$18,$G143)))</f>
        <v>0</v>
      </c>
      <c r="AF143" s="332">
        <f t="shared" si="15"/>
        <v>261</v>
      </c>
      <c r="AG143" s="329">
        <v>169</v>
      </c>
      <c r="AH143" s="331">
        <f>IF(_epmOfflineCondition_,0.000993261925854339,IF(_xll.EVGET($B$1,$B$3,$B$5,$B$6,$B$7,$B$9,AG$16,AG$17,AG$18,$G143)="#NODATA","",_xll.EVGET($B$1,$B$3,$B$5,$B$6,$B$7,$B$9,AG$16,AG$17,AG$18,$G143)))</f>
        <v>9.93261925854339E-4</v>
      </c>
      <c r="AI143" s="333">
        <f t="shared" si="16"/>
        <v>92</v>
      </c>
    </row>
    <row r="144" spans="1:35" x14ac:dyDescent="0.25">
      <c r="A144" s="11"/>
      <c r="B144" s="11"/>
      <c r="C144" s="11"/>
      <c r="D144" s="11"/>
      <c r="E144" s="11"/>
      <c r="F144" s="11"/>
      <c r="G144" s="263" t="str">
        <f t="shared" si="13"/>
        <v>OCC_CONV</v>
      </c>
      <c r="H144" s="84" t="s">
        <v>184</v>
      </c>
      <c r="I144" s="100" t="str">
        <f>IF(_epmOfflineCondition_,"N",_xll.EVPRO($B$1,$H144,"STYLE"))</f>
        <v>N</v>
      </c>
      <c r="J144" s="100" t="str">
        <f>IF(_epmOfflineCondition_,"Y",_xll.EVPRO($B$1,$H144,"CALC"))</f>
        <v>Y</v>
      </c>
      <c r="K144" s="11"/>
      <c r="L144" s="100" t="str">
        <f>IF(_epmOfflineCondition_,"",_xll.EVPRO($B$1,H144,"JDEID"))</f>
        <v/>
      </c>
      <c r="M144" s="86" t="str">
        <f>IF(_epmOfflineCondition_,"",IF(AND(I144="N",J144="N"),_xll.EVPRO($B$1,H144,"PSFTID"),""))</f>
        <v/>
      </c>
      <c r="N144" s="100" t="str">
        <f>IF(_epmOfflineCondition_,"Convention",IF(_xll.EVDES(H144,$B$1)="#NODATA","",_xll.EVDES(H144,$B$1)))</f>
        <v>Convention</v>
      </c>
      <c r="O144" s="329"/>
      <c r="P144" s="330"/>
      <c r="Q144" s="330"/>
      <c r="R144" s="330"/>
      <c r="S144" s="330"/>
      <c r="T144" s="330">
        <v>118.069934640523</v>
      </c>
      <c r="U144" s="330"/>
      <c r="V144" s="330"/>
      <c r="W144" s="330"/>
      <c r="X144" s="330"/>
      <c r="Y144" s="330">
        <v>229</v>
      </c>
      <c r="Z144" s="330"/>
      <c r="AA144" s="330">
        <f t="shared" si="14"/>
        <v>128.57218934911242</v>
      </c>
      <c r="AB144" s="331">
        <f>IF(_epmOfflineCondition_,0.00701535907015359,IF(_xll.EVGET($B$1,$B$3,$B$5,$B$6,$B$7,$B$9,AA$16,AA$17,AA$18,$G144)="#NODATA","",_xll.EVGET($B$1,$B$3,$B$5,$B$6,$B$7,$B$9,AA$16,AA$17,AA$18,$G144)))</f>
        <v>7.0153590701535901E-3</v>
      </c>
      <c r="AC144" s="136"/>
      <c r="AD144" s="329">
        <v>220.78571428571399</v>
      </c>
      <c r="AE144" s="331">
        <f>IF(_epmOfflineCondition_,0.0058115400581154,IF(_xll.EVGET($B$1,$B$3,$B$5,$B$6,$B$7,$B$9,AD$16,AD$17,AD$18,$G144)="#NODATA","",_xll.EVGET($B$1,$B$3,$B$5,$B$6,$B$7,$B$9,AD$16,AD$17,AD$18,$G144)))</f>
        <v>5.8115400581154001E-3</v>
      </c>
      <c r="AF144" s="332">
        <f t="shared" si="15"/>
        <v>-92.213524936601573</v>
      </c>
      <c r="AG144" s="329">
        <v>128.39393939393901</v>
      </c>
      <c r="AH144" s="331">
        <f>IF(_epmOfflineCondition_,0.00354352903277764,IF(_xll.EVGET($B$1,$B$3,$B$5,$B$6,$B$7,$B$9,AG$16,AG$17,AG$18,$G144)="#NODATA","",_xll.EVGET($B$1,$B$3,$B$5,$B$6,$B$7,$B$9,AG$16,AG$17,AG$18,$G144)))</f>
        <v>3.5435290327776401E-3</v>
      </c>
      <c r="AI144" s="333">
        <f t="shared" si="16"/>
        <v>0.17824995517341335</v>
      </c>
    </row>
    <row r="145" spans="1:35" x14ac:dyDescent="0.25">
      <c r="A145" s="11"/>
      <c r="B145" s="11"/>
      <c r="C145" s="11"/>
      <c r="D145" s="11"/>
      <c r="E145" s="11"/>
      <c r="F145" s="11"/>
      <c r="G145" s="261" t="str">
        <f t="shared" si="13"/>
        <v>OCC_GGOV</v>
      </c>
      <c r="H145" s="84" t="s">
        <v>185</v>
      </c>
      <c r="I145" s="85" t="str">
        <f>IF(_epmOfflineCondition_,"T3",_xll.EVPRO($B$1,$H145,"STYLE"))</f>
        <v>T3</v>
      </c>
      <c r="J145" s="85" t="str">
        <f>IF(_epmOfflineCondition_,"Y",_xll.EVPRO($B$1,$H145,"CALC"))</f>
        <v>Y</v>
      </c>
      <c r="K145" s="11"/>
      <c r="L145" s="102" t="str">
        <f>IF(_epmOfflineCondition_,"",_xll.EVPRO($B$1,H145,"JDEID"))</f>
        <v/>
      </c>
      <c r="M145" s="86" t="str">
        <f>IF(_epmOfflineCondition_,"",IF(AND(I145="N",J145="N"),_xll.EVPRO($B$1,H145,"PSFTID"),""))</f>
        <v/>
      </c>
      <c r="N145" s="102" t="str">
        <f>IF(_epmOfflineCondition_,"Government",IF(_xll.EVDES(H145,$B$1)="#NODATA","",_xll.EVDES(H145,$B$1)))</f>
        <v>Government</v>
      </c>
      <c r="O145" s="324"/>
      <c r="P145" s="325"/>
      <c r="Q145" s="325"/>
      <c r="R145" s="325"/>
      <c r="S145" s="325"/>
      <c r="T145" s="325"/>
      <c r="U145" s="325"/>
      <c r="V145" s="325"/>
      <c r="W145" s="325"/>
      <c r="X145" s="325"/>
      <c r="Y145" s="325"/>
      <c r="Z145" s="325"/>
      <c r="AA145" s="325">
        <f t="shared" si="14"/>
        <v>0</v>
      </c>
      <c r="AB145" s="326">
        <f>IF(_epmOfflineCondition_,0,IF(_xll.EVGET($B$1,$B$3,$B$5,$B$6,$B$7,$B$9,AA$16,AA$17,AA$18,$G145)="#NODATA","",_xll.EVGET($B$1,$B$3,$B$5,$B$6,$B$7,$B$9,AA$16,AA$17,AA$18,$G145)))</f>
        <v>0</v>
      </c>
      <c r="AC145" s="136"/>
      <c r="AD145" s="324">
        <v>118</v>
      </c>
      <c r="AE145" s="326">
        <f>IF(_epmOfflineCondition_,0.0020755500207555,IF(_xll.EVGET($B$1,$B$3,$B$5,$B$6,$B$7,$B$9,AD$16,AD$17,AD$18,$G145)="#NODATA","",_xll.EVGET($B$1,$B$3,$B$5,$B$6,$B$7,$B$9,AD$16,AD$17,AD$18,$G145)))</f>
        <v>2.0755500207555E-3</v>
      </c>
      <c r="AF145" s="327">
        <f t="shared" si="15"/>
        <v>-118</v>
      </c>
      <c r="AG145" s="324"/>
      <c r="AH145" s="326">
        <f>IF(_epmOfflineCondition_,0,IF(_xll.EVGET($B$1,$B$3,$B$5,$B$6,$B$7,$B$9,AG$16,AG$17,AG$18,$G145)="#NODATA","",_xll.EVGET($B$1,$B$3,$B$5,$B$6,$B$7,$B$9,AG$16,AG$17,AG$18,$G145)))</f>
        <v>0</v>
      </c>
      <c r="AI145" s="328">
        <f t="shared" si="16"/>
        <v>0</v>
      </c>
    </row>
    <row r="146" spans="1:35" x14ac:dyDescent="0.25">
      <c r="A146" s="11"/>
      <c r="B146" s="11"/>
      <c r="C146" s="11"/>
      <c r="D146" s="11"/>
      <c r="E146" s="11"/>
      <c r="F146" s="11"/>
      <c r="G146" s="261" t="str">
        <f t="shared" si="13"/>
        <v>OCC_TOURW</v>
      </c>
      <c r="H146" s="84" t="s">
        <v>186</v>
      </c>
      <c r="I146" s="85" t="str">
        <f>IF(_epmOfflineCondition_,"T3",_xll.EVPRO($B$1,$H146,"STYLE"))</f>
        <v>T3</v>
      </c>
      <c r="J146" s="85" t="str">
        <f>IF(_epmOfflineCondition_,"Y",_xll.EVPRO($B$1,$H146,"CALC"))</f>
        <v>Y</v>
      </c>
      <c r="K146" s="11"/>
      <c r="L146" s="102" t="str">
        <f>IF(_epmOfflineCondition_,"",_xll.EVPRO($B$1,H146,"JDEID"))</f>
        <v/>
      </c>
      <c r="M146" s="86" t="str">
        <f>IF(_epmOfflineCondition_,"",IF(AND(I146="N",J146="N"),_xll.EVPRO($B$1,H146,"PSFTID"),""))</f>
        <v/>
      </c>
      <c r="N146" s="102" t="str">
        <f>IF(_epmOfflineCondition_,"Tour/Wholesalers",IF(_xll.EVDES(H146,$B$1)="#NODATA","",_xll.EVDES(H146,$B$1)))</f>
        <v>Tour/Wholesalers</v>
      </c>
      <c r="O146" s="324"/>
      <c r="P146" s="325">
        <v>372.53293413173702</v>
      </c>
      <c r="Q146" s="325">
        <v>296.64705882352899</v>
      </c>
      <c r="R146" s="325">
        <v>181.71186440677999</v>
      </c>
      <c r="S146" s="325">
        <v>169</v>
      </c>
      <c r="T146" s="325">
        <v>127</v>
      </c>
      <c r="U146" s="325">
        <v>169</v>
      </c>
      <c r="V146" s="325"/>
      <c r="W146" s="325"/>
      <c r="X146" s="325"/>
      <c r="Y146" s="325">
        <v>227.888888888889</v>
      </c>
      <c r="Z146" s="325"/>
      <c r="AA146" s="325">
        <f t="shared" si="14"/>
        <v>251.96066252587991</v>
      </c>
      <c r="AB146" s="326">
        <f>IF(_epmOfflineCondition_,0.0100249066002491,IF(_xll.EVGET($B$1,$B$3,$B$5,$B$6,$B$7,$B$9,AA$16,AA$17,AA$18,$G146)="#NODATA","",_xll.EVGET($B$1,$B$3,$B$5,$B$6,$B$7,$B$9,AA$16,AA$17,AA$18,$G146)))</f>
        <v>1.0024906600249101E-2</v>
      </c>
      <c r="AC146" s="136"/>
      <c r="AD146" s="324">
        <v>210.34142857142899</v>
      </c>
      <c r="AE146" s="326">
        <f>IF(_epmOfflineCondition_,0.0087173100871731,IF(_xll.EVGET($B$1,$B$3,$B$5,$B$6,$B$7,$B$9,AD$16,AD$17,AD$18,$G146)="#NODATA","",_xll.EVGET($B$1,$B$3,$B$5,$B$6,$B$7,$B$9,AD$16,AD$17,AD$18,$G146)))</f>
        <v>8.7173100871730993E-3</v>
      </c>
      <c r="AF146" s="327">
        <f t="shared" si="15"/>
        <v>41.61923395445092</v>
      </c>
      <c r="AG146" s="324">
        <v>158.07894736842101</v>
      </c>
      <c r="AH146" s="326">
        <f>IF(_epmOfflineCondition_,0.00408042737107729,IF(_xll.EVGET($B$1,$B$3,$B$5,$B$6,$B$7,$B$9,AG$16,AG$17,AG$18,$G146)="#NODATA","",_xll.EVGET($B$1,$B$3,$B$5,$B$6,$B$7,$B$9,AG$16,AG$17,AG$18,$G146)))</f>
        <v>4.0804273710772897E-3</v>
      </c>
      <c r="AI146" s="328">
        <f t="shared" si="16"/>
        <v>93.881715157458899</v>
      </c>
    </row>
    <row r="147" spans="1:35" x14ac:dyDescent="0.25">
      <c r="A147" s="11"/>
      <c r="B147" s="11"/>
      <c r="C147" s="11"/>
      <c r="D147" s="11"/>
      <c r="E147" s="11"/>
      <c r="F147" s="11"/>
      <c r="G147" s="263" t="str">
        <f t="shared" si="13"/>
        <v>OCC_WHTT</v>
      </c>
      <c r="H147" s="84" t="s">
        <v>187</v>
      </c>
      <c r="I147" s="100" t="str">
        <f>IF(_epmOfflineCondition_,"N",_xll.EVPRO($B$1,$H147,"STYLE"))</f>
        <v>N</v>
      </c>
      <c r="J147" s="100" t="str">
        <f>IF(_epmOfflineCondition_,"Y",_xll.EVPRO($B$1,$H147,"CALC"))</f>
        <v>Y</v>
      </c>
      <c r="K147" s="11"/>
      <c r="L147" s="100" t="str">
        <f>IF(_epmOfflineCondition_,"",_xll.EVPRO($B$1,H147,"JDEID"))</f>
        <v/>
      </c>
      <c r="M147" s="86" t="str">
        <f>IF(_epmOfflineCondition_,"",IF(AND(I147="N",J147="N"),_xll.EVPRO($B$1,H147,"PSFTID"),""))</f>
        <v/>
      </c>
      <c r="N147" s="100" t="str">
        <f>IF(_epmOfflineCondition_,"Tour/Wholesale",IF(_xll.EVDES(H147,$B$1)="#NODATA","",_xll.EVDES(H147,$B$1)))</f>
        <v>Tour/Wholesale</v>
      </c>
      <c r="O147" s="329"/>
      <c r="P147" s="330"/>
      <c r="Q147" s="330"/>
      <c r="R147" s="330"/>
      <c r="S147" s="330"/>
      <c r="T147" s="330"/>
      <c r="U147" s="330"/>
      <c r="V147" s="330"/>
      <c r="W147" s="330"/>
      <c r="X147" s="330"/>
      <c r="Y147" s="330"/>
      <c r="Z147" s="330"/>
      <c r="AA147" s="330">
        <f t="shared" si="14"/>
        <v>0</v>
      </c>
      <c r="AB147" s="331">
        <f>IF(_epmOfflineCondition_,0,IF(_xll.EVGET($B$1,$B$3,$B$5,$B$6,$B$7,$B$9,AA$16,AA$17,AA$18,$G147)="#NODATA","",_xll.EVGET($B$1,$B$3,$B$5,$B$6,$B$7,$B$9,AA$16,AA$17,AA$18,$G147)))</f>
        <v>0</v>
      </c>
      <c r="AC147" s="136"/>
      <c r="AD147" s="329"/>
      <c r="AE147" s="331">
        <f>IF(_epmOfflineCondition_,0,IF(_xll.EVGET($B$1,$B$3,$B$5,$B$6,$B$7,$B$9,AD$16,AD$17,AD$18,$G147)="#NODATA","",_xll.EVGET($B$1,$B$3,$B$5,$B$6,$B$7,$B$9,AD$16,AD$17,AD$18,$G147)))</f>
        <v>0</v>
      </c>
      <c r="AF147" s="332">
        <f t="shared" si="15"/>
        <v>0</v>
      </c>
      <c r="AG147" s="329"/>
      <c r="AH147" s="331">
        <f>IF(_epmOfflineCondition_,0,IF(_xll.EVGET($B$1,$B$3,$B$5,$B$6,$B$7,$B$9,AG$16,AG$17,AG$18,$G147)="#NODATA","",_xll.EVGET($B$1,$B$3,$B$5,$B$6,$B$7,$B$9,AG$16,AG$17,AG$18,$G147)))</f>
        <v>0</v>
      </c>
      <c r="AI147" s="333">
        <f t="shared" si="16"/>
        <v>0</v>
      </c>
    </row>
    <row r="148" spans="1:35" x14ac:dyDescent="0.25">
      <c r="A148" s="11"/>
      <c r="B148" s="11"/>
      <c r="C148" s="11"/>
      <c r="D148" s="11"/>
      <c r="E148" s="11"/>
      <c r="F148" s="11"/>
      <c r="G148" s="263" t="str">
        <f t="shared" si="13"/>
        <v>OCC_MICE</v>
      </c>
      <c r="H148" s="84" t="s">
        <v>188</v>
      </c>
      <c r="I148" s="100" t="str">
        <f>IF(_epmOfflineCondition_,"N",_xll.EVPRO($B$1,$H148,"STYLE"))</f>
        <v>N</v>
      </c>
      <c r="J148" s="100" t="str">
        <f>IF(_epmOfflineCondition_,"Y",_xll.EVPRO($B$1,$H148,"CALC"))</f>
        <v>Y</v>
      </c>
      <c r="K148" s="11"/>
      <c r="L148" s="100" t="str">
        <f>IF(_epmOfflineCondition_,"",_xll.EVPRO($B$1,H148,"JDEID"))</f>
        <v/>
      </c>
      <c r="M148" s="86" t="str">
        <f>IF(_epmOfflineCondition_,"",IF(AND(I148="N",J148="N"),_xll.EVPRO($B$1,H148,"PSFTID"),""))</f>
        <v/>
      </c>
      <c r="N148" s="100" t="str">
        <f>IF(_epmOfflineCondition_,"MICE",IF(_xll.EVDES(H148,$B$1)="#NODATA","",_xll.EVDES(H148,$B$1)))</f>
        <v>MICE</v>
      </c>
      <c r="O148" s="329"/>
      <c r="P148" s="330">
        <v>372.53293413173702</v>
      </c>
      <c r="Q148" s="330">
        <v>296.64705882352899</v>
      </c>
      <c r="R148" s="330">
        <v>181.71186440677999</v>
      </c>
      <c r="S148" s="330">
        <v>169</v>
      </c>
      <c r="T148" s="330">
        <v>127</v>
      </c>
      <c r="U148" s="330">
        <v>169</v>
      </c>
      <c r="V148" s="330"/>
      <c r="W148" s="330"/>
      <c r="X148" s="330"/>
      <c r="Y148" s="330">
        <v>227.888888888889</v>
      </c>
      <c r="Z148" s="330"/>
      <c r="AA148" s="330">
        <f t="shared" si="14"/>
        <v>251.96066252587991</v>
      </c>
      <c r="AB148" s="331">
        <f>IF(_epmOfflineCondition_,0.0100249066002491,IF(_xll.EVGET($B$1,$B$3,$B$5,$B$6,$B$7,$B$9,AA$16,AA$17,AA$18,$G148)="#NODATA","",_xll.EVGET($B$1,$B$3,$B$5,$B$6,$B$7,$B$9,AA$16,AA$17,AA$18,$G148)))</f>
        <v>1.0024906600249101E-2</v>
      </c>
      <c r="AC148" s="136"/>
      <c r="AD148" s="329">
        <v>210.34142857142899</v>
      </c>
      <c r="AE148" s="331">
        <f>IF(_epmOfflineCondition_,0.0087173100871731,IF(_xll.EVGET($B$1,$B$3,$B$5,$B$6,$B$7,$B$9,AD$16,AD$17,AD$18,$G148)="#NODATA","",_xll.EVGET($B$1,$B$3,$B$5,$B$6,$B$7,$B$9,AD$16,AD$17,AD$18,$G148)))</f>
        <v>8.7173100871730993E-3</v>
      </c>
      <c r="AF148" s="332">
        <f t="shared" si="15"/>
        <v>41.61923395445092</v>
      </c>
      <c r="AG148" s="329">
        <v>158.07894736842101</v>
      </c>
      <c r="AH148" s="331">
        <f>IF(_epmOfflineCondition_,0.00408042737107729,IF(_xll.EVGET($B$1,$B$3,$B$5,$B$6,$B$7,$B$9,AG$16,AG$17,AG$18,$G148)="#NODATA","",_xll.EVGET($B$1,$B$3,$B$5,$B$6,$B$7,$B$9,AG$16,AG$17,AG$18,$G148)))</f>
        <v>4.0804273710772897E-3</v>
      </c>
      <c r="AI148" s="333">
        <f t="shared" si="16"/>
        <v>93.881715157458899</v>
      </c>
    </row>
    <row r="149" spans="1:35" x14ac:dyDescent="0.25">
      <c r="A149" s="11"/>
      <c r="B149" s="11"/>
      <c r="C149" s="11"/>
      <c r="D149" s="11"/>
      <c r="E149" s="11"/>
      <c r="F149" s="11"/>
      <c r="G149" s="261" t="str">
        <f t="shared" si="13"/>
        <v>OCC_SMERF</v>
      </c>
      <c r="H149" s="84" t="s">
        <v>189</v>
      </c>
      <c r="I149" s="85" t="str">
        <f>IF(_epmOfflineCondition_,"T3",_xll.EVPRO($B$1,$H149,"STYLE"))</f>
        <v>T3</v>
      </c>
      <c r="J149" s="85" t="str">
        <f>IF(_epmOfflineCondition_,"Y",_xll.EVPRO($B$1,$H149,"CALC"))</f>
        <v>Y</v>
      </c>
      <c r="K149" s="11"/>
      <c r="L149" s="102" t="str">
        <f>IF(_epmOfflineCondition_,"",_xll.EVPRO($B$1,H149,"JDEID"))</f>
        <v/>
      </c>
      <c r="M149" s="86" t="str">
        <f>IF(_epmOfflineCondition_,"",IF(AND(I149="N",J149="N"),_xll.EVPRO($B$1,H149,"PSFTID"),""))</f>
        <v/>
      </c>
      <c r="N149" s="102" t="str">
        <f>IF(_epmOfflineCondition_,"SMERF",IF(_xll.EVDES(H149,$B$1)="#NODATA","",_xll.EVDES(H149,$B$1)))</f>
        <v>SMERF</v>
      </c>
      <c r="O149" s="334">
        <v>255.708333333333</v>
      </c>
      <c r="P149" s="335">
        <v>310.90909090909099</v>
      </c>
      <c r="Q149" s="335">
        <v>394</v>
      </c>
      <c r="R149" s="335">
        <v>199</v>
      </c>
      <c r="S149" s="335">
        <v>181.57142857142901</v>
      </c>
      <c r="T149" s="335">
        <v>169</v>
      </c>
      <c r="U149" s="335"/>
      <c r="V149" s="335">
        <v>129</v>
      </c>
      <c r="W149" s="335">
        <v>142.529411764706</v>
      </c>
      <c r="X149" s="335"/>
      <c r="Y149" s="335">
        <v>172.97</v>
      </c>
      <c r="Z149" s="335">
        <v>278.38461538461502</v>
      </c>
      <c r="AA149" s="335">
        <f t="shared" si="14"/>
        <v>237.28568527918782</v>
      </c>
      <c r="AB149" s="336">
        <f>IF(_epmOfflineCondition_,0.00408883354088834,IF(_xll.EVGET($B$1,$B$3,$B$5,$B$6,$B$7,$B$9,AA$16,AA$17,AA$18,$G149)="#NODATA","",_xll.EVGET($B$1,$B$3,$B$5,$B$6,$B$7,$B$9,AA$16,AA$17,AA$18,$G149)))</f>
        <v>4.0888335408883402E-3</v>
      </c>
      <c r="AC149" s="136"/>
      <c r="AD149" s="334">
        <v>221.39130434782601</v>
      </c>
      <c r="AE149" s="336">
        <f>IF(_epmOfflineCondition_,0.00477376504773765,IF(_xll.EVGET($B$1,$B$3,$B$5,$B$6,$B$7,$B$9,AD$16,AD$17,AD$18,$G149)="#NODATA","",_xll.EVGET($B$1,$B$3,$B$5,$B$6,$B$7,$B$9,AD$16,AD$17,AD$18,$G149)))</f>
        <v>4.7737650477376499E-3</v>
      </c>
      <c r="AF149" s="337">
        <f t="shared" si="15"/>
        <v>15.894380931361809</v>
      </c>
      <c r="AG149" s="334">
        <v>279.446153846154</v>
      </c>
      <c r="AH149" s="336">
        <f>IF(_epmOfflineCondition_,0.00348983919894768,IF(_xll.EVGET($B$1,$B$3,$B$5,$B$6,$B$7,$B$9,AG$16,AG$17,AG$18,$G149)="#NODATA","",_xll.EVGET($B$1,$B$3,$B$5,$B$6,$B$7,$B$9,AG$16,AG$17,AG$18,$G149)))</f>
        <v>3.4898391989476802E-3</v>
      </c>
      <c r="AI149" s="338">
        <f t="shared" si="16"/>
        <v>-42.160468566966188</v>
      </c>
    </row>
    <row r="150" spans="1:35" x14ac:dyDescent="0.25">
      <c r="A150" s="11"/>
      <c r="B150" s="11"/>
      <c r="C150" s="11"/>
      <c r="D150" s="11"/>
      <c r="E150" s="11"/>
      <c r="F150" s="11"/>
      <c r="G150" s="261" t="str">
        <f t="shared" si="13"/>
        <v>OCC_GROP</v>
      </c>
      <c r="H150" s="84" t="s">
        <v>178</v>
      </c>
      <c r="I150" s="85" t="str">
        <f>IF(_epmOfflineCondition_,"T2",_xll.EVPRO($B$1,$H150,"STYLE"))</f>
        <v>T2</v>
      </c>
      <c r="J150" s="85" t="str">
        <f>IF(_epmOfflineCondition_,"Y",_xll.EVPRO($B$1,$H150,"CALC"))</f>
        <v>Y</v>
      </c>
      <c r="K150" s="11"/>
      <c r="L150" s="102" t="str">
        <f>IF(_epmOfflineCondition_,"",_xll.EVPRO($B$1,H150,"JDEID"))</f>
        <v/>
      </c>
      <c r="M150" s="86" t="str">
        <f>IF(_epmOfflineCondition_,"",IF(AND(I150="N",J150="N"),_xll.EVPRO($B$1,H150,"PSFTID"),""))</f>
        <v/>
      </c>
      <c r="N150" s="102" t="str">
        <f>IF(_epmOfflineCondition_,"Total Group ADR",IF(_xll.EVDES(H150,$B$1)="#NODATA","",_xll.EVDES(H150,$B$1)))</f>
        <v>Total Group ADR</v>
      </c>
      <c r="O150" s="339">
        <v>222.03866432337401</v>
      </c>
      <c r="P150" s="340">
        <v>285.150621118012</v>
      </c>
      <c r="Q150" s="340">
        <v>267.47237569060798</v>
      </c>
      <c r="R150" s="340">
        <v>189.67669172932301</v>
      </c>
      <c r="S150" s="340">
        <v>169.212765957447</v>
      </c>
      <c r="T150" s="340">
        <v>124.398571428571</v>
      </c>
      <c r="U150" s="340">
        <v>161.11239436619701</v>
      </c>
      <c r="V150" s="340">
        <v>139</v>
      </c>
      <c r="W150" s="340">
        <v>96.92</v>
      </c>
      <c r="X150" s="340">
        <v>128.05825242718399</v>
      </c>
      <c r="Y150" s="340">
        <v>155.88841463414599</v>
      </c>
      <c r="Z150" s="340">
        <v>204.87012987013</v>
      </c>
      <c r="AA150" s="340">
        <f t="shared" si="14"/>
        <v>207.13847365038563</v>
      </c>
      <c r="AB150" s="341">
        <f>IF(_epmOfflineCondition_,0.0645911166459112,IF(_xll.EVGET($B$1,$B$3,$B$5,$B$6,$B$7,$B$9,AA$16,AA$17,AA$18,$G150)="#NODATA","",_xll.EVGET($B$1,$B$3,$B$5,$B$6,$B$7,$B$9,AA$16,AA$17,AA$18,$G150)))</f>
        <v>6.4591116645911203E-2</v>
      </c>
      <c r="AC150" s="136"/>
      <c r="AD150" s="339">
        <v>239.252627181126</v>
      </c>
      <c r="AE150" s="341">
        <f>IF(_epmOfflineCondition_,0.0844541303445413,IF(_xll.EVGET($B$1,$B$3,$B$5,$B$6,$B$7,$B$9,AD$16,AD$17,AD$18,$G150)="#NODATA","",_xll.EVGET($B$1,$B$3,$B$5,$B$6,$B$7,$B$9,AD$16,AD$17,AD$18,$G150)))</f>
        <v>8.4454130344541301E-2</v>
      </c>
      <c r="AF150" s="342">
        <f t="shared" si="15"/>
        <v>-32.114153530740367</v>
      </c>
      <c r="AG150" s="339">
        <v>177.876874213836</v>
      </c>
      <c r="AH150" s="341">
        <f>IF(_epmOfflineCondition_,0.0426834178948216,IF(_xll.EVGET($B$1,$B$3,$B$5,$B$6,$B$7,$B$9,AG$16,AG$17,AG$18,$G150)="#NODATA","",_xll.EVGET($B$1,$B$3,$B$5,$B$6,$B$7,$B$9,AG$16,AG$17,AG$18,$G150)))</f>
        <v>4.26834178948216E-2</v>
      </c>
      <c r="AI150" s="343">
        <f t="shared" si="16"/>
        <v>29.261599436549631</v>
      </c>
    </row>
    <row r="151" spans="1:35" x14ac:dyDescent="0.25">
      <c r="A151" s="11"/>
      <c r="B151" s="11"/>
      <c r="C151" s="11"/>
      <c r="D151" s="11"/>
      <c r="E151" s="11"/>
      <c r="F151" s="11"/>
      <c r="G151" s="263" t="str">
        <f t="shared" si="13"/>
        <v>OCC_CONT</v>
      </c>
      <c r="H151" s="84" t="s">
        <v>210</v>
      </c>
      <c r="I151" s="100" t="str">
        <f>IF(_epmOfflineCondition_,"N",_xll.EVPRO($B$1,$H151,"STYLE"))</f>
        <v>N</v>
      </c>
      <c r="J151" s="100" t="str">
        <f>IF(_epmOfflineCondition_,"Y",_xll.EVPRO($B$1,$H151,"CALC"))</f>
        <v>Y</v>
      </c>
      <c r="K151" s="11"/>
      <c r="L151" s="100" t="str">
        <f>IF(_epmOfflineCondition_,"",_xll.EVPRO($B$1,H151,"JDEID"))</f>
        <v/>
      </c>
      <c r="M151" s="86" t="str">
        <f>IF(_epmOfflineCondition_,"",IF(AND(I151="N",J151="N"),_xll.EVPRO($B$1,H151,"PSFTID"),""))</f>
        <v/>
      </c>
      <c r="N151" s="100" t="str">
        <f>IF(_epmOfflineCondition_,"Contract",IF(_xll.EVDES(H151,$B$1)="#NODATA","",_xll.EVDES(H151,$B$1)))</f>
        <v>Contract</v>
      </c>
      <c r="O151" s="349"/>
      <c r="P151" s="350"/>
      <c r="Q151" s="350"/>
      <c r="R151" s="350"/>
      <c r="S151" s="350"/>
      <c r="T151" s="350"/>
      <c r="U151" s="350"/>
      <c r="V151" s="350"/>
      <c r="W151" s="350"/>
      <c r="X151" s="350"/>
      <c r="Y151" s="350"/>
      <c r="Z151" s="350"/>
      <c r="AA151" s="350"/>
      <c r="AB151" s="351">
        <f>IF(_epmOfflineCondition_,0,IF(_xll.EVGET($B$1,$B$3,$B$5,$B$6,$B$7,$B$9,AA$16,AA$17,AA$18,$G151)="#NODATA","",_xll.EVGET($B$1,$B$3,$B$5,$B$6,$B$7,$B$9,AA$16,AA$17,AA$18,$G151)))</f>
        <v>0</v>
      </c>
      <c r="AC151" s="136"/>
      <c r="AD151" s="349"/>
      <c r="AE151" s="351">
        <f>IF(_epmOfflineCondition_,0,IF(_xll.EVGET($B$1,$B$3,$B$5,$B$6,$B$7,$B$9,AD$16,AD$17,AD$18,$G151)="#NODATA","",_xll.EVGET($B$1,$B$3,$B$5,$B$6,$B$7,$B$9,AD$16,AD$17,AD$18,$G151)))</f>
        <v>0</v>
      </c>
      <c r="AF151" s="352" t="str">
        <f t="shared" si="15"/>
        <v/>
      </c>
      <c r="AG151" s="349">
        <v>155</v>
      </c>
      <c r="AH151" s="351">
        <f>IF(_epmOfflineCondition_,0.00386566803575743,IF(_xll.EVGET($B$1,$B$3,$B$5,$B$6,$B$7,$B$9,AG$16,AG$17,AG$18,$G151)="#NODATA","",_xll.EVGET($B$1,$B$3,$B$5,$B$6,$B$7,$B$9,AG$16,AG$17,AG$18,$G151)))</f>
        <v>3.8656680357574301E-3</v>
      </c>
      <c r="AI151" s="353">
        <f t="shared" si="16"/>
        <v>-155</v>
      </c>
    </row>
    <row r="152" spans="1:35" x14ac:dyDescent="0.25">
      <c r="A152" s="11"/>
      <c r="B152" s="11"/>
      <c r="C152" s="11"/>
      <c r="D152" s="11"/>
      <c r="E152" s="11"/>
      <c r="F152" s="11"/>
      <c r="G152" s="261" t="s">
        <v>495</v>
      </c>
      <c r="H152" s="84" t="s">
        <v>208</v>
      </c>
      <c r="I152" s="85" t="str">
        <f>IF(_epmOfflineCondition_,"T2",_xll.EVPRO($B$1,$H152,"STYLE"))</f>
        <v>T2</v>
      </c>
      <c r="J152" s="85" t="str">
        <f>IF(_epmOfflineCondition_,"Y",_xll.EVPRO($B$1,$H152,"CALC"))</f>
        <v>Y</v>
      </c>
      <c r="K152" s="11"/>
      <c r="L152" s="102" t="str">
        <f>IF(_epmOfflineCondition_,"",_xll.EVPRO($B$1,H152,"JDEID"))</f>
        <v/>
      </c>
      <c r="M152" s="86" t="str">
        <f>IF(_epmOfflineCondition_,"",IF(AND(I152="N",J152="N"),_xll.EVPRO($B$1,H152,"PSFTID"),""))</f>
        <v/>
      </c>
      <c r="N152" s="102" t="s">
        <v>496</v>
      </c>
      <c r="O152" s="354">
        <f>IF(_epmOfflineCondition_,225.910608298172,IF(_xll.EVGET($B$1,$B$3,$B$5,$B$6,$B$7,$B$9,O$16,O$17,O$18,$H152)="#NODATA","",_xll.EVGET($B$1,$B$3,$B$5,$B$6,$B$7,$B$9,O$16,O$17,O$18,$H152)))</f>
        <v>225.91060829817201</v>
      </c>
      <c r="P152" s="354">
        <f>IF(_epmOfflineCondition_,261.598227703985,IF(_xll.EVGET($B$1,$B$3,$B$5,$B$6,$B$7,$B$9,P$16,P$17,P$18,$H152)="#NODATA","",_xll.EVGET($B$1,$B$3,$B$5,$B$6,$B$7,$B$9,P$16,P$17,P$18,$H152)))</f>
        <v>261.598227703985</v>
      </c>
      <c r="Q152" s="354">
        <f>IF(_epmOfflineCondition_,262.759761826001,IF(_xll.EVGET($B$1,$B$3,$B$5,$B$6,$B$7,$B$9,Q$16,Q$17,Q$18,$H152)="#NODATA","",_xll.EVGET($B$1,$B$3,$B$5,$B$6,$B$7,$B$9,Q$16,Q$17,Q$18,$H152)))</f>
        <v>262.75976182600101</v>
      </c>
      <c r="R152" s="354">
        <f>IF(_epmOfflineCondition_,220.483628676471,IF(_xll.EVGET($B$1,$B$3,$B$5,$B$6,$B$7,$B$9,R$16,R$17,R$18,$H152)="#NODATA","",_xll.EVGET($B$1,$B$3,$B$5,$B$6,$B$7,$B$9,R$16,R$17,R$18,$H152)))</f>
        <v>220.483628676471</v>
      </c>
      <c r="S152" s="354">
        <f>IF(_epmOfflineCondition_,185.051255343956,IF(_xll.EVGET($B$1,$B$3,$B$5,$B$6,$B$7,$B$9,S$16,S$17,S$18,$H152)="#NODATA","",_xll.EVGET($B$1,$B$3,$B$5,$B$6,$B$7,$B$9,S$16,S$17,S$18,$H152)))</f>
        <v>185.051255343956</v>
      </c>
      <c r="T152" s="354">
        <f>IF(_epmOfflineCondition_,153.271328125,IF(_xll.EVGET($B$1,$B$3,$B$5,$B$6,$B$7,$B$9,T$16,T$17,T$18,$H152)="#NODATA","",_xll.EVGET($B$1,$B$3,$B$5,$B$6,$B$7,$B$9,T$16,T$17,T$18,$H152)))</f>
        <v>153.271328125</v>
      </c>
      <c r="U152" s="354">
        <f>IF(_epmOfflineCondition_,157.45976,IF(_xll.EVGET($B$1,$B$3,$B$5,$B$6,$B$7,$B$9,U$16,U$17,U$18,$H152)="#NODATA","",_xll.EVGET($B$1,$B$3,$B$5,$B$6,$B$7,$B$9,U$16,U$17,U$18,$H152)))</f>
        <v>157.45975999999999</v>
      </c>
      <c r="V152" s="354">
        <f>IF(_epmOfflineCondition_,135.797983553808,IF(_xll.EVGET($B$1,$B$3,$B$5,$B$6,$B$7,$B$9,V$16,V$17,V$18,$H152)="#NODATA","",_xll.EVGET($B$1,$B$3,$B$5,$B$6,$B$7,$B$9,V$16,V$17,V$18,$H152)))</f>
        <v>135.797983553808</v>
      </c>
      <c r="W152" s="354">
        <f>IF(_epmOfflineCondition_,123.771859035005,IF(_xll.EVGET($B$1,$B$3,$B$5,$B$6,$B$7,$B$9,W$16,W$17,W$18,$H152)="#NODATA","",_xll.EVGET($B$1,$B$3,$B$5,$B$6,$B$7,$B$9,W$16,W$17,W$18,$H152)))</f>
        <v>123.77185903500499</v>
      </c>
      <c r="X152" s="354">
        <f>IF(_epmOfflineCondition_,143.733760527279,IF(_xll.EVGET($B$1,$B$3,$B$5,$B$6,$B$7,$B$9,X$16,X$17,X$18,$H152)="#NODATA","",_xll.EVGET($B$1,$B$3,$B$5,$B$6,$B$7,$B$9,X$16,X$17,X$18,$H152)))</f>
        <v>143.733760527279</v>
      </c>
      <c r="Y152" s="354">
        <f>IF(_epmOfflineCondition_,169.707559002023,IF(_xll.EVGET($B$1,$B$3,$B$5,$B$6,$B$7,$B$9,Y$16,Y$17,Y$18,$H152)="#NODATA","",_xll.EVGET($B$1,$B$3,$B$5,$B$6,$B$7,$B$9,Y$16,Y$17,Y$18,$H152)))</f>
        <v>169.707559002023</v>
      </c>
      <c r="Z152" s="354">
        <f>IF(_epmOfflineCondition_,250.625632711621,IF(_xll.EVGET($B$1,$B$3,$B$5,$B$6,$B$7,$B$9,Z$16,Z$17,Z$18,$H152)="#NODATA","",_xll.EVGET($B$1,$B$3,$B$5,$B$6,$B$7,$B$9,Z$16,Z$17,Z$18,$H152)))</f>
        <v>250.62563271162099</v>
      </c>
      <c r="AA152" s="354">
        <f>IF(_epmOfflineCondition_,194.691823486058,IF(_xll.EVGET($B$1,$B$3,$B$5,$B$6,$B$7,$B$9,AA$16,AA$17,AA$18,$H152)="#NODATA","",_xll.EVGET($B$1,$B$3,$B$5,$B$6,$B$7,$B$9,AA$16,AA$17,AA$18,$H152)))</f>
        <v>194.69182348605801</v>
      </c>
      <c r="AB152" s="355">
        <f>IF(_epmOfflineCondition_,0.675882108758821,IF(_xll.EVGET($B$1,$B$3,$B$5,$B$6,$B$7,$B$9,AA$16,AA$17,AA$18,$G152)="#NODATA","",_xll.EVGET($B$1,$B$3,$B$5,$B$6,$B$7,$B$9,AA$16,AA$17,AA$18,$G152)))</f>
        <v>0.67588210875882104</v>
      </c>
      <c r="AC152" s="136"/>
      <c r="AD152" s="354">
        <f>IF(_epmOfflineCondition_,249.014199503996,IF(_xll.EVGET($B$1,$B$3,$B$5,$B$6,$B$7,$B$9,AD$16,AD$17,AD$18,$H152)="#NODATA","",_xll.EVGET($B$1,$B$3,$B$5,$B$6,$B$7,$B$9,AD$16,AD$17,AD$18,$H152)))</f>
        <v>249.014199503996</v>
      </c>
      <c r="AE152" s="355">
        <f>IF(_epmOfflineCondition_,0.753217102532171,IF(_xll.EVGET($B$1,$B$3,$B$5,$B$6,$B$7,$B$9,AD$16,AD$17,AD$18,$G152)="#NODATA","",_xll.EVGET($B$1,$B$3,$B$5,$B$6,$B$7,$B$9,AD$16,AD$17,AD$18,$G152)))</f>
        <v>0.753217102532171</v>
      </c>
      <c r="AF152" s="356">
        <f t="shared" si="15"/>
        <v>-54.322376017937984</v>
      </c>
      <c r="AG152" s="354">
        <f>IF(_epmOfflineCondition_,180.138122623574,IF(_xll.EVGET($B$1,$B$3,$B$5,$B$6,$B$7,$B$9,AG$16,AG$17,AG$18,$H152)="#NODATA","",_xll.EVGET($B$1,$B$3,$B$5,$B$6,$B$7,$B$9,AG$16,AG$17,AG$18,$H152)))</f>
        <v>180.13812262357399</v>
      </c>
      <c r="AH152" s="355">
        <f>IF(_epmOfflineCondition_,0.395371936323857,IF(_xll.EVGET($B$1,$B$3,$B$5,$B$6,$B$7,$B$9,AG$16,AG$17,AG$18,$G152)="#NODATA","",_xll.EVGET($B$1,$B$3,$B$5,$B$6,$B$7,$B$9,AG$16,AG$17,AG$18,$G152)))</f>
        <v>0.39537193632385698</v>
      </c>
      <c r="AI152" s="356">
        <f t="shared" si="16"/>
        <v>14.553700862484021</v>
      </c>
    </row>
    <row r="153" spans="1:35" x14ac:dyDescent="0.25">
      <c r="A153" s="11"/>
      <c r="B153" s="11"/>
      <c r="C153" s="11"/>
      <c r="D153" s="11"/>
      <c r="E153" s="11"/>
      <c r="F153" s="11"/>
      <c r="G153" s="11"/>
      <c r="H153" s="11"/>
      <c r="I153" s="55"/>
      <c r="J153" s="55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</row>
    <row r="154" spans="1:35" x14ac:dyDescent="0.25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00" t="str">
        <f>N152&amp;" - Check"</f>
        <v>Total ADR/ OCC% - Check</v>
      </c>
      <c r="O154" s="98">
        <f t="shared" ref="O154:AA154" si="17">IFERROR(O69/O105,0)</f>
        <v>225.91060829817161</v>
      </c>
      <c r="P154" s="98">
        <f t="shared" si="17"/>
        <v>261.59822770398478</v>
      </c>
      <c r="Q154" s="98">
        <f t="shared" si="17"/>
        <v>262.75976182600067</v>
      </c>
      <c r="R154" s="98">
        <f t="shared" si="17"/>
        <v>220.48362867647057</v>
      </c>
      <c r="S154" s="98">
        <f t="shared" si="17"/>
        <v>185.05125534395648</v>
      </c>
      <c r="T154" s="98">
        <f t="shared" si="17"/>
        <v>153.271328125</v>
      </c>
      <c r="U154" s="98">
        <f t="shared" si="17"/>
        <v>157.45976000000002</v>
      </c>
      <c r="V154" s="98">
        <f t="shared" si="17"/>
        <v>135.79798355380765</v>
      </c>
      <c r="W154" s="98">
        <f t="shared" si="17"/>
        <v>123.77185903500472</v>
      </c>
      <c r="X154" s="98">
        <f t="shared" si="17"/>
        <v>143.7337605272794</v>
      </c>
      <c r="Y154" s="98">
        <f t="shared" si="17"/>
        <v>169.70755900202292</v>
      </c>
      <c r="Z154" s="98">
        <f t="shared" si="17"/>
        <v>250.62563271162122</v>
      </c>
      <c r="AA154" s="98">
        <f t="shared" si="17"/>
        <v>194.69182348605824</v>
      </c>
      <c r="AB154" s="264">
        <f>IFERROR(AA105/AA109,0)</f>
        <v>0.67588210875882104</v>
      </c>
      <c r="AC154" s="11"/>
      <c r="AD154" s="98">
        <f>IFERROR(AD69/AD105,0)</f>
        <v>249.0141995039956</v>
      </c>
      <c r="AE154" s="264">
        <f>IFERROR(AD105/AD109,0)</f>
        <v>0.753217102532171</v>
      </c>
      <c r="AF154" s="87"/>
      <c r="AG154" s="98">
        <f>IFERROR(AG69/AG105,0)</f>
        <v>180.13812262357413</v>
      </c>
      <c r="AH154" s="264">
        <f>IFERROR(AG105/AG109,0)</f>
        <v>0.39537193632385709</v>
      </c>
      <c r="AI154" s="87"/>
    </row>
  </sheetData>
  <sheetProtection algorithmName="SHA-512" hashValue="snPrJPHJ4NvdiaUKjYf7QwaHq2n+c91yiSjWlP7DAurfS2mrFyTY4eSVG9DTNv2+pDqNwR1WTKcqjKiowkN6uA==" saltValue="jJ+Tk4F5o7IO2r/I3Y3M/A==" spinCount="100000" sheet="1" scenarios="1"/>
  <mergeCells count="2">
    <mergeCell ref="AD31:AE31"/>
    <mergeCell ref="AG31:AH31"/>
  </mergeCells>
  <conditionalFormatting sqref="AF34:AF69 AI34:AI69 AF72:AF116 AI72:AI116">
    <cfRule type="expression" dxfId="122" priority="12">
      <formula>AF$32="Variance"</formula>
    </cfRule>
  </conditionalFormatting>
  <conditionalFormatting sqref="AF119:AF152">
    <cfRule type="expression" dxfId="121" priority="4">
      <formula>AF$32="Variance"</formula>
    </cfRule>
  </conditionalFormatting>
  <conditionalFormatting sqref="AI119:AI152">
    <cfRule type="expression" dxfId="120" priority="3">
      <formula>AI$32="Variance"</formula>
    </cfRule>
  </conditionalFormatting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rowBreaks count="2" manualBreakCount="2">
    <brk id="70" min="13" max="30" man="1"/>
    <brk id="117" min="13" max="30" man="1"/>
  </rowBreaks>
  <customProperties>
    <customPr name="EpmWorksheetKeyString_GUID" r:id="rId2"/>
    <customPr name="FPMExcelClientCellBasedFunctionStatus" r:id="rId3"/>
    <customPr name="FPMExcelClientRefreshTime" r:id="rId4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5" tint="0.39997558519241921"/>
    <pageSetUpPr fitToPage="1"/>
  </sheetPr>
  <dimension ref="A1:AO113"/>
  <sheetViews>
    <sheetView topLeftCell="K25" zoomScale="85" zoomScaleNormal="85" workbookViewId="0">
      <pane xSplit="4" ySplit="8" topLeftCell="O33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3" width="9.7109375" style="1" hidden="1" customWidth="1" outlineLevel="1"/>
    <col min="14" max="14" width="41.7109375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40" width="0" style="1" hidden="1" customWidth="1" outlineLevel="1"/>
    <col min="41" max="41" width="9.140625" style="1" collapsed="1"/>
    <col min="42" max="16384" width="9.140625" style="1"/>
  </cols>
  <sheetData>
    <row r="1" spans="1:41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</row>
    <row r="2" spans="1:41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</row>
    <row r="3" spans="1:41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10" t="str">
        <f>IF(_epmOfflineCondition_,"FCST",_xll.EVPRO($B$1,$B$4,"GROUP"))</f>
        <v>FCST</v>
      </c>
      <c r="H4" s="11"/>
      <c r="I4" s="55"/>
      <c r="J4" s="55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11"/>
      <c r="H5" s="11"/>
      <c r="I5" s="55"/>
      <c r="J5" s="55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idden="1" outlineLevel="1" x14ac:dyDescent="0.25">
      <c r="A6" s="49" t="s">
        <v>52</v>
      </c>
      <c r="B6" s="52" t="s">
        <v>237</v>
      </c>
      <c r="C6" s="11" t="str">
        <f>IF(_epmOfflineCondition_,"Reservations",_xll.EVDES(B6,$B$1))</f>
        <v>Reservations</v>
      </c>
      <c r="D6" s="11"/>
      <c r="E6" s="54" t="str">
        <f>IF(_epmOfflineCondition_,"D1122",_xll.EVPRO($B$1,$B$6,$F$6))</f>
        <v>D1122</v>
      </c>
      <c r="F6" s="11" t="s">
        <v>278</v>
      </c>
      <c r="G6" s="11"/>
      <c r="H6" s="11"/>
      <c r="I6" s="55"/>
      <c r="J6" s="55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11"/>
      <c r="H7" s="11"/>
      <c r="I7" s="55"/>
      <c r="J7" s="55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11"/>
      <c r="H8" s="11"/>
      <c r="I8" s="55"/>
      <c r="J8" s="55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11"/>
      <c r="M12" s="11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  <c r="AJ12" s="11"/>
      <c r="AK12" s="11"/>
      <c r="AL12" s="11"/>
      <c r="AM12" s="11"/>
      <c r="AN12" s="11"/>
      <c r="AO12" s="11"/>
    </row>
    <row r="13" spans="1:41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11"/>
      <c r="M13" s="11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  <c r="AJ13" s="11"/>
      <c r="AK13" s="11"/>
      <c r="AL13" s="11"/>
      <c r="AM13" s="11"/>
      <c r="AN13" s="11"/>
      <c r="AO13" s="11"/>
    </row>
    <row r="14" spans="1:41" hidden="1" outlineLevel="1" x14ac:dyDescent="0.25">
      <c r="A14" s="56" t="str">
        <f>IF(_epmOfflineCondition_,"Evdre:Ok",_xll.EVDRE($B$1,A17:B24,A27:B33))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11"/>
      <c r="M14" s="11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  <c r="AJ14" s="11"/>
      <c r="AK14" s="11"/>
      <c r="AL14" s="11"/>
      <c r="AM14" s="11"/>
      <c r="AN14" s="11"/>
      <c r="AO14" s="11"/>
    </row>
    <row r="15" spans="1:41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11"/>
      <c r="M15" s="11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  <c r="AJ15" s="11"/>
      <c r="AK15" s="11"/>
      <c r="AL15" s="11"/>
      <c r="AM15" s="11"/>
      <c r="AN15" s="11"/>
      <c r="AO15" s="11"/>
    </row>
    <row r="16" spans="1:41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11"/>
      <c r="M16" s="11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  <c r="AJ16" s="11"/>
      <c r="AK16" s="11"/>
      <c r="AL16" s="11"/>
      <c r="AM16" s="11"/>
      <c r="AN16" s="11"/>
      <c r="AO16" s="11"/>
    </row>
    <row r="17" spans="1:41" hidden="1" outlineLevel="1" x14ac:dyDescent="0.25">
      <c r="A17" s="61" t="s">
        <v>2</v>
      </c>
      <c r="B17" s="62" t="str">
        <f>IF(_epmOfflineCondition_,"'Resv'!$B$2:$B$10",_xll.EVRNG($B$2:$B$10))</f>
        <v>'Resv'!$B$2:$B$10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11"/>
      <c r="M17" s="11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/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  <c r="AJ17" s="11"/>
      <c r="AK17" s="11"/>
      <c r="AL17" s="11"/>
      <c r="AM17" s="11"/>
      <c r="AN17" s="11"/>
      <c r="AO17" s="11"/>
    </row>
    <row r="18" spans="1:41" hidden="1" outlineLevel="1" x14ac:dyDescent="0.25">
      <c r="A18" s="61" t="s">
        <v>3</v>
      </c>
      <c r="B18" s="62" t="str">
        <f>IF(_epmOfflineCondition_,"'Resv'!$O$16:$AN$18",_xll.EVRNG($O$16:$AN$18))</f>
        <v>'Resv'!$O$16:$AN$18</v>
      </c>
      <c r="C18" s="11"/>
      <c r="D18" s="11"/>
      <c r="E18" s="11"/>
      <c r="F18" s="11"/>
      <c r="G18" s="11"/>
      <c r="H18" s="11"/>
      <c r="I18" s="55"/>
      <c r="J18" s="55"/>
      <c r="K18" s="11"/>
      <c r="L18" s="11"/>
      <c r="M18" s="11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60"/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  <c r="AJ18" s="11"/>
      <c r="AK18" s="11"/>
      <c r="AL18" s="11"/>
      <c r="AM18" s="11"/>
      <c r="AN18" s="11"/>
      <c r="AO18" s="11"/>
    </row>
    <row r="19" spans="1:41" hidden="1" outlineLevel="1" x14ac:dyDescent="0.25">
      <c r="A19" s="61" t="s">
        <v>4</v>
      </c>
      <c r="B19" s="62" t="str">
        <f>IF(_epmOfflineCondition_,"'Resv'!$H$34:$H$45",_xll.EVRNG(H34:H45))</f>
        <v>'Resv'!$H$34:$H$45</v>
      </c>
      <c r="C19" s="11"/>
      <c r="D19" s="11"/>
      <c r="E19" s="11"/>
      <c r="F19" s="11"/>
      <c r="G19" s="63" t="str">
        <f>$B$6</f>
        <v>D_RESV_CON</v>
      </c>
      <c r="H19" s="63">
        <v>700000</v>
      </c>
      <c r="I19" s="64"/>
      <c r="J19" s="64"/>
      <c r="K19" s="63"/>
      <c r="L19" s="63"/>
      <c r="M19" s="63"/>
      <c r="N19" s="63" t="str">
        <f>IF(_epmOfflineCondition_,"Total Operations Expense",_xll.EVDES(H19))</f>
        <v>Total Operations Expense</v>
      </c>
      <c r="O19" s="65">
        <f>IF(_epmOfflineCondition_,6768.27,_xll.EVGTS($B$1,1,$B$3,$B$5,$B$7,$B$9,O$16,O$17,O$18,$G$19,$H$19))</f>
        <v>6768.27</v>
      </c>
      <c r="P19" s="65">
        <f>IF(_epmOfflineCondition_,7056.28,_xll.EVGTS($B$1,1,$B$3,$B$5,$B$7,$B$9,P$16,P$17,P$18,$G$19,$H$19))</f>
        <v>7056.28</v>
      </c>
      <c r="Q19" s="65">
        <f>IF(_epmOfflineCondition_,8791.59,_xll.EVGTS($B$1,1,$B$3,$B$5,$B$7,$B$9,Q$16,Q$17,Q$18,$G$19,$H$19))</f>
        <v>8791.59</v>
      </c>
      <c r="R19" s="65">
        <f>IF(_epmOfflineCondition_,5918.2,_xll.EVGTS($B$1,1,$B$3,$B$5,$B$7,$B$9,R$16,R$17,R$18,$G$19,$H$19))</f>
        <v>5918.2</v>
      </c>
      <c r="S19" s="65">
        <f>IF(_epmOfflineCondition_,5358.23,_xll.EVGTS($B$1,1,$B$3,$B$5,$B$7,$B$9,S$16,S$17,S$18,$G$19,$H$19))</f>
        <v>5358.23</v>
      </c>
      <c r="T19" s="65">
        <f>IF(_epmOfflineCondition_,4263.92,_xll.EVGTS($B$1,1,$B$3,$B$5,$B$7,$B$9,T$16,T$17,T$18,$G$19,$H$19))</f>
        <v>4263.92</v>
      </c>
      <c r="U19" s="65">
        <f>IF(_epmOfflineCondition_,4207.7,_xll.EVGTS($B$1,1,$B$3,$B$5,$B$7,$B$9,U$16,U$17,U$18,$G$19,$H$19))</f>
        <v>4207.7</v>
      </c>
      <c r="V19" s="65">
        <f>IF(_epmOfflineCondition_,4210.1,_xll.EVGTS($B$1,1,$B$3,$B$5,$B$7,$B$9,V$16,V$17,V$18,$G$19,$H$19))</f>
        <v>4210.1000000000004</v>
      </c>
      <c r="W19" s="65">
        <f>IF(_epmOfflineCondition_,3129.31,_xll.EVGTS($B$1,1,$B$3,$B$5,$B$7,$B$9,W$16,W$17,W$18,$G$19,$H$19))</f>
        <v>3129.31</v>
      </c>
      <c r="X19" s="65">
        <f>IF(_epmOfflineCondition_,4243.97,_xll.EVGTS($B$1,1,$B$3,$B$5,$B$7,$B$9,X$16,X$17,X$18,$G$19,$H$19))</f>
        <v>4243.97</v>
      </c>
      <c r="Y19" s="65">
        <f>IF(_epmOfflineCondition_,5603.34,_xll.EVGTS($B$1,1,$B$3,$B$5,$B$7,$B$9,Y$16,Y$17,Y$18,$G$19,$H$19))</f>
        <v>5603.34</v>
      </c>
      <c r="Z19" s="65">
        <f>IF(_epmOfflineCondition_,9871.95,_xll.EVGTS($B$1,1,$B$3,$B$5,$B$7,$B$9,Z$16,Z$17,Z$18,$G$19,$H$19))</f>
        <v>9871.9500000000007</v>
      </c>
      <c r="AA19" s="65">
        <f>SUM(O19:Z19)</f>
        <v>69422.859999999986</v>
      </c>
      <c r="AB19" s="63"/>
      <c r="AC19" s="63"/>
      <c r="AD19" s="65">
        <f>IF(_epmOfflineCondition_,94869.2352,_xll.EVGTS($B$1,1,$B$3,$B$5,$B$7,$B$9,AD$16,AD$17,AD$18,$G$19,$H$19))</f>
        <v>94869.235199999996</v>
      </c>
      <c r="AE19" s="63"/>
      <c r="AF19" s="63"/>
      <c r="AG19" s="65">
        <f>IF(_epmOfflineCondition_,32045.99,_xll.EVGTS($B$1,1,$B$3,$B$5,$B$7,$B$9,AG$16,AG$17,AG$18,$G$19,$H$19))</f>
        <v>32045.99</v>
      </c>
      <c r="AH19" s="63"/>
      <c r="AI19" s="63"/>
      <c r="AJ19" s="11"/>
      <c r="AK19" s="11"/>
      <c r="AL19" s="11"/>
      <c r="AM19" s="11"/>
      <c r="AN19" s="11"/>
      <c r="AO19" s="11"/>
    </row>
    <row r="20" spans="1:41" hidden="1" outlineLevel="1" x14ac:dyDescent="0.25">
      <c r="A20" s="61" t="s">
        <v>5</v>
      </c>
      <c r="B20" s="62"/>
      <c r="C20" s="11"/>
      <c r="D20" s="11"/>
      <c r="E20" s="11"/>
      <c r="F20" s="11"/>
      <c r="G20" s="63" t="str">
        <f>$B$6</f>
        <v>D_RESV_CON</v>
      </c>
      <c r="H20" s="63" t="s">
        <v>236</v>
      </c>
      <c r="I20" s="64"/>
      <c r="J20" s="64"/>
      <c r="K20" s="63"/>
      <c r="L20" s="63"/>
      <c r="M20" s="63"/>
      <c r="N20" s="63" t="str">
        <f>IF(_epmOfflineCondition_,"Total # of Net Reservation Taken",_xll.EVDES(H20))</f>
        <v>Total # of Net Reservation Taken</v>
      </c>
      <c r="O20" s="65">
        <f>IF(_epmOfflineCondition_,0,_xll.EVGTS($B$1,1,$B$3,$B$5,$B$7,$B$9,O$16,O$17,O$18,$G$20,$H$20))</f>
        <v>0</v>
      </c>
      <c r="P20" s="65">
        <f>IF(_epmOfflineCondition_,10,_xll.EVGTS($B$1,1,$B$3,$B$5,$B$7,$B$9,P$16,P$17,P$18,$G$20,$H$20))</f>
        <v>10</v>
      </c>
      <c r="Q20" s="65">
        <f>IF(_epmOfflineCondition_,134,_xll.EVGTS($B$1,1,$B$3,$B$5,$B$7,$B$9,Q$16,Q$17,Q$18,$G$20,$H$20))</f>
        <v>134</v>
      </c>
      <c r="R20" s="65">
        <f>IF(_epmOfflineCondition_,58,_xll.EVGTS($B$1,1,$B$3,$B$5,$B$7,$B$9,R$16,R$17,R$18,$G$20,$H$20))</f>
        <v>58</v>
      </c>
      <c r="S20" s="65">
        <f>IF(_epmOfflineCondition_,63,_xll.EVGTS($B$1,1,$B$3,$B$5,$B$7,$B$9,S$16,S$17,S$18,$G$20,$H$20))</f>
        <v>63</v>
      </c>
      <c r="T20" s="65">
        <f>IF(_epmOfflineCondition_,108,_xll.EVGTS($B$1,1,$B$3,$B$5,$B$7,$B$9,T$16,T$17,T$18,$G$20,$H$20))</f>
        <v>108</v>
      </c>
      <c r="U20" s="65">
        <f>IF(_epmOfflineCondition_,21,_xll.EVGTS($B$1,1,$B$3,$B$5,$B$7,$B$9,U$16,U$17,U$18,$G$20,$H$20))</f>
        <v>21</v>
      </c>
      <c r="V20" s="65">
        <f>IF(_epmOfflineCondition_,23,_xll.EVGTS($B$1,1,$B$3,$B$5,$B$7,$B$9,V$16,V$17,V$18,$G$20,$H$20))</f>
        <v>23</v>
      </c>
      <c r="W20" s="65">
        <f>IF(_epmOfflineCondition_,64,_xll.EVGTS($B$1,1,$B$3,$B$5,$B$7,$B$9,W$16,W$17,W$18,$G$20,$H$20))</f>
        <v>64</v>
      </c>
      <c r="X20" s="65">
        <f>IF(_epmOfflineCondition_,169,_xll.EVGTS($B$1,1,$B$3,$B$5,$B$7,$B$9,X$16,X$17,X$18,$G$20,$H$20))</f>
        <v>169</v>
      </c>
      <c r="Y20" s="65">
        <f>IF(_epmOfflineCondition_,72,_xll.EVGTS($B$1,1,$B$3,$B$5,$B$7,$B$9,Y$16,Y$17,Y$18,$G$20,$H$20))</f>
        <v>72</v>
      </c>
      <c r="Z20" s="65">
        <f>IF(_epmOfflineCondition_,124,_xll.EVGTS($B$1,1,$B$3,$B$5,$B$7,$B$9,Z$16,Z$17,Z$18,$G$20,$H$20))</f>
        <v>124</v>
      </c>
      <c r="AA20" s="65">
        <f>SUM(O20:Z20)</f>
        <v>846</v>
      </c>
      <c r="AB20" s="63"/>
      <c r="AC20" s="63"/>
      <c r="AD20" s="65">
        <f>IF(_epmOfflineCondition_,581.967,_xll.EVGTS($B$1,1,$B$3,$B$5,$B$7,$B$9,AD$16,AD$17,AD$18,$G$20,$H$20))</f>
        <v>581.96699999999998</v>
      </c>
      <c r="AE20" s="63"/>
      <c r="AF20" s="63"/>
      <c r="AG20" s="65">
        <f>IF(_epmOfflineCondition_,170,_xll.EVGTS($B$1,1,$B$3,$B$5,$B$7,$B$9,AG$16,AG$17,AG$18,$G$20,$H$20))</f>
        <v>170</v>
      </c>
      <c r="AH20" s="63"/>
      <c r="AI20" s="63"/>
      <c r="AJ20" s="11"/>
      <c r="AK20" s="11"/>
      <c r="AL20" s="11"/>
      <c r="AM20" s="11"/>
      <c r="AN20" s="11"/>
      <c r="AO20" s="11"/>
    </row>
    <row r="21" spans="1:41" hidden="1" outlineLevel="1" x14ac:dyDescent="0.25">
      <c r="A21" s="61" t="s">
        <v>6</v>
      </c>
      <c r="B21" s="62"/>
      <c r="C21" s="11"/>
      <c r="D21" s="11"/>
      <c r="E21" s="11"/>
      <c r="F21" s="11"/>
      <c r="G21" s="63" t="s">
        <v>254</v>
      </c>
      <c r="H21" s="63">
        <v>990100</v>
      </c>
      <c r="I21" s="357" t="str">
        <f>IF($G$4="ACTUAL","CURRENT",$B$4)</f>
        <v>CURRENT</v>
      </c>
      <c r="J21" s="64"/>
      <c r="K21" s="63"/>
      <c r="L21" s="63"/>
      <c r="M21" s="63"/>
      <c r="N21" s="63" t="str">
        <f>IF(_epmOfflineCondition_,"Number of Rooms on Property",_xll.EVDES(H21))</f>
        <v>Number of Rooms on Property</v>
      </c>
      <c r="O21" s="65">
        <f>IF(_epmOfflineCondition_,132,_xll.EVGTS($B$1,1,$B$3,$B$5,$B$7,$B$9,O$16,$I$21,O$18,$G$21,$H$21))</f>
        <v>132</v>
      </c>
      <c r="P21" s="65">
        <f>IF(_epmOfflineCondition_,132,_xll.EVGTS($B$1,1,$B$3,$B$5,$B$7,$B$9,P$16,$I$21,P$18,$G$21,$H$21))</f>
        <v>132</v>
      </c>
      <c r="Q21" s="65">
        <f>IF(_epmOfflineCondition_,132,_xll.EVGTS($B$1,1,$B$3,$B$5,$B$7,$B$9,Q$16,$I$21,Q$18,$G$21,$H$21))</f>
        <v>132</v>
      </c>
      <c r="R21" s="65">
        <f>IF(_epmOfflineCondition_,132,_xll.EVGTS($B$1,1,$B$3,$B$5,$B$7,$B$9,R$16,$I$21,R$18,$G$21,$H$21))</f>
        <v>132</v>
      </c>
      <c r="S21" s="65">
        <f>IF(_epmOfflineCondition_,132,_xll.EVGTS($B$1,1,$B$3,$B$5,$B$7,$B$9,S$16,$I$21,S$18,$G$21,$H$21))</f>
        <v>132</v>
      </c>
      <c r="T21" s="65">
        <f>IF(_epmOfflineCondition_,132,_xll.EVGTS($B$1,1,$B$3,$B$5,$B$7,$B$9,T$16,$I$21,T$18,$G$21,$H$21))</f>
        <v>132</v>
      </c>
      <c r="U21" s="65">
        <f>IF(_epmOfflineCondition_,132,_xll.EVGTS($B$1,1,$B$3,$B$5,$B$7,$B$9,U$16,$I$21,U$18,$G$21,$H$21))</f>
        <v>132</v>
      </c>
      <c r="V21" s="65">
        <f>IF(_epmOfflineCondition_,132,_xll.EVGTS($B$1,1,$B$3,$B$5,$B$7,$B$9,V$16,$I$21,V$18,$G$21,$H$21))</f>
        <v>132</v>
      </c>
      <c r="W21" s="65">
        <f>IF(_epmOfflineCondition_,132,_xll.EVGTS($B$1,1,$B$3,$B$5,$B$7,$B$9,W$16,$I$21,W$18,$G$21,$H$21))</f>
        <v>132</v>
      </c>
      <c r="X21" s="65">
        <f>IF(_epmOfflineCondition_,132,_xll.EVGTS($B$1,1,$B$3,$B$5,$B$7,$B$9,X$16,$I$21,X$18,$G$21,$H$21))</f>
        <v>132</v>
      </c>
      <c r="Y21" s="65">
        <f>IF(_epmOfflineCondition_,132,_xll.EVGTS($B$1,1,$B$3,$B$5,$B$7,$B$9,Y$16,$I$21,Y$18,$G$21,$H$21))</f>
        <v>132</v>
      </c>
      <c r="Z21" s="65">
        <f>IF(_epmOfflineCondition_,132,_xll.EVGTS($B$1,1,$B$3,$B$5,$B$7,$B$9,Z$16,$I$21,Z$18,$G$21,$H$21))</f>
        <v>132</v>
      </c>
      <c r="AA21" s="65">
        <f>SUM(O21:Z21)</f>
        <v>1584</v>
      </c>
      <c r="AB21" s="63"/>
      <c r="AC21" s="63"/>
      <c r="AD21" s="358">
        <f>IF(_epmOfflineCondition_,1584,_xll.EVGTS($B$1,1,$B$3,$B$5,$B$7,$B$9,AD$16,$AE$21,"PERIODIC",$G$21,$H$21))</f>
        <v>1584</v>
      </c>
      <c r="AE21" s="63" t="s">
        <v>255</v>
      </c>
      <c r="AF21" s="63"/>
      <c r="AG21" s="358">
        <f>IF(_epmOfflineCondition_,1496,_xll.EVGTS($B$1,1,$B$3,$B$5,$B$7,$B$9,AG$16,$AH$21,"PERIODIC",$G$21,$H$21))</f>
        <v>1496</v>
      </c>
      <c r="AH21" s="63" t="s">
        <v>255</v>
      </c>
      <c r="AI21" s="63"/>
      <c r="AJ21" s="11"/>
      <c r="AK21" s="11"/>
      <c r="AL21" s="11"/>
      <c r="AM21" s="11"/>
      <c r="AN21" s="11"/>
      <c r="AO21" s="11"/>
    </row>
    <row r="22" spans="1:41" hidden="1" outlineLevel="1" x14ac:dyDescent="0.25">
      <c r="A22" s="61" t="s">
        <v>7</v>
      </c>
      <c r="B22" s="62" t="str">
        <f>IF(_epmOfflineCondition_,"'Resv'!$A$36:$F$41",_xll.EVRNG(A36:F41))</f>
        <v>'Resv'!$A$36:$F$41</v>
      </c>
      <c r="C22" s="11"/>
      <c r="D22" s="11"/>
      <c r="E22" s="11"/>
      <c r="F22" s="11"/>
      <c r="G22" s="63" t="s">
        <v>750</v>
      </c>
      <c r="H22" s="63">
        <v>900200</v>
      </c>
      <c r="I22" s="64"/>
      <c r="J22" s="64"/>
      <c r="K22" s="63"/>
      <c r="L22" s="64"/>
      <c r="M22" s="64"/>
      <c r="N22" s="63" t="str">
        <f>IF(_epmOfflineCondition_,"Total Rooms Occupied",_xll.EVDES(H22))</f>
        <v>Total Rooms Occupied</v>
      </c>
      <c r="O22" s="65">
        <f>IF(_epmOfflineCondition_,2885,_xll.EVGTS($B$1,1,$B$3,$B$5,$B$7,$B$9,O$16,O$17,O$18,$G$22,$H$22))</f>
        <v>2885</v>
      </c>
      <c r="P22" s="65">
        <f>IF(_epmOfflineCondition_,2648,_xll.EVGTS($B$1,1,$B$3,$B$5,$B$7,$B$9,P$16,P$17,P$18,$G$22,$H$22))</f>
        <v>2648</v>
      </c>
      <c r="Q22" s="65">
        <f>IF(_epmOfflineCondition_,3038,_xll.EVGTS($B$1,1,$B$3,$B$5,$B$7,$B$9,Q$16,Q$17,Q$18,$G$22,$H$22))</f>
        <v>3038</v>
      </c>
      <c r="R22" s="65">
        <f>IF(_epmOfflineCondition_,2737,_xll.EVGTS($B$1,1,$B$3,$B$5,$B$7,$B$9,R$16,R$17,R$18,$G$22,$H$22))</f>
        <v>2737</v>
      </c>
      <c r="S22" s="65">
        <f>IF(_epmOfflineCondition_,2600,_xll.EVGTS($B$1,1,$B$3,$B$5,$B$7,$B$9,S$16,S$17,S$18,$G$22,$H$22))</f>
        <v>2600</v>
      </c>
      <c r="T22" s="65">
        <f>IF(_epmOfflineCondition_,2202,_xll.EVGTS($B$1,1,$B$3,$B$5,$B$7,$B$9,T$16,T$17,T$18,$G$22,$H$22))</f>
        <v>2202</v>
      </c>
      <c r="U22" s="65">
        <f>IF(_epmOfflineCondition_,2516,_xll.EVGTS($B$1,1,$B$3,$B$5,$B$7,$B$9,U$16,U$17,U$18,$G$22,$H$22))</f>
        <v>2516</v>
      </c>
      <c r="V22" s="65">
        <f>IF(_epmOfflineCondition_,2830,_xll.EVGTS($B$1,1,$B$3,$B$5,$B$7,$B$9,V$16,V$17,V$18,$G$22,$H$22))</f>
        <v>2830</v>
      </c>
      <c r="W22" s="65">
        <f>IF(_epmOfflineCondition_,2120,_xll.EVGTS($B$1,1,$B$3,$B$5,$B$7,$B$9,W$16,W$17,W$18,$G$22,$H$22))</f>
        <v>2120</v>
      </c>
      <c r="X22" s="65">
        <f>IF(_epmOfflineCondition_,2772,_xll.EVGTS($B$1,1,$B$3,$B$5,$B$7,$B$9,X$16,X$17,X$18,$G$22,$H$22))</f>
        <v>2772</v>
      </c>
      <c r="Y22" s="65">
        <f>IF(_epmOfflineCondition_,2993,_xll.EVGTS($B$1,1,$B$3,$B$5,$B$7,$B$9,Y$16,Y$17,Y$18,$G$22,$H$22))</f>
        <v>2993</v>
      </c>
      <c r="Z22" s="65">
        <f>IF(_epmOfflineCondition_,3541,_xll.EVGTS($B$1,1,$B$3,$B$5,$B$7,$B$9,Z$16,Z$17,Z$18,$G$22,$H$22))</f>
        <v>3541</v>
      </c>
      <c r="AA22" s="65">
        <f>SUM(O22:Z22)</f>
        <v>32882</v>
      </c>
      <c r="AB22" s="63"/>
      <c r="AC22" s="63"/>
      <c r="AD22" s="65">
        <f>IF(_epmOfflineCondition_,36386,_xll.EVGTS($B$1,1,$B$3,$B$5,$B$7,$B$9,AD$16,AD$17,AD$18,$G$22,$H$22))</f>
        <v>36386</v>
      </c>
      <c r="AE22" s="63"/>
      <c r="AF22" s="63"/>
      <c r="AG22" s="65">
        <f>IF(_epmOfflineCondition_,15180,_xll.EVGTS($B$1,1,$B$3,$B$5,$B$7,$B$9,AG$16,AG$17,AG$18,$G$22,$H$22))</f>
        <v>15180</v>
      </c>
      <c r="AH22" s="63"/>
      <c r="AI22" s="63"/>
      <c r="AJ22" s="11"/>
      <c r="AK22" s="11"/>
      <c r="AL22" s="11"/>
      <c r="AM22" s="11"/>
      <c r="AN22" s="11"/>
      <c r="AO22" s="11"/>
    </row>
    <row r="23" spans="1:41" hidden="1" outlineLevel="1" x14ac:dyDescent="0.25">
      <c r="A23" s="61" t="s">
        <v>47</v>
      </c>
      <c r="B23" s="62" t="str">
        <f>IF(_epmOfflineCondition_,"'Resv'!$A$87:$B$108",_xll.EVRNG($A$87:$B$108))</f>
        <v>'Resv'!$A$87:$B$108</v>
      </c>
      <c r="C23" s="11"/>
      <c r="D23" s="11"/>
      <c r="E23" s="11"/>
      <c r="F23" s="11"/>
      <c r="G23" s="11"/>
      <c r="H23" s="11"/>
      <c r="I23" s="55"/>
      <c r="J23" s="55"/>
      <c r="K23" s="6"/>
      <c r="L23" s="6"/>
      <c r="M23" s="6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22.5" x14ac:dyDescent="0.3">
      <c r="A26" s="57" t="s">
        <v>9</v>
      </c>
      <c r="B26" s="58" t="s">
        <v>10</v>
      </c>
      <c r="C26" s="11"/>
      <c r="D26" s="11"/>
      <c r="E26" s="11"/>
      <c r="F26" s="11"/>
      <c r="G26" s="11"/>
      <c r="H26" s="11"/>
      <c r="I26" s="55"/>
      <c r="J26" s="55"/>
      <c r="K26" s="11"/>
      <c r="L26" s="11"/>
      <c r="M26" s="11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8" x14ac:dyDescent="0.25">
      <c r="A27" s="61" t="s">
        <v>11</v>
      </c>
      <c r="B27" s="62" t="s">
        <v>21</v>
      </c>
      <c r="C27" s="11"/>
      <c r="D27" s="11"/>
      <c r="E27" s="11"/>
      <c r="F27" s="11"/>
      <c r="G27" s="11"/>
      <c r="H27" s="11"/>
      <c r="I27" s="55"/>
      <c r="J27" s="55"/>
      <c r="K27" s="11"/>
      <c r="L27" s="11"/>
      <c r="M27" s="11"/>
      <c r="N27" s="67" t="str">
        <f>IF(_epmOfflineCondition_,"Reservations Department",IF(_xll.EVDES(B6,$B$1)="#NODATA","",_xll.EVDES(B6,$B$1)&amp;" Department"))</f>
        <v>Reservations Department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x14ac:dyDescent="0.25">
      <c r="A28" s="61" t="s">
        <v>12</v>
      </c>
      <c r="B28" s="62" t="s">
        <v>22</v>
      </c>
      <c r="C28" s="11"/>
      <c r="D28" s="11"/>
      <c r="E28" s="11"/>
      <c r="F28" s="11"/>
      <c r="G28" s="11"/>
      <c r="H28" s="11"/>
      <c r="I28" s="55"/>
      <c r="J28" s="55"/>
      <c r="K28" s="11"/>
      <c r="L28" s="11"/>
      <c r="M28" s="11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" customHeight="1" x14ac:dyDescent="0.25">
      <c r="A29" s="61" t="s">
        <v>13</v>
      </c>
      <c r="B29" s="62" t="s">
        <v>256</v>
      </c>
      <c r="C29" s="11"/>
      <c r="D29" s="11"/>
      <c r="E29" s="11"/>
      <c r="F29" s="11"/>
      <c r="G29" s="11"/>
      <c r="H29" s="11"/>
      <c r="I29" s="55"/>
      <c r="J29" s="55"/>
      <c r="K29" s="11"/>
      <c r="L29" s="11"/>
      <c r="M29" s="11"/>
      <c r="N29" s="68" t="str">
        <f>IF(_epmOfflineCondition_,"Local Currency",_xll.EVDES(B9,B1))</f>
        <v>Local Currency</v>
      </c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x14ac:dyDescent="0.25">
      <c r="A30" s="61" t="s">
        <v>14</v>
      </c>
      <c r="B30" s="62"/>
      <c r="C30" s="11"/>
      <c r="D30" s="11"/>
      <c r="E30" s="11"/>
      <c r="F30" s="11"/>
      <c r="G30" s="11"/>
      <c r="H30" s="11"/>
      <c r="I30" s="55"/>
      <c r="J30" s="55"/>
      <c r="K30" s="11"/>
      <c r="L30" s="11"/>
      <c r="M30" s="11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  <c r="AJ30" s="69" t="s">
        <v>749</v>
      </c>
      <c r="AK30" s="70"/>
      <c r="AL30" s="70"/>
      <c r="AM30" s="71"/>
      <c r="AN30" s="70"/>
      <c r="AO30" s="11"/>
    </row>
    <row r="31" spans="1:41" x14ac:dyDescent="0.25">
      <c r="A31" s="61" t="s">
        <v>15</v>
      </c>
      <c r="B31" s="62"/>
      <c r="C31" s="11"/>
      <c r="D31" s="11"/>
      <c r="E31" s="11"/>
      <c r="F31" s="11"/>
      <c r="G31" s="72"/>
      <c r="H31" s="11"/>
      <c r="I31" s="55"/>
      <c r="J31" s="55"/>
      <c r="K31" s="55"/>
      <c r="L31" s="55"/>
      <c r="M31" s="55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  <c r="AJ31" s="73" t="str">
        <f>IF(_epmOfflineCondition_,"2019",_xll.EVPRO($B$1,AA$16,"YEAR"))</f>
        <v>2019</v>
      </c>
      <c r="AK31" s="76" t="str">
        <f>IF(_epmOfflineCondition_,"2019",_xll.EVPRO($B$1,AD$16,"YEAR"))</f>
        <v>2019</v>
      </c>
      <c r="AL31" s="73"/>
      <c r="AM31" s="76" t="str">
        <f>IF(_epmOfflineCondition_,"2018",_xll.EVPRO($B$1,AG$16,"YEAR"))</f>
        <v>2018</v>
      </c>
      <c r="AN31" s="73"/>
      <c r="AO31" s="11"/>
    </row>
    <row r="32" spans="1:41" s="8" customFormat="1" ht="30" customHeight="1" x14ac:dyDescent="0.25">
      <c r="A32" s="77" t="s">
        <v>16</v>
      </c>
      <c r="B32" s="78"/>
      <c r="C32" s="79"/>
      <c r="D32" s="79"/>
      <c r="E32" s="79"/>
      <c r="F32" s="79"/>
      <c r="G32" s="359"/>
      <c r="H32" s="80"/>
      <c r="I32" s="81"/>
      <c r="J32" s="81"/>
      <c r="K32" s="174" t="s">
        <v>117</v>
      </c>
      <c r="L32" s="174"/>
      <c r="M32" s="174"/>
      <c r="N32" s="82" t="s">
        <v>120</v>
      </c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  <c r="AJ32" s="83" t="str">
        <f>Z32</f>
        <v>Actual</v>
      </c>
      <c r="AK32" s="76" t="str">
        <f>AD32</f>
        <v>Budget</v>
      </c>
      <c r="AL32" s="83" t="s">
        <v>748</v>
      </c>
      <c r="AM32" s="83" t="str">
        <f>AG32</f>
        <v>Actual</v>
      </c>
      <c r="AN32" s="83" t="s">
        <v>748</v>
      </c>
      <c r="AO32" s="79"/>
    </row>
    <row r="33" spans="1:41" x14ac:dyDescent="0.25">
      <c r="A33" s="61" t="s">
        <v>17</v>
      </c>
      <c r="B33" s="62"/>
      <c r="C33" s="11"/>
      <c r="D33" s="11"/>
      <c r="E33" s="11"/>
      <c r="F33" s="11"/>
      <c r="G33" s="72"/>
      <c r="H33" s="11" t="s">
        <v>239</v>
      </c>
      <c r="I33" s="55" t="str">
        <f>IF(_epmOfflineCondition_,"B1",_xll.EVPRO($B$1,$H33,"STYLE"))</f>
        <v>B1</v>
      </c>
      <c r="J33" s="55" t="str">
        <f>IF(_epmOfflineCondition_,"Y",_xll.EVPRO($B$1,$H33,"CALC"))</f>
        <v>Y</v>
      </c>
      <c r="K33" s="11"/>
      <c r="L33" s="129" t="s">
        <v>364</v>
      </c>
      <c r="M33" s="129" t="s">
        <v>783</v>
      </c>
      <c r="N33" s="101" t="str">
        <f>IF(_epmOfflineCondition_,"Reservations Expenses",IF(_xll.EVDES(H33,$B$1)="#NODATA","",_xll.EVDES(H33,$B$1)))</f>
        <v>Reservations Expenses</v>
      </c>
      <c r="O33" s="125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7"/>
      <c r="AC33" s="11"/>
      <c r="AD33" s="125"/>
      <c r="AE33" s="126"/>
      <c r="AF33" s="127"/>
      <c r="AG33" s="125"/>
      <c r="AH33" s="126"/>
      <c r="AI33" s="127"/>
      <c r="AJ33" s="11"/>
      <c r="AK33" s="11"/>
      <c r="AL33" s="11"/>
      <c r="AM33" s="11"/>
      <c r="AN33" s="11"/>
      <c r="AO33" s="11"/>
    </row>
    <row r="34" spans="1:41" x14ac:dyDescent="0.25">
      <c r="A34" s="11"/>
      <c r="B34" s="11"/>
      <c r="C34" s="11"/>
      <c r="D34" s="11"/>
      <c r="E34" s="11"/>
      <c r="F34" s="11"/>
      <c r="G34" s="72"/>
      <c r="H34" s="84" t="s">
        <v>220</v>
      </c>
      <c r="I34" s="118" t="str">
        <f>IF(_epmOfflineCondition_,"N",_xll.EVPRO($B$1,$H34,"STYLE"))</f>
        <v>N</v>
      </c>
      <c r="J34" s="118" t="str">
        <f>IF(_epmOfflineCondition_,"N",_xll.EVPRO($B$1,$H34,"CALC"))</f>
        <v>N</v>
      </c>
      <c r="K34" s="175" t="str">
        <f t="shared" ref="K34:K45" si="0">IF(AND(I34&gt;="T5"),"&gt;","")</f>
        <v/>
      </c>
      <c r="L34" s="86" t="str">
        <f>IF(_epmOfflineCondition_,"710150",_xll.EVPRO($B$1,H34,"JDEID"))</f>
        <v>710150</v>
      </c>
      <c r="M34" s="86" t="str">
        <f>IF(_epmOfflineCondition_,"590165",IF(AND(I34="N",J34="N"),_xll.EVPRO($B$1,H34,"PSFTID"),""))</f>
        <v>590165</v>
      </c>
      <c r="N34" s="86" t="str">
        <f>IF(_epmOfflineCondition_,"CRS Call Fee",IF(_xll.EVDES(H34,$B$1)="#NODATA","",_xll.EVDES(H34,$B$1)))</f>
        <v>CRS Call Fee</v>
      </c>
      <c r="O34" s="134"/>
      <c r="P34" s="134"/>
      <c r="Q34" s="134"/>
      <c r="R34" s="134"/>
      <c r="S34" s="134"/>
      <c r="T34" s="134"/>
      <c r="U34" s="134"/>
      <c r="V34" s="134"/>
      <c r="W34" s="134"/>
      <c r="X34" s="134"/>
      <c r="Y34" s="134"/>
      <c r="Z34" s="134"/>
      <c r="AA34" s="223">
        <f t="shared" ref="AA34:AA45" si="1">IF($I34="B1","",SUM(O34:Z34))</f>
        <v>0</v>
      </c>
      <c r="AB34" s="138" t="str">
        <f t="shared" ref="AB34:AB45" si="2">IF(AA34=0,"",IFERROR(AA34/AA$19,""))</f>
        <v/>
      </c>
      <c r="AC34" s="136"/>
      <c r="AD34" s="134"/>
      <c r="AE34" s="138" t="str">
        <f t="shared" ref="AE34:AE45" si="3">IF(AD34=0,"",IFERROR(AD34/AD$19,""))</f>
        <v/>
      </c>
      <c r="AF34" s="137">
        <f t="shared" ref="AF34:AF45" si="4">IF(AND($AA34="",AD34=""),"",$AA34-AD34)</f>
        <v>0</v>
      </c>
      <c r="AG34" s="134">
        <v>917.79</v>
      </c>
      <c r="AH34" s="138">
        <f t="shared" ref="AH34:AH45" si="5">IF(AG34=0,"",IFERROR(AG34/AG$19,""))</f>
        <v>2.8639776770822183E-2</v>
      </c>
      <c r="AI34" s="137">
        <f t="shared" ref="AI34:AI45" si="6">IF(AND($AA34="",AG34=""),"",$AA34-AG34)</f>
        <v>-917.79</v>
      </c>
      <c r="AJ34" s="224">
        <f t="shared" ref="AJ34:AJ45" si="7">IFERROR(AA34/AA$22,0)</f>
        <v>0</v>
      </c>
      <c r="AK34" s="225">
        <f t="shared" ref="AK34:AK45" si="8">IFERROR(AD34/AD$22,0)</f>
        <v>0</v>
      </c>
      <c r="AL34" s="226">
        <f t="shared" ref="AL34:AL45" si="9">AJ34-AK34</f>
        <v>0</v>
      </c>
      <c r="AM34" s="227">
        <f t="shared" ref="AM34:AM45" si="10">IFERROR(AG34/AG$22,0)</f>
        <v>6.0460474308300392E-2</v>
      </c>
      <c r="AN34" s="226">
        <f t="shared" ref="AN34:AN45" si="11">AJ34-AM34</f>
        <v>-6.0460474308300392E-2</v>
      </c>
      <c r="AO34" s="11"/>
    </row>
    <row r="35" spans="1:41" x14ac:dyDescent="0.25">
      <c r="A35" s="93" t="s">
        <v>92</v>
      </c>
      <c r="B35" s="94" t="s">
        <v>93</v>
      </c>
      <c r="C35" s="94" t="s">
        <v>94</v>
      </c>
      <c r="D35" s="94" t="s">
        <v>95</v>
      </c>
      <c r="E35" s="94" t="s">
        <v>96</v>
      </c>
      <c r="F35" s="95" t="s">
        <v>97</v>
      </c>
      <c r="G35" s="72"/>
      <c r="H35" s="84" t="s">
        <v>221</v>
      </c>
      <c r="I35" s="118" t="str">
        <f>IF(_epmOfflineCondition_,"N",_xll.EVPRO($B$1,$H35,"STYLE"))</f>
        <v>N</v>
      </c>
      <c r="J35" s="118" t="str">
        <f>IF(_epmOfflineCondition_,"N",_xll.EVPRO($B$1,$H35,"CALC"))</f>
        <v>N</v>
      </c>
      <c r="K35" s="175" t="str">
        <f t="shared" si="0"/>
        <v/>
      </c>
      <c r="L35" s="86" t="str">
        <f>IF(_epmOfflineCondition_,"710140",_xll.EVPRO($B$1,H35,"JDEID"))</f>
        <v>710140</v>
      </c>
      <c r="M35" s="86" t="str">
        <f>IF(_epmOfflineCondition_,"590171",IF(AND(I35="N",J35="N"),_xll.EVPRO($B$1,H35,"PSFTID"),""))</f>
        <v>590171</v>
      </c>
      <c r="N35" s="86" t="str">
        <f>IF(_epmOfflineCondition_,"Net Booking Fee",IF(_xll.EVDES(H35,$B$1)="#NODATA","",_xll.EVDES(H35,$B$1)))</f>
        <v>Net Booking Fee</v>
      </c>
      <c r="O35" s="134"/>
      <c r="P35" s="134"/>
      <c r="Q35" s="134"/>
      <c r="R35" s="134"/>
      <c r="S35" s="134"/>
      <c r="T35" s="134"/>
      <c r="U35" s="134"/>
      <c r="V35" s="134"/>
      <c r="W35" s="134"/>
      <c r="X35" s="134"/>
      <c r="Y35" s="134"/>
      <c r="Z35" s="134"/>
      <c r="AA35" s="223">
        <f t="shared" si="1"/>
        <v>0</v>
      </c>
      <c r="AB35" s="138" t="str">
        <f t="shared" si="2"/>
        <v/>
      </c>
      <c r="AC35" s="136"/>
      <c r="AD35" s="134"/>
      <c r="AE35" s="138" t="str">
        <f t="shared" si="3"/>
        <v/>
      </c>
      <c r="AF35" s="137">
        <f t="shared" si="4"/>
        <v>0</v>
      </c>
      <c r="AG35" s="134">
        <v>2.11</v>
      </c>
      <c r="AH35" s="138">
        <f t="shared" si="5"/>
        <v>6.5842871448190543E-5</v>
      </c>
      <c r="AI35" s="137">
        <f t="shared" si="6"/>
        <v>-2.11</v>
      </c>
      <c r="AJ35" s="224">
        <f t="shared" si="7"/>
        <v>0</v>
      </c>
      <c r="AK35" s="225">
        <f t="shared" si="8"/>
        <v>0</v>
      </c>
      <c r="AL35" s="226">
        <f t="shared" si="9"/>
        <v>0</v>
      </c>
      <c r="AM35" s="227">
        <f t="shared" si="10"/>
        <v>1.3899868247694333E-4</v>
      </c>
      <c r="AN35" s="226">
        <f t="shared" si="11"/>
        <v>-1.3899868247694333E-4</v>
      </c>
      <c r="AO35" s="11"/>
    </row>
    <row r="36" spans="1:41" x14ac:dyDescent="0.25">
      <c r="A36" s="11"/>
      <c r="B36" s="11"/>
      <c r="C36" s="11"/>
      <c r="D36" s="11"/>
      <c r="E36" s="11"/>
      <c r="F36" s="11"/>
      <c r="G36" s="72"/>
      <c r="H36" s="84" t="s">
        <v>222</v>
      </c>
      <c r="I36" s="118" t="str">
        <f>IF(_epmOfflineCondition_,"N",_xll.EVPRO($B$1,$H36,"STYLE"))</f>
        <v>N</v>
      </c>
      <c r="J36" s="118" t="str">
        <f>IF(_epmOfflineCondition_,"N",_xll.EVPRO($B$1,$H36,"CALC"))</f>
        <v>N</v>
      </c>
      <c r="K36" s="175" t="str">
        <f t="shared" si="0"/>
        <v/>
      </c>
      <c r="L36" s="86" t="str">
        <f>IF(_epmOfflineCondition_,"710145",_xll.EVPRO($B$1,H36,"JDEID"))</f>
        <v>710145</v>
      </c>
      <c r="M36" s="86" t="str">
        <f>IF(_epmOfflineCondition_,"590520",IF(AND(I36="N",J36="N"),_xll.EVPRO($B$1,H36,"PSFTID"),""))</f>
        <v>590520</v>
      </c>
      <c r="N36" s="86" t="str">
        <f>IF(_epmOfflineCondition_,"Net Booking Fee - Rooming List",IF(_xll.EVDES(H36,$B$1)="#NODATA","",_xll.EVDES(H36,$B$1)))</f>
        <v>Net Booking Fee - Rooming List</v>
      </c>
      <c r="O36" s="134"/>
      <c r="P36" s="134"/>
      <c r="Q36" s="134"/>
      <c r="R36" s="134"/>
      <c r="S36" s="134"/>
      <c r="T36" s="134"/>
      <c r="U36" s="134"/>
      <c r="V36" s="134"/>
      <c r="W36" s="134"/>
      <c r="X36" s="134"/>
      <c r="Y36" s="134"/>
      <c r="Z36" s="134"/>
      <c r="AA36" s="223">
        <f t="shared" si="1"/>
        <v>0</v>
      </c>
      <c r="AB36" s="138" t="str">
        <f t="shared" si="2"/>
        <v/>
      </c>
      <c r="AC36" s="136"/>
      <c r="AD36" s="134"/>
      <c r="AE36" s="138" t="str">
        <f t="shared" si="3"/>
        <v/>
      </c>
      <c r="AF36" s="137">
        <f t="shared" si="4"/>
        <v>0</v>
      </c>
      <c r="AG36" s="134"/>
      <c r="AH36" s="138" t="str">
        <f t="shared" si="5"/>
        <v/>
      </c>
      <c r="AI36" s="137">
        <f t="shared" si="6"/>
        <v>0</v>
      </c>
      <c r="AJ36" s="224">
        <f t="shared" si="7"/>
        <v>0</v>
      </c>
      <c r="AK36" s="225">
        <f t="shared" si="8"/>
        <v>0</v>
      </c>
      <c r="AL36" s="226">
        <f t="shared" si="9"/>
        <v>0</v>
      </c>
      <c r="AM36" s="227">
        <f t="shared" si="10"/>
        <v>0</v>
      </c>
      <c r="AN36" s="226">
        <f t="shared" si="11"/>
        <v>0</v>
      </c>
      <c r="AO36" s="11"/>
    </row>
    <row r="37" spans="1:41" x14ac:dyDescent="0.25">
      <c r="A37" s="11" t="s">
        <v>105</v>
      </c>
      <c r="B37" s="11"/>
      <c r="C37" s="100" t="s">
        <v>101</v>
      </c>
      <c r="D37" s="11" t="s">
        <v>106</v>
      </c>
      <c r="E37" s="11"/>
      <c r="F37" s="11" t="s">
        <v>98</v>
      </c>
      <c r="G37" s="72"/>
      <c r="H37" s="84" t="s">
        <v>223</v>
      </c>
      <c r="I37" s="118" t="str">
        <f>IF(_epmOfflineCondition_,"N",_xll.EVPRO($B$1,$H37,"STYLE"))</f>
        <v>N</v>
      </c>
      <c r="J37" s="118" t="str">
        <f>IF(_epmOfflineCondition_,"N",_xll.EVPRO($B$1,$H37,"CALC"))</f>
        <v>N</v>
      </c>
      <c r="K37" s="175" t="str">
        <f t="shared" si="0"/>
        <v/>
      </c>
      <c r="L37" s="86" t="str">
        <f>IF(_epmOfflineCondition_,"710160",_xll.EVPRO($B$1,H37,"JDEID"))</f>
        <v>710160</v>
      </c>
      <c r="M37" s="86" t="str">
        <f>IF(_epmOfflineCondition_,"590525",IF(AND(I37="N",J37="N"),_xll.EVPRO($B$1,H37,"PSFTID"),""))</f>
        <v>590525</v>
      </c>
      <c r="N37" s="86" t="str">
        <f>IF(_epmOfflineCondition_,"Res Cost - Kimpton Fees",IF(_xll.EVDES(H37,$B$1)="#NODATA","",_xll.EVDES(H37,$B$1)))</f>
        <v>Res Cost - Kimpton Fees</v>
      </c>
      <c r="O37" s="134"/>
      <c r="P37" s="134"/>
      <c r="Q37" s="134"/>
      <c r="R37" s="134"/>
      <c r="S37" s="134"/>
      <c r="T37" s="134"/>
      <c r="U37" s="134"/>
      <c r="V37" s="134"/>
      <c r="W37" s="134"/>
      <c r="X37" s="134"/>
      <c r="Y37" s="134"/>
      <c r="Z37" s="134"/>
      <c r="AA37" s="223">
        <f t="shared" si="1"/>
        <v>0</v>
      </c>
      <c r="AB37" s="138" t="str">
        <f t="shared" si="2"/>
        <v/>
      </c>
      <c r="AC37" s="136"/>
      <c r="AD37" s="134"/>
      <c r="AE37" s="138" t="str">
        <f t="shared" si="3"/>
        <v/>
      </c>
      <c r="AF37" s="137">
        <f t="shared" si="4"/>
        <v>0</v>
      </c>
      <c r="AG37" s="134"/>
      <c r="AH37" s="138" t="str">
        <f t="shared" si="5"/>
        <v/>
      </c>
      <c r="AI37" s="137">
        <f t="shared" si="6"/>
        <v>0</v>
      </c>
      <c r="AJ37" s="224">
        <f t="shared" si="7"/>
        <v>0</v>
      </c>
      <c r="AK37" s="225">
        <f t="shared" si="8"/>
        <v>0</v>
      </c>
      <c r="AL37" s="226">
        <f t="shared" si="9"/>
        <v>0</v>
      </c>
      <c r="AM37" s="227">
        <f t="shared" si="10"/>
        <v>0</v>
      </c>
      <c r="AN37" s="226">
        <f t="shared" si="11"/>
        <v>0</v>
      </c>
      <c r="AO37" s="11"/>
    </row>
    <row r="38" spans="1:41" x14ac:dyDescent="0.25">
      <c r="A38" s="11" t="s">
        <v>104</v>
      </c>
      <c r="B38" s="11"/>
      <c r="C38" s="100" t="s">
        <v>101</v>
      </c>
      <c r="D38" s="11" t="s">
        <v>106</v>
      </c>
      <c r="E38" s="11"/>
      <c r="F38" s="11" t="s">
        <v>98</v>
      </c>
      <c r="G38" s="72"/>
      <c r="H38" s="84" t="s">
        <v>224</v>
      </c>
      <c r="I38" s="118" t="str">
        <f>IF(_epmOfflineCondition_,"N",_xll.EVPRO($B$1,$H38,"STYLE"))</f>
        <v>N</v>
      </c>
      <c r="J38" s="118" t="str">
        <f>IF(_epmOfflineCondition_,"N",_xll.EVPRO($B$1,$H38,"CALC"))</f>
        <v>N</v>
      </c>
      <c r="K38" s="175" t="str">
        <f t="shared" si="0"/>
        <v/>
      </c>
      <c r="L38" s="86" t="str">
        <f>IF(_epmOfflineCondition_,"710170",_xll.EVPRO($B$1,H38,"JDEID"))</f>
        <v>710170</v>
      </c>
      <c r="M38" s="86" t="str">
        <f>IF(_epmOfflineCondition_,"590530",IF(AND(I38="N",J38="N"),_xll.EVPRO($B$1,H38,"PSFTID"),""))</f>
        <v>590530</v>
      </c>
      <c r="N38" s="86" t="str">
        <f>IF(_epmOfflineCondition_,"Res Cost - GDS Fees",IF(_xll.EVDES(H38,$B$1)="#NODATA","",_xll.EVDES(H38,$B$1)))</f>
        <v>Res Cost - GDS Fees</v>
      </c>
      <c r="O38" s="134">
        <v>268.8</v>
      </c>
      <c r="P38" s="134">
        <v>64</v>
      </c>
      <c r="Q38" s="134">
        <v>857.6</v>
      </c>
      <c r="R38" s="134">
        <v>-140.80000000000001</v>
      </c>
      <c r="S38" s="134">
        <v>403.2</v>
      </c>
      <c r="T38" s="134">
        <v>691.2</v>
      </c>
      <c r="U38" s="134">
        <v>134.4</v>
      </c>
      <c r="V38" s="134">
        <v>147.19999999999999</v>
      </c>
      <c r="W38" s="134">
        <v>320</v>
      </c>
      <c r="X38" s="134">
        <v>230.4</v>
      </c>
      <c r="Y38" s="134">
        <v>460.8</v>
      </c>
      <c r="Z38" s="134">
        <v>776.8</v>
      </c>
      <c r="AA38" s="223">
        <f t="shared" si="1"/>
        <v>4213.6000000000004</v>
      </c>
      <c r="AB38" s="138">
        <f t="shared" si="2"/>
        <v>6.0694704885393677E-2</v>
      </c>
      <c r="AC38" s="136"/>
      <c r="AD38" s="134">
        <v>3840.9821999999999</v>
      </c>
      <c r="AE38" s="138">
        <f t="shared" si="3"/>
        <v>4.0487120950248791E-2</v>
      </c>
      <c r="AF38" s="137">
        <f t="shared" si="4"/>
        <v>372.61780000000044</v>
      </c>
      <c r="AG38" s="134">
        <v>2470.81</v>
      </c>
      <c r="AH38" s="138">
        <f t="shared" si="5"/>
        <v>7.7102002465831126E-2</v>
      </c>
      <c r="AI38" s="137">
        <f t="shared" si="6"/>
        <v>1742.7900000000004</v>
      </c>
      <c r="AJ38" s="224">
        <f t="shared" si="7"/>
        <v>0.1281430569916672</v>
      </c>
      <c r="AK38" s="225">
        <f t="shared" si="8"/>
        <v>0.10556208981476392</v>
      </c>
      <c r="AL38" s="226">
        <f t="shared" si="9"/>
        <v>2.2580967176903277E-2</v>
      </c>
      <c r="AM38" s="227">
        <f t="shared" si="10"/>
        <v>0.16276745718050065</v>
      </c>
      <c r="AN38" s="226">
        <f t="shared" si="11"/>
        <v>-3.4624400188833448E-2</v>
      </c>
      <c r="AO38" s="11"/>
    </row>
    <row r="39" spans="1:41" x14ac:dyDescent="0.25">
      <c r="A39" s="11" t="s">
        <v>102</v>
      </c>
      <c r="B39" s="11"/>
      <c r="C39" s="102" t="s">
        <v>101</v>
      </c>
      <c r="D39" s="11" t="s">
        <v>106</v>
      </c>
      <c r="E39" s="11"/>
      <c r="F39" s="11" t="s">
        <v>98</v>
      </c>
      <c r="G39" s="72"/>
      <c r="H39" s="84" t="s">
        <v>225</v>
      </c>
      <c r="I39" s="118" t="str">
        <f>IF(_epmOfflineCondition_,"N",_xll.EVPRO($B$1,$H39,"STYLE"))</f>
        <v>N</v>
      </c>
      <c r="J39" s="118" t="str">
        <f>IF(_epmOfflineCondition_,"N",_xll.EVPRO($B$1,$H39,"CALC"))</f>
        <v>N</v>
      </c>
      <c r="K39" s="175" t="str">
        <f t="shared" si="0"/>
        <v/>
      </c>
      <c r="L39" s="86" t="str">
        <f>IF(_epmOfflineCondition_,"710180",_xll.EVPRO($B$1,H39,"JDEID"))</f>
        <v>710180</v>
      </c>
      <c r="M39" s="86" t="str">
        <f>IF(_epmOfflineCondition_,"590535",IF(AND(I39="N",J39="N"),_xll.EVPRO($B$1,H39,"PSFTID"),""))</f>
        <v>590535</v>
      </c>
      <c r="N39" s="86" t="str">
        <f>IF(_epmOfflineCondition_,"Res Cost - Hotel Website",IF(_xll.EVDES(H39,$B$1)="#NODATA","",_xll.EVDES(H39,$B$1)))</f>
        <v>Res Cost - Hotel Website</v>
      </c>
      <c r="O39" s="134"/>
      <c r="P39" s="134"/>
      <c r="Q39" s="134"/>
      <c r="R39" s="134"/>
      <c r="S39" s="134"/>
      <c r="T39" s="134"/>
      <c r="U39" s="134"/>
      <c r="V39" s="134"/>
      <c r="W39" s="134"/>
      <c r="X39" s="134"/>
      <c r="Y39" s="134"/>
      <c r="Z39" s="134"/>
      <c r="AA39" s="223">
        <f t="shared" si="1"/>
        <v>0</v>
      </c>
      <c r="AB39" s="138" t="str">
        <f t="shared" si="2"/>
        <v/>
      </c>
      <c r="AC39" s="136"/>
      <c r="AD39" s="134"/>
      <c r="AE39" s="138" t="str">
        <f t="shared" si="3"/>
        <v/>
      </c>
      <c r="AF39" s="137">
        <f t="shared" si="4"/>
        <v>0</v>
      </c>
      <c r="AG39" s="134">
        <v>-85.95</v>
      </c>
      <c r="AH39" s="138">
        <f t="shared" si="5"/>
        <v>-2.6820828440625487E-3</v>
      </c>
      <c r="AI39" s="137">
        <f t="shared" si="6"/>
        <v>85.95</v>
      </c>
      <c r="AJ39" s="224">
        <f t="shared" si="7"/>
        <v>0</v>
      </c>
      <c r="AK39" s="225">
        <f t="shared" si="8"/>
        <v>0</v>
      </c>
      <c r="AL39" s="226">
        <f t="shared" si="9"/>
        <v>0</v>
      </c>
      <c r="AM39" s="227">
        <f t="shared" si="10"/>
        <v>-5.6620553359683799E-3</v>
      </c>
      <c r="AN39" s="226">
        <f t="shared" si="11"/>
        <v>5.6620553359683799E-3</v>
      </c>
      <c r="AO39" s="11"/>
    </row>
    <row r="40" spans="1:41" x14ac:dyDescent="0.25">
      <c r="A40" s="11" t="s">
        <v>102</v>
      </c>
      <c r="B40" s="11"/>
      <c r="C40" s="105" t="s">
        <v>101</v>
      </c>
      <c r="D40" s="11" t="s">
        <v>107</v>
      </c>
      <c r="E40" s="11"/>
      <c r="F40" s="11" t="s">
        <v>99</v>
      </c>
      <c r="G40" s="72"/>
      <c r="H40" s="84" t="s">
        <v>226</v>
      </c>
      <c r="I40" s="118" t="str">
        <f>IF(_epmOfflineCondition_,"T5",_xll.EVPRO($B$1,$H40,"STYLE"))</f>
        <v>T5</v>
      </c>
      <c r="J40" s="118" t="str">
        <f>IF(_epmOfflineCondition_,"Y",_xll.EVPRO($B$1,$H40,"CALC"))</f>
        <v>Y</v>
      </c>
      <c r="K40" s="175" t="str">
        <f t="shared" si="0"/>
        <v>&gt;</v>
      </c>
      <c r="L40" s="86" t="str">
        <f>IF(_epmOfflineCondition_,"710190",_xll.EVPRO($B$1,H40,"JDEID"))</f>
        <v>710190</v>
      </c>
      <c r="M40" s="86" t="str">
        <f>IF(_epmOfflineCondition_,"",IF(AND(I40="N",J40="N"),_xll.EVPRO($B$1,H40,"PSFTID"),""))</f>
        <v/>
      </c>
      <c r="N40" s="86" t="str">
        <f>IF(_epmOfflineCondition_,"E-Channel Fees",IF(_xll.EVDES(H40,$B$1)="#NODATA","",_xll.EVDES(H40,$B$1)))</f>
        <v>E-Channel Fees</v>
      </c>
      <c r="O40" s="228"/>
      <c r="P40" s="228"/>
      <c r="Q40" s="228"/>
      <c r="R40" s="228"/>
      <c r="S40" s="228"/>
      <c r="T40" s="228"/>
      <c r="U40" s="228"/>
      <c r="V40" s="228"/>
      <c r="W40" s="228"/>
      <c r="X40" s="228"/>
      <c r="Y40" s="228"/>
      <c r="Z40" s="228"/>
      <c r="AA40" s="229">
        <f t="shared" si="1"/>
        <v>0</v>
      </c>
      <c r="AB40" s="230" t="str">
        <f t="shared" si="2"/>
        <v/>
      </c>
      <c r="AC40" s="136"/>
      <c r="AD40" s="228"/>
      <c r="AE40" s="230" t="str">
        <f t="shared" si="3"/>
        <v/>
      </c>
      <c r="AF40" s="231">
        <f t="shared" si="4"/>
        <v>0</v>
      </c>
      <c r="AG40" s="228">
        <v>-357.25</v>
      </c>
      <c r="AH40" s="230">
        <f t="shared" si="5"/>
        <v>-1.1148040675291978E-2</v>
      </c>
      <c r="AI40" s="231">
        <f t="shared" si="6"/>
        <v>357.25</v>
      </c>
      <c r="AJ40" s="232">
        <f t="shared" si="7"/>
        <v>0</v>
      </c>
      <c r="AK40" s="233">
        <f t="shared" si="8"/>
        <v>0</v>
      </c>
      <c r="AL40" s="234">
        <f t="shared" si="9"/>
        <v>0</v>
      </c>
      <c r="AM40" s="235">
        <f t="shared" si="10"/>
        <v>-2.3534255599472989E-2</v>
      </c>
      <c r="AN40" s="234">
        <f t="shared" si="11"/>
        <v>2.3534255599472989E-2</v>
      </c>
      <c r="AO40" s="11"/>
    </row>
    <row r="41" spans="1:41" x14ac:dyDescent="0.25">
      <c r="A41" s="11" t="s">
        <v>244</v>
      </c>
      <c r="B41" s="11"/>
      <c r="C41" s="105" t="s">
        <v>101</v>
      </c>
      <c r="D41" s="11" t="s">
        <v>107</v>
      </c>
      <c r="E41" s="11"/>
      <c r="F41" s="11" t="s">
        <v>99</v>
      </c>
      <c r="G41" s="72"/>
      <c r="H41" s="84" t="s">
        <v>227</v>
      </c>
      <c r="I41" s="184" t="str">
        <f>IF(_epmOfflineCondition_,"T4",_xll.EVPRO($B$1,$H41,"STYLE"))</f>
        <v>T4</v>
      </c>
      <c r="J41" s="184" t="str">
        <f>IF(_epmOfflineCondition_,"Y",_xll.EVPRO($B$1,$H41,"CALC"))</f>
        <v>Y</v>
      </c>
      <c r="K41" s="185" t="str">
        <f t="shared" si="0"/>
        <v/>
      </c>
      <c r="L41" s="186" t="str">
        <f>IF(_epmOfflineCondition_,"",_xll.EVPRO($B$1,H41,"JDEID"))</f>
        <v/>
      </c>
      <c r="M41" s="186" t="str">
        <f>IF(_epmOfflineCondition_,"",IF(AND(I41="N",J41="N"),_xll.EVPRO($B$1,H41,"PSFTID"),""))</f>
        <v/>
      </c>
      <c r="N41" s="186" t="str">
        <f>IF(_epmOfflineCondition_,"Total Reservations Fees",IF(_xll.EVDES(H41,$B$1)="#NODATA","",_xll.EVDES(H41,$B$1)))</f>
        <v>Total Reservations Fees</v>
      </c>
      <c r="O41" s="236">
        <v>268.8</v>
      </c>
      <c r="P41" s="236">
        <v>64</v>
      </c>
      <c r="Q41" s="236">
        <v>857.6</v>
      </c>
      <c r="R41" s="236">
        <v>-140.80000000000001</v>
      </c>
      <c r="S41" s="236">
        <v>403.2</v>
      </c>
      <c r="T41" s="236">
        <v>691.2</v>
      </c>
      <c r="U41" s="236">
        <v>134.4</v>
      </c>
      <c r="V41" s="236">
        <v>147.19999999999999</v>
      </c>
      <c r="W41" s="236">
        <v>320</v>
      </c>
      <c r="X41" s="236">
        <v>230.4</v>
      </c>
      <c r="Y41" s="236">
        <v>460.8</v>
      </c>
      <c r="Z41" s="236">
        <v>776.8</v>
      </c>
      <c r="AA41" s="236">
        <f t="shared" si="1"/>
        <v>4213.6000000000004</v>
      </c>
      <c r="AB41" s="237">
        <f t="shared" si="2"/>
        <v>6.0694704885393677E-2</v>
      </c>
      <c r="AC41" s="238"/>
      <c r="AD41" s="236">
        <v>3840.9821999999999</v>
      </c>
      <c r="AE41" s="237">
        <f t="shared" si="3"/>
        <v>4.0487120950248791E-2</v>
      </c>
      <c r="AF41" s="239">
        <f t="shared" si="4"/>
        <v>372.61780000000044</v>
      </c>
      <c r="AG41" s="236">
        <v>2947.51</v>
      </c>
      <c r="AH41" s="237">
        <f t="shared" si="5"/>
        <v>9.1977498588746986E-2</v>
      </c>
      <c r="AI41" s="239">
        <f t="shared" si="6"/>
        <v>1266.0900000000001</v>
      </c>
      <c r="AJ41" s="215">
        <f t="shared" si="7"/>
        <v>0.1281430569916672</v>
      </c>
      <c r="AK41" s="216">
        <f t="shared" si="8"/>
        <v>0.10556208981476392</v>
      </c>
      <c r="AL41" s="217">
        <f t="shared" si="9"/>
        <v>2.2580967176903277E-2</v>
      </c>
      <c r="AM41" s="218">
        <f t="shared" si="10"/>
        <v>0.19417061923583664</v>
      </c>
      <c r="AN41" s="217">
        <f t="shared" si="11"/>
        <v>-6.6027562244169447E-2</v>
      </c>
      <c r="AO41" s="11"/>
    </row>
    <row r="42" spans="1:41" x14ac:dyDescent="0.25">
      <c r="A42" s="11"/>
      <c r="B42" s="11"/>
      <c r="C42" s="11"/>
      <c r="D42" s="11"/>
      <c r="E42" s="11"/>
      <c r="F42" s="11"/>
      <c r="G42" s="72"/>
      <c r="H42" s="181" t="s">
        <v>228</v>
      </c>
      <c r="I42" s="118" t="str">
        <f>IF(_epmOfflineCondition_,"T5",_xll.EVPRO($B$1,$H42,"STYLE"))</f>
        <v>T5</v>
      </c>
      <c r="J42" s="118" t="str">
        <f>IF(_epmOfflineCondition_,"Y",_xll.EVPRO($B$1,$H42,"CALC"))</f>
        <v>Y</v>
      </c>
      <c r="K42" s="175" t="str">
        <f t="shared" si="0"/>
        <v>&gt;</v>
      </c>
      <c r="L42" s="86" t="str">
        <f>IF(_epmOfflineCondition_,"",_xll.EVPRO($B$1,H42,"JDEID"))</f>
        <v/>
      </c>
      <c r="M42" s="86" t="str">
        <f>IF(_epmOfflineCondition_,"",IF(AND(I42="N",J42="N"),_xll.EVPRO($B$1,H42,"PSFTID"),""))</f>
        <v/>
      </c>
      <c r="N42" s="86" t="str">
        <f>IF(_epmOfflineCondition_,"Total Telephone Cost    ",IF(_xll.EVDES(H42,$B$1)="#NODATA","",_xll.EVDES(H42,$B$1)))</f>
        <v xml:space="preserve">Total Telephone Cost    </v>
      </c>
      <c r="O42" s="240"/>
      <c r="P42" s="240"/>
      <c r="Q42" s="240"/>
      <c r="R42" s="240"/>
      <c r="S42" s="240"/>
      <c r="T42" s="240"/>
      <c r="U42" s="240"/>
      <c r="V42" s="240"/>
      <c r="W42" s="240"/>
      <c r="X42" s="240"/>
      <c r="Y42" s="240"/>
      <c r="Z42" s="240"/>
      <c r="AA42" s="241">
        <f t="shared" si="1"/>
        <v>0</v>
      </c>
      <c r="AB42" s="242" t="str">
        <f t="shared" si="2"/>
        <v/>
      </c>
      <c r="AC42" s="136"/>
      <c r="AD42" s="240"/>
      <c r="AE42" s="242" t="str">
        <f t="shared" si="3"/>
        <v/>
      </c>
      <c r="AF42" s="243">
        <f t="shared" si="4"/>
        <v>0</v>
      </c>
      <c r="AG42" s="240">
        <v>22.63</v>
      </c>
      <c r="AH42" s="242">
        <f t="shared" si="5"/>
        <v>7.0617259756992987E-4</v>
      </c>
      <c r="AI42" s="243">
        <f t="shared" si="6"/>
        <v>-22.63</v>
      </c>
      <c r="AJ42" s="244">
        <f t="shared" si="7"/>
        <v>0</v>
      </c>
      <c r="AK42" s="245">
        <f t="shared" si="8"/>
        <v>0</v>
      </c>
      <c r="AL42" s="246">
        <f t="shared" si="9"/>
        <v>0</v>
      </c>
      <c r="AM42" s="247">
        <f t="shared" si="10"/>
        <v>1.4907773386034255E-3</v>
      </c>
      <c r="AN42" s="246">
        <f t="shared" si="11"/>
        <v>-1.4907773386034255E-3</v>
      </c>
      <c r="AO42" s="11"/>
    </row>
    <row r="43" spans="1:41" x14ac:dyDescent="0.25">
      <c r="A43" s="11"/>
      <c r="B43" s="11"/>
      <c r="C43" s="11"/>
      <c r="D43" s="11"/>
      <c r="E43" s="11"/>
      <c r="F43" s="11"/>
      <c r="G43" s="72"/>
      <c r="H43" s="181" t="s">
        <v>241</v>
      </c>
      <c r="I43" s="118" t="str">
        <f>IF(_epmOfflineCondition_,"T5",_xll.EVPRO($B$1,$H43,"STYLE"))</f>
        <v>T5</v>
      </c>
      <c r="J43" s="118" t="str">
        <f>IF(_epmOfflineCondition_,"Y",_xll.EVPRO($B$1,$H43,"CALC"))</f>
        <v>Y</v>
      </c>
      <c r="K43" s="175" t="str">
        <f t="shared" si="0"/>
        <v>&gt;</v>
      </c>
      <c r="L43" s="86" t="str">
        <f>IF(_epmOfflineCondition_,"",_xll.EVPRO($B$1,H43,"JDEID"))</f>
        <v/>
      </c>
      <c r="M43" s="86" t="str">
        <f>IF(_epmOfflineCondition_,"",IF(AND(I43="N",J43="N"),_xll.EVPRO($B$1,H43,"PSFTID"),""))</f>
        <v/>
      </c>
      <c r="N43" s="86" t="str">
        <f>IF(_epmOfflineCondition_,"Other Reservations Expenses",IF(_xll.EVDES(H43,$B$1)="#NODATA","",_xll.EVDES(H43,$B$1)))</f>
        <v>Other Reservations Expenses</v>
      </c>
      <c r="O43" s="228"/>
      <c r="P43" s="228">
        <v>1.84</v>
      </c>
      <c r="Q43" s="228"/>
      <c r="R43" s="228"/>
      <c r="S43" s="228"/>
      <c r="T43" s="228"/>
      <c r="U43" s="228">
        <v>-1.84</v>
      </c>
      <c r="V43" s="228"/>
      <c r="W43" s="228"/>
      <c r="X43" s="228"/>
      <c r="Y43" s="228"/>
      <c r="Z43" s="228"/>
      <c r="AA43" s="229">
        <f t="shared" si="1"/>
        <v>0</v>
      </c>
      <c r="AB43" s="230" t="str">
        <f t="shared" si="2"/>
        <v/>
      </c>
      <c r="AC43" s="136"/>
      <c r="AD43" s="228"/>
      <c r="AE43" s="230" t="str">
        <f t="shared" si="3"/>
        <v/>
      </c>
      <c r="AF43" s="231">
        <f t="shared" si="4"/>
        <v>0</v>
      </c>
      <c r="AG43" s="228">
        <v>771.12</v>
      </c>
      <c r="AH43" s="230">
        <f t="shared" si="5"/>
        <v>2.406291707636431E-2</v>
      </c>
      <c r="AI43" s="231">
        <f t="shared" si="6"/>
        <v>-771.12</v>
      </c>
      <c r="AJ43" s="232">
        <f t="shared" si="7"/>
        <v>0</v>
      </c>
      <c r="AK43" s="233">
        <f t="shared" si="8"/>
        <v>0</v>
      </c>
      <c r="AL43" s="234">
        <f t="shared" si="9"/>
        <v>0</v>
      </c>
      <c r="AM43" s="235">
        <f t="shared" si="10"/>
        <v>5.0798418972332018E-2</v>
      </c>
      <c r="AN43" s="234">
        <f t="shared" si="11"/>
        <v>-5.0798418972332018E-2</v>
      </c>
      <c r="AO43" s="11"/>
    </row>
    <row r="44" spans="1:41" x14ac:dyDescent="0.25">
      <c r="A44" s="56" t="str">
        <f>IF(_epmOfflineCondition_,"Evdre:Ok",_xll.EVDRE($B$1,A47:B54))</f>
        <v>Evdre:Ok</v>
      </c>
      <c r="B44" s="11"/>
      <c r="C44" s="11"/>
      <c r="D44" s="11"/>
      <c r="E44" s="11"/>
      <c r="F44" s="11"/>
      <c r="G44" s="72"/>
      <c r="H44" s="181" t="s">
        <v>229</v>
      </c>
      <c r="I44" s="184" t="str">
        <f>IF(_epmOfflineCondition_,"T4",_xll.EVPRO($B$1,$H44,"STYLE"))</f>
        <v>T4</v>
      </c>
      <c r="J44" s="184" t="str">
        <f>IF(_epmOfflineCondition_,"Y",_xll.EVPRO($B$1,$H44,"CALC"))</f>
        <v>Y</v>
      </c>
      <c r="K44" s="185" t="str">
        <f t="shared" si="0"/>
        <v/>
      </c>
      <c r="L44" s="186" t="str">
        <f>IF(_epmOfflineCondition_,"",_xll.EVPRO($B$1,H44,"JDEID"))</f>
        <v/>
      </c>
      <c r="M44" s="186" t="str">
        <f>IF(_epmOfflineCondition_,"",IF(AND(I44="N",J44="N"),_xll.EVPRO($B$1,H44,"PSFTID"),""))</f>
        <v/>
      </c>
      <c r="N44" s="186" t="str">
        <f>IF(_epmOfflineCondition_,"Total Other Reservation Expenses",IF(_xll.EVDES(H44,$B$1)="#NODATA","",_xll.EVDES(H44,$B$1)))</f>
        <v>Total Other Reservation Expenses</v>
      </c>
      <c r="O44" s="210"/>
      <c r="P44" s="210">
        <v>1.84</v>
      </c>
      <c r="Q44" s="210"/>
      <c r="R44" s="210"/>
      <c r="S44" s="210"/>
      <c r="T44" s="210"/>
      <c r="U44" s="210">
        <v>-1.84</v>
      </c>
      <c r="V44" s="210"/>
      <c r="W44" s="210"/>
      <c r="X44" s="210"/>
      <c r="Y44" s="210"/>
      <c r="Z44" s="210"/>
      <c r="AA44" s="210">
        <f t="shared" si="1"/>
        <v>0</v>
      </c>
      <c r="AB44" s="211" t="str">
        <f t="shared" si="2"/>
        <v/>
      </c>
      <c r="AC44" s="251"/>
      <c r="AD44" s="210"/>
      <c r="AE44" s="211" t="str">
        <f t="shared" si="3"/>
        <v/>
      </c>
      <c r="AF44" s="252">
        <f t="shared" si="4"/>
        <v>0</v>
      </c>
      <c r="AG44" s="210">
        <v>793.75</v>
      </c>
      <c r="AH44" s="211">
        <f t="shared" si="5"/>
        <v>2.4769089673934243E-2</v>
      </c>
      <c r="AI44" s="252">
        <f t="shared" si="6"/>
        <v>-793.75</v>
      </c>
      <c r="AJ44" s="253">
        <f t="shared" si="7"/>
        <v>0</v>
      </c>
      <c r="AK44" s="254">
        <f t="shared" si="8"/>
        <v>0</v>
      </c>
      <c r="AL44" s="255">
        <f t="shared" si="9"/>
        <v>0</v>
      </c>
      <c r="AM44" s="256">
        <f t="shared" si="10"/>
        <v>5.228919631093544E-2</v>
      </c>
      <c r="AN44" s="255">
        <f t="shared" si="11"/>
        <v>-5.228919631093544E-2</v>
      </c>
      <c r="AO44" s="11"/>
    </row>
    <row r="45" spans="1:41" x14ac:dyDescent="0.25">
      <c r="A45" s="11"/>
      <c r="B45" s="11"/>
      <c r="C45" s="11"/>
      <c r="D45" s="11"/>
      <c r="E45" s="11"/>
      <c r="F45" s="11"/>
      <c r="G45" s="72"/>
      <c r="H45" s="181" t="s">
        <v>77</v>
      </c>
      <c r="I45" s="184" t="str">
        <f>IF(_epmOfflineCondition_,"T4",_xll.EVPRO($B$1,$H45,"STYLE"))</f>
        <v>T4</v>
      </c>
      <c r="J45" s="184" t="str">
        <f>IF(_epmOfflineCondition_,"Y",_xll.EVPRO($B$1,$H45,"CALC"))</f>
        <v>Y</v>
      </c>
      <c r="K45" s="185" t="str">
        <f t="shared" si="0"/>
        <v/>
      </c>
      <c r="L45" s="186" t="str">
        <f>IF(_epmOfflineCondition_,"710000",_xll.EVPRO($B$1,H45,"JDEID"))</f>
        <v>710000</v>
      </c>
      <c r="M45" s="186" t="str">
        <f>IF(_epmOfflineCondition_,"",IF(AND(I45="N",J45="N"),_xll.EVPRO($B$1,H45,"PSFTID"),""))</f>
        <v/>
      </c>
      <c r="N45" s="186" t="str">
        <f>IF(_epmOfflineCondition_,"Total Reservations Fees &amp; Other Exp",IF(_xll.EVDES(H45,$B$1)="#NODATA","",_xll.EVDES(H45,$B$1)))</f>
        <v>Total Reservations Fees &amp; Other Exp</v>
      </c>
      <c r="O45" s="236">
        <v>268.8</v>
      </c>
      <c r="P45" s="236">
        <v>65.84</v>
      </c>
      <c r="Q45" s="236">
        <v>857.6</v>
      </c>
      <c r="R45" s="236">
        <v>-140.80000000000001</v>
      </c>
      <c r="S45" s="236">
        <v>403.2</v>
      </c>
      <c r="T45" s="236">
        <v>691.2</v>
      </c>
      <c r="U45" s="236">
        <v>132.56</v>
      </c>
      <c r="V45" s="236">
        <v>147.19999999999999</v>
      </c>
      <c r="W45" s="236">
        <v>320</v>
      </c>
      <c r="X45" s="236">
        <v>230.4</v>
      </c>
      <c r="Y45" s="236">
        <v>460.8</v>
      </c>
      <c r="Z45" s="236">
        <v>776.8</v>
      </c>
      <c r="AA45" s="236">
        <f t="shared" si="1"/>
        <v>4213.6000000000004</v>
      </c>
      <c r="AB45" s="237">
        <f t="shared" si="2"/>
        <v>6.0694704885393677E-2</v>
      </c>
      <c r="AC45" s="238"/>
      <c r="AD45" s="236">
        <v>3840.9821999999999</v>
      </c>
      <c r="AE45" s="237">
        <f t="shared" si="3"/>
        <v>4.0487120950248791E-2</v>
      </c>
      <c r="AF45" s="239">
        <f t="shared" si="4"/>
        <v>372.61780000000044</v>
      </c>
      <c r="AG45" s="236">
        <v>3741.26</v>
      </c>
      <c r="AH45" s="237">
        <f t="shared" si="5"/>
        <v>0.11674658826268122</v>
      </c>
      <c r="AI45" s="239">
        <f t="shared" si="6"/>
        <v>472.34000000000015</v>
      </c>
      <c r="AJ45" s="215">
        <f t="shared" si="7"/>
        <v>0.1281430569916672</v>
      </c>
      <c r="AK45" s="216">
        <f t="shared" si="8"/>
        <v>0.10556208981476392</v>
      </c>
      <c r="AL45" s="217">
        <f t="shared" si="9"/>
        <v>2.2580967176903277E-2</v>
      </c>
      <c r="AM45" s="218">
        <f t="shared" si="10"/>
        <v>0.24645981554677207</v>
      </c>
      <c r="AN45" s="217">
        <f t="shared" si="11"/>
        <v>-0.11831675855510487</v>
      </c>
      <c r="AO45" s="11"/>
    </row>
    <row r="46" spans="1:41" x14ac:dyDescent="0.25">
      <c r="A46" s="57" t="s">
        <v>0</v>
      </c>
      <c r="B46" s="58" t="s">
        <v>1</v>
      </c>
      <c r="C46" s="11"/>
      <c r="D46" s="11"/>
      <c r="E46" s="11"/>
      <c r="F46" s="11"/>
      <c r="G46" s="72"/>
      <c r="H46" s="84"/>
      <c r="I46" s="85"/>
      <c r="J46" s="85"/>
      <c r="K46" s="261"/>
      <c r="L46" s="261"/>
      <c r="M46" s="261"/>
      <c r="N46" s="102"/>
      <c r="O46" s="360"/>
      <c r="P46" s="360"/>
      <c r="Q46" s="360"/>
      <c r="R46" s="360"/>
      <c r="S46" s="360"/>
      <c r="T46" s="360"/>
      <c r="U46" s="360"/>
      <c r="V46" s="360"/>
      <c r="W46" s="360"/>
      <c r="X46" s="360"/>
      <c r="Y46" s="360"/>
      <c r="Z46" s="360"/>
      <c r="AA46" s="360"/>
      <c r="AB46" s="361"/>
      <c r="AC46" s="11"/>
      <c r="AD46" s="360"/>
      <c r="AE46" s="361"/>
      <c r="AF46" s="362"/>
      <c r="AG46" s="360"/>
      <c r="AH46" s="361"/>
      <c r="AI46" s="362"/>
      <c r="AJ46" s="11"/>
      <c r="AK46" s="11"/>
      <c r="AL46" s="11"/>
      <c r="AM46" s="11"/>
      <c r="AN46" s="11"/>
      <c r="AO46" s="11"/>
    </row>
    <row r="47" spans="1:41" x14ac:dyDescent="0.25">
      <c r="A47" s="61" t="s">
        <v>2</v>
      </c>
      <c r="B47" s="62" t="str">
        <f>IF(_epmOfflineCondition_,"'Resv'!$B$2:$B$10",_xll.EVRNG($B$2:$B$10))</f>
        <v>'Resv'!$B$2:$B$10</v>
      </c>
      <c r="C47" s="11"/>
      <c r="D47" s="11"/>
      <c r="E47" s="11"/>
      <c r="F47" s="11"/>
      <c r="G47" s="72"/>
      <c r="H47" s="84"/>
      <c r="I47" s="132"/>
      <c r="J47" s="132"/>
      <c r="K47" s="11"/>
      <c r="L47" s="11"/>
      <c r="M47" s="11"/>
      <c r="N47" s="100" t="s">
        <v>242</v>
      </c>
      <c r="O47" s="228">
        <f t="shared" ref="O47:Z47" si="12">SUMIF($H$34:$H$48,"700000",O34:O48)-SUMIF($H$34:$H$48,"710000",O34:O48)</f>
        <v>6499.47</v>
      </c>
      <c r="P47" s="228">
        <f t="shared" si="12"/>
        <v>6990.44</v>
      </c>
      <c r="Q47" s="228">
        <f t="shared" si="12"/>
        <v>7933.99</v>
      </c>
      <c r="R47" s="228">
        <f t="shared" si="12"/>
        <v>6059</v>
      </c>
      <c r="S47" s="228">
        <f t="shared" si="12"/>
        <v>4955.03</v>
      </c>
      <c r="T47" s="228">
        <f t="shared" si="12"/>
        <v>3572.7200000000003</v>
      </c>
      <c r="U47" s="228">
        <f t="shared" si="12"/>
        <v>4075.14</v>
      </c>
      <c r="V47" s="228">
        <f t="shared" si="12"/>
        <v>4062.9000000000005</v>
      </c>
      <c r="W47" s="228">
        <f t="shared" si="12"/>
        <v>2809.31</v>
      </c>
      <c r="X47" s="228">
        <f t="shared" si="12"/>
        <v>4013.57</v>
      </c>
      <c r="Y47" s="228">
        <f t="shared" si="12"/>
        <v>5142.54</v>
      </c>
      <c r="Z47" s="228">
        <f t="shared" si="12"/>
        <v>9095.1500000000015</v>
      </c>
      <c r="AA47" s="228">
        <f>IF($I47="B1","",SUM(O47:Z47))</f>
        <v>65209.26</v>
      </c>
      <c r="AB47" s="230">
        <f>IF(AA47=0,"",IFERROR(AA47/AA$19,""))</f>
        <v>0.93930529511460659</v>
      </c>
      <c r="AC47" s="136"/>
      <c r="AD47" s="228">
        <f>SUMIF($H$34:$H$48,"700000",AD34:AD48)-SUMIF($H$34:$H$48,"710000",AD34:AD48)</f>
        <v>91028.252999999997</v>
      </c>
      <c r="AE47" s="230">
        <f>IF(AD47=0,"",IFERROR(AD47/AD$19,""))</f>
        <v>0.95951287904975124</v>
      </c>
      <c r="AF47" s="231">
        <f>IF(AND($AA47="",AD47=""),"",$AA47-AD47)</f>
        <v>-25818.992999999995</v>
      </c>
      <c r="AG47" s="228">
        <f>SUMIF($H$34:$H$48,"700000",AG34:AG48)-SUMIF($H$34:$H$48,"710000",AG34:AG48)</f>
        <v>28304.730000000003</v>
      </c>
      <c r="AH47" s="230">
        <f>IF(AG47=0,"",IFERROR(AG47/AG$19,""))</f>
        <v>0.88325341173731886</v>
      </c>
      <c r="AI47" s="231">
        <f>IF(AND($AA47="",AG47=""),"",$AA47-AG47)</f>
        <v>36904.53</v>
      </c>
      <c r="AJ47" s="369">
        <f>IFERROR(AA47/AA$22,0)</f>
        <v>1.9831293716927194</v>
      </c>
      <c r="AK47" s="370">
        <f>IFERROR(AD47/AD$22,0)</f>
        <v>2.5017383883911393</v>
      </c>
      <c r="AL47" s="371">
        <f>AJ47-AK47</f>
        <v>-0.51860901669841986</v>
      </c>
      <c r="AM47" s="372">
        <f>IFERROR(AG47/AG$22,0)</f>
        <v>1.864606719367589</v>
      </c>
      <c r="AN47" s="371">
        <f>AJ47-AM47</f>
        <v>0.11852265232513037</v>
      </c>
      <c r="AO47" s="11"/>
    </row>
    <row r="48" spans="1:41" x14ac:dyDescent="0.25">
      <c r="A48" s="61" t="s">
        <v>3</v>
      </c>
      <c r="B48" s="62" t="str">
        <f>IF(_epmOfflineCondition_,"'Resv'!$O$16:$AN$18",_xll.EVRNG($O$16:$AN$18))</f>
        <v>'Resv'!$O$16:$AN$18</v>
      </c>
      <c r="C48" s="11"/>
      <c r="D48" s="11"/>
      <c r="E48" s="11"/>
      <c r="F48" s="11"/>
      <c r="G48" s="363"/>
      <c r="H48" s="84" t="s">
        <v>79</v>
      </c>
      <c r="I48" s="132" t="str">
        <f>IF(_epmOfflineCondition_,"T3",_xll.EVPRO($B$1,$H48,"STYLE"))</f>
        <v>T3</v>
      </c>
      <c r="J48" s="132" t="str">
        <f>IF(_epmOfflineCondition_,"Y",_xll.EVPRO($B$1,$H48,"CALC"))</f>
        <v>Y</v>
      </c>
      <c r="K48" s="11"/>
      <c r="L48" s="11"/>
      <c r="M48" s="11"/>
      <c r="N48" s="103" t="s">
        <v>243</v>
      </c>
      <c r="O48" s="373">
        <v>6768.27</v>
      </c>
      <c r="P48" s="373">
        <v>7056.28</v>
      </c>
      <c r="Q48" s="373">
        <v>8791.59</v>
      </c>
      <c r="R48" s="373">
        <v>5918.2</v>
      </c>
      <c r="S48" s="373">
        <v>5358.23</v>
      </c>
      <c r="T48" s="373">
        <v>4263.92</v>
      </c>
      <c r="U48" s="373">
        <v>4207.7</v>
      </c>
      <c r="V48" s="373">
        <v>4210.1000000000004</v>
      </c>
      <c r="W48" s="373">
        <v>3129.31</v>
      </c>
      <c r="X48" s="373">
        <v>4243.97</v>
      </c>
      <c r="Y48" s="373">
        <v>5603.34</v>
      </c>
      <c r="Z48" s="373">
        <v>9871.9500000000007</v>
      </c>
      <c r="AA48" s="373">
        <f>IF($I48="B1","",SUM(O48:Z48))</f>
        <v>69422.859999999986</v>
      </c>
      <c r="AB48" s="374">
        <f>IF(AA48=0,"",IFERROR(AA48/AA$19,""))</f>
        <v>1</v>
      </c>
      <c r="AC48" s="136"/>
      <c r="AD48" s="373">
        <v>94869.235199999996</v>
      </c>
      <c r="AE48" s="374">
        <f>IF(AD48=0,"",IFERROR(AD48/AD$19,""))</f>
        <v>1</v>
      </c>
      <c r="AF48" s="375">
        <f>IF(AND($AA48="",AD48=""),"",$AA48-AD48)</f>
        <v>-25446.375200000009</v>
      </c>
      <c r="AG48" s="373">
        <v>32045.99</v>
      </c>
      <c r="AH48" s="374">
        <f>IF(AG48=0,"",IFERROR(AG48/AG$19,""))</f>
        <v>1</v>
      </c>
      <c r="AI48" s="375">
        <f>IF(AND($AA48="",AG48=""),"",$AA48-AG48)</f>
        <v>37376.869999999981</v>
      </c>
      <c r="AJ48" s="244">
        <f>IFERROR(AA48/AA$22,0)</f>
        <v>2.1112724286843862</v>
      </c>
      <c r="AK48" s="245">
        <f>IFERROR(AD48/AD$22,0)</f>
        <v>2.6073004782059033</v>
      </c>
      <c r="AL48" s="246">
        <f>AJ48-AK48</f>
        <v>-0.49602804952151702</v>
      </c>
      <c r="AM48" s="247">
        <f>IFERROR(AG48/AG$22,0)</f>
        <v>2.1110665349143609</v>
      </c>
      <c r="AN48" s="246">
        <f>AJ48-AM48</f>
        <v>2.0589377002533382E-4</v>
      </c>
      <c r="AO48" s="11"/>
    </row>
    <row r="49" spans="1:41" x14ac:dyDescent="0.25">
      <c r="A49" s="61" t="s">
        <v>4</v>
      </c>
      <c r="B49" s="62" t="str">
        <f>IF(_epmOfflineCondition_,"'Resv'!$H$47:$H$51",_xll.EVRNG(H47:H51))</f>
        <v>'Resv'!$H$47:$H$51</v>
      </c>
      <c r="C49" s="11"/>
      <c r="D49" s="11"/>
      <c r="E49" s="11"/>
      <c r="F49" s="11"/>
      <c r="G49" s="72"/>
      <c r="H49" s="84"/>
      <c r="I49" s="132"/>
      <c r="J49" s="132"/>
      <c r="K49" s="11"/>
      <c r="L49" s="11"/>
      <c r="M49" s="11"/>
      <c r="N49" s="364"/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  <c r="AA49" s="134"/>
      <c r="AB49" s="138"/>
      <c r="AC49" s="136"/>
      <c r="AD49" s="134"/>
      <c r="AE49" s="138"/>
      <c r="AF49" s="137"/>
      <c r="AG49" s="134"/>
      <c r="AH49" s="138"/>
      <c r="AI49" s="137"/>
      <c r="AJ49" s="136"/>
      <c r="AK49" s="136"/>
      <c r="AL49" s="136"/>
      <c r="AM49" s="136"/>
      <c r="AN49" s="136"/>
      <c r="AO49" s="11"/>
    </row>
    <row r="50" spans="1:41" x14ac:dyDescent="0.25">
      <c r="A50" s="61" t="s">
        <v>5</v>
      </c>
      <c r="B50" s="62"/>
      <c r="C50" s="11"/>
      <c r="D50" s="11"/>
      <c r="E50" s="11"/>
      <c r="F50" s="11"/>
      <c r="G50" s="72"/>
      <c r="H50" s="84" t="s">
        <v>76</v>
      </c>
      <c r="I50" s="132" t="str">
        <f>IF(_epmOfflineCondition_,"T1",_xll.EVPRO($B$1,$H50,"STYLE"))</f>
        <v>T1</v>
      </c>
      <c r="J50" s="132" t="str">
        <f>IF(_epmOfflineCondition_,"Y",_xll.EVPRO($B$1,$H50,"CALC"))</f>
        <v>Y</v>
      </c>
      <c r="K50" s="11"/>
      <c r="L50" s="11"/>
      <c r="M50" s="11"/>
      <c r="N50" s="364" t="str">
        <f>IF(_epmOfflineCondition_,"Total Labor &amp; Related Exp",IF(_xll.EVDES(H50,$B$1)="#NODATA","",_xll.EVDES(H50,$B$1)))</f>
        <v>Total Labor &amp; Related Exp</v>
      </c>
      <c r="O50" s="228">
        <v>2725.55</v>
      </c>
      <c r="P50" s="228">
        <v>1529.55</v>
      </c>
      <c r="Q50" s="228">
        <v>2588.09</v>
      </c>
      <c r="R50" s="228">
        <v>2725.97</v>
      </c>
      <c r="S50" s="228">
        <v>1493.38</v>
      </c>
      <c r="T50" s="228">
        <v>2091.46</v>
      </c>
      <c r="U50" s="228">
        <v>1773.55</v>
      </c>
      <c r="V50" s="228">
        <v>2071.9499999999998</v>
      </c>
      <c r="W50" s="228">
        <v>2488.1</v>
      </c>
      <c r="X50" s="228">
        <v>2554.0700000000002</v>
      </c>
      <c r="Y50" s="228">
        <v>2757.61</v>
      </c>
      <c r="Z50" s="228">
        <v>2581.56</v>
      </c>
      <c r="AA50" s="228">
        <f>IF($I50="B1","",SUM(O50:Z50))</f>
        <v>27380.84</v>
      </c>
      <c r="AB50" s="230"/>
      <c r="AC50" s="136"/>
      <c r="AD50" s="228">
        <v>21817.768436581999</v>
      </c>
      <c r="AE50" s="230"/>
      <c r="AF50" s="231">
        <f>IF(AND($AA50="",AD50=""),"",$AA50-AD50)</f>
        <v>5563.0715634180015</v>
      </c>
      <c r="AG50" s="228">
        <v>7849.56</v>
      </c>
      <c r="AH50" s="230"/>
      <c r="AI50" s="231">
        <f>IF(AND($AA50="",AG50=""),"",$AA50-AG50)</f>
        <v>19531.28</v>
      </c>
      <c r="AJ50" s="232">
        <f>IFERROR(AA50/AA$22,0)</f>
        <v>0.83269995742351444</v>
      </c>
      <c r="AK50" s="233">
        <f>IFERROR(AD50/AD$22,0)</f>
        <v>0.59961986578854498</v>
      </c>
      <c r="AL50" s="234">
        <f>AJ50-AK50</f>
        <v>0.23308009163496946</v>
      </c>
      <c r="AM50" s="235">
        <f>IFERROR(AG50/AG$22,0)</f>
        <v>0.51709881422924908</v>
      </c>
      <c r="AN50" s="234">
        <f>AJ50-AM50</f>
        <v>0.31560114319426535</v>
      </c>
      <c r="AO50" s="11"/>
    </row>
    <row r="51" spans="1:41" ht="15.75" thickBot="1" x14ac:dyDescent="0.3">
      <c r="A51" s="61" t="s">
        <v>6</v>
      </c>
      <c r="B51" s="62"/>
      <c r="C51" s="11"/>
      <c r="D51" s="11"/>
      <c r="E51" s="11"/>
      <c r="F51" s="11"/>
      <c r="G51" s="72"/>
      <c r="H51" s="84" t="s">
        <v>80</v>
      </c>
      <c r="I51" s="132" t="str">
        <f>IF(_epmOfflineCondition_,"T3",_xll.EVPRO($B$1,$H51,"STYLE"))</f>
        <v>T3</v>
      </c>
      <c r="J51" s="132" t="str">
        <f>IF(_epmOfflineCondition_,"Y",_xll.EVPRO($B$1,$H51,"CALC"))</f>
        <v>Y</v>
      </c>
      <c r="K51" s="11"/>
      <c r="L51" s="11"/>
      <c r="M51" s="11"/>
      <c r="N51" s="103" t="str">
        <f>IF(_epmOfflineCondition_,"Total Expenses",IF(_xll.EVDES(H51,$B$1)="#NODATA","",_xll.EVDES(H51,$B$1)))</f>
        <v>Total Expenses</v>
      </c>
      <c r="O51" s="161">
        <v>9493.82</v>
      </c>
      <c r="P51" s="161">
        <v>8585.83</v>
      </c>
      <c r="Q51" s="161">
        <v>11379.68</v>
      </c>
      <c r="R51" s="161">
        <v>8644.17</v>
      </c>
      <c r="S51" s="161">
        <v>6851.61</v>
      </c>
      <c r="T51" s="161">
        <v>6355.38</v>
      </c>
      <c r="U51" s="161">
        <v>5981.25</v>
      </c>
      <c r="V51" s="161">
        <v>6282.05</v>
      </c>
      <c r="W51" s="161">
        <v>5617.41</v>
      </c>
      <c r="X51" s="161">
        <v>6798.04</v>
      </c>
      <c r="Y51" s="161">
        <v>8360.9500000000007</v>
      </c>
      <c r="Z51" s="161">
        <v>12453.51</v>
      </c>
      <c r="AA51" s="161">
        <f>IF($I51="B1","",SUM(O51:Z51))</f>
        <v>96803.699999999983</v>
      </c>
      <c r="AB51" s="162"/>
      <c r="AC51" s="136"/>
      <c r="AD51" s="161">
        <v>116687.003636582</v>
      </c>
      <c r="AE51" s="162"/>
      <c r="AF51" s="163">
        <f>IF(AND($AA51="",AD51=""),"",$AA51-AD51)</f>
        <v>-19883.303636582015</v>
      </c>
      <c r="AG51" s="161">
        <v>39895.550000000003</v>
      </c>
      <c r="AH51" s="162"/>
      <c r="AI51" s="163">
        <f>IF(AND($AA51="",AG51=""),"",$AA51-AG51)</f>
        <v>56908.14999999998</v>
      </c>
      <c r="AJ51" s="376">
        <f>IFERROR(AA51/AA$22,0)</f>
        <v>2.9439723861079004</v>
      </c>
      <c r="AK51" s="377">
        <f>IFERROR(AD51/AD$22,0)</f>
        <v>3.2069203439944483</v>
      </c>
      <c r="AL51" s="378">
        <f>AJ51-AK51</f>
        <v>-0.2629479578865479</v>
      </c>
      <c r="AM51" s="379">
        <f>IFERROR(AG51/AG$22,0)</f>
        <v>2.6281653491436101</v>
      </c>
      <c r="AN51" s="378">
        <f>AJ51-AM51</f>
        <v>0.31580703696429024</v>
      </c>
      <c r="AO51" s="11"/>
    </row>
    <row r="52" spans="1:41" ht="15.75" thickTop="1" x14ac:dyDescent="0.25">
      <c r="A52" s="61" t="s">
        <v>7</v>
      </c>
      <c r="B52" s="62"/>
      <c r="C52" s="11"/>
      <c r="D52" s="11"/>
      <c r="E52" s="11"/>
      <c r="F52" s="11"/>
      <c r="G52" s="72"/>
      <c r="H52" s="72"/>
      <c r="I52" s="72"/>
      <c r="J52" s="72"/>
      <c r="K52" s="11"/>
      <c r="L52" s="11"/>
      <c r="M52" s="11"/>
      <c r="N52" s="100"/>
      <c r="O52" s="199"/>
      <c r="P52" s="200"/>
      <c r="Q52" s="200"/>
      <c r="R52" s="200"/>
      <c r="S52" s="200"/>
      <c r="T52" s="200"/>
      <c r="U52" s="200"/>
      <c r="V52" s="200"/>
      <c r="W52" s="200"/>
      <c r="X52" s="200"/>
      <c r="Y52" s="200"/>
      <c r="Z52" s="200"/>
      <c r="AA52" s="200"/>
      <c r="AB52" s="114"/>
      <c r="AC52" s="11"/>
      <c r="AD52" s="199"/>
      <c r="AE52" s="200"/>
      <c r="AF52" s="114"/>
      <c r="AG52" s="199"/>
      <c r="AH52" s="200"/>
      <c r="AI52" s="114"/>
      <c r="AJ52" s="11"/>
      <c r="AK52" s="11"/>
      <c r="AL52" s="11"/>
      <c r="AM52" s="11"/>
      <c r="AN52" s="11"/>
      <c r="AO52" s="11"/>
    </row>
    <row r="53" spans="1:41" x14ac:dyDescent="0.25">
      <c r="A53" s="61" t="s">
        <v>47</v>
      </c>
      <c r="B53" s="62" t="str">
        <f>IF(_epmOfflineCondition_,"'Resv'!$A$87:$B$108",_xll.EVRNG($A$87:$B$108))</f>
        <v>'Resv'!$A$87:$B$108</v>
      </c>
      <c r="C53" s="11"/>
      <c r="D53" s="11"/>
      <c r="E53" s="11"/>
      <c r="F53" s="11"/>
      <c r="G53" s="72"/>
      <c r="H53" s="11" t="s">
        <v>240</v>
      </c>
      <c r="I53" s="55" t="str">
        <f>IF(_epmOfflineCondition_,"B1",_xll.EVPRO($B$1,$H53,"STYLE"))</f>
        <v>B1</v>
      </c>
      <c r="J53" s="55" t="str">
        <f>IF(_epmOfflineCondition_,"Y",_xll.EVPRO($B$1,$H53,"CALC"))</f>
        <v>Y</v>
      </c>
      <c r="K53" s="11"/>
      <c r="L53" s="11"/>
      <c r="M53" s="11"/>
      <c r="N53" s="101" t="str">
        <f>IF(_epmOfflineCondition_,"Reservations Statistics",IF(_xll.EVDES(H53,$B$1)="#NODATA","",_xll.EVDES(H53,$B$1)))</f>
        <v>Reservations Statistics</v>
      </c>
      <c r="O53" s="199"/>
      <c r="P53" s="200"/>
      <c r="Q53" s="200"/>
      <c r="R53" s="200"/>
      <c r="S53" s="200"/>
      <c r="T53" s="200"/>
      <c r="U53" s="200"/>
      <c r="V53" s="200"/>
      <c r="W53" s="200"/>
      <c r="X53" s="200"/>
      <c r="Y53" s="200"/>
      <c r="Z53" s="200"/>
      <c r="AA53" s="200"/>
      <c r="AB53" s="114"/>
      <c r="AC53" s="11"/>
      <c r="AD53" s="199"/>
      <c r="AE53" s="200"/>
      <c r="AF53" s="114"/>
      <c r="AG53" s="199"/>
      <c r="AH53" s="200"/>
      <c r="AI53" s="114"/>
      <c r="AJ53" s="11"/>
      <c r="AK53" s="11"/>
      <c r="AL53" s="11"/>
      <c r="AM53" s="11"/>
      <c r="AN53" s="11"/>
      <c r="AO53" s="11"/>
    </row>
    <row r="54" spans="1:41" x14ac:dyDescent="0.25">
      <c r="A54" s="61" t="s">
        <v>8</v>
      </c>
      <c r="B54" s="62"/>
      <c r="C54" s="11"/>
      <c r="D54" s="11"/>
      <c r="E54" s="11"/>
      <c r="F54" s="11"/>
      <c r="G54" s="72"/>
      <c r="H54" s="84" t="s">
        <v>230</v>
      </c>
      <c r="I54" s="132" t="str">
        <f>IF(_epmOfflineCondition_,"N",_xll.EVPRO($B$1,$H54,"STYLE"))</f>
        <v>N</v>
      </c>
      <c r="J54" s="132" t="str">
        <f>IF(_epmOfflineCondition_,"N",_xll.EVPRO($B$1,$H54,"CALC"))</f>
        <v>N</v>
      </c>
      <c r="K54" s="175" t="str">
        <f t="shared" ref="K54:K61" si="13">IF(AND(I54&gt;="T3"),"&gt;","")</f>
        <v/>
      </c>
      <c r="L54" s="365" t="str">
        <f>IF(_epmOfflineCondition_,"910200",_xll.EVPRO($B$1,H54,"JDEID"))</f>
        <v>910200</v>
      </c>
      <c r="M54" s="86" t="str">
        <f>IF(_epmOfflineCondition_,"994300",IF(AND(I54="N",J54="N"),_xll.EVPRO($B$1,H54,"PSFTID"),""))</f>
        <v>994300</v>
      </c>
      <c r="N54" s="100" t="str">
        <f>IF(_epmOfflineCondition_,"# of CRS Calls Answered",IF(_xll.EVDES(H54,$B$1)="#NODATA","",_xll.EVDES(H54,$B$1)))</f>
        <v># of CRS Calls Answered</v>
      </c>
      <c r="O54" s="134"/>
      <c r="P54" s="134"/>
      <c r="Q54" s="134"/>
      <c r="R54" s="134"/>
      <c r="S54" s="134"/>
      <c r="T54" s="134"/>
      <c r="U54" s="134"/>
      <c r="V54" s="134"/>
      <c r="W54" s="134"/>
      <c r="X54" s="134"/>
      <c r="Y54" s="134"/>
      <c r="Z54" s="134"/>
      <c r="AA54" s="134">
        <f t="shared" ref="AA54:AA61" si="14">IF($I54="B1","",SUM(O54:Z54))</f>
        <v>0</v>
      </c>
      <c r="AB54" s="138" t="str">
        <f t="shared" ref="AB54:AB61" si="15">IF(AA54=0,"",IFERROR(AA54/AA$20,""))</f>
        <v/>
      </c>
      <c r="AC54" s="136"/>
      <c r="AD54" s="134"/>
      <c r="AE54" s="138" t="str">
        <f t="shared" ref="AE54:AE61" si="16">IF(AD54=0,"",IFERROR(AD54/AD$20,""))</f>
        <v/>
      </c>
      <c r="AF54" s="137">
        <f t="shared" ref="AF54:AF61" si="17">IF(AND($AA54="",AD54=""),"",$AA54-AD54)</f>
        <v>0</v>
      </c>
      <c r="AG54" s="134">
        <v>471.21</v>
      </c>
      <c r="AH54" s="138">
        <f t="shared" ref="AH54:AH61" si="18">IF(AG54=0,"",IFERROR(AG54/AG$20,""))</f>
        <v>2.7718235294117646</v>
      </c>
      <c r="AI54" s="137">
        <f t="shared" ref="AI54:AI61" si="19">IF(AND($AA54="",AG54=""),"",$AA54-AG54)</f>
        <v>-471.21</v>
      </c>
      <c r="AJ54" s="11"/>
      <c r="AK54" s="11"/>
      <c r="AL54" s="11"/>
      <c r="AM54" s="11"/>
      <c r="AN54" s="11"/>
      <c r="AO54" s="11"/>
    </row>
    <row r="55" spans="1:41" x14ac:dyDescent="0.25">
      <c r="A55" s="11"/>
      <c r="B55" s="11"/>
      <c r="C55" s="11"/>
      <c r="D55" s="11"/>
      <c r="E55" s="11"/>
      <c r="F55" s="11"/>
      <c r="G55" s="72"/>
      <c r="H55" s="84" t="s">
        <v>175</v>
      </c>
      <c r="I55" s="184" t="str">
        <f>IF(_epmOfflineCondition_,"B1",_xll.EVPRO($B$1,$H55,"STYLE"))</f>
        <v>B1</v>
      </c>
      <c r="J55" s="184" t="str">
        <f>IF(_epmOfflineCondition_,"Y",_xll.EVPRO($B$1,$H55,"CALC"))</f>
        <v>Y</v>
      </c>
      <c r="K55" s="185" t="str">
        <f t="shared" si="13"/>
        <v/>
      </c>
      <c r="L55" s="102" t="str">
        <f>IF(_epmOfflineCondition_,"",_xll.EVPRO($B$1,H55,"JDEID"))</f>
        <v/>
      </c>
      <c r="M55" s="186" t="str">
        <f>IF(_epmOfflineCondition_,"",IF(AND(I55="N",J55="N"),_xll.EVPRO($B$1,H55,"PSFTID"),""))</f>
        <v/>
      </c>
      <c r="N55" s="186" t="str">
        <f>IF(_epmOfflineCondition_,"BLANKROW",IF(_xll.EVDES(H55,$B$1)="#NODATA","",_xll.EVDES(H55,$B$1)))</f>
        <v>BLANKROW</v>
      </c>
      <c r="O55" s="134"/>
      <c r="P55" s="134"/>
      <c r="Q55" s="134"/>
      <c r="R55" s="134"/>
      <c r="S55" s="134"/>
      <c r="T55" s="134"/>
      <c r="U55" s="134"/>
      <c r="V55" s="134"/>
      <c r="W55" s="134"/>
      <c r="X55" s="134"/>
      <c r="Y55" s="134"/>
      <c r="Z55" s="134"/>
      <c r="AA55" s="134" t="str">
        <f t="shared" si="14"/>
        <v/>
      </c>
      <c r="AB55" s="138" t="str">
        <f t="shared" si="15"/>
        <v/>
      </c>
      <c r="AC55" s="136"/>
      <c r="AD55" s="134"/>
      <c r="AE55" s="138" t="str">
        <f t="shared" si="16"/>
        <v/>
      </c>
      <c r="AF55" s="137" t="str">
        <f t="shared" si="17"/>
        <v/>
      </c>
      <c r="AG55" s="134"/>
      <c r="AH55" s="138" t="str">
        <f t="shared" si="18"/>
        <v/>
      </c>
      <c r="AI55" s="137" t="str">
        <f t="shared" si="19"/>
        <v/>
      </c>
      <c r="AJ55" s="11"/>
      <c r="AK55" s="11"/>
      <c r="AL55" s="11"/>
      <c r="AM55" s="11"/>
      <c r="AN55" s="11"/>
      <c r="AO55" s="11"/>
    </row>
    <row r="56" spans="1:41" x14ac:dyDescent="0.25">
      <c r="A56" s="11"/>
      <c r="B56" s="11"/>
      <c r="C56" s="11"/>
      <c r="D56" s="11"/>
      <c r="E56" s="11"/>
      <c r="F56" s="11"/>
      <c r="G56" s="72"/>
      <c r="H56" s="84" t="s">
        <v>231</v>
      </c>
      <c r="I56" s="118" t="str">
        <f>IF(_epmOfflineCondition_,"T3",_xll.EVPRO($B$1,$H56,"STYLE"))</f>
        <v>T3</v>
      </c>
      <c r="J56" s="118" t="str">
        <f>IF(_epmOfflineCondition_,"Y",_xll.EVPRO($B$1,$H56,"CALC"))</f>
        <v>Y</v>
      </c>
      <c r="K56" s="175" t="str">
        <f t="shared" si="13"/>
        <v>&gt;</v>
      </c>
      <c r="L56" s="365" t="str">
        <f>IF(_epmOfflineCondition_,"",_xll.EVPRO($B$1,H56,"JDEID"))</f>
        <v/>
      </c>
      <c r="M56" s="86" t="str">
        <f>IF(_epmOfflineCondition_,"",IF(AND(I56="N",J56="N"),_xll.EVPRO($B$1,H56,"PSFTID"),""))</f>
        <v/>
      </c>
      <c r="N56" s="86" t="str">
        <f>IF(_epmOfflineCondition_,"Total # of Resv. Taken at Hotel",IF(_xll.EVDES(H56,$B$1)="#NODATA","",_xll.EVDES(H56,$B$1)))</f>
        <v>Total # of Resv. Taken at Hotel</v>
      </c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/>
      <c r="Z56" s="134"/>
      <c r="AA56" s="134">
        <f t="shared" si="14"/>
        <v>0</v>
      </c>
      <c r="AB56" s="138" t="str">
        <f t="shared" si="15"/>
        <v/>
      </c>
      <c r="AC56" s="136"/>
      <c r="AD56" s="134"/>
      <c r="AE56" s="138" t="str">
        <f t="shared" si="16"/>
        <v/>
      </c>
      <c r="AF56" s="137">
        <f t="shared" si="17"/>
        <v>0</v>
      </c>
      <c r="AG56" s="134">
        <v>23</v>
      </c>
      <c r="AH56" s="138">
        <f t="shared" si="18"/>
        <v>0.13529411764705881</v>
      </c>
      <c r="AI56" s="137">
        <f t="shared" si="19"/>
        <v>-23</v>
      </c>
      <c r="AJ56" s="11"/>
      <c r="AK56" s="11"/>
      <c r="AL56" s="11"/>
      <c r="AM56" s="11"/>
      <c r="AN56" s="11"/>
      <c r="AO56" s="11"/>
    </row>
    <row r="57" spans="1:41" x14ac:dyDescent="0.25">
      <c r="A57" s="56" t="str">
        <f>IF(_epmOfflineCondition_,"Evdre:Ok",_xll.EVDRE($B$1,A60:B67,A70:B76))</f>
        <v>Evdre:Ok</v>
      </c>
      <c r="B57" s="11"/>
      <c r="C57" s="11"/>
      <c r="D57" s="11"/>
      <c r="E57" s="11"/>
      <c r="F57" s="11"/>
      <c r="G57" s="72"/>
      <c r="H57" s="181" t="s">
        <v>232</v>
      </c>
      <c r="I57" s="132" t="str">
        <f>IF(_epmOfflineCondition_,"N",_xll.EVPRO($B$1,$H57,"STYLE"))</f>
        <v>N</v>
      </c>
      <c r="J57" s="132" t="str">
        <f>IF(_epmOfflineCondition_,"N",_xll.EVPRO($B$1,$H57,"CALC"))</f>
        <v>N</v>
      </c>
      <c r="K57" s="175" t="str">
        <f t="shared" si="13"/>
        <v/>
      </c>
      <c r="L57" s="365" t="str">
        <f>IF(_epmOfflineCondition_,"910220",_xll.EVPRO($B$1,H57,"JDEID"))</f>
        <v>910220</v>
      </c>
      <c r="M57" s="86" t="str">
        <f>IF(_epmOfflineCondition_,"994330",IF(AND(I57="N",J57="N"),_xll.EVPRO($B$1,H57,"PSFTID"),""))</f>
        <v>994330</v>
      </c>
      <c r="N57" s="100" t="str">
        <f>IF(_epmOfflineCondition_,"# of Resv. Taken at CRO",IF(_xll.EVDES(H57,$B$1)="#NODATA","",_xll.EVDES(H57,$B$1)))</f>
        <v># of Resv. Taken at CRO</v>
      </c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>
        <f t="shared" si="14"/>
        <v>0</v>
      </c>
      <c r="AB57" s="138" t="str">
        <f t="shared" si="15"/>
        <v/>
      </c>
      <c r="AC57" s="136"/>
      <c r="AD57" s="134"/>
      <c r="AE57" s="138" t="str">
        <f t="shared" si="16"/>
        <v/>
      </c>
      <c r="AF57" s="137">
        <f t="shared" si="17"/>
        <v>0</v>
      </c>
      <c r="AG57" s="134">
        <v>1</v>
      </c>
      <c r="AH57" s="138">
        <f t="shared" si="18"/>
        <v>5.8823529411764705E-3</v>
      </c>
      <c r="AI57" s="137">
        <f t="shared" si="19"/>
        <v>-1</v>
      </c>
      <c r="AJ57" s="11"/>
      <c r="AK57" s="11"/>
      <c r="AL57" s="11"/>
      <c r="AM57" s="11"/>
      <c r="AN57" s="11"/>
      <c r="AO57" s="11"/>
    </row>
    <row r="58" spans="1:41" x14ac:dyDescent="0.25">
      <c r="A58" s="11"/>
      <c r="B58" s="11"/>
      <c r="C58" s="11"/>
      <c r="D58" s="11"/>
      <c r="E58" s="11"/>
      <c r="F58" s="11"/>
      <c r="G58" s="72"/>
      <c r="H58" s="181" t="s">
        <v>233</v>
      </c>
      <c r="I58" s="132" t="str">
        <f>IF(_epmOfflineCondition_,"N",_xll.EVPRO($B$1,$H58,"STYLE"))</f>
        <v>N</v>
      </c>
      <c r="J58" s="132" t="str">
        <f>IF(_epmOfflineCondition_,"N",_xll.EVPRO($B$1,$H58,"CALC"))</f>
        <v>N</v>
      </c>
      <c r="K58" s="175" t="str">
        <f t="shared" si="13"/>
        <v/>
      </c>
      <c r="L58" s="365" t="str">
        <f>IF(_epmOfflineCondition_,"910230",_xll.EVPRO($B$1,H58,"JDEID"))</f>
        <v>910230</v>
      </c>
      <c r="M58" s="86" t="str">
        <f>IF(_epmOfflineCondition_,"994340",IF(AND(I58="N",J58="N"),_xll.EVPRO($B$1,H58,"PSFTID"),""))</f>
        <v>994340</v>
      </c>
      <c r="N58" s="100" t="str">
        <f>IF(_epmOfflineCondition_,"# of GDS Reservations",IF(_xll.EVDES(H58,$B$1)="#NODATA","",_xll.EVDES(H58,$B$1)))</f>
        <v># of GDS Reservations</v>
      </c>
      <c r="O58" s="134"/>
      <c r="P58" s="134">
        <v>10</v>
      </c>
      <c r="Q58" s="134">
        <v>134</v>
      </c>
      <c r="R58" s="134">
        <v>58</v>
      </c>
      <c r="S58" s="134">
        <v>63</v>
      </c>
      <c r="T58" s="134">
        <v>108</v>
      </c>
      <c r="U58" s="134">
        <v>21</v>
      </c>
      <c r="V58" s="134">
        <v>23</v>
      </c>
      <c r="W58" s="134">
        <v>64</v>
      </c>
      <c r="X58" s="134">
        <v>169</v>
      </c>
      <c r="Y58" s="134">
        <v>72</v>
      </c>
      <c r="Z58" s="134">
        <v>124</v>
      </c>
      <c r="AA58" s="134">
        <f t="shared" si="14"/>
        <v>846</v>
      </c>
      <c r="AB58" s="138">
        <f t="shared" si="15"/>
        <v>1</v>
      </c>
      <c r="AC58" s="136"/>
      <c r="AD58" s="134">
        <v>581.96699999999998</v>
      </c>
      <c r="AE58" s="138">
        <f t="shared" si="16"/>
        <v>1</v>
      </c>
      <c r="AF58" s="137">
        <f t="shared" si="17"/>
        <v>264.03300000000002</v>
      </c>
      <c r="AG58" s="134">
        <v>348</v>
      </c>
      <c r="AH58" s="138">
        <f t="shared" si="18"/>
        <v>2.0470588235294116</v>
      </c>
      <c r="AI58" s="137">
        <f t="shared" si="19"/>
        <v>498</v>
      </c>
      <c r="AJ58" s="11"/>
      <c r="AK58" s="11"/>
      <c r="AL58" s="11"/>
      <c r="AM58" s="11"/>
      <c r="AN58" s="11"/>
      <c r="AO58" s="11"/>
    </row>
    <row r="59" spans="1:41" x14ac:dyDescent="0.25">
      <c r="A59" s="57" t="s">
        <v>0</v>
      </c>
      <c r="B59" s="58" t="s">
        <v>1</v>
      </c>
      <c r="C59" s="11"/>
      <c r="D59" s="11"/>
      <c r="E59" s="11"/>
      <c r="F59" s="11"/>
      <c r="G59" s="72"/>
      <c r="H59" s="181" t="s">
        <v>234</v>
      </c>
      <c r="I59" s="132" t="str">
        <f>IF(_epmOfflineCondition_,"N",_xll.EVPRO($B$1,$H59,"STYLE"))</f>
        <v>N</v>
      </c>
      <c r="J59" s="132" t="str">
        <f>IF(_epmOfflineCondition_,"N",_xll.EVPRO($B$1,$H59,"CALC"))</f>
        <v>N</v>
      </c>
      <c r="K59" s="175" t="str">
        <f t="shared" si="13"/>
        <v/>
      </c>
      <c r="L59" s="365" t="str">
        <f>IF(_epmOfflineCondition_,"910240",_xll.EVPRO($B$1,H59,"JDEID"))</f>
        <v>910240</v>
      </c>
      <c r="M59" s="86" t="str">
        <f>IF(_epmOfflineCondition_,"994350",IF(AND(I59="N",J59="N"),_xll.EVPRO($B$1,H59,"PSFTID"),""))</f>
        <v>994350</v>
      </c>
      <c r="N59" s="100" t="str">
        <f>IF(_epmOfflineCondition_,"# of Hotel Website Reservations Processed",IF(_xll.EVDES(H59,$B$1)="#NODATA","",_xll.EVDES(H59,$B$1)))</f>
        <v># of Hotel Website Reservations Processed</v>
      </c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>
        <f t="shared" si="14"/>
        <v>0</v>
      </c>
      <c r="AB59" s="138" t="str">
        <f t="shared" si="15"/>
        <v/>
      </c>
      <c r="AC59" s="136"/>
      <c r="AD59" s="134"/>
      <c r="AE59" s="138" t="str">
        <f t="shared" si="16"/>
        <v/>
      </c>
      <c r="AF59" s="137">
        <f t="shared" si="17"/>
        <v>0</v>
      </c>
      <c r="AG59" s="134">
        <v>-45</v>
      </c>
      <c r="AH59" s="138">
        <f t="shared" si="18"/>
        <v>-0.26470588235294118</v>
      </c>
      <c r="AI59" s="137">
        <f t="shared" si="19"/>
        <v>45</v>
      </c>
      <c r="AJ59" s="11"/>
      <c r="AK59" s="11"/>
      <c r="AL59" s="11"/>
      <c r="AM59" s="11"/>
      <c r="AN59" s="11"/>
      <c r="AO59" s="11"/>
    </row>
    <row r="60" spans="1:41" x14ac:dyDescent="0.25">
      <c r="A60" s="61" t="s">
        <v>2</v>
      </c>
      <c r="B60" s="62" t="str">
        <f>IF(_epmOfflineCondition_,"'Resv'!$B$2:$B$10",_xll.EVRNG($B$2:$B$10))</f>
        <v>'Resv'!$B$2:$B$10</v>
      </c>
      <c r="C60" s="11"/>
      <c r="D60" s="11"/>
      <c r="E60" s="11"/>
      <c r="F60" s="11"/>
      <c r="G60" s="72"/>
      <c r="H60" s="181" t="s">
        <v>235</v>
      </c>
      <c r="I60" s="118" t="str">
        <f>IF(_epmOfflineCondition_,"T3",_xll.EVPRO($B$1,$H60,"STYLE"))</f>
        <v>T3</v>
      </c>
      <c r="J60" s="118" t="str">
        <f>IF(_epmOfflineCondition_,"Y",_xll.EVPRO($B$1,$H60,"CALC"))</f>
        <v>Y</v>
      </c>
      <c r="K60" s="175" t="str">
        <f t="shared" si="13"/>
        <v>&gt;</v>
      </c>
      <c r="L60" s="365" t="str">
        <f>IF(_epmOfflineCondition_,"910250",_xll.EVPRO($B$1,H60,"JDEID"))</f>
        <v>910250</v>
      </c>
      <c r="M60" s="86" t="str">
        <f>IF(_epmOfflineCondition_,"",IF(AND(I60="N",J60="N"),_xll.EVPRO($B$1,H60,"PSFTID"),""))</f>
        <v/>
      </c>
      <c r="N60" s="86" t="str">
        <f>IF(_epmOfflineCondition_,"# of E-Channel Reservations",IF(_xll.EVDES(H60,$B$1)="#NODATA","",_xll.EVDES(H60,$B$1)))</f>
        <v># of E-Channel Reservations</v>
      </c>
      <c r="O60" s="228"/>
      <c r="P60" s="228"/>
      <c r="Q60" s="228"/>
      <c r="R60" s="228"/>
      <c r="S60" s="228"/>
      <c r="T60" s="228"/>
      <c r="U60" s="228"/>
      <c r="V60" s="228"/>
      <c r="W60" s="228"/>
      <c r="X60" s="228"/>
      <c r="Y60" s="228"/>
      <c r="Z60" s="228"/>
      <c r="AA60" s="228">
        <f t="shared" si="14"/>
        <v>0</v>
      </c>
      <c r="AB60" s="230" t="str">
        <f t="shared" si="15"/>
        <v/>
      </c>
      <c r="AC60" s="136"/>
      <c r="AD60" s="228"/>
      <c r="AE60" s="230" t="str">
        <f t="shared" si="16"/>
        <v/>
      </c>
      <c r="AF60" s="231">
        <f t="shared" si="17"/>
        <v>0</v>
      </c>
      <c r="AG60" s="228">
        <v>-157</v>
      </c>
      <c r="AH60" s="230">
        <f t="shared" si="18"/>
        <v>-0.92352941176470593</v>
      </c>
      <c r="AI60" s="231">
        <f t="shared" si="19"/>
        <v>157</v>
      </c>
      <c r="AJ60" s="11"/>
      <c r="AK60" s="11"/>
      <c r="AL60" s="11"/>
      <c r="AM60" s="11"/>
      <c r="AN60" s="11"/>
      <c r="AO60" s="11"/>
    </row>
    <row r="61" spans="1:41" x14ac:dyDescent="0.25">
      <c r="A61" s="61" t="s">
        <v>3</v>
      </c>
      <c r="B61" s="62" t="str">
        <f>IF(_epmOfflineCondition_,"'Resv'!$O$16:$AI$18",_xll.EVRNG(O16:AI18))</f>
        <v>'Resv'!$O$16:$AI$18</v>
      </c>
      <c r="C61" s="11"/>
      <c r="D61" s="11"/>
      <c r="E61" s="11"/>
      <c r="F61" s="11"/>
      <c r="G61" s="72"/>
      <c r="H61" s="181" t="s">
        <v>236</v>
      </c>
      <c r="I61" s="184" t="str">
        <f>IF(_epmOfflineCondition_,"T2",_xll.EVPRO($B$1,$H61,"STYLE"))</f>
        <v>T2</v>
      </c>
      <c r="J61" s="184" t="str">
        <f>IF(_epmOfflineCondition_,"Y",_xll.EVPRO($B$1,$H61,"CALC"))</f>
        <v>Y</v>
      </c>
      <c r="K61" s="185" t="str">
        <f t="shared" si="13"/>
        <v/>
      </c>
      <c r="L61" s="102" t="str">
        <f>IF(_epmOfflineCondition_,"",_xll.EVPRO($B$1,H61,"JDEID"))</f>
        <v/>
      </c>
      <c r="M61" s="186" t="str">
        <f>IF(_epmOfflineCondition_,"",IF(AND(I61="N",J61="N"),_xll.EVPRO($B$1,H61,"PSFTID"),""))</f>
        <v/>
      </c>
      <c r="N61" s="186" t="str">
        <f>IF(_epmOfflineCondition_,"Total # of Net Reservation Taken",IF(_xll.EVDES(H61,$B$1)="#NODATA","",_xll.EVDES(H61,$B$1)))</f>
        <v>Total # of Net Reservation Taken</v>
      </c>
      <c r="O61" s="236"/>
      <c r="P61" s="236">
        <v>10</v>
      </c>
      <c r="Q61" s="236">
        <v>134</v>
      </c>
      <c r="R61" s="236">
        <v>58</v>
      </c>
      <c r="S61" s="236">
        <v>63</v>
      </c>
      <c r="T61" s="236">
        <v>108</v>
      </c>
      <c r="U61" s="236">
        <v>21</v>
      </c>
      <c r="V61" s="236">
        <v>23</v>
      </c>
      <c r="W61" s="236">
        <v>64</v>
      </c>
      <c r="X61" s="236">
        <v>169</v>
      </c>
      <c r="Y61" s="236">
        <v>72</v>
      </c>
      <c r="Z61" s="236">
        <v>124</v>
      </c>
      <c r="AA61" s="236">
        <f t="shared" si="14"/>
        <v>846</v>
      </c>
      <c r="AB61" s="237">
        <f t="shared" si="15"/>
        <v>1</v>
      </c>
      <c r="AC61" s="238"/>
      <c r="AD61" s="236">
        <v>581.96699999999998</v>
      </c>
      <c r="AE61" s="237">
        <f t="shared" si="16"/>
        <v>1</v>
      </c>
      <c r="AF61" s="239">
        <f t="shared" si="17"/>
        <v>264.03300000000002</v>
      </c>
      <c r="AG61" s="236">
        <v>170</v>
      </c>
      <c r="AH61" s="237">
        <f t="shared" si="18"/>
        <v>1</v>
      </c>
      <c r="AI61" s="239">
        <f t="shared" si="19"/>
        <v>676</v>
      </c>
      <c r="AJ61" s="11"/>
      <c r="AK61" s="11"/>
      <c r="AL61" s="11"/>
      <c r="AM61" s="11"/>
      <c r="AN61" s="11"/>
      <c r="AO61" s="11"/>
    </row>
    <row r="62" spans="1:41" x14ac:dyDescent="0.25">
      <c r="A62" s="61" t="s">
        <v>4</v>
      </c>
      <c r="B62" s="62" t="str">
        <f>IF(_epmOfflineCondition_,"'Resv'!$H$54:$H$61",_xll.EVRNG(H54:H61))</f>
        <v>'Resv'!$H$54:$H$61</v>
      </c>
      <c r="C62" s="11"/>
      <c r="D62" s="11"/>
      <c r="E62" s="11"/>
      <c r="F62" s="11"/>
      <c r="G62" s="72"/>
      <c r="H62" s="11"/>
      <c r="I62" s="55"/>
      <c r="J62" s="55"/>
      <c r="K62" s="11"/>
      <c r="L62" s="11"/>
      <c r="M62" s="11"/>
      <c r="N62" s="11"/>
      <c r="O62" s="193"/>
      <c r="P62" s="193"/>
      <c r="Q62" s="193"/>
      <c r="R62" s="193"/>
      <c r="S62" s="193"/>
      <c r="T62" s="193"/>
      <c r="U62" s="193"/>
      <c r="V62" s="193"/>
      <c r="W62" s="193"/>
      <c r="X62" s="193"/>
      <c r="Y62" s="193"/>
      <c r="Z62" s="193"/>
      <c r="AA62" s="193"/>
      <c r="AB62" s="194"/>
      <c r="AC62" s="11"/>
      <c r="AD62" s="193"/>
      <c r="AE62" s="194"/>
      <c r="AF62" s="195"/>
      <c r="AG62" s="193"/>
      <c r="AH62" s="194"/>
      <c r="AI62" s="195"/>
      <c r="AJ62" s="11"/>
      <c r="AK62" s="11"/>
      <c r="AL62" s="11"/>
      <c r="AM62" s="11"/>
      <c r="AN62" s="11"/>
      <c r="AO62" s="11"/>
    </row>
    <row r="63" spans="1:41" x14ac:dyDescent="0.25">
      <c r="A63" s="61" t="s">
        <v>5</v>
      </c>
      <c r="B63" s="62"/>
      <c r="C63" s="11"/>
      <c r="D63" s="11"/>
      <c r="E63" s="11"/>
      <c r="F63" s="11"/>
      <c r="G63" s="72"/>
      <c r="H63" s="11"/>
      <c r="I63" s="55"/>
      <c r="J63" s="55"/>
      <c r="K63" s="100"/>
      <c r="L63" s="100"/>
      <c r="M63" s="100"/>
      <c r="N63" s="100" t="str">
        <f>N21</f>
        <v>Number of Rooms on Property</v>
      </c>
      <c r="O63" s="87">
        <f t="shared" ref="O63:AA63" si="20">O$21</f>
        <v>132</v>
      </c>
      <c r="P63" s="87">
        <f t="shared" si="20"/>
        <v>132</v>
      </c>
      <c r="Q63" s="87">
        <f t="shared" si="20"/>
        <v>132</v>
      </c>
      <c r="R63" s="87">
        <f t="shared" si="20"/>
        <v>132</v>
      </c>
      <c r="S63" s="87">
        <f t="shared" si="20"/>
        <v>132</v>
      </c>
      <c r="T63" s="87">
        <f t="shared" si="20"/>
        <v>132</v>
      </c>
      <c r="U63" s="87">
        <f t="shared" si="20"/>
        <v>132</v>
      </c>
      <c r="V63" s="87">
        <f t="shared" si="20"/>
        <v>132</v>
      </c>
      <c r="W63" s="87">
        <f t="shared" si="20"/>
        <v>132</v>
      </c>
      <c r="X63" s="87">
        <f t="shared" si="20"/>
        <v>132</v>
      </c>
      <c r="Y63" s="87">
        <f t="shared" si="20"/>
        <v>132</v>
      </c>
      <c r="Z63" s="87">
        <f t="shared" si="20"/>
        <v>132</v>
      </c>
      <c r="AA63" s="87">
        <f t="shared" si="20"/>
        <v>1584</v>
      </c>
      <c r="AB63" s="96"/>
      <c r="AC63" s="11"/>
      <c r="AD63" s="87">
        <f>AD$21</f>
        <v>1584</v>
      </c>
      <c r="AE63" s="96"/>
      <c r="AF63" s="179"/>
      <c r="AG63" s="87">
        <f>AG$21</f>
        <v>1496</v>
      </c>
      <c r="AH63" s="96"/>
      <c r="AI63" s="179"/>
      <c r="AJ63" s="11"/>
      <c r="AK63" s="11"/>
      <c r="AL63" s="11"/>
      <c r="AM63" s="11"/>
      <c r="AN63" s="11"/>
      <c r="AO63" s="11"/>
    </row>
    <row r="64" spans="1:41" x14ac:dyDescent="0.25">
      <c r="A64" s="61" t="s">
        <v>6</v>
      </c>
      <c r="B64" s="62"/>
      <c r="C64" s="11"/>
      <c r="D64" s="11"/>
      <c r="E64" s="11"/>
      <c r="F64" s="11"/>
      <c r="G64" s="72"/>
      <c r="H64" s="11"/>
      <c r="I64" s="55"/>
      <c r="J64" s="55"/>
      <c r="K64" s="100"/>
      <c r="L64" s="100"/>
      <c r="M64" s="100"/>
      <c r="N64" s="100"/>
      <c r="O64" s="87"/>
      <c r="P64" s="87"/>
      <c r="Q64" s="87"/>
      <c r="R64" s="87"/>
      <c r="S64" s="87"/>
      <c r="T64" s="87"/>
      <c r="U64" s="87"/>
      <c r="V64" s="87"/>
      <c r="W64" s="87"/>
      <c r="X64" s="87"/>
      <c r="Y64" s="87"/>
      <c r="Z64" s="87"/>
      <c r="AA64" s="87"/>
      <c r="AB64" s="96"/>
      <c r="AC64" s="11"/>
      <c r="AD64" s="87"/>
      <c r="AE64" s="96"/>
      <c r="AF64" s="88"/>
      <c r="AG64" s="87"/>
      <c r="AH64" s="96"/>
      <c r="AI64" s="88"/>
      <c r="AJ64" s="11"/>
      <c r="AK64" s="11"/>
      <c r="AL64" s="11"/>
      <c r="AM64" s="11"/>
      <c r="AN64" s="11"/>
      <c r="AO64" s="11"/>
    </row>
    <row r="65" spans="1:41" x14ac:dyDescent="0.25">
      <c r="A65" s="61" t="s">
        <v>7</v>
      </c>
      <c r="B65" s="62" t="str">
        <f>IF(_epmOfflineCondition_,"'Resv'!$A$79:$F$83",_xll.EVRNG(A79:F83))</f>
        <v>'Resv'!$A$79:$F$83</v>
      </c>
      <c r="C65" s="11"/>
      <c r="D65" s="11"/>
      <c r="E65" s="11"/>
      <c r="F65" s="11"/>
      <c r="G65" s="72"/>
      <c r="H65" s="84"/>
      <c r="I65" s="132"/>
      <c r="J65" s="132"/>
      <c r="K65" s="175"/>
      <c r="L65" s="175"/>
      <c r="M65" s="175"/>
      <c r="N65" s="100" t="s">
        <v>245</v>
      </c>
      <c r="O65" s="205" t="e">
        <f t="shared" ref="O65:AA65" si="21">SUMIF($H$34:$H$45,"710150",O$34:O$45)/SUMIF($H$54:$H$61,"910200",O$54:O$61)</f>
        <v>#DIV/0!</v>
      </c>
      <c r="P65" s="205" t="e">
        <f t="shared" si="21"/>
        <v>#DIV/0!</v>
      </c>
      <c r="Q65" s="205" t="e">
        <f t="shared" si="21"/>
        <v>#DIV/0!</v>
      </c>
      <c r="R65" s="205" t="e">
        <f t="shared" si="21"/>
        <v>#DIV/0!</v>
      </c>
      <c r="S65" s="205" t="e">
        <f t="shared" si="21"/>
        <v>#DIV/0!</v>
      </c>
      <c r="T65" s="205" t="e">
        <f t="shared" si="21"/>
        <v>#DIV/0!</v>
      </c>
      <c r="U65" s="205" t="e">
        <f t="shared" si="21"/>
        <v>#DIV/0!</v>
      </c>
      <c r="V65" s="205" t="e">
        <f t="shared" si="21"/>
        <v>#DIV/0!</v>
      </c>
      <c r="W65" s="205" t="e">
        <f t="shared" si="21"/>
        <v>#DIV/0!</v>
      </c>
      <c r="X65" s="205" t="e">
        <f t="shared" si="21"/>
        <v>#DIV/0!</v>
      </c>
      <c r="Y65" s="205" t="e">
        <f t="shared" si="21"/>
        <v>#DIV/0!</v>
      </c>
      <c r="Z65" s="205" t="e">
        <f t="shared" si="21"/>
        <v>#DIV/0!</v>
      </c>
      <c r="AA65" s="205" t="e">
        <f t="shared" si="21"/>
        <v>#DIV/0!</v>
      </c>
      <c r="AB65" s="96"/>
      <c r="AC65" s="11"/>
      <c r="AD65" s="205" t="e">
        <f>SUMIF($H$34:$H$45,"710150",AD$34:AD$45)/SUMIF($H$54:$H$61,"910200",AD$54:AD$61)</f>
        <v>#DIV/0!</v>
      </c>
      <c r="AE65" s="96"/>
      <c r="AF65" s="179" t="e">
        <f t="shared" ref="AF65:AF74" si="22">IF(AND($AA65="",AD65=""),"",$AA65-AD65)</f>
        <v>#DIV/0!</v>
      </c>
      <c r="AG65" s="205">
        <f>SUMIF($H$34:$H$45,"710150",AG$34:AG$45)/SUMIF($H$54:$H$61,"910200",AG$54:AG$61)</f>
        <v>1.9477303113261604</v>
      </c>
      <c r="AH65" s="96"/>
      <c r="AI65" s="179" t="e">
        <f t="shared" ref="AI65:AI74" si="23">IF(AND($AA65="",AG65=""),"",$AA65-AG65)</f>
        <v>#DIV/0!</v>
      </c>
      <c r="AJ65" s="11"/>
      <c r="AK65" s="11"/>
      <c r="AL65" s="11"/>
      <c r="AM65" s="11"/>
      <c r="AN65" s="11"/>
      <c r="AO65" s="11"/>
    </row>
    <row r="66" spans="1:41" x14ac:dyDescent="0.25">
      <c r="A66" s="61" t="s">
        <v>47</v>
      </c>
      <c r="B66" s="62" t="str">
        <f>IF(_epmOfflineCondition_,"'Resv'!$A$87:$B$108",_xll.EVRNG($A$87:$B$108))</f>
        <v>'Resv'!$A$87:$B$108</v>
      </c>
      <c r="C66" s="11"/>
      <c r="D66" s="11"/>
      <c r="E66" s="11"/>
      <c r="F66" s="11"/>
      <c r="G66" s="72"/>
      <c r="H66" s="84"/>
      <c r="I66" s="132"/>
      <c r="J66" s="132"/>
      <c r="K66" s="175"/>
      <c r="L66" s="175"/>
      <c r="M66" s="175"/>
      <c r="N66" s="100" t="s">
        <v>246</v>
      </c>
      <c r="O66" s="205" t="e">
        <f t="shared" ref="O66:AA66" si="24">(SUMIF($H$34:$H$45,"710140",O$34:O$45)+SUMIF($H$34:$H$45,"710145",O$34:O$45))/(SUMIF($H$54:$H$61,"RESATHOTEL",O$54:O$61)+SUMIF($H$54:$H$61,"910220",O$54:O$61))</f>
        <v>#DIV/0!</v>
      </c>
      <c r="P66" s="205" t="e">
        <f t="shared" si="24"/>
        <v>#DIV/0!</v>
      </c>
      <c r="Q66" s="205" t="e">
        <f t="shared" si="24"/>
        <v>#DIV/0!</v>
      </c>
      <c r="R66" s="205" t="e">
        <f t="shared" si="24"/>
        <v>#DIV/0!</v>
      </c>
      <c r="S66" s="205" t="e">
        <f t="shared" si="24"/>
        <v>#DIV/0!</v>
      </c>
      <c r="T66" s="205" t="e">
        <f t="shared" si="24"/>
        <v>#DIV/0!</v>
      </c>
      <c r="U66" s="205" t="e">
        <f t="shared" si="24"/>
        <v>#DIV/0!</v>
      </c>
      <c r="V66" s="205" t="e">
        <f t="shared" si="24"/>
        <v>#DIV/0!</v>
      </c>
      <c r="W66" s="205" t="e">
        <f t="shared" si="24"/>
        <v>#DIV/0!</v>
      </c>
      <c r="X66" s="205" t="e">
        <f t="shared" si="24"/>
        <v>#DIV/0!</v>
      </c>
      <c r="Y66" s="205" t="e">
        <f t="shared" si="24"/>
        <v>#DIV/0!</v>
      </c>
      <c r="Z66" s="205" t="e">
        <f t="shared" si="24"/>
        <v>#DIV/0!</v>
      </c>
      <c r="AA66" s="205" t="e">
        <f t="shared" si="24"/>
        <v>#DIV/0!</v>
      </c>
      <c r="AB66" s="96"/>
      <c r="AC66" s="11"/>
      <c r="AD66" s="205" t="e">
        <f>(SUMIF($H$34:$H$45,"710140",AD$34:AD$45)+SUMIF($H$34:$H$45,"710145",AD$34:AD$45))/(SUMIF($H$54:$H$61,"RESATHOTEL",AD$54:AD$61)+SUMIF($H$54:$H$61,"910220",AD$54:AD$61))</f>
        <v>#DIV/0!</v>
      </c>
      <c r="AE66" s="96"/>
      <c r="AF66" s="179" t="e">
        <f t="shared" si="22"/>
        <v>#DIV/0!</v>
      </c>
      <c r="AG66" s="205">
        <f>(SUMIF($H$34:$H$45,"710140",AG$34:AG$45)+SUMIF($H$34:$H$45,"710145",AG$34:AG$45))/(SUMIF($H$54:$H$61,"RESATHOTEL",AG$54:AG$61)+SUMIF($H$54:$H$61,"910220",AG$54:AG$61))</f>
        <v>8.7916666666666657E-2</v>
      </c>
      <c r="AH66" s="96"/>
      <c r="AI66" s="179" t="e">
        <f t="shared" si="23"/>
        <v>#DIV/0!</v>
      </c>
      <c r="AJ66" s="11"/>
      <c r="AK66" s="11"/>
      <c r="AL66" s="11"/>
      <c r="AM66" s="11"/>
      <c r="AN66" s="11"/>
      <c r="AO66" s="11"/>
    </row>
    <row r="67" spans="1:41" x14ac:dyDescent="0.25">
      <c r="A67" s="61" t="s">
        <v>8</v>
      </c>
      <c r="B67" s="62"/>
      <c r="C67" s="11"/>
      <c r="D67" s="11"/>
      <c r="E67" s="11"/>
      <c r="F67" s="11"/>
      <c r="G67" s="72"/>
      <c r="H67" s="84"/>
      <c r="I67" s="132"/>
      <c r="J67" s="132"/>
      <c r="K67" s="175"/>
      <c r="L67" s="175"/>
      <c r="M67" s="175"/>
      <c r="N67" s="100" t="s">
        <v>247</v>
      </c>
      <c r="O67" s="205">
        <f t="shared" ref="O67:AA67" si="25">SUMIF($H$34:$H$45,"710160",O$34:O$45)/O$63</f>
        <v>0</v>
      </c>
      <c r="P67" s="205">
        <f t="shared" si="25"/>
        <v>0</v>
      </c>
      <c r="Q67" s="205">
        <f t="shared" si="25"/>
        <v>0</v>
      </c>
      <c r="R67" s="205">
        <f t="shared" si="25"/>
        <v>0</v>
      </c>
      <c r="S67" s="205">
        <f t="shared" si="25"/>
        <v>0</v>
      </c>
      <c r="T67" s="205">
        <f t="shared" si="25"/>
        <v>0</v>
      </c>
      <c r="U67" s="205">
        <f t="shared" si="25"/>
        <v>0</v>
      </c>
      <c r="V67" s="205">
        <f t="shared" si="25"/>
        <v>0</v>
      </c>
      <c r="W67" s="205">
        <f t="shared" si="25"/>
        <v>0</v>
      </c>
      <c r="X67" s="205">
        <f t="shared" si="25"/>
        <v>0</v>
      </c>
      <c r="Y67" s="205">
        <f t="shared" si="25"/>
        <v>0</v>
      </c>
      <c r="Z67" s="205">
        <f t="shared" si="25"/>
        <v>0</v>
      </c>
      <c r="AA67" s="205">
        <f t="shared" si="25"/>
        <v>0</v>
      </c>
      <c r="AB67" s="96"/>
      <c r="AC67" s="11"/>
      <c r="AD67" s="205">
        <f>SUMIF($H$34:$H$45,"710160",AD$34:AD$45)/AD$63</f>
        <v>0</v>
      </c>
      <c r="AE67" s="96"/>
      <c r="AF67" s="179">
        <f t="shared" si="22"/>
        <v>0</v>
      </c>
      <c r="AG67" s="205">
        <f>SUMIF($H$34:$H$45,"710160",AG$34:AG$45)/AG$63</f>
        <v>0</v>
      </c>
      <c r="AH67" s="96"/>
      <c r="AI67" s="179">
        <f t="shared" si="23"/>
        <v>0</v>
      </c>
      <c r="AJ67" s="11"/>
      <c r="AK67" s="11"/>
      <c r="AL67" s="11"/>
      <c r="AM67" s="11"/>
      <c r="AN67" s="11"/>
      <c r="AO67" s="11"/>
    </row>
    <row r="68" spans="1:41" x14ac:dyDescent="0.25">
      <c r="A68" s="11"/>
      <c r="B68" s="11"/>
      <c r="C68" s="11"/>
      <c r="D68" s="11"/>
      <c r="E68" s="11"/>
      <c r="F68" s="11"/>
      <c r="G68" s="72"/>
      <c r="H68" s="84"/>
      <c r="I68" s="132"/>
      <c r="J68" s="132"/>
      <c r="K68" s="175"/>
      <c r="L68" s="175"/>
      <c r="M68" s="175"/>
      <c r="N68" s="100" t="s">
        <v>248</v>
      </c>
      <c r="O68" s="205" t="e">
        <f t="shared" ref="O68:AA68" si="26">SUMIF($H$34:$H$45,"710170",O$34:O$45)/SUMIF($H$54:$H$61,"910230",O$54:O$61)</f>
        <v>#DIV/0!</v>
      </c>
      <c r="P68" s="205">
        <f t="shared" si="26"/>
        <v>6.4</v>
      </c>
      <c r="Q68" s="205">
        <f t="shared" si="26"/>
        <v>6.4</v>
      </c>
      <c r="R68" s="205">
        <f t="shared" si="26"/>
        <v>-2.4275862068965521</v>
      </c>
      <c r="S68" s="205">
        <f t="shared" si="26"/>
        <v>6.3999999999999995</v>
      </c>
      <c r="T68" s="205">
        <f t="shared" si="26"/>
        <v>6.4</v>
      </c>
      <c r="U68" s="205">
        <f t="shared" si="26"/>
        <v>6.4</v>
      </c>
      <c r="V68" s="205">
        <f t="shared" si="26"/>
        <v>6.3999999999999995</v>
      </c>
      <c r="W68" s="205">
        <f t="shared" si="26"/>
        <v>5</v>
      </c>
      <c r="X68" s="205">
        <f t="shared" si="26"/>
        <v>1.3633136094674556</v>
      </c>
      <c r="Y68" s="205">
        <f t="shared" si="26"/>
        <v>6.4</v>
      </c>
      <c r="Z68" s="205">
        <f t="shared" si="26"/>
        <v>6.2645161290322573</v>
      </c>
      <c r="AA68" s="205">
        <f t="shared" si="26"/>
        <v>4.9806146572104026</v>
      </c>
      <c r="AB68" s="96"/>
      <c r="AC68" s="11"/>
      <c r="AD68" s="205">
        <f>SUMIF($H$34:$H$45,"710170",AD$34:AD$45)/SUMIF($H$54:$H$61,"910230",AD$54:AD$61)</f>
        <v>6.6</v>
      </c>
      <c r="AE68" s="96"/>
      <c r="AF68" s="179">
        <f t="shared" si="22"/>
        <v>-1.619385342789597</v>
      </c>
      <c r="AG68" s="205">
        <f>SUMIF($H$34:$H$45,"710170",AG$34:AG$45)/SUMIF($H$54:$H$61,"910230",AG$54:AG$61)</f>
        <v>7.1000287356321836</v>
      </c>
      <c r="AH68" s="96"/>
      <c r="AI68" s="179">
        <f t="shared" si="23"/>
        <v>-2.119414078421781</v>
      </c>
      <c r="AJ68" s="11"/>
      <c r="AK68" s="11"/>
      <c r="AL68" s="11"/>
      <c r="AM68" s="11"/>
      <c r="AN68" s="11"/>
      <c r="AO68" s="11"/>
    </row>
    <row r="69" spans="1:41" x14ac:dyDescent="0.25">
      <c r="A69" s="57" t="s">
        <v>9</v>
      </c>
      <c r="B69" s="58" t="s">
        <v>10</v>
      </c>
      <c r="C69" s="11"/>
      <c r="D69" s="11"/>
      <c r="E69" s="11"/>
      <c r="F69" s="11"/>
      <c r="G69" s="72"/>
      <c r="H69" s="84"/>
      <c r="I69" s="132"/>
      <c r="J69" s="132"/>
      <c r="K69" s="175"/>
      <c r="L69" s="175"/>
      <c r="M69" s="175"/>
      <c r="N69" s="100" t="s">
        <v>249</v>
      </c>
      <c r="O69" s="205" t="e">
        <f t="shared" ref="O69:AA69" si="27">SUMIF($H$34:$H$45,"710180",O$34:O$45)/SUMIF($H$54:$H$61,"910240",O$54:O$61)</f>
        <v>#DIV/0!</v>
      </c>
      <c r="P69" s="205" t="e">
        <f t="shared" si="27"/>
        <v>#DIV/0!</v>
      </c>
      <c r="Q69" s="205" t="e">
        <f t="shared" si="27"/>
        <v>#DIV/0!</v>
      </c>
      <c r="R69" s="205" t="e">
        <f t="shared" si="27"/>
        <v>#DIV/0!</v>
      </c>
      <c r="S69" s="205" t="e">
        <f t="shared" si="27"/>
        <v>#DIV/0!</v>
      </c>
      <c r="T69" s="205" t="e">
        <f t="shared" si="27"/>
        <v>#DIV/0!</v>
      </c>
      <c r="U69" s="205" t="e">
        <f t="shared" si="27"/>
        <v>#DIV/0!</v>
      </c>
      <c r="V69" s="205" t="e">
        <f t="shared" si="27"/>
        <v>#DIV/0!</v>
      </c>
      <c r="W69" s="205" t="e">
        <f t="shared" si="27"/>
        <v>#DIV/0!</v>
      </c>
      <c r="X69" s="205" t="e">
        <f t="shared" si="27"/>
        <v>#DIV/0!</v>
      </c>
      <c r="Y69" s="205" t="e">
        <f t="shared" si="27"/>
        <v>#DIV/0!</v>
      </c>
      <c r="Z69" s="205" t="e">
        <f t="shared" si="27"/>
        <v>#DIV/0!</v>
      </c>
      <c r="AA69" s="205" t="e">
        <f t="shared" si="27"/>
        <v>#DIV/0!</v>
      </c>
      <c r="AB69" s="96"/>
      <c r="AC69" s="11"/>
      <c r="AD69" s="205" t="e">
        <f>SUMIF($H$34:$H$45,"710180",AD$34:AD$45)/SUMIF($H$54:$H$61,"910240",AD$54:AD$61)</f>
        <v>#DIV/0!</v>
      </c>
      <c r="AE69" s="96"/>
      <c r="AF69" s="179" t="e">
        <f t="shared" si="22"/>
        <v>#DIV/0!</v>
      </c>
      <c r="AG69" s="205">
        <f>SUMIF($H$34:$H$45,"710180",AG$34:AG$45)/SUMIF($H$54:$H$61,"910240",AG$54:AG$61)</f>
        <v>1.9100000000000001</v>
      </c>
      <c r="AH69" s="96"/>
      <c r="AI69" s="179" t="e">
        <f t="shared" si="23"/>
        <v>#DIV/0!</v>
      </c>
      <c r="AJ69" s="11"/>
      <c r="AK69" s="11"/>
      <c r="AL69" s="11"/>
      <c r="AM69" s="11"/>
      <c r="AN69" s="11"/>
      <c r="AO69" s="11"/>
    </row>
    <row r="70" spans="1:41" x14ac:dyDescent="0.25">
      <c r="A70" s="61" t="s">
        <v>11</v>
      </c>
      <c r="B70" s="62" t="s">
        <v>21</v>
      </c>
      <c r="C70" s="11"/>
      <c r="D70" s="11"/>
      <c r="E70" s="11"/>
      <c r="F70" s="11"/>
      <c r="G70" s="72"/>
      <c r="H70" s="84"/>
      <c r="I70" s="132"/>
      <c r="J70" s="132"/>
      <c r="K70" s="175"/>
      <c r="L70" s="175"/>
      <c r="M70" s="175"/>
      <c r="N70" s="100" t="s">
        <v>250</v>
      </c>
      <c r="O70" s="205" t="e">
        <f t="shared" ref="O70:AA70" si="28">SUMIF($H$34:$H$45,"710190",O$34:O$45)/SUMIF($H$54:$H$61,"910250",O$54:O$61)</f>
        <v>#DIV/0!</v>
      </c>
      <c r="P70" s="205" t="e">
        <f t="shared" si="28"/>
        <v>#DIV/0!</v>
      </c>
      <c r="Q70" s="205" t="e">
        <f t="shared" si="28"/>
        <v>#DIV/0!</v>
      </c>
      <c r="R70" s="205" t="e">
        <f t="shared" si="28"/>
        <v>#DIV/0!</v>
      </c>
      <c r="S70" s="205" t="e">
        <f t="shared" si="28"/>
        <v>#DIV/0!</v>
      </c>
      <c r="T70" s="205" t="e">
        <f t="shared" si="28"/>
        <v>#DIV/0!</v>
      </c>
      <c r="U70" s="205" t="e">
        <f t="shared" si="28"/>
        <v>#DIV/0!</v>
      </c>
      <c r="V70" s="205" t="e">
        <f t="shared" si="28"/>
        <v>#DIV/0!</v>
      </c>
      <c r="W70" s="205" t="e">
        <f t="shared" si="28"/>
        <v>#DIV/0!</v>
      </c>
      <c r="X70" s="205" t="e">
        <f t="shared" si="28"/>
        <v>#DIV/0!</v>
      </c>
      <c r="Y70" s="205" t="e">
        <f t="shared" si="28"/>
        <v>#DIV/0!</v>
      </c>
      <c r="Z70" s="205" t="e">
        <f t="shared" si="28"/>
        <v>#DIV/0!</v>
      </c>
      <c r="AA70" s="205" t="e">
        <f t="shared" si="28"/>
        <v>#DIV/0!</v>
      </c>
      <c r="AB70" s="96"/>
      <c r="AC70" s="11"/>
      <c r="AD70" s="205" t="e">
        <f>SUMIF($H$34:$H$45,"710190",AD$34:AD$45)/SUMIF($H$54:$H$61,"910250",AD$54:AD$61)</f>
        <v>#DIV/0!</v>
      </c>
      <c r="AE70" s="96"/>
      <c r="AF70" s="179" t="e">
        <f t="shared" si="22"/>
        <v>#DIV/0!</v>
      </c>
      <c r="AG70" s="205">
        <f>SUMIF($H$34:$H$45,"710190",AG$34:AG$45)/SUMIF($H$54:$H$61,"910250",AG$54:AG$61)</f>
        <v>2.2754777070063694</v>
      </c>
      <c r="AH70" s="96"/>
      <c r="AI70" s="179" t="e">
        <f t="shared" si="23"/>
        <v>#DIV/0!</v>
      </c>
      <c r="AJ70" s="11"/>
      <c r="AK70" s="11"/>
      <c r="AL70" s="11"/>
      <c r="AM70" s="11"/>
      <c r="AN70" s="11"/>
      <c r="AO70" s="11"/>
    </row>
    <row r="71" spans="1:41" x14ac:dyDescent="0.25">
      <c r="A71" s="61" t="s">
        <v>12</v>
      </c>
      <c r="B71" s="62" t="s">
        <v>22</v>
      </c>
      <c r="C71" s="11"/>
      <c r="D71" s="11"/>
      <c r="E71" s="11"/>
      <c r="F71" s="11"/>
      <c r="G71" s="72"/>
      <c r="H71" s="84"/>
      <c r="I71" s="132"/>
      <c r="J71" s="132"/>
      <c r="K71" s="175"/>
      <c r="L71" s="175"/>
      <c r="M71" s="175"/>
      <c r="N71" s="100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  <c r="Z71" s="87"/>
      <c r="AA71" s="87"/>
      <c r="AB71" s="96"/>
      <c r="AC71" s="11"/>
      <c r="AD71" s="87"/>
      <c r="AE71" s="96"/>
      <c r="AF71" s="179" t="str">
        <f t="shared" si="22"/>
        <v/>
      </c>
      <c r="AG71" s="87"/>
      <c r="AH71" s="96"/>
      <c r="AI71" s="179" t="str">
        <f t="shared" si="23"/>
        <v/>
      </c>
      <c r="AJ71" s="11"/>
      <c r="AK71" s="11"/>
      <c r="AL71" s="11"/>
      <c r="AM71" s="11"/>
      <c r="AN71" s="11"/>
      <c r="AO71" s="11"/>
    </row>
    <row r="72" spans="1:41" x14ac:dyDescent="0.25">
      <c r="A72" s="61" t="s">
        <v>13</v>
      </c>
      <c r="B72" s="62" t="s">
        <v>238</v>
      </c>
      <c r="C72" s="11"/>
      <c r="D72" s="11"/>
      <c r="E72" s="11"/>
      <c r="F72" s="11"/>
      <c r="G72" s="72"/>
      <c r="H72" s="84"/>
      <c r="I72" s="132"/>
      <c r="J72" s="132"/>
      <c r="K72" s="175"/>
      <c r="L72" s="175"/>
      <c r="M72" s="175"/>
      <c r="N72" s="263" t="s">
        <v>251</v>
      </c>
      <c r="O72" s="205" t="e">
        <f t="shared" ref="O72:AA72" si="29">SUMIF($H$34:$H$48,"700000",O$34:O$48)/SUMIF($H$54:$H$61,"TLNETRES",O$54:O$61)</f>
        <v>#DIV/0!</v>
      </c>
      <c r="P72" s="205">
        <f t="shared" si="29"/>
        <v>705.62799999999993</v>
      </c>
      <c r="Q72" s="205">
        <f t="shared" si="29"/>
        <v>65.608880597014931</v>
      </c>
      <c r="R72" s="205">
        <f t="shared" si="29"/>
        <v>102.03793103448275</v>
      </c>
      <c r="S72" s="205">
        <f t="shared" si="29"/>
        <v>85.051269841269828</v>
      </c>
      <c r="T72" s="205">
        <f t="shared" si="29"/>
        <v>39.480740740740742</v>
      </c>
      <c r="U72" s="205">
        <f t="shared" si="29"/>
        <v>200.36666666666665</v>
      </c>
      <c r="V72" s="205">
        <f t="shared" si="29"/>
        <v>183.04782608695655</v>
      </c>
      <c r="W72" s="205">
        <f t="shared" si="29"/>
        <v>48.895468749999999</v>
      </c>
      <c r="X72" s="205">
        <f t="shared" si="29"/>
        <v>25.112248520710061</v>
      </c>
      <c r="Y72" s="205">
        <f t="shared" si="29"/>
        <v>77.82416666666667</v>
      </c>
      <c r="Z72" s="205">
        <f t="shared" si="29"/>
        <v>79.612500000000011</v>
      </c>
      <c r="AA72" s="205">
        <f t="shared" si="29"/>
        <v>82.060118203309671</v>
      </c>
      <c r="AB72" s="96"/>
      <c r="AC72" s="11"/>
      <c r="AD72" s="205">
        <f>SUMIF($H$34:$H$48,"700000",AD$34:AD$48)/SUMIF($H$54:$H$61,"TLNETRES",AD$54:AD$61)</f>
        <v>163.01480187020914</v>
      </c>
      <c r="AE72" s="96"/>
      <c r="AF72" s="179">
        <f t="shared" si="22"/>
        <v>-80.95468366689947</v>
      </c>
      <c r="AG72" s="205">
        <f>SUMIF($H$34:$H$48,"700000",AG$34:AG$48)/SUMIF($H$54:$H$61,"TLNETRES",AG$54:AG$61)</f>
        <v>188.50582352941177</v>
      </c>
      <c r="AH72" s="96"/>
      <c r="AI72" s="179">
        <f t="shared" si="23"/>
        <v>-106.4457053261021</v>
      </c>
      <c r="AJ72" s="11"/>
      <c r="AK72" s="11"/>
      <c r="AL72" s="11"/>
      <c r="AM72" s="11"/>
      <c r="AN72" s="11"/>
      <c r="AO72" s="11"/>
    </row>
    <row r="73" spans="1:41" x14ac:dyDescent="0.25">
      <c r="A73" s="61" t="s">
        <v>14</v>
      </c>
      <c r="B73" s="62"/>
      <c r="C73" s="11"/>
      <c r="D73" s="11"/>
      <c r="E73" s="11"/>
      <c r="F73" s="11"/>
      <c r="G73" s="72"/>
      <c r="H73" s="84"/>
      <c r="I73" s="132"/>
      <c r="J73" s="132"/>
      <c r="K73" s="175"/>
      <c r="L73" s="175"/>
      <c r="M73" s="175"/>
      <c r="N73" s="263" t="s">
        <v>252</v>
      </c>
      <c r="O73" s="205" t="e">
        <f t="shared" ref="O73:AA73" si="30">SUMIF($H$34:$H$51,"600000",O$34:O$51)/SUMIF($H$54:$H$61,"TLNETRES",O$54:O$61)</f>
        <v>#DIV/0!</v>
      </c>
      <c r="P73" s="205">
        <f t="shared" si="30"/>
        <v>152.95499999999998</v>
      </c>
      <c r="Q73" s="205">
        <f t="shared" si="30"/>
        <v>19.314104477611941</v>
      </c>
      <c r="R73" s="205">
        <f t="shared" si="30"/>
        <v>46.999482758620687</v>
      </c>
      <c r="S73" s="205">
        <f t="shared" si="30"/>
        <v>23.704444444444444</v>
      </c>
      <c r="T73" s="205">
        <f t="shared" si="30"/>
        <v>19.365370370370371</v>
      </c>
      <c r="U73" s="205">
        <f t="shared" si="30"/>
        <v>84.454761904761909</v>
      </c>
      <c r="V73" s="205">
        <f t="shared" si="30"/>
        <v>90.084782608695647</v>
      </c>
      <c r="W73" s="205">
        <f t="shared" si="30"/>
        <v>38.876562499999999</v>
      </c>
      <c r="X73" s="205">
        <f t="shared" si="30"/>
        <v>15.112840236686392</v>
      </c>
      <c r="Y73" s="205">
        <f t="shared" si="30"/>
        <v>38.300138888888888</v>
      </c>
      <c r="Z73" s="205">
        <f t="shared" si="30"/>
        <v>20.819032258064517</v>
      </c>
      <c r="AA73" s="205">
        <f t="shared" si="30"/>
        <v>32.365059101654843</v>
      </c>
      <c r="AB73" s="96"/>
      <c r="AC73" s="11"/>
      <c r="AD73" s="205">
        <f>SUMIF($H$34:$H$51,"600000",AD$34:AD$51)/SUMIF($H$54:$H$61,"TLNETRES",AD$54:AD$61)</f>
        <v>37.489700337960741</v>
      </c>
      <c r="AE73" s="96"/>
      <c r="AF73" s="183">
        <f t="shared" si="22"/>
        <v>-5.124641236305898</v>
      </c>
      <c r="AG73" s="205">
        <f>SUMIF($H$34:$H$51,"600000",AG$34:AG$51)/SUMIF($H$54:$H$61,"TLNETRES",AG$54:AG$61)</f>
        <v>46.173882352941177</v>
      </c>
      <c r="AH73" s="96"/>
      <c r="AI73" s="183">
        <f t="shared" si="23"/>
        <v>-13.808823251286334</v>
      </c>
      <c r="AJ73" s="11"/>
      <c r="AK73" s="11"/>
      <c r="AL73" s="11"/>
      <c r="AM73" s="11"/>
      <c r="AN73" s="11"/>
      <c r="AO73" s="11"/>
    </row>
    <row r="74" spans="1:41" x14ac:dyDescent="0.25">
      <c r="A74" s="61" t="s">
        <v>15</v>
      </c>
      <c r="B74" s="62"/>
      <c r="C74" s="11"/>
      <c r="D74" s="11"/>
      <c r="E74" s="11"/>
      <c r="F74" s="11"/>
      <c r="G74" s="72"/>
      <c r="H74" s="84"/>
      <c r="I74" s="132"/>
      <c r="J74" s="132"/>
      <c r="K74" s="175"/>
      <c r="L74" s="175"/>
      <c r="M74" s="175"/>
      <c r="N74" s="102" t="s">
        <v>253</v>
      </c>
      <c r="O74" s="366" t="e">
        <f t="shared" ref="O74:AA74" si="31">SUMIF($H$34:$H$51,"TOTDEPTEXP",O$34:O$51)/SUMIF($H$54:$H$61,"TLNETRES",O$54:O$61)</f>
        <v>#DIV/0!</v>
      </c>
      <c r="P74" s="366">
        <f t="shared" si="31"/>
        <v>858.58299999999997</v>
      </c>
      <c r="Q74" s="366">
        <f t="shared" si="31"/>
        <v>84.922985074626865</v>
      </c>
      <c r="R74" s="366">
        <f t="shared" si="31"/>
        <v>149.03741379310344</v>
      </c>
      <c r="S74" s="366">
        <f t="shared" si="31"/>
        <v>108.75571428571428</v>
      </c>
      <c r="T74" s="366">
        <f t="shared" si="31"/>
        <v>58.846111111111114</v>
      </c>
      <c r="U74" s="366">
        <f t="shared" si="31"/>
        <v>284.82142857142856</v>
      </c>
      <c r="V74" s="366">
        <f t="shared" si="31"/>
        <v>273.13260869565221</v>
      </c>
      <c r="W74" s="366">
        <f t="shared" si="31"/>
        <v>87.772031249999998</v>
      </c>
      <c r="X74" s="366">
        <f t="shared" si="31"/>
        <v>40.225088757396449</v>
      </c>
      <c r="Y74" s="366">
        <f t="shared" si="31"/>
        <v>116.12430555555557</v>
      </c>
      <c r="Z74" s="366">
        <f t="shared" si="31"/>
        <v>100.43153225806452</v>
      </c>
      <c r="AA74" s="366">
        <f t="shared" si="31"/>
        <v>114.42517730496452</v>
      </c>
      <c r="AB74" s="367"/>
      <c r="AC74" s="11"/>
      <c r="AD74" s="366">
        <f>SUMIF($H$34:$H$51,"TOTDEPTEXP",AD$34:AD$51)/SUMIF($H$54:$H$61,"TLNETRES",AD$54:AD$61)</f>
        <v>200.50450220816987</v>
      </c>
      <c r="AE74" s="367"/>
      <c r="AF74" s="368">
        <f t="shared" si="22"/>
        <v>-86.079324903205347</v>
      </c>
      <c r="AG74" s="366">
        <f>SUMIF($H$34:$H$51,"TOTDEPTEXP",AG$34:AG$51)/SUMIF($H$54:$H$61,"TLNETRES",AG$54:AG$61)</f>
        <v>234.67970588235295</v>
      </c>
      <c r="AH74" s="367"/>
      <c r="AI74" s="368">
        <f t="shared" si="23"/>
        <v>-120.25452857738843</v>
      </c>
      <c r="AJ74" s="11"/>
      <c r="AK74" s="11"/>
      <c r="AL74" s="11"/>
      <c r="AM74" s="11"/>
      <c r="AN74" s="11"/>
      <c r="AO74" s="11"/>
    </row>
    <row r="75" spans="1:41" x14ac:dyDescent="0.25">
      <c r="A75" s="61" t="s">
        <v>16</v>
      </c>
      <c r="B75" s="62"/>
      <c r="C75" s="11"/>
      <c r="D75" s="11"/>
      <c r="E75" s="11"/>
      <c r="F75" s="11"/>
      <c r="G75" s="72"/>
      <c r="H75" s="72"/>
      <c r="I75" s="72"/>
      <c r="J75" s="72"/>
      <c r="K75" s="72"/>
      <c r="L75" s="72"/>
      <c r="M75" s="72"/>
      <c r="N75" s="100"/>
      <c r="O75" s="100"/>
      <c r="P75" s="100"/>
      <c r="Q75" s="100"/>
      <c r="R75" s="100"/>
      <c r="S75" s="100"/>
      <c r="T75" s="100"/>
      <c r="U75" s="100"/>
      <c r="V75" s="100"/>
      <c r="W75" s="100"/>
      <c r="X75" s="100"/>
      <c r="Y75" s="100"/>
      <c r="Z75" s="100"/>
      <c r="AA75" s="100"/>
      <c r="AB75" s="100"/>
      <c r="AC75" s="11"/>
      <c r="AD75" s="100"/>
      <c r="AE75" s="100"/>
      <c r="AF75" s="100"/>
      <c r="AG75" s="100"/>
      <c r="AH75" s="100"/>
      <c r="AI75" s="100"/>
      <c r="AJ75" s="11"/>
      <c r="AK75" s="11"/>
      <c r="AL75" s="11"/>
      <c r="AM75" s="11"/>
      <c r="AN75" s="11"/>
      <c r="AO75" s="11"/>
    </row>
    <row r="76" spans="1:41" x14ac:dyDescent="0.25">
      <c r="A76" s="61" t="s">
        <v>17</v>
      </c>
      <c r="B76" s="62"/>
      <c r="C76" s="11"/>
      <c r="D76" s="11"/>
      <c r="E76" s="11"/>
      <c r="F76" s="11"/>
      <c r="G76" s="72"/>
      <c r="H76" s="11"/>
      <c r="I76" s="55"/>
      <c r="J76" s="55"/>
      <c r="K76" s="11"/>
      <c r="L76" s="11"/>
      <c r="M76" s="11"/>
      <c r="N76" s="100" t="str">
        <f>N51&amp;" - Check"</f>
        <v>Total Expenses - Check</v>
      </c>
      <c r="O76" s="205">
        <f t="shared" ref="O76:AA76" si="32">SUMIF($H$48:$H$51,"700000",O$48:O$51)+SUMIF($H$48:$H$51,"600000",O$48:O$51)-SUMIF($H$48:$H$51,"TOTDEPTEXP",O$48:O$51)</f>
        <v>0</v>
      </c>
      <c r="P76" s="205">
        <f t="shared" si="32"/>
        <v>0</v>
      </c>
      <c r="Q76" s="205">
        <f t="shared" si="32"/>
        <v>0</v>
      </c>
      <c r="R76" s="205">
        <f t="shared" si="32"/>
        <v>0</v>
      </c>
      <c r="S76" s="205">
        <f t="shared" si="32"/>
        <v>0</v>
      </c>
      <c r="T76" s="205">
        <f t="shared" si="32"/>
        <v>0</v>
      </c>
      <c r="U76" s="205">
        <f t="shared" si="32"/>
        <v>0</v>
      </c>
      <c r="V76" s="205">
        <f t="shared" si="32"/>
        <v>0</v>
      </c>
      <c r="W76" s="205">
        <f t="shared" si="32"/>
        <v>0</v>
      </c>
      <c r="X76" s="205">
        <f t="shared" si="32"/>
        <v>0</v>
      </c>
      <c r="Y76" s="205">
        <f t="shared" si="32"/>
        <v>0</v>
      </c>
      <c r="Z76" s="205">
        <f t="shared" si="32"/>
        <v>0</v>
      </c>
      <c r="AA76" s="205">
        <f t="shared" si="32"/>
        <v>0</v>
      </c>
      <c r="AB76" s="96"/>
      <c r="AC76" s="11"/>
      <c r="AD76" s="205">
        <f>SUMIF($H$48:$H$51,"700000",AD$48:AD$51)+SUMIF($H$48:$H$51,"600000",AD$48:AD$51)-SUMIF($H$48:$H$51,"TOTDEPTEXP",AD$48:AD$51)</f>
        <v>0</v>
      </c>
      <c r="AE76" s="96"/>
      <c r="AF76" s="87"/>
      <c r="AG76" s="205">
        <f>SUMIF($H$48:$H$51,"700000",AG$48:AG$51)+SUMIF($H$48:$H$51,"600000",AG$48:AG$51)-SUMIF($H$48:$H$51,"TOTDEPTEXP",AG$48:AG$51)</f>
        <v>0</v>
      </c>
      <c r="AH76" s="96"/>
      <c r="AI76" s="87"/>
      <c r="AJ76" s="11"/>
      <c r="AK76" s="11"/>
      <c r="AL76" s="11"/>
      <c r="AM76" s="11"/>
      <c r="AN76" s="11"/>
      <c r="AO76" s="11"/>
    </row>
    <row r="77" spans="1:41" x14ac:dyDescent="0.2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</row>
    <row r="78" spans="1:41" x14ac:dyDescent="0.25">
      <c r="A78" s="93" t="s">
        <v>92</v>
      </c>
      <c r="B78" s="94" t="s">
        <v>93</v>
      </c>
      <c r="C78" s="94" t="s">
        <v>94</v>
      </c>
      <c r="D78" s="94" t="s">
        <v>95</v>
      </c>
      <c r="E78" s="94" t="s">
        <v>96</v>
      </c>
      <c r="F78" s="95" t="s">
        <v>97</v>
      </c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  <row r="79" spans="1:41" x14ac:dyDescent="0.25">
      <c r="A79" s="11"/>
      <c r="B79" s="11"/>
      <c r="C79" s="11"/>
      <c r="D79" s="11"/>
      <c r="E79" s="11"/>
      <c r="F79" s="11"/>
      <c r="G79" s="11"/>
      <c r="H79" s="11"/>
      <c r="I79" s="55"/>
      <c r="J79" s="55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</row>
    <row r="80" spans="1:41" x14ac:dyDescent="0.25">
      <c r="A80" s="11" t="s">
        <v>108</v>
      </c>
      <c r="B80" s="11"/>
      <c r="C80" s="100" t="s">
        <v>101</v>
      </c>
      <c r="D80" s="11" t="s">
        <v>106</v>
      </c>
      <c r="E80" s="11"/>
      <c r="F80" s="11" t="s">
        <v>98</v>
      </c>
      <c r="G80" s="11"/>
      <c r="H80" s="11"/>
      <c r="I80" s="55"/>
      <c r="J80" s="55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x14ac:dyDescent="0.25">
      <c r="A81" s="11" t="s">
        <v>100</v>
      </c>
      <c r="B81" s="11"/>
      <c r="C81" s="49" t="s">
        <v>101</v>
      </c>
      <c r="D81" s="11" t="s">
        <v>106</v>
      </c>
      <c r="E81" s="11"/>
      <c r="F81" s="11" t="s">
        <v>98</v>
      </c>
      <c r="G81" s="11"/>
      <c r="H81" s="11"/>
      <c r="I81" s="55"/>
      <c r="J81" s="55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</row>
    <row r="82" spans="1:41" x14ac:dyDescent="0.25">
      <c r="A82" s="11" t="s">
        <v>109</v>
      </c>
      <c r="B82" s="11"/>
      <c r="C82" s="102" t="s">
        <v>101</v>
      </c>
      <c r="D82" s="11" t="s">
        <v>106</v>
      </c>
      <c r="E82" s="11"/>
      <c r="F82" s="11" t="s">
        <v>98</v>
      </c>
      <c r="G82" s="11"/>
      <c r="H82" s="11"/>
      <c r="I82" s="55"/>
      <c r="J82" s="55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x14ac:dyDescent="0.25">
      <c r="A83" s="11" t="s">
        <v>109</v>
      </c>
      <c r="B83" s="11"/>
      <c r="C83" s="192" t="s">
        <v>101</v>
      </c>
      <c r="D83" s="11" t="s">
        <v>107</v>
      </c>
      <c r="E83" s="11"/>
      <c r="F83" s="11" t="s">
        <v>99</v>
      </c>
      <c r="G83" s="11"/>
      <c r="H83" s="11"/>
      <c r="I83" s="55"/>
      <c r="J83" s="55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x14ac:dyDescent="0.25">
      <c r="A84" s="11"/>
      <c r="B84" s="11"/>
      <c r="C84" s="105"/>
      <c r="D84" s="11"/>
      <c r="E84" s="11"/>
      <c r="F84" s="11"/>
      <c r="G84" s="11"/>
      <c r="H84" s="11"/>
      <c r="I84" s="55"/>
      <c r="J84" s="55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x14ac:dyDescent="0.25">
      <c r="A85" s="11"/>
      <c r="B85" s="11"/>
      <c r="C85" s="204"/>
      <c r="D85" s="11"/>
      <c r="E85" s="11"/>
      <c r="F85" s="11"/>
      <c r="G85" s="11"/>
      <c r="H85" s="11"/>
      <c r="I85" s="55"/>
      <c r="J85" s="55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x14ac:dyDescent="0.25">
      <c r="A86" s="57" t="s">
        <v>23</v>
      </c>
      <c r="B86" s="58" t="s">
        <v>24</v>
      </c>
      <c r="C86" s="11"/>
      <c r="D86" s="11"/>
      <c r="E86" s="11"/>
      <c r="F86" s="11"/>
      <c r="G86" s="11"/>
      <c r="H86" s="11"/>
      <c r="I86" s="55"/>
      <c r="J86" s="55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x14ac:dyDescent="0.25">
      <c r="A87" s="61" t="s">
        <v>25</v>
      </c>
      <c r="B87" s="62"/>
      <c r="C87" s="11"/>
      <c r="D87" s="11"/>
      <c r="E87" s="11"/>
      <c r="F87" s="11"/>
      <c r="G87" s="11"/>
      <c r="H87" s="11"/>
      <c r="I87" s="55"/>
      <c r="J87" s="55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x14ac:dyDescent="0.25">
      <c r="A88" s="61" t="s">
        <v>26</v>
      </c>
      <c r="B88" s="62"/>
      <c r="C88" s="11"/>
      <c r="D88" s="11"/>
      <c r="E88" s="11"/>
      <c r="F88" s="11"/>
      <c r="G88" s="11"/>
      <c r="H88" s="11"/>
      <c r="I88" s="55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x14ac:dyDescent="0.25">
      <c r="A89" s="61" t="s">
        <v>27</v>
      </c>
      <c r="B89" s="62"/>
      <c r="C89" s="11"/>
      <c r="D89" s="11"/>
      <c r="E89" s="11"/>
      <c r="F89" s="11"/>
      <c r="G89" s="11"/>
      <c r="H89" s="55"/>
      <c r="I89" s="55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x14ac:dyDescent="0.25">
      <c r="A90" s="61" t="s">
        <v>28</v>
      </c>
      <c r="B90" s="62"/>
      <c r="C90" s="11"/>
      <c r="D90" s="11"/>
      <c r="E90" s="11"/>
      <c r="F90" s="11"/>
      <c r="G90" s="11"/>
      <c r="H90" s="55"/>
      <c r="I90" s="55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x14ac:dyDescent="0.25">
      <c r="A91" s="61" t="s">
        <v>29</v>
      </c>
      <c r="B91" s="62"/>
      <c r="C91" s="11"/>
      <c r="D91" s="11"/>
      <c r="E91" s="11"/>
      <c r="F91" s="11"/>
      <c r="G91" s="11"/>
      <c r="H91" s="55"/>
      <c r="I91" s="55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x14ac:dyDescent="0.25">
      <c r="A92" s="61" t="s">
        <v>30</v>
      </c>
      <c r="B92" s="62" t="s">
        <v>78</v>
      </c>
      <c r="C92" s="11"/>
      <c r="D92" s="11"/>
      <c r="E92" s="11"/>
      <c r="F92" s="11"/>
      <c r="G92" s="11"/>
      <c r="H92" s="55"/>
      <c r="I92" s="55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x14ac:dyDescent="0.25">
      <c r="A93" s="61" t="s">
        <v>31</v>
      </c>
      <c r="B93" s="62" t="s">
        <v>78</v>
      </c>
      <c r="C93" s="11"/>
      <c r="D93" s="11"/>
      <c r="E93" s="11"/>
      <c r="F93" s="11"/>
      <c r="G93" s="11"/>
      <c r="H93" s="55"/>
      <c r="I93" s="55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x14ac:dyDescent="0.25">
      <c r="A94" s="61" t="s">
        <v>32</v>
      </c>
      <c r="B94" s="62"/>
      <c r="C94" s="11"/>
      <c r="D94" s="11"/>
      <c r="E94" s="11"/>
      <c r="F94" s="11"/>
      <c r="G94" s="11"/>
      <c r="H94" s="55"/>
      <c r="I94" s="55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x14ac:dyDescent="0.25">
      <c r="A95" s="61" t="s">
        <v>33</v>
      </c>
      <c r="B95" s="62"/>
      <c r="C95" s="11"/>
      <c r="D95" s="11"/>
      <c r="E95" s="11"/>
      <c r="F95" s="11"/>
      <c r="G95" s="11"/>
      <c r="H95" s="55"/>
      <c r="I95" s="55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x14ac:dyDescent="0.25">
      <c r="A96" s="61" t="s">
        <v>34</v>
      </c>
      <c r="B96" s="62"/>
      <c r="C96" s="11"/>
      <c r="D96" s="11"/>
      <c r="E96" s="11"/>
      <c r="F96" s="11"/>
      <c r="G96" s="11"/>
      <c r="H96" s="55"/>
      <c r="I96" s="55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x14ac:dyDescent="0.25">
      <c r="A97" s="61" t="s">
        <v>35</v>
      </c>
      <c r="B97" s="62"/>
      <c r="C97" s="11"/>
      <c r="D97" s="11"/>
      <c r="E97" s="11"/>
      <c r="F97" s="11"/>
      <c r="G97" s="11"/>
      <c r="H97" s="55"/>
      <c r="I97" s="55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x14ac:dyDescent="0.25">
      <c r="A98" s="61" t="s">
        <v>36</v>
      </c>
      <c r="B98" s="62"/>
      <c r="C98" s="11"/>
      <c r="D98" s="11"/>
      <c r="E98" s="11"/>
      <c r="F98" s="11"/>
      <c r="G98" s="11"/>
      <c r="H98" s="55"/>
      <c r="I98" s="55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x14ac:dyDescent="0.25">
      <c r="A99" s="61" t="s">
        <v>37</v>
      </c>
      <c r="B99" s="62"/>
      <c r="C99" s="11"/>
      <c r="D99" s="11"/>
      <c r="E99" s="11"/>
      <c r="F99" s="11"/>
      <c r="G99" s="11"/>
      <c r="H99" s="55"/>
      <c r="I99" s="55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x14ac:dyDescent="0.25">
      <c r="A100" s="61" t="s">
        <v>38</v>
      </c>
      <c r="B100" s="62"/>
      <c r="C100" s="11"/>
      <c r="D100" s="11"/>
      <c r="E100" s="11"/>
      <c r="F100" s="11"/>
      <c r="G100" s="11"/>
      <c r="H100" s="55"/>
      <c r="I100" s="55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x14ac:dyDescent="0.25">
      <c r="A101" s="61" t="s">
        <v>39</v>
      </c>
      <c r="B101" s="62"/>
      <c r="C101" s="11"/>
      <c r="D101" s="11"/>
      <c r="E101" s="11"/>
      <c r="F101" s="11"/>
      <c r="G101" s="11"/>
      <c r="H101" s="55"/>
      <c r="I101" s="55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x14ac:dyDescent="0.25">
      <c r="A102" s="61" t="s">
        <v>40</v>
      </c>
      <c r="B102" s="62"/>
      <c r="C102" s="11"/>
      <c r="D102" s="11"/>
      <c r="E102" s="11"/>
      <c r="F102" s="11"/>
      <c r="G102" s="11"/>
      <c r="H102" s="55"/>
      <c r="I102" s="55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x14ac:dyDescent="0.25">
      <c r="A103" s="61" t="s">
        <v>41</v>
      </c>
      <c r="B103" s="62"/>
      <c r="C103" s="11"/>
      <c r="D103" s="11"/>
      <c r="E103" s="11"/>
      <c r="F103" s="11"/>
      <c r="G103" s="11"/>
      <c r="H103" s="55"/>
      <c r="I103" s="55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x14ac:dyDescent="0.25">
      <c r="A104" s="61" t="s">
        <v>42</v>
      </c>
      <c r="B104" s="62"/>
      <c r="C104" s="11"/>
      <c r="D104" s="11"/>
      <c r="E104" s="11"/>
      <c r="F104" s="11"/>
      <c r="G104" s="11"/>
      <c r="H104" s="55"/>
      <c r="I104" s="55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x14ac:dyDescent="0.25">
      <c r="A105" s="61" t="s">
        <v>43</v>
      </c>
      <c r="B105" s="62"/>
      <c r="C105" s="11"/>
      <c r="D105" s="11"/>
      <c r="E105" s="11"/>
      <c r="F105" s="11"/>
      <c r="G105" s="11"/>
      <c r="H105" s="55"/>
      <c r="I105" s="55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x14ac:dyDescent="0.25">
      <c r="A106" s="61" t="s">
        <v>44</v>
      </c>
      <c r="B106" s="62"/>
      <c r="C106" s="11"/>
      <c r="D106" s="11"/>
      <c r="E106" s="11"/>
      <c r="F106" s="11"/>
      <c r="G106" s="11"/>
      <c r="H106" s="55"/>
      <c r="I106" s="55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x14ac:dyDescent="0.25">
      <c r="A107" s="61" t="s">
        <v>45</v>
      </c>
      <c r="B107" s="62"/>
      <c r="C107" s="11"/>
      <c r="D107" s="11"/>
      <c r="E107" s="11"/>
      <c r="F107" s="11"/>
      <c r="G107" s="11"/>
      <c r="H107" s="55"/>
      <c r="I107" s="55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x14ac:dyDescent="0.25">
      <c r="A108" s="61" t="s">
        <v>46</v>
      </c>
      <c r="B108" s="62"/>
      <c r="C108" s="11"/>
      <c r="D108" s="11"/>
      <c r="E108" s="11"/>
      <c r="F108" s="11"/>
      <c r="G108" s="11"/>
      <c r="H108" s="55"/>
      <c r="I108" s="55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x14ac:dyDescent="0.25">
      <c r="A109" s="11"/>
      <c r="B109" s="11"/>
      <c r="C109" s="11"/>
      <c r="D109" s="11"/>
      <c r="E109" s="11"/>
      <c r="F109" s="11"/>
      <c r="G109" s="11"/>
      <c r="H109" s="55"/>
      <c r="I109" s="55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x14ac:dyDescent="0.25">
      <c r="A110" s="11"/>
      <c r="B110" s="11"/>
      <c r="C110" s="11"/>
      <c r="D110" s="11"/>
      <c r="E110" s="11"/>
      <c r="F110" s="11"/>
      <c r="G110" s="11"/>
      <c r="H110" s="55"/>
      <c r="I110" s="55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x14ac:dyDescent="0.25">
      <c r="A111" s="11"/>
      <c r="B111" s="11"/>
      <c r="C111" s="11"/>
      <c r="D111" s="11"/>
      <c r="E111" s="11"/>
      <c r="F111" s="11"/>
      <c r="G111" s="11"/>
      <c r="H111" s="11"/>
      <c r="I111" s="55"/>
      <c r="J111" s="55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x14ac:dyDescent="0.25">
      <c r="A112" s="11"/>
      <c r="B112" s="11"/>
      <c r="C112" s="204"/>
      <c r="D112" s="11"/>
      <c r="E112" s="11"/>
      <c r="F112" s="11"/>
      <c r="G112" s="11"/>
      <c r="H112" s="11"/>
      <c r="I112" s="55"/>
      <c r="J112" s="55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x14ac:dyDescent="0.25">
      <c r="A113" s="11"/>
      <c r="B113" s="11"/>
      <c r="C113" s="204"/>
      <c r="D113" s="11"/>
      <c r="E113" s="11"/>
      <c r="F113" s="11"/>
      <c r="G113" s="11"/>
      <c r="H113" s="11"/>
      <c r="I113" s="55"/>
      <c r="J113" s="55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</sheetData>
  <sheetProtection algorithmName="SHA-512" hashValue="MK9LGB6pAwoNO88UaP641yVEuLXEPuif8UJvreGjY5XywRaGE0v8ePV6igTEi3m2bjoKgIOOMNchnvyk9MolZg==" saltValue="+ImBjYLoIAPo/obUJD7jHg==" spinCount="100000" sheet="1" scenarios="1"/>
  <mergeCells count="2">
    <mergeCell ref="AD31:AE31"/>
    <mergeCell ref="AG31:AH31"/>
  </mergeCells>
  <dataValidations disablePrompts="1" count="2">
    <dataValidation type="list" allowBlank="1" sqref="B71 B28" xr:uid="{00000000-0002-0000-0400-000000000000}">
      <formula1>"ACCOUNT,BUSINESSUNIT,CATEGORY,DATASRC,DEPARTMENT,INTCO,MEASURES,RPTCURRENCY,TIME"</formula1>
    </dataValidation>
    <dataValidation type="list" allowBlank="1" sqref="B72 B29" xr:uid="{00000000-0002-0000-0400-000001000000}">
      <formula1>"SELF,ALL,BAS,DEP,BASMEMBERS,MEMBERS,NOEXPAND,GDEP"</formula1>
    </dataValidation>
  </dataValidations>
  <pageMargins left="0.25" right="0.25" top="0.5" bottom="0.5" header="0.3" footer="0.3"/>
  <pageSetup scale="49" fitToHeight="0" orientation="landscape" r:id="rId1"/>
  <headerFooter>
    <oddFooter>&amp;L&amp;F&amp;C&amp;P of &amp;N&amp;R&amp;D</oddFooter>
  </headerFooter>
  <customProperties>
    <customPr name="EpmWorksheetKeyString_GUID" r:id="rId2"/>
    <customPr name="FPMExcelClientCellBasedFunctionStatus" r:id="rId3"/>
    <customPr name="FPMExcelClientRefreshTime" r:id="rId4"/>
  </customProperties>
  <legacy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6" tint="0.39997558519241921"/>
    <pageSetUpPr fitToPage="1"/>
  </sheetPr>
  <dimension ref="A1:AP200"/>
  <sheetViews>
    <sheetView topLeftCell="K1" zoomScale="85" zoomScaleNormal="85" workbookViewId="0">
      <pane xSplit="4" ySplit="32" topLeftCell="O33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3" width="9.7109375" style="1" hidden="1" customWidth="1" outlineLevel="1"/>
    <col min="14" max="14" width="36.7109375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40" width="9.140625" style="1" hidden="1" customWidth="1" outlineLevel="1"/>
    <col min="41" max="41" width="9.140625" style="1" collapsed="1"/>
    <col min="42" max="16384" width="9.140625" style="1"/>
  </cols>
  <sheetData>
    <row r="1" spans="1:42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</row>
    <row r="2" spans="1:42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</row>
    <row r="3" spans="1:42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</row>
    <row r="4" spans="1:42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11"/>
      <c r="H4" s="11"/>
      <c r="I4" s="55"/>
      <c r="J4" s="55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</row>
    <row r="5" spans="1:42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11"/>
      <c r="H5" s="11"/>
      <c r="I5" s="55"/>
      <c r="J5" s="55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</row>
    <row r="6" spans="1:42" hidden="1" outlineLevel="1" x14ac:dyDescent="0.25">
      <c r="A6" s="49" t="s">
        <v>52</v>
      </c>
      <c r="B6" s="52" t="s">
        <v>358</v>
      </c>
      <c r="C6" s="11" t="str">
        <f>IF(_epmOfflineCondition_,"Food &amp; Beverage",_xll.EVDES(B6,$B$1))</f>
        <v>Food &amp; Beverage</v>
      </c>
      <c r="D6" s="11"/>
      <c r="E6" s="54" t="str">
        <f>IF(_epmOfflineCondition_,"D_FB",_xll.EVPRO($B$1,$B$6,$F$6))</f>
        <v>D_FB</v>
      </c>
      <c r="F6" s="11" t="s">
        <v>278</v>
      </c>
      <c r="G6" s="11"/>
      <c r="H6" s="11"/>
      <c r="I6" s="55"/>
      <c r="J6" s="55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</row>
    <row r="7" spans="1:42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11"/>
      <c r="H7" s="11"/>
      <c r="I7" s="55"/>
      <c r="J7" s="55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</row>
    <row r="8" spans="1:42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11"/>
      <c r="H8" s="11"/>
      <c r="I8" s="55"/>
      <c r="J8" s="55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</row>
    <row r="9" spans="1:42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</row>
    <row r="10" spans="1:42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</row>
    <row r="11" spans="1:42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59" t="str">
        <f>IF(SetUp!$O$1=TRUE,"TRAILING12",IF(AA17="CURRENT","ROLLINGFORECAST","PERIODIC"))</f>
        <v>PERIODIC</v>
      </c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</row>
    <row r="12" spans="1:42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11"/>
      <c r="M12" s="11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  <c r="AJ12" s="11"/>
      <c r="AK12" s="11"/>
      <c r="AL12" s="11"/>
      <c r="AM12" s="11"/>
      <c r="AN12" s="11"/>
      <c r="AO12" s="11"/>
      <c r="AP12" s="11"/>
    </row>
    <row r="13" spans="1:42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11"/>
      <c r="M13" s="11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  <c r="AJ13" s="11"/>
      <c r="AK13" s="11"/>
      <c r="AL13" s="11"/>
      <c r="AM13" s="11"/>
      <c r="AN13" s="11"/>
      <c r="AO13" s="11"/>
      <c r="AP13" s="11"/>
    </row>
    <row r="14" spans="1:42" hidden="1" outlineLevel="1" x14ac:dyDescent="0.25">
      <c r="A14" s="56" t="str">
        <f>IF(_epmOfflineCondition_,"Evdre:Ok",_xll.EVDRE($B$1,A17:B24))</f>
        <v>Evdre:Ok</v>
      </c>
      <c r="B14" s="49" t="s">
        <v>361</v>
      </c>
      <c r="C14" s="11"/>
      <c r="D14" s="11"/>
      <c r="E14" s="11"/>
      <c r="F14" s="11"/>
      <c r="G14" s="11"/>
      <c r="H14" s="11"/>
      <c r="I14" s="55"/>
      <c r="J14" s="55"/>
      <c r="K14" s="11"/>
      <c r="L14" s="11"/>
      <c r="M14" s="11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  <c r="AJ14" s="11"/>
      <c r="AK14" s="11"/>
      <c r="AL14" s="11"/>
      <c r="AM14" s="11"/>
      <c r="AN14" s="11"/>
      <c r="AO14" s="11"/>
      <c r="AP14" s="11"/>
    </row>
    <row r="15" spans="1:42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11"/>
      <c r="M15" s="11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  <c r="AJ15" s="11"/>
      <c r="AK15" s="11"/>
      <c r="AL15" s="11"/>
      <c r="AM15" s="11"/>
      <c r="AN15" s="11"/>
      <c r="AO15" s="11"/>
      <c r="AP15" s="11"/>
    </row>
    <row r="16" spans="1:42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11"/>
      <c r="M16" s="11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  <c r="AJ16" s="11"/>
      <c r="AK16" s="11"/>
      <c r="AL16" s="11"/>
      <c r="AM16" s="11"/>
      <c r="AN16" s="11"/>
      <c r="AO16" s="11"/>
      <c r="AP16" s="11"/>
    </row>
    <row r="17" spans="1:42" hidden="1" outlineLevel="1" x14ac:dyDescent="0.25">
      <c r="A17" s="61" t="s">
        <v>2</v>
      </c>
      <c r="B17" s="62" t="str">
        <f>IF(_epmOfflineCondition_,"'FB_Cons'!$B$2:$B$10",_xll.EVRNG($B$2:$B$10))</f>
        <v>'FB_Cons'!$B$2:$B$10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11"/>
      <c r="M17" s="11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 t="str">
        <f>Z17</f>
        <v>ACTUAL_CON</v>
      </c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  <c r="AJ17" s="11"/>
      <c r="AK17" s="11"/>
      <c r="AL17" s="11"/>
      <c r="AM17" s="11"/>
      <c r="AN17" s="11"/>
      <c r="AO17" s="11"/>
      <c r="AP17" s="11"/>
    </row>
    <row r="18" spans="1:42" hidden="1" outlineLevel="1" x14ac:dyDescent="0.25">
      <c r="A18" s="61" t="s">
        <v>3</v>
      </c>
      <c r="B18" s="62" t="str">
        <f>IF(_epmOfflineCondition_,"'FB_Cons'!$O$16:$AN$18",_xll.EVRNG($O$16:$AN$18))</f>
        <v>'FB_Cons'!$O$16:$AN$18</v>
      </c>
      <c r="C18" s="11"/>
      <c r="D18" s="11"/>
      <c r="E18" s="11"/>
      <c r="F18" s="11"/>
      <c r="G18" s="11"/>
      <c r="H18" s="11"/>
      <c r="I18" s="55"/>
      <c r="J18" s="55"/>
      <c r="K18" s="11"/>
      <c r="L18" s="11"/>
      <c r="M18" s="11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11"/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  <c r="AJ18" s="11"/>
      <c r="AK18" s="11"/>
      <c r="AL18" s="11"/>
      <c r="AM18" s="11"/>
      <c r="AN18" s="11"/>
      <c r="AO18" s="11"/>
      <c r="AP18" s="11"/>
    </row>
    <row r="19" spans="1:42" hidden="1" outlineLevel="1" x14ac:dyDescent="0.25">
      <c r="A19" s="61" t="s">
        <v>4</v>
      </c>
      <c r="B19" s="62" t="str">
        <f>IF(_epmOfflineCondition_,"'FB_Cons'!$G$35:$H$56",_xll.EVRNG(G35:H56))</f>
        <v>'FB_Cons'!$G$35:$H$56</v>
      </c>
      <c r="C19" s="11"/>
      <c r="D19" s="11"/>
      <c r="E19" s="11"/>
      <c r="F19" s="11"/>
      <c r="G19" s="63" t="str">
        <f>$B$6</f>
        <v>D_REST_CON</v>
      </c>
      <c r="H19" s="63">
        <v>400000</v>
      </c>
      <c r="I19" s="64"/>
      <c r="J19" s="64"/>
      <c r="K19" s="63"/>
      <c r="L19" s="63"/>
      <c r="M19" s="63"/>
      <c r="N19" s="63" t="str">
        <f>IF(_epmOfflineCondition_,"Total Revenue",_xll.EVDES(H19))</f>
        <v>Total Revenue</v>
      </c>
      <c r="O19" s="65">
        <f>IF(_epmOfflineCondition_,88536.8,_xll.EVGTS($B$1,1,$B$3,$B$5,$B$7,$B$9,O$16,O$17,O$18,$G$19,$H$19))</f>
        <v>88536.8</v>
      </c>
      <c r="P19" s="65">
        <f>IF(_epmOfflineCondition_,96922.69,_xll.EVGTS($B$1,1,$B$3,$B$5,$B$7,$B$9,P$16,P$17,P$18,$G$19,$H$19))</f>
        <v>96922.69</v>
      </c>
      <c r="Q19" s="65">
        <f>IF(_epmOfflineCondition_,101270.57,_xll.EVGTS($B$1,1,$B$3,$B$5,$B$7,$B$9,Q$16,Q$17,Q$18,$G$19,$H$19))</f>
        <v>101270.57</v>
      </c>
      <c r="R19" s="65">
        <f>IF(_epmOfflineCondition_,67971.03,_xll.EVGTS($B$1,1,$B$3,$B$5,$B$7,$B$9,R$16,R$17,R$18,$G$19,$H$19))</f>
        <v>67971.03</v>
      </c>
      <c r="S19" s="65">
        <f>IF(_epmOfflineCondition_,61227.66,_xll.EVGTS($B$1,1,$B$3,$B$5,$B$7,$B$9,S$16,S$17,S$18,$G$19,$H$19))</f>
        <v>61227.66</v>
      </c>
      <c r="T19" s="65">
        <f>IF(_epmOfflineCondition_,54970.39,_xll.EVGTS($B$1,1,$B$3,$B$5,$B$7,$B$9,T$16,T$17,T$18,$G$19,$H$19))</f>
        <v>54970.39</v>
      </c>
      <c r="U19" s="65">
        <f>IF(_epmOfflineCondition_,72423.6,_xll.EVGTS($B$1,1,$B$3,$B$5,$B$7,$B$9,U$16,U$17,U$18,$G$19,$H$19))</f>
        <v>72423.600000000006</v>
      </c>
      <c r="V19" s="65">
        <f>IF(_epmOfflineCondition_,59755.69,_xll.EVGTS($B$1,1,$B$3,$B$5,$B$7,$B$9,V$16,V$17,V$18,$G$19,$H$19))</f>
        <v>59755.69</v>
      </c>
      <c r="W19" s="65">
        <f>IF(_epmOfflineCondition_,38088.8,_xll.EVGTS($B$1,1,$B$3,$B$5,$B$7,$B$9,W$16,W$17,W$18,$G$19,$H$19))</f>
        <v>38088.800000000003</v>
      </c>
      <c r="X19" s="65">
        <f>IF(_epmOfflineCondition_,76017.71,_xll.EVGTS($B$1,1,$B$3,$B$5,$B$7,$B$9,X$16,X$17,X$18,$G$19,$H$19))</f>
        <v>76017.710000000006</v>
      </c>
      <c r="Y19" s="65">
        <f>IF(_epmOfflineCondition_,132416.51,_xll.EVGTS($B$1,1,$B$3,$B$5,$B$7,$B$9,Y$16,Y$17,Y$18,$G$19,$H$19))</f>
        <v>132416.51</v>
      </c>
      <c r="Z19" s="65">
        <f>IF(_epmOfflineCondition_,178512.27,_xll.EVGTS($B$1,1,$B$3,$B$5,$B$7,$B$9,Z$16,Z$17,Z$18,$G$19,$H$19))</f>
        <v>178512.27</v>
      </c>
      <c r="AA19" s="65">
        <f>SUM(O19:Z19)</f>
        <v>1028113.72</v>
      </c>
      <c r="AB19" s="63"/>
      <c r="AC19" s="63"/>
      <c r="AD19" s="65">
        <f>IF(_epmOfflineCondition_,2913428.617506,_xll.EVGTS($B$1,1,$B$3,$B$5,$B$7,$B$9,AD$16,AD$17,AD$18,$G$19,$H$19))</f>
        <v>2913428.6175060002</v>
      </c>
      <c r="AE19" s="63"/>
      <c r="AF19" s="63"/>
      <c r="AG19" s="65">
        <f>IF(_epmOfflineCondition_,277955.4,_xll.EVGTS($B$1,1,$B$3,$B$5,$B$7,$B$9,AG$16,AG$17,AG$18,$G$19,$H$19))</f>
        <v>277955.40000000002</v>
      </c>
      <c r="AH19" s="63"/>
      <c r="AI19" s="63"/>
      <c r="AJ19" s="11"/>
      <c r="AK19" s="11"/>
      <c r="AL19" s="11"/>
      <c r="AM19" s="11"/>
      <c r="AN19" s="11"/>
      <c r="AO19" s="11"/>
      <c r="AP19" s="11"/>
    </row>
    <row r="20" spans="1:42" hidden="1" outlineLevel="1" x14ac:dyDescent="0.25">
      <c r="A20" s="61" t="s">
        <v>5</v>
      </c>
      <c r="B20" s="62"/>
      <c r="C20" s="11"/>
      <c r="D20" s="11"/>
      <c r="E20" s="11"/>
      <c r="F20" s="11"/>
      <c r="G20" s="63" t="str">
        <f>$B$6</f>
        <v>D_REST_CON</v>
      </c>
      <c r="H20" s="63">
        <v>946000</v>
      </c>
      <c r="I20" s="64"/>
      <c r="J20" s="64"/>
      <c r="K20" s="63"/>
      <c r="L20" s="64"/>
      <c r="M20" s="64"/>
      <c r="N20" s="63" t="str">
        <f>IF(_epmOfflineCondition_,"Total Customers",_xll.EVDES(H20))</f>
        <v>Total Customers</v>
      </c>
      <c r="O20" s="65">
        <f>IF(_epmOfflineCondition_,2499,_xll.EVGTS($B$1,1,$B$3,$B$5,$B$7,$B$9,O$16,O$17,O$18,$G$20,$H$20))</f>
        <v>2499</v>
      </c>
      <c r="P20" s="65">
        <f>IF(_epmOfflineCondition_,3250,_xll.EVGTS($B$1,1,$B$3,$B$5,$B$7,$B$9,P$16,P$17,P$18,$G$20,$H$20))</f>
        <v>3250</v>
      </c>
      <c r="Q20" s="65">
        <f>IF(_epmOfflineCondition_,3398,_xll.EVGTS($B$1,1,$B$3,$B$5,$B$7,$B$9,Q$16,Q$17,Q$18,$G$20,$H$20))</f>
        <v>3398</v>
      </c>
      <c r="R20" s="65">
        <f>IF(_epmOfflineCondition_,2750,_xll.EVGTS($B$1,1,$B$3,$B$5,$B$7,$B$9,R$16,R$17,R$18,$G$20,$H$20))</f>
        <v>2750</v>
      </c>
      <c r="S20" s="65">
        <f>IF(_epmOfflineCondition_,2507,_xll.EVGTS($B$1,1,$B$3,$B$5,$B$7,$B$9,S$16,S$17,S$18,$G$20,$H$20))</f>
        <v>2507</v>
      </c>
      <c r="T20" s="65">
        <f>IF(_epmOfflineCondition_,2183,_xll.EVGTS($B$1,1,$B$3,$B$5,$B$7,$B$9,T$16,T$17,T$18,$G$20,$H$20))</f>
        <v>2183</v>
      </c>
      <c r="U20" s="65">
        <f>IF(_epmOfflineCondition_,2371,_xll.EVGTS($B$1,1,$B$3,$B$5,$B$7,$B$9,U$16,U$17,U$18,$G$20,$H$20))</f>
        <v>2371</v>
      </c>
      <c r="V20" s="65">
        <f>IF(_epmOfflineCondition_,2344,_xll.EVGTS($B$1,1,$B$3,$B$5,$B$7,$B$9,V$16,V$17,V$18,$G$20,$H$20))</f>
        <v>2344</v>
      </c>
      <c r="W20" s="65">
        <f>IF(_epmOfflineCondition_,1517,_xll.EVGTS($B$1,1,$B$3,$B$5,$B$7,$B$9,W$16,W$17,W$18,$G$20,$H$20))</f>
        <v>1517</v>
      </c>
      <c r="X20" s="65">
        <f>IF(_epmOfflineCondition_,2558,_xll.EVGTS($B$1,1,$B$3,$B$5,$B$7,$B$9,X$16,X$17,X$18,$G$20,$H$20))</f>
        <v>2558</v>
      </c>
      <c r="Y20" s="65">
        <f>IF(_epmOfflineCondition_,3901,_xll.EVGTS($B$1,1,$B$3,$B$5,$B$7,$B$9,Y$16,Y$17,Y$18,$G$20,$H$20))</f>
        <v>3901</v>
      </c>
      <c r="Z20" s="65">
        <f>IF(_epmOfflineCondition_,4953,_xll.EVGTS($B$1,1,$B$3,$B$5,$B$7,$B$9,Z$16,Z$17,Z$18,$G$20,$H$20))</f>
        <v>4953</v>
      </c>
      <c r="AA20" s="65">
        <f>SUM(O20:Z20)</f>
        <v>34231</v>
      </c>
      <c r="AB20" s="63"/>
      <c r="AC20" s="63"/>
      <c r="AD20" s="65">
        <f>IF(_epmOfflineCondition_,73592.75,_xll.EVGTS($B$1,1,$B$3,$B$5,$B$7,$B$9,AD$16,AD$17,AD$18,$G$20,$H$20))</f>
        <v>73592.75</v>
      </c>
      <c r="AE20" s="63"/>
      <c r="AF20" s="63"/>
      <c r="AG20" s="65">
        <f>IF(_epmOfflineCondition_,10637,_xll.EVGTS($B$1,1,$B$3,$B$5,$B$7,$B$9,AG$16,AG$17,AG$18,$G$20,$H$20))</f>
        <v>10637</v>
      </c>
      <c r="AH20" s="63"/>
      <c r="AI20" s="63"/>
      <c r="AJ20" s="11"/>
      <c r="AK20" s="11"/>
      <c r="AL20" s="11"/>
      <c r="AM20" s="11"/>
      <c r="AN20" s="11"/>
      <c r="AO20" s="11"/>
      <c r="AP20" s="11"/>
    </row>
    <row r="21" spans="1:42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</row>
    <row r="22" spans="1:42" hidden="1" outlineLevel="1" x14ac:dyDescent="0.25">
      <c r="A22" s="61" t="s">
        <v>7</v>
      </c>
      <c r="B22" s="62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</row>
    <row r="23" spans="1:42" hidden="1" outlineLevel="1" x14ac:dyDescent="0.25">
      <c r="A23" s="61" t="s">
        <v>47</v>
      </c>
      <c r="B23" s="62" t="str">
        <f>IF(_epmOfflineCondition_,"'FB_Cons'!$A$114:$B$135",_xll.EVRNG($A$114:$B$135))</f>
        <v>'FB_Cons'!$A$114:$B$135</v>
      </c>
      <c r="C23" s="11"/>
      <c r="D23" s="11"/>
      <c r="E23" s="11"/>
      <c r="F23" s="11"/>
      <c r="G23" s="11"/>
      <c r="H23" s="11"/>
      <c r="I23" s="55"/>
      <c r="J23" s="55"/>
      <c r="K23" s="6"/>
      <c r="L23" s="6"/>
      <c r="M23" s="6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380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</row>
    <row r="24" spans="1:42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</row>
    <row r="25" spans="1:42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</row>
    <row r="26" spans="1:42" ht="22.5" x14ac:dyDescent="0.3">
      <c r="A26" s="57" t="s">
        <v>9</v>
      </c>
      <c r="B26" s="58" t="s">
        <v>10</v>
      </c>
      <c r="C26" s="58" t="s">
        <v>357</v>
      </c>
      <c r="D26" s="11"/>
      <c r="E26" s="11"/>
      <c r="F26" s="11"/>
      <c r="G26" s="11"/>
      <c r="H26" s="11"/>
      <c r="I26" s="55"/>
      <c r="J26" s="55"/>
      <c r="K26" s="11"/>
      <c r="L26" s="11"/>
      <c r="M26" s="11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</row>
    <row r="27" spans="1:42" ht="18" x14ac:dyDescent="0.25">
      <c r="A27" s="61" t="s">
        <v>11</v>
      </c>
      <c r="B27" s="62" t="s">
        <v>21</v>
      </c>
      <c r="C27" s="62" t="s">
        <v>21</v>
      </c>
      <c r="D27" s="11"/>
      <c r="E27" s="11"/>
      <c r="F27" s="11"/>
      <c r="G27" s="11"/>
      <c r="H27" s="11"/>
      <c r="I27" s="55"/>
      <c r="J27" s="55"/>
      <c r="K27" s="11"/>
      <c r="L27" s="11"/>
      <c r="M27" s="11"/>
      <c r="N27" s="67" t="str">
        <f>IF(_epmOfflineCondition_,"Food &amp; Beverage Department",IF(_xll.EVDES(B6,$B$1)="#NODATA","",_xll.EVDES(B6,$B$1)&amp;" Department"))</f>
        <v>Food &amp; Beverage Department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</row>
    <row r="28" spans="1:42" ht="15.75" x14ac:dyDescent="0.25">
      <c r="A28" s="61" t="s">
        <v>12</v>
      </c>
      <c r="B28" s="62" t="s">
        <v>52</v>
      </c>
      <c r="C28" s="62" t="s">
        <v>22</v>
      </c>
      <c r="D28" s="11"/>
      <c r="E28" s="11"/>
      <c r="F28" s="11"/>
      <c r="G28" s="11"/>
      <c r="H28" s="11"/>
      <c r="I28" s="55"/>
      <c r="J28" s="55"/>
      <c r="K28" s="11"/>
      <c r="L28" s="11"/>
      <c r="M28" s="11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</row>
    <row r="29" spans="1:42" ht="15" customHeight="1" x14ac:dyDescent="0.25">
      <c r="A29" s="61" t="s">
        <v>13</v>
      </c>
      <c r="B29" s="62" t="s">
        <v>359</v>
      </c>
      <c r="C29" s="62" t="s">
        <v>360</v>
      </c>
      <c r="D29" s="11"/>
      <c r="E29" s="11"/>
      <c r="F29" s="11"/>
      <c r="G29" s="11"/>
      <c r="H29" s="11"/>
      <c r="I29" s="55"/>
      <c r="J29" s="55"/>
      <c r="K29" s="11"/>
      <c r="L29" s="11"/>
      <c r="M29" s="11"/>
      <c r="N29" s="68" t="str">
        <f>IF(_epmOfflineCondition_,"Local Currency",_xll.EVDES(B9,B1))</f>
        <v>Local Currency</v>
      </c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</row>
    <row r="30" spans="1:42" x14ac:dyDescent="0.25">
      <c r="A30" s="61" t="s">
        <v>14</v>
      </c>
      <c r="B30" s="62"/>
      <c r="C30" s="62"/>
      <c r="D30" s="11"/>
      <c r="E30" s="11"/>
      <c r="F30" s="11"/>
      <c r="G30" s="11"/>
      <c r="H30" s="11"/>
      <c r="I30" s="55"/>
      <c r="J30" s="55"/>
      <c r="K30" s="11"/>
      <c r="L30" s="11"/>
      <c r="M30" s="11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  <c r="AJ30" s="69" t="s">
        <v>752</v>
      </c>
      <c r="AK30" s="70"/>
      <c r="AL30" s="71"/>
      <c r="AM30" s="70" t="s">
        <v>751</v>
      </c>
      <c r="AN30" s="70"/>
      <c r="AO30" s="11"/>
      <c r="AP30" s="11"/>
    </row>
    <row r="31" spans="1:42" x14ac:dyDescent="0.25">
      <c r="A31" s="61" t="s">
        <v>15</v>
      </c>
      <c r="B31" s="62"/>
      <c r="C31" s="62"/>
      <c r="D31" s="11"/>
      <c r="E31" s="11"/>
      <c r="F31" s="11"/>
      <c r="G31" s="72"/>
      <c r="H31" s="11"/>
      <c r="I31" s="55"/>
      <c r="J31" s="55"/>
      <c r="K31" s="55"/>
      <c r="L31" s="55"/>
      <c r="M31" s="55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  <c r="AJ31" s="73" t="str">
        <f>IF(_epmOfflineCondition_,"2019",_xll.EVPRO($B$1,AA$16,"YEAR"))</f>
        <v>2019</v>
      </c>
      <c r="AK31" s="76" t="str">
        <f>IF(_epmOfflineCondition_,"2019",_xll.EVPRO($B$1,AD$16,"YEAR"))</f>
        <v>2019</v>
      </c>
      <c r="AL31" s="76" t="str">
        <f>IF(_epmOfflineCondition_,"2018",_xll.EVPRO($B$1,AG$16,"YEAR"))</f>
        <v>2018</v>
      </c>
      <c r="AM31" s="73" t="str">
        <f>"vs "&amp;AK31</f>
        <v>vs 2019</v>
      </c>
      <c r="AN31" s="73" t="str">
        <f>"vs "&amp;AL31</f>
        <v>vs 2018</v>
      </c>
      <c r="AO31" s="11"/>
      <c r="AP31" s="11"/>
    </row>
    <row r="32" spans="1:42" s="8" customFormat="1" ht="30" customHeight="1" x14ac:dyDescent="0.25">
      <c r="A32" s="77" t="s">
        <v>16</v>
      </c>
      <c r="B32" s="78"/>
      <c r="C32" s="78"/>
      <c r="D32" s="79"/>
      <c r="E32" s="79"/>
      <c r="F32" s="79"/>
      <c r="G32" s="359"/>
      <c r="H32" s="80"/>
      <c r="I32" s="81"/>
      <c r="J32" s="81"/>
      <c r="K32" s="174" t="s">
        <v>117</v>
      </c>
      <c r="L32" s="174"/>
      <c r="M32" s="174"/>
      <c r="N32" s="82" t="s">
        <v>120</v>
      </c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  <c r="AJ32" s="83" t="str">
        <f>Z32</f>
        <v>Actual</v>
      </c>
      <c r="AK32" s="76" t="str">
        <f>AD32</f>
        <v>Budget</v>
      </c>
      <c r="AL32" s="83" t="str">
        <f>AG32</f>
        <v>Actual</v>
      </c>
      <c r="AM32" s="73" t="s">
        <v>748</v>
      </c>
      <c r="AN32" s="73" t="s">
        <v>748</v>
      </c>
      <c r="AO32" s="79"/>
      <c r="AP32" s="79"/>
    </row>
    <row r="33" spans="1:42" x14ac:dyDescent="0.25">
      <c r="A33" s="61" t="s">
        <v>17</v>
      </c>
      <c r="B33" s="62"/>
      <c r="C33" s="62"/>
      <c r="D33" s="11"/>
      <c r="E33" s="11"/>
      <c r="F33" s="11"/>
      <c r="G33" s="11"/>
      <c r="H33" s="11" t="s">
        <v>69</v>
      </c>
      <c r="I33" s="55" t="str">
        <f>IF(_epmOfflineCondition_,"B1",_xll.EVPRO($B$1,$H33,"STYLE"))</f>
        <v>B1</v>
      </c>
      <c r="J33" s="55" t="str">
        <f>IF(_epmOfflineCondition_,"Y",_xll.EVPRO($B$1,$H33,"CALC"))</f>
        <v>Y</v>
      </c>
      <c r="K33" s="11"/>
      <c r="L33" s="11"/>
      <c r="M33" s="11"/>
      <c r="N33" s="101" t="str">
        <f>IF(_epmOfflineCondition_,"Revenues",IF(_xll.EVDES(H33,$B$1)="#NODATA","",_xll.EVDES(H33,$B$1)))</f>
        <v>Revenues</v>
      </c>
      <c r="O33" s="125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7"/>
      <c r="AC33" s="11"/>
      <c r="AD33" s="125"/>
      <c r="AE33" s="126"/>
      <c r="AF33" s="127"/>
      <c r="AG33" s="125"/>
      <c r="AH33" s="126"/>
      <c r="AI33" s="127"/>
      <c r="AJ33" s="11"/>
      <c r="AK33" s="11"/>
      <c r="AL33" s="11"/>
      <c r="AM33" s="11"/>
      <c r="AN33" s="11"/>
      <c r="AO33" s="11"/>
      <c r="AP33" s="11"/>
    </row>
    <row r="34" spans="1:42" x14ac:dyDescent="0.25">
      <c r="A34" s="11"/>
      <c r="B34" s="11"/>
      <c r="C34" s="11"/>
      <c r="D34" s="11"/>
      <c r="E34" s="11"/>
      <c r="F34" s="11"/>
      <c r="G34" s="11"/>
      <c r="H34" s="11" t="s">
        <v>259</v>
      </c>
      <c r="I34" s="55" t="str">
        <f>IF(_epmOfflineCondition_,"B1",_xll.EVPRO($B$1,$H34,"STYLE"))</f>
        <v>B1</v>
      </c>
      <c r="J34" s="55" t="str">
        <f>IF(_epmOfflineCondition_,"Y",_xll.EVPRO($B$1,$H34,"CALC"))</f>
        <v>Y</v>
      </c>
      <c r="K34" s="11"/>
      <c r="L34" s="11"/>
      <c r="M34" s="11"/>
      <c r="N34" s="49" t="str">
        <f>IF(_epmOfflineCondition_,"Food Revenue",IF(_xll.EVDES(H34,$B$1)="#NODATA","",_xll.EVDES(H34,$B$1)))</f>
        <v>Food Revenue</v>
      </c>
      <c r="O34" s="199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114"/>
      <c r="AC34" s="11"/>
      <c r="AD34" s="199"/>
      <c r="AE34" s="200"/>
      <c r="AF34" s="114"/>
      <c r="AG34" s="199"/>
      <c r="AH34" s="200"/>
      <c r="AI34" s="114"/>
      <c r="AJ34" s="11"/>
      <c r="AK34" s="11"/>
      <c r="AL34" s="11"/>
      <c r="AM34" s="11"/>
      <c r="AN34" s="11"/>
      <c r="AO34" s="11"/>
      <c r="AP34" s="11"/>
    </row>
    <row r="35" spans="1:42" x14ac:dyDescent="0.25">
      <c r="A35" s="11"/>
      <c r="B35" s="11"/>
      <c r="C35" s="11"/>
      <c r="D35" s="11"/>
      <c r="E35" s="11"/>
      <c r="F35" s="11"/>
      <c r="G35" s="84" t="s">
        <v>258</v>
      </c>
      <c r="H35" s="84" t="s">
        <v>265</v>
      </c>
      <c r="I35" s="118" t="str">
        <f>IF(_epmOfflineCondition_,"T4",_xll.EVPRO($B$1,$H35,"STYLE"))</f>
        <v>T4</v>
      </c>
      <c r="J35" s="118" t="str">
        <f>IF(_epmOfflineCondition_,"Y",_xll.EVPRO($B$1,$H35,"CALC"))</f>
        <v>Y</v>
      </c>
      <c r="K35" s="261" t="str">
        <f>IF(AND(I35&gt;="T5"),"&gt;","")</f>
        <v/>
      </c>
      <c r="L35" s="261"/>
      <c r="M35" s="261"/>
      <c r="N35" s="86" t="str">
        <f>IF(_epmOfflineCondition_,"Venues  Food Rev",IF(_xll.EVDES(G35,$B$1)="#NODATA","",_xll.EVDES(G35,$B$1)&amp;" Food Rev"))</f>
        <v>Venues  Food Rev</v>
      </c>
      <c r="O35" s="134">
        <v>13968.58</v>
      </c>
      <c r="P35" s="134">
        <v>17084</v>
      </c>
      <c r="Q35" s="134">
        <v>19909.990000000002</v>
      </c>
      <c r="R35" s="134">
        <v>18399.27</v>
      </c>
      <c r="S35" s="134">
        <v>14879.79</v>
      </c>
      <c r="T35" s="134">
        <v>17623.189999999999</v>
      </c>
      <c r="U35" s="134">
        <v>17187.55</v>
      </c>
      <c r="V35" s="134">
        <v>19840.310000000001</v>
      </c>
      <c r="W35" s="134">
        <v>8879.1</v>
      </c>
      <c r="X35" s="134">
        <v>15493.2</v>
      </c>
      <c r="Y35" s="134">
        <v>48825.08</v>
      </c>
      <c r="Z35" s="134">
        <v>66962.8</v>
      </c>
      <c r="AA35" s="223">
        <f t="shared" ref="AA35:AA56" si="0">IF($I35="B1","",SUM(O35:Z35))</f>
        <v>279052.86000000004</v>
      </c>
      <c r="AB35" s="138">
        <f>IF(AA35=0,"",IFERROR(AA35/AA$19,""))</f>
        <v>0.27142217302576221</v>
      </c>
      <c r="AC35" s="136"/>
      <c r="AD35" s="134">
        <v>1121803.711926</v>
      </c>
      <c r="AE35" s="138">
        <f>IF(AD35=0,"",IFERROR(AD35/AD$19,""))</f>
        <v>0.38504588895207059</v>
      </c>
      <c r="AF35" s="137">
        <f>IF(AND($AA35="",AD35=""),"",$AA35-AD35)</f>
        <v>-842750.85192599986</v>
      </c>
      <c r="AG35" s="134">
        <v>67247.59</v>
      </c>
      <c r="AH35" s="138">
        <f>IF(AG35=0,"",IFERROR(AG35/AG$19,""))</f>
        <v>0.24193662004767669</v>
      </c>
      <c r="AI35" s="137">
        <f>IF(AND($AA35="",AG35=""),"",$AA35-AG35)</f>
        <v>211805.27000000005</v>
      </c>
      <c r="AJ35" s="224">
        <f t="shared" ref="AJ35:AJ56" si="1">IFERROR(AA35/AA$20,0)</f>
        <v>8.152051064824283</v>
      </c>
      <c r="AK35" s="225">
        <f t="shared" ref="AK35:AK56" si="2">IFERROR(AD35/AD$20,0)</f>
        <v>15.243399817590726</v>
      </c>
      <c r="AL35" s="227">
        <f t="shared" ref="AL35:AL56" si="3">IFERROR(AG35/AG$20,0)</f>
        <v>6.3220447494594341</v>
      </c>
      <c r="AM35" s="419" t="str">
        <f t="shared" ref="AM35:AM56" si="4">+IFERROR(ROUND(($AB35-AE35)*100,2)&amp;" pts.",0)</f>
        <v>-11.36 pts.</v>
      </c>
      <c r="AN35" s="420" t="str">
        <f t="shared" ref="AN35:AN56" si="5">+IFERROR(ROUND(($AB35-AH35)*100,2)&amp;" pts.",0)</f>
        <v>2.95 pts.</v>
      </c>
      <c r="AO35" s="383"/>
      <c r="AP35" s="383"/>
    </row>
    <row r="36" spans="1:42" x14ac:dyDescent="0.25">
      <c r="A36" s="56" t="str">
        <f>IF(_epmOfflineCondition_,"Evdre:Ok",_xll.EVDRE($B$1,A39:B46,A49:B55))</f>
        <v>Evdre:Ok</v>
      </c>
      <c r="B36" s="11"/>
      <c r="C36" s="11"/>
      <c r="D36" s="11"/>
      <c r="E36" s="11"/>
      <c r="F36" s="11"/>
      <c r="G36" s="84" t="s">
        <v>346</v>
      </c>
      <c r="H36" s="84" t="s">
        <v>265</v>
      </c>
      <c r="I36" s="118" t="str">
        <f>IF(_epmOfflineCondition_,"T4",_xll.EVPRO($B$1,$H36,"STYLE"))</f>
        <v>T4</v>
      </c>
      <c r="J36" s="118" t="str">
        <f>IF(_epmOfflineCondition_,"Y",_xll.EVPRO($B$1,$H36,"CALC"))</f>
        <v>Y</v>
      </c>
      <c r="K36" s="261" t="str">
        <f>IF(AND(I36&gt;="T5"),"&gt;","")</f>
        <v/>
      </c>
      <c r="L36" s="261"/>
      <c r="M36" s="261"/>
      <c r="N36" s="86" t="str">
        <f>IF(_epmOfflineCondition_,"In Room Dining Food Rev",IF(_xll.EVDES(G36,$B$1)="#NODATA","",_xll.EVDES(G36,$B$1)&amp;" Food Rev"))</f>
        <v>In Room Dining Food Rev</v>
      </c>
      <c r="O36" s="240"/>
      <c r="P36" s="240"/>
      <c r="Q36" s="240"/>
      <c r="R36" s="240"/>
      <c r="S36" s="240"/>
      <c r="T36" s="240"/>
      <c r="U36" s="240"/>
      <c r="V36" s="240"/>
      <c r="W36" s="240"/>
      <c r="X36" s="240"/>
      <c r="Y36" s="240">
        <v>4001</v>
      </c>
      <c r="Z36" s="240">
        <v>6186</v>
      </c>
      <c r="AA36" s="240">
        <f t="shared" si="0"/>
        <v>10187</v>
      </c>
      <c r="AB36" s="242">
        <f>IF(AA36=0,"",IFERROR(AA36/AA$19,""))</f>
        <v>9.9084369771857538E-3</v>
      </c>
      <c r="AC36" s="136"/>
      <c r="AD36" s="240">
        <v>53426.326000000001</v>
      </c>
      <c r="AE36" s="242">
        <f>IF(AD36=0,"",IFERROR(AD36/AD$19,""))</f>
        <v>1.8337956069689073E-2</v>
      </c>
      <c r="AF36" s="243">
        <f>IF(AND($AA36="",AD36=""),"",$AA36-AD36)</f>
        <v>-43239.326000000001</v>
      </c>
      <c r="AG36" s="240"/>
      <c r="AH36" s="242" t="str">
        <f>IF(AG36=0,"",IFERROR(AG36/AG$19,""))</f>
        <v/>
      </c>
      <c r="AI36" s="243">
        <f>IF(AND($AA36="",AG36=""),"",$AA36-AG36)</f>
        <v>10187</v>
      </c>
      <c r="AJ36" s="224">
        <f t="shared" si="1"/>
        <v>0.29759574654552889</v>
      </c>
      <c r="AK36" s="225">
        <f t="shared" si="2"/>
        <v>0.72597268073281673</v>
      </c>
      <c r="AL36" s="227">
        <f t="shared" si="3"/>
        <v>0</v>
      </c>
      <c r="AM36" s="419" t="str">
        <f t="shared" si="4"/>
        <v>-0.84 pts.</v>
      </c>
      <c r="AN36" s="420">
        <f t="shared" si="5"/>
        <v>0</v>
      </c>
      <c r="AO36" s="11"/>
      <c r="AP36" s="11"/>
    </row>
    <row r="37" spans="1:42" x14ac:dyDescent="0.25">
      <c r="A37" s="11"/>
      <c r="B37" s="11"/>
      <c r="C37" s="11"/>
      <c r="D37" s="11"/>
      <c r="E37" s="11"/>
      <c r="F37" s="11"/>
      <c r="G37" s="84" t="s">
        <v>347</v>
      </c>
      <c r="H37" s="84" t="s">
        <v>265</v>
      </c>
      <c r="I37" s="118" t="str">
        <f>IF(_epmOfflineCondition_,"T4",_xll.EVPRO($B$1,$H37,"STYLE"))</f>
        <v>T4</v>
      </c>
      <c r="J37" s="118" t="str">
        <f>IF(_epmOfflineCondition_,"Y",_xll.EVPRO($B$1,$H37,"CALC"))</f>
        <v>Y</v>
      </c>
      <c r="K37" s="261" t="str">
        <f>IF(AND(I37&gt;="T5"),"&gt;","")</f>
        <v/>
      </c>
      <c r="L37" s="261"/>
      <c r="M37" s="261"/>
      <c r="N37" s="86" t="str">
        <f>IF(_epmOfflineCondition_,"Banquet-Catering &amp; CS Food Rev",IF(_xll.EVDES(G37,$B$1)="#NODATA","",_xll.EVDES(G37,$B$1)&amp;" Food Rev"))</f>
        <v>Banquet-Catering &amp; CS Food Rev</v>
      </c>
      <c r="O37" s="240">
        <v>22961.45</v>
      </c>
      <c r="P37" s="240">
        <v>20567.95</v>
      </c>
      <c r="Q37" s="240">
        <v>18347.68</v>
      </c>
      <c r="R37" s="240">
        <v>4647</v>
      </c>
      <c r="S37" s="240">
        <v>4653</v>
      </c>
      <c r="T37" s="240">
        <v>1549</v>
      </c>
      <c r="U37" s="240">
        <v>2239</v>
      </c>
      <c r="V37" s="240">
        <v>1337</v>
      </c>
      <c r="W37" s="240">
        <v>1418</v>
      </c>
      <c r="X37" s="240">
        <v>18064.96</v>
      </c>
      <c r="Y37" s="240">
        <v>11050</v>
      </c>
      <c r="Z37" s="240">
        <v>11031</v>
      </c>
      <c r="AA37" s="240">
        <f t="shared" si="0"/>
        <v>117866.04000000001</v>
      </c>
      <c r="AB37" s="242">
        <f>IF(AA37=0,"",IFERROR(AA37/AA$19,""))</f>
        <v>0.11464299883090755</v>
      </c>
      <c r="AC37" s="136"/>
      <c r="AD37" s="240">
        <v>132363.98203000001</v>
      </c>
      <c r="AE37" s="242">
        <f>IF(AD37=0,"",IFERROR(AD37/AD$19,""))</f>
        <v>4.5432375186630916E-2</v>
      </c>
      <c r="AF37" s="243">
        <f>IF(AND($AA37="",AD37=""),"",$AA37-AD37)</f>
        <v>-14497.942030000006</v>
      </c>
      <c r="AG37" s="240">
        <v>25575.33</v>
      </c>
      <c r="AH37" s="242">
        <f>IF(AG37=0,"",IFERROR(AG37/AG$19,""))</f>
        <v>9.2012351621878902E-2</v>
      </c>
      <c r="AI37" s="243">
        <f>IF(AND($AA37="",AG37=""),"",$AA37-AG37)</f>
        <v>92290.71</v>
      </c>
      <c r="AJ37" s="224">
        <f t="shared" si="1"/>
        <v>3.4432543600829661</v>
      </c>
      <c r="AK37" s="225">
        <f t="shared" si="2"/>
        <v>1.7986008408436975</v>
      </c>
      <c r="AL37" s="227">
        <f t="shared" si="3"/>
        <v>2.4043743536711482</v>
      </c>
      <c r="AM37" s="419" t="str">
        <f t="shared" si="4"/>
        <v>6.92 pts.</v>
      </c>
      <c r="AN37" s="420" t="str">
        <f t="shared" si="5"/>
        <v>2.26 pts.</v>
      </c>
      <c r="AO37" s="11"/>
      <c r="AP37" s="11"/>
    </row>
    <row r="38" spans="1:42" x14ac:dyDescent="0.25">
      <c r="A38" s="57" t="s">
        <v>0</v>
      </c>
      <c r="B38" s="58" t="s">
        <v>1</v>
      </c>
      <c r="C38" s="11"/>
      <c r="D38" s="11"/>
      <c r="E38" s="11"/>
      <c r="F38" s="11"/>
      <c r="G38" s="84" t="s">
        <v>349</v>
      </c>
      <c r="H38" s="84" t="s">
        <v>265</v>
      </c>
      <c r="I38" s="118" t="str">
        <f>IF(_epmOfflineCondition_,"T4",_xll.EVPRO($B$1,$H38,"STYLE"))</f>
        <v>T4</v>
      </c>
      <c r="J38" s="118" t="str">
        <f>IF(_epmOfflineCondition_,"Y",_xll.EVPRO($B$1,$H38,"CALC"))</f>
        <v>Y</v>
      </c>
      <c r="K38" s="261" t="str">
        <f>IF(AND(I38&gt;="T5"),"&gt;","")</f>
        <v/>
      </c>
      <c r="L38" s="261"/>
      <c r="M38" s="261"/>
      <c r="N38" s="86" t="str">
        <f>IF(_epmOfflineCondition_,"Mini Bar Food Rev",IF(_xll.EVDES(G38,$B$1)="#NODATA","",_xll.EVDES(G38,$B$1)&amp;" Food Rev"))</f>
        <v>Mini Bar Food Rev</v>
      </c>
      <c r="O38" s="240">
        <v>6569.75</v>
      </c>
      <c r="P38" s="240">
        <v>4707.8900000000003</v>
      </c>
      <c r="Q38" s="240">
        <v>5724</v>
      </c>
      <c r="R38" s="240">
        <v>5557</v>
      </c>
      <c r="S38" s="240">
        <v>5577</v>
      </c>
      <c r="T38" s="240">
        <v>3834</v>
      </c>
      <c r="U38" s="240">
        <v>5252</v>
      </c>
      <c r="V38" s="240">
        <v>4871</v>
      </c>
      <c r="W38" s="240">
        <v>3328.92</v>
      </c>
      <c r="X38" s="240">
        <v>4168.22</v>
      </c>
      <c r="Y38" s="240">
        <v>6522.99</v>
      </c>
      <c r="Z38" s="240">
        <v>9575.4</v>
      </c>
      <c r="AA38" s="240">
        <f t="shared" si="0"/>
        <v>65688.17</v>
      </c>
      <c r="AB38" s="242">
        <f>IF(AA38=0,"",IFERROR(AA38/AA$19,""))</f>
        <v>6.3891930165079408E-2</v>
      </c>
      <c r="AC38" s="136"/>
      <c r="AD38" s="240">
        <v>83687.8</v>
      </c>
      <c r="AE38" s="242">
        <f>IF(AD38=0,"",IFERROR(AD38/AD$19,""))</f>
        <v>2.8724849991910828E-2</v>
      </c>
      <c r="AF38" s="243">
        <f>IF(AND($AA38="",AD38=""),"",$AA38-AD38)</f>
        <v>-17999.630000000005</v>
      </c>
      <c r="AG38" s="240">
        <v>33365.06</v>
      </c>
      <c r="AH38" s="242">
        <f>IF(AG38=0,"",IFERROR(AG38/AG$19,""))</f>
        <v>0.12003745924705904</v>
      </c>
      <c r="AI38" s="243">
        <f>IF(AND($AA38="",AG38=""),"",$AA38-AG38)</f>
        <v>32323.11</v>
      </c>
      <c r="AJ38" s="232">
        <f t="shared" si="1"/>
        <v>1.9189673103327394</v>
      </c>
      <c r="AK38" s="233">
        <f t="shared" si="2"/>
        <v>1.1371745178703065</v>
      </c>
      <c r="AL38" s="235">
        <f t="shared" si="3"/>
        <v>3.1366983171946976</v>
      </c>
      <c r="AM38" s="421" t="str">
        <f t="shared" si="4"/>
        <v>3.52 pts.</v>
      </c>
      <c r="AN38" s="422" t="str">
        <f t="shared" si="5"/>
        <v>-5.61 pts.</v>
      </c>
      <c r="AO38" s="11"/>
      <c r="AP38" s="11"/>
    </row>
    <row r="39" spans="1:42" x14ac:dyDescent="0.25">
      <c r="A39" s="61" t="s">
        <v>2</v>
      </c>
      <c r="B39" s="62" t="str">
        <f>IF(_epmOfflineCondition_,"'FB_Cons'!$B$2:$B$10",_xll.EVRNG($B$2:$B$10))</f>
        <v>'FB_Cons'!$B$2:$B$10</v>
      </c>
      <c r="C39" s="11"/>
      <c r="D39" s="11"/>
      <c r="E39" s="11"/>
      <c r="F39" s="11"/>
      <c r="G39" s="84" t="s">
        <v>358</v>
      </c>
      <c r="H39" s="84" t="s">
        <v>265</v>
      </c>
      <c r="I39" s="118" t="str">
        <f>IF(_epmOfflineCondition_,"T4",_xll.EVPRO($B$1,$H39,"STYLE"))</f>
        <v>T4</v>
      </c>
      <c r="J39" s="118" t="str">
        <f>IF(_epmOfflineCondition_,"Y",_xll.EVPRO($B$1,$H39,"CALC"))</f>
        <v>Y</v>
      </c>
      <c r="K39" s="261" t="str">
        <f>IF(AND(I39&gt;="T5"),"&gt;","")</f>
        <v/>
      </c>
      <c r="L39" s="261"/>
      <c r="M39" s="261"/>
      <c r="N39" s="49" t="str">
        <f>IF(_epmOfflineCondition_,"Total Food Revenue",IF(_xll.EVDES(H39,$B$1)="#NODATA","",_xll.EVDES(H39,$B$1)))</f>
        <v>Total Food Revenue</v>
      </c>
      <c r="O39" s="236">
        <v>43499.78</v>
      </c>
      <c r="P39" s="236">
        <v>42359.839999999997</v>
      </c>
      <c r="Q39" s="236">
        <v>43981.67</v>
      </c>
      <c r="R39" s="236">
        <v>28603.27</v>
      </c>
      <c r="S39" s="236">
        <v>25109.79</v>
      </c>
      <c r="T39" s="236">
        <v>23006.19</v>
      </c>
      <c r="U39" s="236">
        <v>24678.55</v>
      </c>
      <c r="V39" s="236">
        <v>26048.31</v>
      </c>
      <c r="W39" s="236">
        <v>13626.02</v>
      </c>
      <c r="X39" s="236">
        <v>37726.379999999997</v>
      </c>
      <c r="Y39" s="236">
        <v>70399.070000000007</v>
      </c>
      <c r="Z39" s="236">
        <v>93755.199999999997</v>
      </c>
      <c r="AA39" s="236">
        <f t="shared" si="0"/>
        <v>472794.07</v>
      </c>
      <c r="AB39" s="237">
        <f>IF(AA39=0,"",IFERROR(AA39/AA$19,""))</f>
        <v>0.4598655389989349</v>
      </c>
      <c r="AC39" s="136"/>
      <c r="AD39" s="236">
        <v>1391281.819956</v>
      </c>
      <c r="AE39" s="237">
        <f>IF(AD39=0,"",IFERROR(AD39/AD$19,""))</f>
        <v>0.4775410702003014</v>
      </c>
      <c r="AF39" s="239">
        <f>IF(AND($AA39="",AD39=""),"",$AA39-AD39)</f>
        <v>-918487.7499559999</v>
      </c>
      <c r="AG39" s="236">
        <v>126187.98</v>
      </c>
      <c r="AH39" s="237">
        <f>IF(AG39=0,"",IFERROR(AG39/AG$19,""))</f>
        <v>0.45398643091661461</v>
      </c>
      <c r="AI39" s="239">
        <f>IF(AND($AA39="",AG39=""),"",$AA39-AG39)</f>
        <v>346606.09</v>
      </c>
      <c r="AJ39" s="437">
        <f t="shared" si="1"/>
        <v>13.811868481785517</v>
      </c>
      <c r="AK39" s="438">
        <f t="shared" si="2"/>
        <v>18.905147857037548</v>
      </c>
      <c r="AL39" s="439">
        <f t="shared" si="3"/>
        <v>11.863117420325279</v>
      </c>
      <c r="AM39" s="440" t="str">
        <f t="shared" si="4"/>
        <v>-1.77 pts.</v>
      </c>
      <c r="AN39" s="441" t="str">
        <f t="shared" si="5"/>
        <v>0.59 pts.</v>
      </c>
      <c r="AO39" s="11"/>
      <c r="AP39" s="11"/>
    </row>
    <row r="40" spans="1:42" x14ac:dyDescent="0.25">
      <c r="A40" s="61" t="s">
        <v>3</v>
      </c>
      <c r="B40" s="62" t="str">
        <f>IF(_epmOfflineCondition_,"'FB_Cons'!$O$16:$AN$18",_xll.EVRNG($O$16:$AN$18))</f>
        <v>'FB_Cons'!$O$16:$AN$18</v>
      </c>
      <c r="C40" s="11"/>
      <c r="D40" s="11"/>
      <c r="E40" s="11"/>
      <c r="F40" s="11"/>
      <c r="G40" s="84"/>
      <c r="H40" s="11" t="s">
        <v>266</v>
      </c>
      <c r="I40" s="11" t="str">
        <f>IF(_epmOfflineCondition_,"B1",_xll.EVPRO($B$1,$H40,"STYLE"))</f>
        <v>B1</v>
      </c>
      <c r="J40" s="11" t="str">
        <f>IF(_epmOfflineCondition_,"Y",_xll.EVPRO($B$1,$H40,"CALC"))</f>
        <v>Y</v>
      </c>
      <c r="K40" s="261"/>
      <c r="L40" s="261"/>
      <c r="M40" s="261"/>
      <c r="N40" s="49" t="str">
        <f>IF(_epmOfflineCondition_,"Beverage Revenue",IF(_xll.EVDES(H40,$B$1)="#NODATA","",_xll.EVDES(H40,$B$1)))</f>
        <v>Beverage Revenue</v>
      </c>
      <c r="O40" s="240"/>
      <c r="P40" s="240"/>
      <c r="Q40" s="240"/>
      <c r="R40" s="240"/>
      <c r="S40" s="240"/>
      <c r="T40" s="240"/>
      <c r="U40" s="240"/>
      <c r="V40" s="240"/>
      <c r="W40" s="240"/>
      <c r="X40" s="240"/>
      <c r="Y40" s="240"/>
      <c r="Z40" s="240"/>
      <c r="AA40" s="240" t="str">
        <f t="shared" si="0"/>
        <v/>
      </c>
      <c r="AB40" s="242"/>
      <c r="AC40" s="136"/>
      <c r="AD40" s="240"/>
      <c r="AE40" s="242"/>
      <c r="AF40" s="243"/>
      <c r="AG40" s="240"/>
      <c r="AH40" s="242"/>
      <c r="AI40" s="243"/>
      <c r="AJ40" s="244">
        <f t="shared" si="1"/>
        <v>0</v>
      </c>
      <c r="AK40" s="245">
        <f t="shared" si="2"/>
        <v>0</v>
      </c>
      <c r="AL40" s="247">
        <f t="shared" si="3"/>
        <v>0</v>
      </c>
      <c r="AM40" s="425" t="str">
        <f t="shared" si="4"/>
        <v>0 pts.</v>
      </c>
      <c r="AN40" s="426" t="str">
        <f t="shared" si="5"/>
        <v>0 pts.</v>
      </c>
      <c r="AO40" s="11"/>
      <c r="AP40" s="11"/>
    </row>
    <row r="41" spans="1:42" x14ac:dyDescent="0.25">
      <c r="A41" s="61" t="s">
        <v>4</v>
      </c>
      <c r="B41" s="62" t="str">
        <f>IF(_epmOfflineCondition_,"'FB_Cons'!$H$60:$H$68",_xll.EVRNG(H60:H68))</f>
        <v>'FB_Cons'!$H$60:$H$68</v>
      </c>
      <c r="C41" s="11"/>
      <c r="D41" s="11"/>
      <c r="E41" s="11"/>
      <c r="F41" s="11"/>
      <c r="G41" s="84" t="s">
        <v>258</v>
      </c>
      <c r="H41" s="84" t="s">
        <v>272</v>
      </c>
      <c r="I41" s="118" t="str">
        <f>IF(_epmOfflineCondition_,"T4",_xll.EVPRO($B$1,$H41,"STYLE"))</f>
        <v>T4</v>
      </c>
      <c r="J41" s="118" t="str">
        <f>IF(_epmOfflineCondition_,"Y",_xll.EVPRO($B$1,$H41,"CALC"))</f>
        <v>Y</v>
      </c>
      <c r="K41" s="261" t="str">
        <f>IF(AND(I41&gt;="T5"),"&gt;","")</f>
        <v/>
      </c>
      <c r="L41" s="261"/>
      <c r="M41" s="261"/>
      <c r="N41" s="86" t="str">
        <f>IF(_epmOfflineCondition_,"Venues  Beverage Rev",IF(_xll.EVDES(G41,$B$1)="#NODATA","",_xll.EVDES(G41,$B$1)&amp;" Beverage Rev"))</f>
        <v>Venues  Beverage Rev</v>
      </c>
      <c r="O41" s="240">
        <v>20936.91</v>
      </c>
      <c r="P41" s="240">
        <v>26913.4</v>
      </c>
      <c r="Q41" s="240">
        <v>26936.55</v>
      </c>
      <c r="R41" s="240">
        <v>22200.05</v>
      </c>
      <c r="S41" s="240">
        <v>20335.05</v>
      </c>
      <c r="T41" s="240">
        <v>18604.96</v>
      </c>
      <c r="U41" s="240">
        <v>18181.900000000001</v>
      </c>
      <c r="V41" s="240">
        <v>17086.009999999998</v>
      </c>
      <c r="W41" s="240">
        <v>15033</v>
      </c>
      <c r="X41" s="240">
        <v>18665.43</v>
      </c>
      <c r="Y41" s="240">
        <v>33231.57</v>
      </c>
      <c r="Z41" s="240">
        <v>44685.05</v>
      </c>
      <c r="AA41" s="240">
        <f t="shared" si="0"/>
        <v>282809.88</v>
      </c>
      <c r="AB41" s="242">
        <f t="shared" ref="AB41:AB47" si="6">IF(AA41=0,"",IFERROR(AA41/AA$19,""))</f>
        <v>0.2750764574953829</v>
      </c>
      <c r="AC41" s="136"/>
      <c r="AD41" s="240">
        <v>918152.27807400003</v>
      </c>
      <c r="AE41" s="242">
        <f t="shared" ref="AE41:AE47" si="7">IF(AD41=0,"",IFERROR(AD41/AD$19,""))</f>
        <v>0.31514493698492307</v>
      </c>
      <c r="AF41" s="243">
        <f t="shared" ref="AF41:AF47" si="8">IF(AND($AA41="",AD41=""),"",$AA41-AD41)</f>
        <v>-635342.39807400003</v>
      </c>
      <c r="AG41" s="240">
        <v>89307.14</v>
      </c>
      <c r="AH41" s="242">
        <f t="shared" ref="AH41:AH47" si="9">IF(AG41=0,"",IFERROR(AG41/AG$19,""))</f>
        <v>0.32130025176701005</v>
      </c>
      <c r="AI41" s="243">
        <f t="shared" ref="AI41:AI47" si="10">IF(AND($AA41="",AG41=""),"",$AA41-AG41)</f>
        <v>193502.74</v>
      </c>
      <c r="AJ41" s="224">
        <f t="shared" si="1"/>
        <v>8.2618059653530427</v>
      </c>
      <c r="AK41" s="225">
        <f t="shared" si="2"/>
        <v>12.476124048550979</v>
      </c>
      <c r="AL41" s="227">
        <f t="shared" si="3"/>
        <v>8.3958954592460273</v>
      </c>
      <c r="AM41" s="419" t="str">
        <f t="shared" si="4"/>
        <v>-4.01 pts.</v>
      </c>
      <c r="AN41" s="420" t="str">
        <f t="shared" si="5"/>
        <v>-4.62 pts.</v>
      </c>
      <c r="AO41" s="11"/>
      <c r="AP41" s="11"/>
    </row>
    <row r="42" spans="1:42" x14ac:dyDescent="0.25">
      <c r="A42" s="61" t="s">
        <v>5</v>
      </c>
      <c r="B42" s="62"/>
      <c r="C42" s="11"/>
      <c r="D42" s="11"/>
      <c r="E42" s="11"/>
      <c r="F42" s="380"/>
      <c r="G42" s="84" t="s">
        <v>346</v>
      </c>
      <c r="H42" s="84" t="s">
        <v>272</v>
      </c>
      <c r="I42" s="118" t="str">
        <f>IF(_epmOfflineCondition_,"T4",_xll.EVPRO($B$1,$H42,"STYLE"))</f>
        <v>T4</v>
      </c>
      <c r="J42" s="118" t="str">
        <f>IF(_epmOfflineCondition_,"Y",_xll.EVPRO($B$1,$H42,"CALC"))</f>
        <v>Y</v>
      </c>
      <c r="K42" s="261" t="str">
        <f>IF(AND(I42&gt;="T5"),"&gt;","")</f>
        <v/>
      </c>
      <c r="L42" s="261"/>
      <c r="M42" s="261"/>
      <c r="N42" s="86" t="str">
        <f>IF(_epmOfflineCondition_,"In Room Dining Beverage Rev",IF(_xll.EVDES(G42,$B$1)="#NODATA","",_xll.EVDES(G42,$B$1)&amp;" Beverage Rev"))</f>
        <v>In Room Dining Beverage Rev</v>
      </c>
      <c r="O42" s="240"/>
      <c r="P42" s="240"/>
      <c r="Q42" s="240"/>
      <c r="R42" s="240"/>
      <c r="S42" s="240"/>
      <c r="T42" s="240"/>
      <c r="U42" s="240"/>
      <c r="V42" s="240"/>
      <c r="W42" s="240"/>
      <c r="X42" s="240"/>
      <c r="Y42" s="240">
        <v>357</v>
      </c>
      <c r="Z42" s="240">
        <v>571</v>
      </c>
      <c r="AA42" s="240">
        <f t="shared" si="0"/>
        <v>928</v>
      </c>
      <c r="AB42" s="242">
        <f t="shared" si="6"/>
        <v>9.0262388483639726E-4</v>
      </c>
      <c r="AC42" s="136"/>
      <c r="AD42" s="240">
        <v>19663.673999999999</v>
      </c>
      <c r="AE42" s="242">
        <f t="shared" si="7"/>
        <v>6.7493241062596592E-3</v>
      </c>
      <c r="AF42" s="243">
        <f t="shared" si="8"/>
        <v>-18735.673999999999</v>
      </c>
      <c r="AG42" s="240"/>
      <c r="AH42" s="242" t="str">
        <f t="shared" si="9"/>
        <v/>
      </c>
      <c r="AI42" s="243">
        <f t="shared" si="10"/>
        <v>928</v>
      </c>
      <c r="AJ42" s="224">
        <f t="shared" si="1"/>
        <v>2.7109929595980253E-2</v>
      </c>
      <c r="AK42" s="225">
        <f t="shared" si="2"/>
        <v>0.26719580393449083</v>
      </c>
      <c r="AL42" s="227">
        <f t="shared" si="3"/>
        <v>0</v>
      </c>
      <c r="AM42" s="419" t="str">
        <f t="shared" si="4"/>
        <v>-0.58 pts.</v>
      </c>
      <c r="AN42" s="420">
        <f t="shared" si="5"/>
        <v>0</v>
      </c>
      <c r="AO42" s="11"/>
      <c r="AP42" s="11"/>
    </row>
    <row r="43" spans="1:42" x14ac:dyDescent="0.25">
      <c r="A43" s="61" t="s">
        <v>6</v>
      </c>
      <c r="B43" s="62"/>
      <c r="C43" s="11"/>
      <c r="D43" s="11"/>
      <c r="E43" s="11"/>
      <c r="F43" s="380"/>
      <c r="G43" s="84" t="s">
        <v>347</v>
      </c>
      <c r="H43" s="84" t="s">
        <v>272</v>
      </c>
      <c r="I43" s="118" t="str">
        <f>IF(_epmOfflineCondition_,"T4",_xll.EVPRO($B$1,$H43,"STYLE"))</f>
        <v>T4</v>
      </c>
      <c r="J43" s="118" t="str">
        <f>IF(_epmOfflineCondition_,"Y",_xll.EVPRO($B$1,$H43,"CALC"))</f>
        <v>Y</v>
      </c>
      <c r="K43" s="261" t="str">
        <f>IF(AND(I43&gt;="T5"),"&gt;","")</f>
        <v/>
      </c>
      <c r="L43" s="261"/>
      <c r="M43" s="261"/>
      <c r="N43" s="86" t="str">
        <f>IF(_epmOfflineCondition_,"Banquet-Catering &amp; CS Beverage Rev",IF(_xll.EVDES(G43,$B$1)="#NODATA","",_xll.EVDES(G43,$B$1)&amp;" Beverage Rev"))</f>
        <v>Banquet-Catering &amp; CS Beverage Rev</v>
      </c>
      <c r="O43" s="240">
        <v>3289.75</v>
      </c>
      <c r="P43" s="240">
        <v>1815</v>
      </c>
      <c r="Q43" s="240">
        <v>1469.92</v>
      </c>
      <c r="R43" s="240"/>
      <c r="S43" s="240"/>
      <c r="T43" s="240"/>
      <c r="U43" s="240"/>
      <c r="V43" s="240">
        <v>1135</v>
      </c>
      <c r="W43" s="240"/>
      <c r="X43" s="240">
        <v>1864</v>
      </c>
      <c r="Y43" s="240">
        <v>1362</v>
      </c>
      <c r="Z43" s="240">
        <v>1028</v>
      </c>
      <c r="AA43" s="240">
        <f t="shared" si="0"/>
        <v>11963.67</v>
      </c>
      <c r="AB43" s="242">
        <f t="shared" si="6"/>
        <v>1.1636524021875714E-2</v>
      </c>
      <c r="AC43" s="136"/>
      <c r="AD43" s="240">
        <v>78532.845270000005</v>
      </c>
      <c r="AE43" s="242">
        <f t="shared" si="7"/>
        <v>2.6955472599574773E-2</v>
      </c>
      <c r="AF43" s="243">
        <f t="shared" si="8"/>
        <v>-66569.175270000007</v>
      </c>
      <c r="AG43" s="240">
        <v>2045</v>
      </c>
      <c r="AH43" s="242">
        <f t="shared" si="9"/>
        <v>7.3572954509968144E-3</v>
      </c>
      <c r="AI43" s="243">
        <f t="shared" si="10"/>
        <v>9918.67</v>
      </c>
      <c r="AJ43" s="224">
        <f t="shared" si="1"/>
        <v>0.34949811574303996</v>
      </c>
      <c r="AK43" s="225">
        <f t="shared" si="2"/>
        <v>1.067127472067561</v>
      </c>
      <c r="AL43" s="227">
        <f t="shared" si="3"/>
        <v>0.19225345492150042</v>
      </c>
      <c r="AM43" s="419" t="str">
        <f t="shared" si="4"/>
        <v>-1.53 pts.</v>
      </c>
      <c r="AN43" s="420" t="str">
        <f t="shared" si="5"/>
        <v>0.43 pts.</v>
      </c>
      <c r="AO43" s="11"/>
      <c r="AP43" s="11"/>
    </row>
    <row r="44" spans="1:42" x14ac:dyDescent="0.25">
      <c r="A44" s="61" t="s">
        <v>7</v>
      </c>
      <c r="B44" s="62" t="str">
        <f>IF(_epmOfflineCondition_,"'FB_Cons'!$A$58:$F$66",_xll.EVRNG(A58:F66))</f>
        <v>'FB_Cons'!$A$58:$F$66</v>
      </c>
      <c r="C44" s="11"/>
      <c r="D44" s="11"/>
      <c r="E44" s="11"/>
      <c r="F44" s="380"/>
      <c r="G44" s="84" t="s">
        <v>349</v>
      </c>
      <c r="H44" s="84" t="s">
        <v>272</v>
      </c>
      <c r="I44" s="118" t="str">
        <f>IF(_epmOfflineCondition_,"T4",_xll.EVPRO($B$1,$H44,"STYLE"))</f>
        <v>T4</v>
      </c>
      <c r="J44" s="118" t="str">
        <f>IF(_epmOfflineCondition_,"Y",_xll.EVPRO($B$1,$H44,"CALC"))</f>
        <v>Y</v>
      </c>
      <c r="K44" s="261" t="str">
        <f>IF(AND(I44&gt;="T5"),"&gt;","")</f>
        <v/>
      </c>
      <c r="L44" s="261"/>
      <c r="M44" s="261"/>
      <c r="N44" s="86" t="str">
        <f>IF(_epmOfflineCondition_,"Mini Bar Beverage Rev",IF(_xll.EVDES(G44,$B$1)="#NODATA","",_xll.EVDES(G44,$B$1)&amp;" Beverage Rev"))</f>
        <v>Mini Bar Beverage Rev</v>
      </c>
      <c r="O44" s="240">
        <v>3860</v>
      </c>
      <c r="P44" s="240">
        <v>3074</v>
      </c>
      <c r="Q44" s="240">
        <v>3500</v>
      </c>
      <c r="R44" s="240">
        <v>3422</v>
      </c>
      <c r="S44" s="240">
        <v>4079</v>
      </c>
      <c r="T44" s="240">
        <v>2221</v>
      </c>
      <c r="U44" s="240">
        <v>3223</v>
      </c>
      <c r="V44" s="240">
        <v>3188</v>
      </c>
      <c r="W44" s="240">
        <v>2752</v>
      </c>
      <c r="X44" s="240">
        <v>2680</v>
      </c>
      <c r="Y44" s="240">
        <v>2741</v>
      </c>
      <c r="Z44" s="240">
        <v>4857</v>
      </c>
      <c r="AA44" s="240">
        <f t="shared" si="0"/>
        <v>39597</v>
      </c>
      <c r="AB44" s="242">
        <f t="shared" si="6"/>
        <v>3.8514221948132352E-2</v>
      </c>
      <c r="AC44" s="136"/>
      <c r="AD44" s="240">
        <v>35658.28</v>
      </c>
      <c r="AE44" s="242">
        <f t="shared" si="7"/>
        <v>1.2239283909596787E-2</v>
      </c>
      <c r="AF44" s="243">
        <f t="shared" si="8"/>
        <v>3938.7200000000012</v>
      </c>
      <c r="AG44" s="240">
        <v>13071</v>
      </c>
      <c r="AH44" s="242">
        <f t="shared" si="9"/>
        <v>4.7025529995099929E-2</v>
      </c>
      <c r="AI44" s="243">
        <f t="shared" si="10"/>
        <v>26526</v>
      </c>
      <c r="AJ44" s="232">
        <f t="shared" si="1"/>
        <v>1.1567584937629634</v>
      </c>
      <c r="AK44" s="233">
        <f t="shared" si="2"/>
        <v>0.48453522935343496</v>
      </c>
      <c r="AL44" s="235">
        <f t="shared" si="3"/>
        <v>1.2288239165178152</v>
      </c>
      <c r="AM44" s="421" t="str">
        <f t="shared" si="4"/>
        <v>2.63 pts.</v>
      </c>
      <c r="AN44" s="422" t="str">
        <f t="shared" si="5"/>
        <v>-0.85 pts.</v>
      </c>
      <c r="AO44" s="11"/>
      <c r="AP44" s="11"/>
    </row>
    <row r="45" spans="1:42" x14ac:dyDescent="0.25">
      <c r="A45" s="61" t="s">
        <v>47</v>
      </c>
      <c r="B45" s="62" t="str">
        <f>IF(_epmOfflineCondition_,"'FB_Cons'!$A$114:$B$135",_xll.EVRNG($A$114:$B$135))</f>
        <v>'FB_Cons'!$A$114:$B$135</v>
      </c>
      <c r="C45" s="11"/>
      <c r="D45" s="11"/>
      <c r="E45" s="11"/>
      <c r="F45" s="11"/>
      <c r="G45" s="84" t="s">
        <v>358</v>
      </c>
      <c r="H45" s="84" t="s">
        <v>272</v>
      </c>
      <c r="I45" s="118" t="str">
        <f>IF(_epmOfflineCondition_,"T4",_xll.EVPRO($B$1,$H45,"STYLE"))</f>
        <v>T4</v>
      </c>
      <c r="J45" s="118" t="str">
        <f>IF(_epmOfflineCondition_,"Y",_xll.EVPRO($B$1,$H45,"CALC"))</f>
        <v>Y</v>
      </c>
      <c r="K45" s="261" t="str">
        <f>IF(AND(I45&gt;="T5"),"&gt;","")</f>
        <v/>
      </c>
      <c r="L45" s="261"/>
      <c r="M45" s="261"/>
      <c r="N45" s="49" t="str">
        <f>IF(_epmOfflineCondition_,"Total Beverage Revenue",IF(_xll.EVDES(H45,$B$1)="#NODATA","",_xll.EVDES(H45,$B$1)))</f>
        <v>Total Beverage Revenue</v>
      </c>
      <c r="O45" s="236">
        <v>28086.66</v>
      </c>
      <c r="P45" s="236">
        <v>31802.400000000001</v>
      </c>
      <c r="Q45" s="236">
        <v>31906.47</v>
      </c>
      <c r="R45" s="236">
        <v>25622.05</v>
      </c>
      <c r="S45" s="236">
        <v>24414.05</v>
      </c>
      <c r="T45" s="236">
        <v>20825.96</v>
      </c>
      <c r="U45" s="236">
        <v>21404.9</v>
      </c>
      <c r="V45" s="236">
        <v>21409.01</v>
      </c>
      <c r="W45" s="236">
        <v>17785</v>
      </c>
      <c r="X45" s="236">
        <v>23209.43</v>
      </c>
      <c r="Y45" s="236">
        <v>37691.57</v>
      </c>
      <c r="Z45" s="236">
        <v>51141.05</v>
      </c>
      <c r="AA45" s="236">
        <f t="shared" si="0"/>
        <v>335298.55</v>
      </c>
      <c r="AB45" s="237">
        <f t="shared" si="6"/>
        <v>0.32612982735022739</v>
      </c>
      <c r="AC45" s="136"/>
      <c r="AD45" s="236">
        <v>1052007.0773440001</v>
      </c>
      <c r="AE45" s="237">
        <f t="shared" si="7"/>
        <v>0.36108901760035433</v>
      </c>
      <c r="AF45" s="239">
        <f t="shared" si="8"/>
        <v>-716708.52734400006</v>
      </c>
      <c r="AG45" s="236">
        <v>104423.14</v>
      </c>
      <c r="AH45" s="237">
        <f t="shared" si="9"/>
        <v>0.37568307721310684</v>
      </c>
      <c r="AI45" s="239">
        <f t="shared" si="10"/>
        <v>230875.40999999997</v>
      </c>
      <c r="AJ45" s="437">
        <f t="shared" si="1"/>
        <v>9.7951725044550262</v>
      </c>
      <c r="AK45" s="438">
        <f t="shared" si="2"/>
        <v>14.294982553906467</v>
      </c>
      <c r="AL45" s="439">
        <f t="shared" si="3"/>
        <v>9.8169728306853443</v>
      </c>
      <c r="AM45" s="440" t="str">
        <f t="shared" si="4"/>
        <v>-3.5 pts.</v>
      </c>
      <c r="AN45" s="441" t="str">
        <f t="shared" si="5"/>
        <v>-4.96 pts.</v>
      </c>
      <c r="AO45" s="11"/>
      <c r="AP45" s="11"/>
    </row>
    <row r="46" spans="1:42" x14ac:dyDescent="0.25">
      <c r="A46" s="61" t="s">
        <v>8</v>
      </c>
      <c r="B46" s="62"/>
      <c r="C46" s="11"/>
      <c r="D46" s="11"/>
      <c r="E46" s="11"/>
      <c r="F46" s="11"/>
      <c r="G46" s="84" t="s">
        <v>358</v>
      </c>
      <c r="H46" s="84" t="s">
        <v>486</v>
      </c>
      <c r="I46" s="85"/>
      <c r="J46" s="85"/>
      <c r="K46" s="261"/>
      <c r="L46" s="261"/>
      <c r="M46" s="261"/>
      <c r="N46" s="86" t="str">
        <f>IF(_epmOfflineCondition_,"Food &amp; Beverage: Allowances",IF(_xll.EVDES(H46,$B$1)="#NODATA","",_xll.EVDES(H46,$B$1)))</f>
        <v>Food &amp; Beverage: Allowances</v>
      </c>
      <c r="O46" s="240">
        <v>-292.64</v>
      </c>
      <c r="P46" s="240"/>
      <c r="Q46" s="240">
        <v>-86.36</v>
      </c>
      <c r="R46" s="240">
        <v>-171.21</v>
      </c>
      <c r="S46" s="240">
        <v>-274.17</v>
      </c>
      <c r="T46" s="240">
        <v>-20.32</v>
      </c>
      <c r="U46" s="240"/>
      <c r="V46" s="240">
        <v>-65.319999999999993</v>
      </c>
      <c r="W46" s="240">
        <v>0</v>
      </c>
      <c r="X46" s="240"/>
      <c r="Y46" s="240">
        <v>-20.32</v>
      </c>
      <c r="Z46" s="240">
        <v>-286.19</v>
      </c>
      <c r="AA46" s="240">
        <f t="shared" si="0"/>
        <v>-1216.5300000000002</v>
      </c>
      <c r="AB46" s="242">
        <f t="shared" si="6"/>
        <v>-1.1832640459267486E-3</v>
      </c>
      <c r="AC46" s="136"/>
      <c r="AD46" s="240"/>
      <c r="AE46" s="242" t="str">
        <f t="shared" si="7"/>
        <v/>
      </c>
      <c r="AF46" s="243">
        <f t="shared" si="8"/>
        <v>-1216.5300000000002</v>
      </c>
      <c r="AG46" s="240">
        <v>-756.68</v>
      </c>
      <c r="AH46" s="242">
        <f t="shared" si="9"/>
        <v>-2.722307247853432E-3</v>
      </c>
      <c r="AI46" s="243">
        <f t="shared" si="10"/>
        <v>-459.85000000000025</v>
      </c>
      <c r="AJ46" s="244">
        <f t="shared" si="1"/>
        <v>-3.5538839064006317E-2</v>
      </c>
      <c r="AK46" s="245">
        <f t="shared" si="2"/>
        <v>0</v>
      </c>
      <c r="AL46" s="247">
        <f t="shared" si="3"/>
        <v>-7.1136598665037132E-2</v>
      </c>
      <c r="AM46" s="425">
        <f t="shared" si="4"/>
        <v>0</v>
      </c>
      <c r="AN46" s="426" t="str">
        <f t="shared" si="5"/>
        <v>0.15 pts.</v>
      </c>
      <c r="AO46" s="11"/>
      <c r="AP46" s="11"/>
    </row>
    <row r="47" spans="1:42" x14ac:dyDescent="0.25">
      <c r="A47" s="11"/>
      <c r="B47" s="11"/>
      <c r="C47" s="11"/>
      <c r="D47" s="11"/>
      <c r="E47" s="11"/>
      <c r="F47" s="11"/>
      <c r="G47" s="84" t="s">
        <v>358</v>
      </c>
      <c r="H47" s="84" t="s">
        <v>273</v>
      </c>
      <c r="I47" s="118" t="str">
        <f>IF(_epmOfflineCondition_,"T4",_xll.EVPRO($B$1,$H47,"STYLE"))</f>
        <v>T4</v>
      </c>
      <c r="J47" s="118" t="str">
        <f>IF(_epmOfflineCondition_,"Y",_xll.EVPRO($B$1,$H47,"CALC"))</f>
        <v>Y</v>
      </c>
      <c r="K47" s="261" t="str">
        <f>IF(AND(I47&gt;="T5"),"&gt;","")</f>
        <v/>
      </c>
      <c r="L47" s="261"/>
      <c r="M47" s="261"/>
      <c r="N47" s="49" t="str">
        <f>IF(_epmOfflineCondition_,"Total Food &amp; Beverage Revenue",IF(_xll.EVDES(H47,$B$1)="#NODATA","",_xll.EVDES(H47,$B$1)))</f>
        <v>Total Food &amp; Beverage Revenue</v>
      </c>
      <c r="O47" s="236">
        <v>71293.8</v>
      </c>
      <c r="P47" s="236">
        <v>74162.240000000005</v>
      </c>
      <c r="Q47" s="236">
        <v>75801.78</v>
      </c>
      <c r="R47" s="236">
        <v>54054.11</v>
      </c>
      <c r="S47" s="236">
        <v>49249.67</v>
      </c>
      <c r="T47" s="236">
        <v>43811.83</v>
      </c>
      <c r="U47" s="236">
        <v>46083.45</v>
      </c>
      <c r="V47" s="236">
        <v>47392</v>
      </c>
      <c r="W47" s="236">
        <v>31411.02</v>
      </c>
      <c r="X47" s="236">
        <v>60935.81</v>
      </c>
      <c r="Y47" s="236">
        <v>108070.32</v>
      </c>
      <c r="Z47" s="236">
        <v>144610.06</v>
      </c>
      <c r="AA47" s="236">
        <f t="shared" si="0"/>
        <v>806876.09000000008</v>
      </c>
      <c r="AB47" s="237">
        <f t="shared" si="6"/>
        <v>0.78481210230323561</v>
      </c>
      <c r="AC47" s="136"/>
      <c r="AD47" s="236">
        <v>2443288.8972999998</v>
      </c>
      <c r="AE47" s="237">
        <f t="shared" si="7"/>
        <v>0.83863008780065562</v>
      </c>
      <c r="AF47" s="239">
        <f t="shared" si="8"/>
        <v>-1636412.8072999998</v>
      </c>
      <c r="AG47" s="236">
        <v>229854.44</v>
      </c>
      <c r="AH47" s="237">
        <f t="shared" si="9"/>
        <v>0.82694720088186802</v>
      </c>
      <c r="AI47" s="239">
        <f t="shared" si="10"/>
        <v>577021.65000000014</v>
      </c>
      <c r="AJ47" s="437">
        <f t="shared" si="1"/>
        <v>23.571502147176538</v>
      </c>
      <c r="AK47" s="438">
        <f t="shared" si="2"/>
        <v>33.200130410944013</v>
      </c>
      <c r="AL47" s="439">
        <f t="shared" si="3"/>
        <v>21.608953652345587</v>
      </c>
      <c r="AM47" s="447" t="str">
        <f t="shared" si="4"/>
        <v>-5.38 pts.</v>
      </c>
      <c r="AN47" s="441" t="str">
        <f t="shared" si="5"/>
        <v>-4.21 pts.</v>
      </c>
      <c r="AO47" s="11"/>
      <c r="AP47" s="11"/>
    </row>
    <row r="48" spans="1:42" x14ac:dyDescent="0.25">
      <c r="A48" s="57" t="s">
        <v>9</v>
      </c>
      <c r="B48" s="58" t="s">
        <v>10</v>
      </c>
      <c r="C48" s="11"/>
      <c r="D48" s="11"/>
      <c r="E48" s="11"/>
      <c r="F48" s="11"/>
      <c r="G48" s="84"/>
      <c r="H48" s="11" t="s">
        <v>279</v>
      </c>
      <c r="I48" s="11" t="str">
        <f>IF(_epmOfflineCondition_,"B1",_xll.EVPRO($B$1,$H48,"STYLE"))</f>
        <v>B1</v>
      </c>
      <c r="J48" s="11" t="str">
        <f>IF(_epmOfflineCondition_,"Y",_xll.EVPRO($B$1,$H48,"CALC"))</f>
        <v>Y</v>
      </c>
      <c r="K48" s="261" t="str">
        <f>IF(AND(I48&gt;="T5"),"&gt;","")</f>
        <v/>
      </c>
      <c r="L48" s="261"/>
      <c r="M48" s="261"/>
      <c r="N48" s="102" t="str">
        <f>IF(_epmOfflineCondition_,"Other Revenue",IF(_xll.EVDES(H48,$B$1)="#NODATA","",_xll.EVDES(H48,$B$1)))</f>
        <v>Other Revenue</v>
      </c>
      <c r="O48" s="448"/>
      <c r="P48" s="449"/>
      <c r="Q48" s="449"/>
      <c r="R48" s="449"/>
      <c r="S48" s="449"/>
      <c r="T48" s="449"/>
      <c r="U48" s="449"/>
      <c r="V48" s="449"/>
      <c r="W48" s="449"/>
      <c r="X48" s="449"/>
      <c r="Y48" s="449"/>
      <c r="Z48" s="449"/>
      <c r="AA48" s="449" t="str">
        <f t="shared" si="0"/>
        <v/>
      </c>
      <c r="AB48" s="450"/>
      <c r="AC48" s="136"/>
      <c r="AD48" s="448"/>
      <c r="AE48" s="451"/>
      <c r="AF48" s="452"/>
      <c r="AG48" s="448"/>
      <c r="AH48" s="451"/>
      <c r="AI48" s="452"/>
      <c r="AJ48" s="224">
        <f t="shared" si="1"/>
        <v>0</v>
      </c>
      <c r="AK48" s="225">
        <f t="shared" si="2"/>
        <v>0</v>
      </c>
      <c r="AL48" s="227">
        <f t="shared" si="3"/>
        <v>0</v>
      </c>
      <c r="AM48" s="419" t="str">
        <f t="shared" si="4"/>
        <v>0 pts.</v>
      </c>
      <c r="AN48" s="420" t="str">
        <f t="shared" si="5"/>
        <v>0 pts.</v>
      </c>
      <c r="AO48" s="11"/>
      <c r="AP48" s="11"/>
    </row>
    <row r="49" spans="1:42" x14ac:dyDescent="0.25">
      <c r="A49" s="61" t="s">
        <v>11</v>
      </c>
      <c r="B49" s="62" t="s">
        <v>21</v>
      </c>
      <c r="C49" s="11"/>
      <c r="D49" s="11"/>
      <c r="E49" s="11"/>
      <c r="F49" s="11"/>
      <c r="G49" s="84" t="s">
        <v>358</v>
      </c>
      <c r="H49" s="84" t="s">
        <v>274</v>
      </c>
      <c r="I49" s="118" t="str">
        <f>IF(_epmOfflineCondition_,"T5",_xll.EVPRO($B$1,$H49,"STYLE"))</f>
        <v>T5</v>
      </c>
      <c r="J49" s="118" t="str">
        <f>IF(_epmOfflineCondition_,"Y",_xll.EVPRO($B$1,$H49,"CALC"))</f>
        <v>Y</v>
      </c>
      <c r="K49" s="261"/>
      <c r="L49" s="261"/>
      <c r="M49" s="261"/>
      <c r="N49" s="86" t="str">
        <f>IF(_epmOfflineCondition_,"Audio/Visual Rentals",IF(_xll.EVDES(H49,$B$1)="#NODATA","",_xll.EVDES(H49,$B$1)))</f>
        <v>Audio/Visual Rentals</v>
      </c>
      <c r="O49" s="134">
        <v>100</v>
      </c>
      <c r="P49" s="134">
        <v>1100</v>
      </c>
      <c r="Q49" s="134">
        <v>3250</v>
      </c>
      <c r="R49" s="134">
        <v>955.23</v>
      </c>
      <c r="S49" s="134">
        <v>1207.5999999999999</v>
      </c>
      <c r="T49" s="134">
        <v>1200</v>
      </c>
      <c r="U49" s="134">
        <v>2800</v>
      </c>
      <c r="V49" s="134">
        <v>400</v>
      </c>
      <c r="W49" s="134">
        <v>600</v>
      </c>
      <c r="X49" s="134">
        <v>2600</v>
      </c>
      <c r="Y49" s="134">
        <v>1180</v>
      </c>
      <c r="Z49" s="134">
        <v>400</v>
      </c>
      <c r="AA49" s="134">
        <f t="shared" si="0"/>
        <v>15792.83</v>
      </c>
      <c r="AB49" s="138">
        <f t="shared" ref="AB49:AB56" si="11">IF(AA49=0,"",IFERROR(AA49/AA$19,""))</f>
        <v>1.5360975826681897E-2</v>
      </c>
      <c r="AC49" s="136"/>
      <c r="AD49" s="134">
        <v>13334.4</v>
      </c>
      <c r="AE49" s="138">
        <f t="shared" ref="AE49:AE56" si="12">IF(AD49=0,"",IFERROR(AD49/AD$19,""))</f>
        <v>4.5768754792471032E-3</v>
      </c>
      <c r="AF49" s="137">
        <f t="shared" ref="AF49:AF56" si="13">IF(AND($AA49="",AD49=""),"",$AA49-AD49)</f>
        <v>2458.4300000000003</v>
      </c>
      <c r="AG49" s="134">
        <v>2650.94</v>
      </c>
      <c r="AH49" s="138">
        <f t="shared" ref="AH49:AH56" si="14">IF(AG49=0,"",IFERROR(AG49/AG$19,""))</f>
        <v>9.5372854781738351E-3</v>
      </c>
      <c r="AI49" s="137">
        <f t="shared" ref="AI49:AI56" si="15">IF(AND($AA49="",AG49=""),"",$AA49-AG49)</f>
        <v>13141.89</v>
      </c>
      <c r="AJ49" s="224">
        <f t="shared" si="1"/>
        <v>0.46136046273845344</v>
      </c>
      <c r="AK49" s="225">
        <f t="shared" si="2"/>
        <v>0.18119176141671564</v>
      </c>
      <c r="AL49" s="227">
        <f t="shared" si="3"/>
        <v>0.2492187646892921</v>
      </c>
      <c r="AM49" s="419" t="str">
        <f t="shared" si="4"/>
        <v>1.08 pts.</v>
      </c>
      <c r="AN49" s="420" t="str">
        <f t="shared" si="5"/>
        <v>0.58 pts.</v>
      </c>
      <c r="AO49" s="11"/>
      <c r="AP49" s="11"/>
    </row>
    <row r="50" spans="1:42" x14ac:dyDescent="0.25">
      <c r="A50" s="61" t="s">
        <v>12</v>
      </c>
      <c r="B50" s="62" t="s">
        <v>22</v>
      </c>
      <c r="C50" s="11"/>
      <c r="D50" s="11"/>
      <c r="E50" s="11"/>
      <c r="F50" s="11"/>
      <c r="G50" s="84" t="s">
        <v>358</v>
      </c>
      <c r="H50" s="84" t="s">
        <v>275</v>
      </c>
      <c r="I50" s="118" t="str">
        <f>IF(_epmOfflineCondition_,"T5",_xll.EVPRO($B$1,$H50,"STYLE"))</f>
        <v>T5</v>
      </c>
      <c r="J50" s="118" t="str">
        <f>IF(_epmOfflineCondition_,"Y",_xll.EVPRO($B$1,$H50,"CALC"))</f>
        <v>Y</v>
      </c>
      <c r="K50" s="261"/>
      <c r="L50" s="261"/>
      <c r="M50" s="261"/>
      <c r="N50" s="86" t="str">
        <f>IF(_epmOfflineCondition_,"Public Room Rental",IF(_xll.EVDES(H50,$B$1)="#NODATA","",_xll.EVDES(H50,$B$1)))</f>
        <v>Public Room Rental</v>
      </c>
      <c r="O50" s="240">
        <v>4000</v>
      </c>
      <c r="P50" s="240">
        <v>7750</v>
      </c>
      <c r="Q50" s="240">
        <v>8150</v>
      </c>
      <c r="R50" s="240">
        <v>4300</v>
      </c>
      <c r="S50" s="240">
        <v>3000</v>
      </c>
      <c r="T50" s="240">
        <v>2600</v>
      </c>
      <c r="U50" s="240">
        <v>15390.19</v>
      </c>
      <c r="V50" s="240">
        <v>3500</v>
      </c>
      <c r="W50" s="240">
        <v>600</v>
      </c>
      <c r="X50" s="240">
        <v>600</v>
      </c>
      <c r="Y50" s="240">
        <v>2480</v>
      </c>
      <c r="Z50" s="240">
        <v>5500</v>
      </c>
      <c r="AA50" s="240">
        <f t="shared" si="0"/>
        <v>57870.19</v>
      </c>
      <c r="AB50" s="242">
        <f t="shared" si="11"/>
        <v>5.628773245045305E-2</v>
      </c>
      <c r="AC50" s="136"/>
      <c r="AD50" s="240">
        <v>12150</v>
      </c>
      <c r="AE50" s="242">
        <f t="shared" si="12"/>
        <v>4.1703441529316885E-3</v>
      </c>
      <c r="AF50" s="243">
        <f t="shared" si="13"/>
        <v>45720.19</v>
      </c>
      <c r="AG50" s="240">
        <v>8157.3</v>
      </c>
      <c r="AH50" s="242">
        <f t="shared" si="14"/>
        <v>2.934751402563145E-2</v>
      </c>
      <c r="AI50" s="243">
        <f t="shared" si="15"/>
        <v>49712.89</v>
      </c>
      <c r="AJ50" s="224">
        <f t="shared" si="1"/>
        <v>1.6905784230668108</v>
      </c>
      <c r="AK50" s="225">
        <f t="shared" si="2"/>
        <v>0.16509778476820067</v>
      </c>
      <c r="AL50" s="227">
        <f t="shared" si="3"/>
        <v>0.76687975933063834</v>
      </c>
      <c r="AM50" s="419" t="str">
        <f t="shared" si="4"/>
        <v>5.21 pts.</v>
      </c>
      <c r="AN50" s="420" t="str">
        <f t="shared" si="5"/>
        <v>2.69 pts.</v>
      </c>
      <c r="AO50" s="11"/>
      <c r="AP50" s="11"/>
    </row>
    <row r="51" spans="1:42" x14ac:dyDescent="0.25">
      <c r="A51" s="61" t="s">
        <v>13</v>
      </c>
      <c r="B51" s="62" t="str">
        <f>"DEP(COS_FB) AND "&amp;$E$6&amp;"=Y,COS_FB,COSOTH,DEP(COS_OTHR) AND "&amp;$E$6&amp;"=Y,COS_OTHR,500001"</f>
        <v>DEP(COS_FB) AND D_FB=Y,COS_FB,COSOTH,DEP(COS_OTHR) AND D_FB=Y,COS_OTHR,500001</v>
      </c>
      <c r="C51" s="11"/>
      <c r="D51" s="11"/>
      <c r="E51" s="11"/>
      <c r="F51" s="11"/>
      <c r="G51" s="84" t="s">
        <v>358</v>
      </c>
      <c r="H51" s="84" t="s">
        <v>276</v>
      </c>
      <c r="I51" s="118" t="str">
        <f>IF(_epmOfflineCondition_,"T5",_xll.EVPRO($B$1,$H51,"STYLE"))</f>
        <v>T5</v>
      </c>
      <c r="J51" s="118" t="str">
        <f>IF(_epmOfflineCondition_,"Y",_xll.EVPRO($B$1,$H51,"CALC"))</f>
        <v>Y</v>
      </c>
      <c r="K51" s="261"/>
      <c r="L51" s="261"/>
      <c r="M51" s="261"/>
      <c r="N51" s="86" t="str">
        <f>IF(_epmOfflineCondition_,"Cover Charge",IF(_xll.EVDES(H51,$B$1)="#NODATA","",_xll.EVDES(H51,$B$1)))</f>
        <v>Cover Charge</v>
      </c>
      <c r="O51" s="240"/>
      <c r="P51" s="240"/>
      <c r="Q51" s="240"/>
      <c r="R51" s="240"/>
      <c r="S51" s="240"/>
      <c r="T51" s="240"/>
      <c r="U51" s="240"/>
      <c r="V51" s="240"/>
      <c r="W51" s="240"/>
      <c r="X51" s="240"/>
      <c r="Y51" s="240"/>
      <c r="Z51" s="240"/>
      <c r="AA51" s="240">
        <f t="shared" si="0"/>
        <v>0</v>
      </c>
      <c r="AB51" s="242" t="str">
        <f t="shared" si="11"/>
        <v/>
      </c>
      <c r="AC51" s="136"/>
      <c r="AD51" s="240"/>
      <c r="AE51" s="242" t="str">
        <f t="shared" si="12"/>
        <v/>
      </c>
      <c r="AF51" s="243">
        <f t="shared" si="13"/>
        <v>0</v>
      </c>
      <c r="AG51" s="240"/>
      <c r="AH51" s="242" t="str">
        <f t="shared" si="14"/>
        <v/>
      </c>
      <c r="AI51" s="243">
        <f t="shared" si="15"/>
        <v>0</v>
      </c>
      <c r="AJ51" s="224">
        <f t="shared" si="1"/>
        <v>0</v>
      </c>
      <c r="AK51" s="225">
        <f t="shared" si="2"/>
        <v>0</v>
      </c>
      <c r="AL51" s="227">
        <f t="shared" si="3"/>
        <v>0</v>
      </c>
      <c r="AM51" s="419">
        <f t="shared" si="4"/>
        <v>0</v>
      </c>
      <c r="AN51" s="420">
        <f t="shared" si="5"/>
        <v>0</v>
      </c>
      <c r="AO51" s="11"/>
      <c r="AP51" s="11"/>
    </row>
    <row r="52" spans="1:42" x14ac:dyDescent="0.25">
      <c r="A52" s="61" t="s">
        <v>14</v>
      </c>
      <c r="B52" s="62"/>
      <c r="C52" s="11"/>
      <c r="D52" s="11"/>
      <c r="E52" s="11"/>
      <c r="F52" s="11"/>
      <c r="G52" s="84" t="s">
        <v>358</v>
      </c>
      <c r="H52" s="84" t="s">
        <v>282</v>
      </c>
      <c r="I52" s="118" t="str">
        <f>IF(_epmOfflineCondition_,"T5",_xll.EVPRO($B$1,$H52,"STYLE"))</f>
        <v>T5</v>
      </c>
      <c r="J52" s="118" t="str">
        <f>IF(_epmOfflineCondition_,"Y",_xll.EVPRO($B$1,$H52,"CALC"))</f>
        <v>Y</v>
      </c>
      <c r="K52" s="261"/>
      <c r="L52" s="261"/>
      <c r="M52" s="261"/>
      <c r="N52" s="86" t="str">
        <f>IF(_epmOfflineCondition_,"Surcharges &amp; Services Charges",IF(_xll.EVDES(H52,$B$1)="#NODATA","",_xll.EVDES(H52,$B$1)))</f>
        <v>Surcharges &amp; Services Charges</v>
      </c>
      <c r="O52" s="240">
        <v>11850.8</v>
      </c>
      <c r="P52" s="240">
        <v>13108.45</v>
      </c>
      <c r="Q52" s="240">
        <v>13150.79</v>
      </c>
      <c r="R52" s="240">
        <v>8529.69</v>
      </c>
      <c r="S52" s="240">
        <v>7593.39</v>
      </c>
      <c r="T52" s="240">
        <v>7058.56</v>
      </c>
      <c r="U52" s="240">
        <v>7029.96</v>
      </c>
      <c r="V52" s="240">
        <v>7537.69</v>
      </c>
      <c r="W52" s="240">
        <v>4865.78</v>
      </c>
      <c r="X52" s="240">
        <v>10957.9</v>
      </c>
      <c r="Y52" s="240">
        <v>19802.55</v>
      </c>
      <c r="Z52" s="240">
        <v>26438.2</v>
      </c>
      <c r="AA52" s="240">
        <f t="shared" si="0"/>
        <v>137923.76</v>
      </c>
      <c r="AB52" s="242">
        <f t="shared" si="11"/>
        <v>0.13415224144659796</v>
      </c>
      <c r="AC52" s="136"/>
      <c r="AD52" s="240">
        <v>441380.58020600001</v>
      </c>
      <c r="AE52" s="242">
        <f t="shared" si="12"/>
        <v>0.15149867669791672</v>
      </c>
      <c r="AF52" s="243">
        <f t="shared" si="13"/>
        <v>-303456.820206</v>
      </c>
      <c r="AG52" s="240">
        <v>35298.97</v>
      </c>
      <c r="AH52" s="242">
        <f t="shared" si="14"/>
        <v>0.12699508626204059</v>
      </c>
      <c r="AI52" s="243">
        <f t="shared" si="15"/>
        <v>102624.79000000001</v>
      </c>
      <c r="AJ52" s="224">
        <f t="shared" si="1"/>
        <v>4.0292062750138768</v>
      </c>
      <c r="AK52" s="225">
        <f t="shared" si="2"/>
        <v>5.9976095499352855</v>
      </c>
      <c r="AL52" s="227">
        <f t="shared" si="3"/>
        <v>3.3185080379806338</v>
      </c>
      <c r="AM52" s="419" t="str">
        <f t="shared" si="4"/>
        <v>-1.73 pts.</v>
      </c>
      <c r="AN52" s="420" t="str">
        <f t="shared" si="5"/>
        <v>0.72 pts.</v>
      </c>
      <c r="AO52" s="11"/>
      <c r="AP52" s="11"/>
    </row>
    <row r="53" spans="1:42" x14ac:dyDescent="0.25">
      <c r="A53" s="61" t="s">
        <v>15</v>
      </c>
      <c r="B53" s="62"/>
      <c r="C53" s="11"/>
      <c r="D53" s="11"/>
      <c r="E53" s="11"/>
      <c r="F53" s="11"/>
      <c r="G53" s="84" t="s">
        <v>358</v>
      </c>
      <c r="H53" s="84" t="s">
        <v>283</v>
      </c>
      <c r="I53" s="118" t="str">
        <f>IF(_epmOfflineCondition_,"T5",_xll.EVPRO($B$1,$H53,"STYLE"))</f>
        <v>T5</v>
      </c>
      <c r="J53" s="118" t="str">
        <f>IF(_epmOfflineCondition_,"Y",_xll.EVPRO($B$1,$H53,"CALC"))</f>
        <v>Y</v>
      </c>
      <c r="K53" s="261"/>
      <c r="L53" s="261"/>
      <c r="M53" s="261"/>
      <c r="N53" s="86" t="str">
        <f>IF(_epmOfflineCondition_,"Miscellaneous Other Revenue",IF(_xll.EVDES(H53,$B$1)="#NODATA","",_xll.EVDES(H53,$B$1)))</f>
        <v>Miscellaneous Other Revenue</v>
      </c>
      <c r="O53" s="240">
        <v>1292.2</v>
      </c>
      <c r="P53" s="240">
        <v>802</v>
      </c>
      <c r="Q53" s="240">
        <v>918</v>
      </c>
      <c r="R53" s="240">
        <v>132</v>
      </c>
      <c r="S53" s="240">
        <v>177</v>
      </c>
      <c r="T53" s="240">
        <v>300</v>
      </c>
      <c r="U53" s="240">
        <v>1120</v>
      </c>
      <c r="V53" s="240">
        <v>926</v>
      </c>
      <c r="W53" s="240">
        <v>612</v>
      </c>
      <c r="X53" s="240">
        <v>924</v>
      </c>
      <c r="Y53" s="240">
        <v>883.64</v>
      </c>
      <c r="Z53" s="240">
        <v>1564.01</v>
      </c>
      <c r="AA53" s="240">
        <f t="shared" si="0"/>
        <v>9650.85</v>
      </c>
      <c r="AB53" s="242">
        <f t="shared" si="11"/>
        <v>9.3869479730316219E-3</v>
      </c>
      <c r="AC53" s="136"/>
      <c r="AD53" s="240">
        <v>3274.74</v>
      </c>
      <c r="AE53" s="242">
        <f t="shared" si="12"/>
        <v>1.1240158692486844E-3</v>
      </c>
      <c r="AF53" s="243">
        <f t="shared" si="13"/>
        <v>6376.1100000000006</v>
      </c>
      <c r="AG53" s="240">
        <v>1993.75</v>
      </c>
      <c r="AH53" s="242">
        <f t="shared" si="14"/>
        <v>7.1729133522860132E-3</v>
      </c>
      <c r="AI53" s="243">
        <f t="shared" si="15"/>
        <v>7657.1</v>
      </c>
      <c r="AJ53" s="224">
        <f t="shared" si="1"/>
        <v>0.28193304314802375</v>
      </c>
      <c r="AK53" s="225">
        <f t="shared" si="2"/>
        <v>4.4498133307968514E-2</v>
      </c>
      <c r="AL53" s="227">
        <f t="shared" si="3"/>
        <v>0.187435367114788</v>
      </c>
      <c r="AM53" s="419" t="str">
        <f t="shared" si="4"/>
        <v>0.83 pts.</v>
      </c>
      <c r="AN53" s="420" t="str">
        <f t="shared" si="5"/>
        <v>0.22 pts.</v>
      </c>
      <c r="AO53" s="11"/>
      <c r="AP53" s="11"/>
    </row>
    <row r="54" spans="1:42" x14ac:dyDescent="0.25">
      <c r="A54" s="61" t="s">
        <v>16</v>
      </c>
      <c r="B54" s="62"/>
      <c r="C54" s="11"/>
      <c r="D54" s="11"/>
      <c r="E54" s="11"/>
      <c r="F54" s="11"/>
      <c r="G54" s="84" t="s">
        <v>358</v>
      </c>
      <c r="H54" s="84" t="s">
        <v>277</v>
      </c>
      <c r="I54" s="118" t="str">
        <f>IF(_epmOfflineCondition_,"T4",_xll.EVPRO($B$1,$H54,"STYLE"))</f>
        <v>T4</v>
      </c>
      <c r="J54" s="118" t="str">
        <f>IF(_epmOfflineCondition_,"Y",_xll.EVPRO($B$1,$H54,"CALC"))</f>
        <v>Y</v>
      </c>
      <c r="K54" s="261"/>
      <c r="L54" s="261"/>
      <c r="M54" s="261"/>
      <c r="N54" s="49" t="str">
        <f>IF(_epmOfflineCondition_,"Total Other Revenue",IF(_xll.EVDES(H54,$B$1)="#NODATA","",_xll.EVDES(H54,$B$1)))</f>
        <v>Total Other Revenue</v>
      </c>
      <c r="O54" s="236">
        <v>17243</v>
      </c>
      <c r="P54" s="236">
        <v>22760.45</v>
      </c>
      <c r="Q54" s="236">
        <v>25468.79</v>
      </c>
      <c r="R54" s="236">
        <v>13916.92</v>
      </c>
      <c r="S54" s="236">
        <v>11977.99</v>
      </c>
      <c r="T54" s="236">
        <v>11158.56</v>
      </c>
      <c r="U54" s="236">
        <v>26340.15</v>
      </c>
      <c r="V54" s="236">
        <v>12363.69</v>
      </c>
      <c r="W54" s="236">
        <v>6677.78</v>
      </c>
      <c r="X54" s="236">
        <v>15081.9</v>
      </c>
      <c r="Y54" s="236">
        <v>24346.19</v>
      </c>
      <c r="Z54" s="236">
        <v>33902.21</v>
      </c>
      <c r="AA54" s="236">
        <f t="shared" si="0"/>
        <v>221237.63</v>
      </c>
      <c r="AB54" s="237">
        <f t="shared" si="11"/>
        <v>0.21518789769676452</v>
      </c>
      <c r="AC54" s="136"/>
      <c r="AD54" s="236">
        <v>470139.72020600003</v>
      </c>
      <c r="AE54" s="237">
        <f t="shared" si="12"/>
        <v>0.16136991219934421</v>
      </c>
      <c r="AF54" s="239">
        <f t="shared" si="13"/>
        <v>-248902.09020600002</v>
      </c>
      <c r="AG54" s="236">
        <v>48100.959999999999</v>
      </c>
      <c r="AH54" s="237">
        <f t="shared" si="14"/>
        <v>0.17305279911813187</v>
      </c>
      <c r="AI54" s="239">
        <f t="shared" si="15"/>
        <v>173136.67</v>
      </c>
      <c r="AJ54" s="437">
        <f t="shared" si="1"/>
        <v>6.4630782039671644</v>
      </c>
      <c r="AK54" s="438">
        <f t="shared" si="2"/>
        <v>6.388397229428171</v>
      </c>
      <c r="AL54" s="439">
        <f t="shared" si="3"/>
        <v>4.5220419291153524</v>
      </c>
      <c r="AM54" s="440" t="str">
        <f t="shared" si="4"/>
        <v>5.38 pts.</v>
      </c>
      <c r="AN54" s="441" t="str">
        <f t="shared" si="5"/>
        <v>4.21 pts.</v>
      </c>
      <c r="AO54" s="383"/>
      <c r="AP54" s="11"/>
    </row>
    <row r="55" spans="1:42" x14ac:dyDescent="0.25">
      <c r="A55" s="61" t="s">
        <v>17</v>
      </c>
      <c r="B55" s="62"/>
      <c r="C55" s="11"/>
      <c r="D55" s="11"/>
      <c r="E55" s="11"/>
      <c r="F55" s="11"/>
      <c r="G55" s="84" t="s">
        <v>358</v>
      </c>
      <c r="H55" s="84" t="s">
        <v>473</v>
      </c>
      <c r="I55" s="118"/>
      <c r="J55" s="118"/>
      <c r="K55" s="261"/>
      <c r="L55" s="261"/>
      <c r="M55" s="261"/>
      <c r="N55" s="86" t="str">
        <f>IF(_epmOfflineCondition_,"Other Revenue: Allowances",IF(_xll.EVDES(H55,$B$1)="#NODATA","",_xll.EVDES(H55,$B$1)))</f>
        <v>Other Revenue: Allowances</v>
      </c>
      <c r="O55" s="240"/>
      <c r="P55" s="240"/>
      <c r="Q55" s="240"/>
      <c r="R55" s="240"/>
      <c r="S55" s="240"/>
      <c r="T55" s="240"/>
      <c r="U55" s="240"/>
      <c r="V55" s="240"/>
      <c r="W55" s="240"/>
      <c r="X55" s="240"/>
      <c r="Y55" s="240"/>
      <c r="Z55" s="240"/>
      <c r="AA55" s="240">
        <f t="shared" si="0"/>
        <v>0</v>
      </c>
      <c r="AB55" s="242" t="str">
        <f t="shared" si="11"/>
        <v/>
      </c>
      <c r="AC55" s="136"/>
      <c r="AD55" s="240"/>
      <c r="AE55" s="242" t="str">
        <f t="shared" si="12"/>
        <v/>
      </c>
      <c r="AF55" s="243">
        <f t="shared" si="13"/>
        <v>0</v>
      </c>
      <c r="AG55" s="240"/>
      <c r="AH55" s="242" t="str">
        <f t="shared" si="14"/>
        <v/>
      </c>
      <c r="AI55" s="243">
        <f t="shared" si="15"/>
        <v>0</v>
      </c>
      <c r="AJ55" s="224">
        <f t="shared" si="1"/>
        <v>0</v>
      </c>
      <c r="AK55" s="225">
        <f t="shared" si="2"/>
        <v>0</v>
      </c>
      <c r="AL55" s="227">
        <f t="shared" si="3"/>
        <v>0</v>
      </c>
      <c r="AM55" s="419">
        <f t="shared" si="4"/>
        <v>0</v>
      </c>
      <c r="AN55" s="420">
        <f t="shared" si="5"/>
        <v>0</v>
      </c>
      <c r="AO55" s="11"/>
      <c r="AP55" s="11"/>
    </row>
    <row r="56" spans="1:42" x14ac:dyDescent="0.25">
      <c r="A56" s="11"/>
      <c r="B56" s="11"/>
      <c r="C56" s="11"/>
      <c r="D56" s="11"/>
      <c r="E56" s="11"/>
      <c r="F56" s="11"/>
      <c r="G56" s="84" t="s">
        <v>358</v>
      </c>
      <c r="H56" s="84" t="s">
        <v>280</v>
      </c>
      <c r="I56" s="118" t="str">
        <f>IF(_epmOfflineCondition_,"T3",_xll.EVPRO($B$1,$H56,"STYLE"))</f>
        <v>T3</v>
      </c>
      <c r="J56" s="118" t="str">
        <f>IF(_epmOfflineCondition_,"Y",_xll.EVPRO($B$1,$H56,"CALC"))</f>
        <v>Y</v>
      </c>
      <c r="K56" s="261"/>
      <c r="L56" s="261"/>
      <c r="M56" s="261"/>
      <c r="N56" s="49" t="str">
        <f>IF(_epmOfflineCondition_,"Total Revenue",IF(_xll.EVDES(H56,$B$1)="#NODATA","",_xll.EVDES(H56,$B$1)))</f>
        <v>Total Revenue</v>
      </c>
      <c r="O56" s="236">
        <v>88536.8</v>
      </c>
      <c r="P56" s="236">
        <v>96922.69</v>
      </c>
      <c r="Q56" s="236">
        <v>101270.57</v>
      </c>
      <c r="R56" s="236">
        <v>67971.03</v>
      </c>
      <c r="S56" s="236">
        <v>61227.66</v>
      </c>
      <c r="T56" s="236">
        <v>54970.39</v>
      </c>
      <c r="U56" s="236">
        <v>72423.600000000006</v>
      </c>
      <c r="V56" s="236">
        <v>59755.69</v>
      </c>
      <c r="W56" s="236">
        <v>38088.800000000003</v>
      </c>
      <c r="X56" s="236">
        <v>76017.710000000006</v>
      </c>
      <c r="Y56" s="236">
        <v>132416.51</v>
      </c>
      <c r="Z56" s="236">
        <v>178512.27</v>
      </c>
      <c r="AA56" s="236">
        <f t="shared" si="0"/>
        <v>1028113.72</v>
      </c>
      <c r="AB56" s="237">
        <f t="shared" si="11"/>
        <v>1</v>
      </c>
      <c r="AC56" s="136"/>
      <c r="AD56" s="236">
        <v>2913428.6175060002</v>
      </c>
      <c r="AE56" s="237">
        <f t="shared" si="12"/>
        <v>1</v>
      </c>
      <c r="AF56" s="239">
        <f t="shared" si="13"/>
        <v>-1885314.8975060002</v>
      </c>
      <c r="AG56" s="236">
        <v>277955.40000000002</v>
      </c>
      <c r="AH56" s="237">
        <f t="shared" si="14"/>
        <v>1</v>
      </c>
      <c r="AI56" s="239">
        <f t="shared" si="15"/>
        <v>750158.32</v>
      </c>
      <c r="AJ56" s="437">
        <f t="shared" si="1"/>
        <v>30.034580351143699</v>
      </c>
      <c r="AK56" s="438">
        <f t="shared" si="2"/>
        <v>39.588527640372185</v>
      </c>
      <c r="AL56" s="439">
        <f t="shared" si="3"/>
        <v>26.13099558146094</v>
      </c>
      <c r="AM56" s="440" t="str">
        <f t="shared" si="4"/>
        <v>0 pts.</v>
      </c>
      <c r="AN56" s="441" t="str">
        <f t="shared" si="5"/>
        <v>0 pts.</v>
      </c>
      <c r="AO56" s="11"/>
      <c r="AP56" s="11"/>
    </row>
    <row r="57" spans="1:42" x14ac:dyDescent="0.25">
      <c r="A57" s="93" t="s">
        <v>92</v>
      </c>
      <c r="B57" s="94" t="s">
        <v>93</v>
      </c>
      <c r="C57" s="94" t="s">
        <v>94</v>
      </c>
      <c r="D57" s="94" t="s">
        <v>95</v>
      </c>
      <c r="E57" s="94" t="s">
        <v>96</v>
      </c>
      <c r="F57" s="95" t="s">
        <v>97</v>
      </c>
      <c r="G57" s="11"/>
      <c r="H57" s="11"/>
      <c r="I57" s="55"/>
      <c r="J57" s="55"/>
      <c r="K57" s="11"/>
      <c r="L57" s="11"/>
      <c r="M57" s="11"/>
      <c r="N57" s="11"/>
      <c r="O57" s="389"/>
      <c r="P57" s="390"/>
      <c r="Q57" s="390"/>
      <c r="R57" s="390"/>
      <c r="S57" s="390"/>
      <c r="T57" s="390"/>
      <c r="U57" s="390"/>
      <c r="V57" s="390"/>
      <c r="W57" s="390"/>
      <c r="X57" s="390"/>
      <c r="Y57" s="390"/>
      <c r="Z57" s="390"/>
      <c r="AA57" s="390"/>
      <c r="AB57" s="114"/>
      <c r="AC57" s="11"/>
      <c r="AD57" s="389"/>
      <c r="AE57" s="200"/>
      <c r="AF57" s="114"/>
      <c r="AG57" s="389"/>
      <c r="AH57" s="200"/>
      <c r="AI57" s="114"/>
      <c r="AJ57" s="11"/>
      <c r="AK57" s="11"/>
      <c r="AL57" s="11"/>
      <c r="AM57" s="11"/>
      <c r="AN57" s="11"/>
      <c r="AO57" s="11"/>
      <c r="AP57" s="11"/>
    </row>
    <row r="58" spans="1:42" x14ac:dyDescent="0.25">
      <c r="A58" s="11"/>
      <c r="B58" s="11"/>
      <c r="C58" s="11"/>
      <c r="D58" s="11"/>
      <c r="E58" s="11"/>
      <c r="F58" s="11"/>
      <c r="G58" s="11"/>
      <c r="H58" s="11" t="s">
        <v>281</v>
      </c>
      <c r="I58" s="55" t="str">
        <f>IF(_epmOfflineCondition_,"B1",_xll.EVPRO($B$1,$H58,"STYLE"))</f>
        <v>B1</v>
      </c>
      <c r="J58" s="55" t="str">
        <f>IF(_epmOfflineCondition_,"Y",_xll.EVPRO($B$1,$H58,"CALC"))</f>
        <v>Y</v>
      </c>
      <c r="K58" s="11"/>
      <c r="L58" s="11"/>
      <c r="M58" s="11"/>
      <c r="N58" s="101" t="str">
        <f>IF(_epmOfflineCondition_,"Cost of Sales",IF(_xll.EVDES(H58,$B$1)="#NODATA","",_xll.EVDES(H58,$B$1)))</f>
        <v>Cost of Sales</v>
      </c>
      <c r="O58" s="199"/>
      <c r="P58" s="200"/>
      <c r="Q58" s="200"/>
      <c r="R58" s="200"/>
      <c r="S58" s="200"/>
      <c r="T58" s="200"/>
      <c r="U58" s="200"/>
      <c r="V58" s="200"/>
      <c r="W58" s="200"/>
      <c r="X58" s="200"/>
      <c r="Y58" s="200"/>
      <c r="Z58" s="200"/>
      <c r="AA58" s="200"/>
      <c r="AB58" s="114"/>
      <c r="AC58" s="11"/>
      <c r="AD58" s="199"/>
      <c r="AE58" s="200"/>
      <c r="AF58" s="114"/>
      <c r="AG58" s="199"/>
      <c r="AH58" s="200"/>
      <c r="AI58" s="114"/>
      <c r="AJ58" s="11"/>
      <c r="AK58" s="11"/>
      <c r="AL58" s="11"/>
      <c r="AM58" s="11"/>
      <c r="AN58" s="11"/>
      <c r="AO58" s="11"/>
      <c r="AP58" s="11"/>
    </row>
    <row r="59" spans="1:42" x14ac:dyDescent="0.25">
      <c r="A59" s="11" t="s">
        <v>209</v>
      </c>
      <c r="B59" s="11" t="s">
        <v>21</v>
      </c>
      <c r="C59" s="391"/>
      <c r="D59" s="11" t="s">
        <v>590</v>
      </c>
      <c r="E59" s="11"/>
      <c r="F59" s="11" t="s">
        <v>99</v>
      </c>
      <c r="G59" s="72"/>
      <c r="H59" s="11" t="s">
        <v>284</v>
      </c>
      <c r="I59" s="55" t="str">
        <f>IF(_epmOfflineCondition_,"B1",_xll.EVPRO($B$1,$H59,"STYLE"))</f>
        <v>B1</v>
      </c>
      <c r="J59" s="55" t="str">
        <f>IF(_epmOfflineCondition_,"Y",_xll.EVPRO($B$1,$H59,"CALC"))</f>
        <v>Y</v>
      </c>
      <c r="K59" s="11"/>
      <c r="L59" s="11"/>
      <c r="M59" s="11"/>
      <c r="N59" s="49" t="str">
        <f>IF(_epmOfflineCondition_,"Cost of Food &amp; Beverage Sales",IF(_xll.EVDES(H59,$B$1)="#NODATA","",_xll.EVDES(H59,$B$1)))</f>
        <v>Cost of Food &amp; Beverage Sales</v>
      </c>
      <c r="O59" s="199"/>
      <c r="P59" s="200"/>
      <c r="Q59" s="200"/>
      <c r="R59" s="200"/>
      <c r="S59" s="200"/>
      <c r="T59" s="200"/>
      <c r="U59" s="200"/>
      <c r="V59" s="200"/>
      <c r="W59" s="200"/>
      <c r="X59" s="200"/>
      <c r="Y59" s="200"/>
      <c r="Z59" s="200"/>
      <c r="AA59" s="200"/>
      <c r="AB59" s="114"/>
      <c r="AC59" s="11"/>
      <c r="AD59" s="199"/>
      <c r="AE59" s="200"/>
      <c r="AF59" s="114"/>
      <c r="AG59" s="199"/>
      <c r="AH59" s="200"/>
      <c r="AI59" s="114"/>
      <c r="AJ59" s="11"/>
      <c r="AK59" s="11"/>
      <c r="AL59" s="11"/>
      <c r="AM59" s="11"/>
      <c r="AN59" s="11"/>
      <c r="AO59" s="11"/>
      <c r="AP59" s="11"/>
    </row>
    <row r="60" spans="1:42" x14ac:dyDescent="0.25">
      <c r="A60" s="11" t="s">
        <v>105</v>
      </c>
      <c r="B60" s="11"/>
      <c r="C60" s="100" t="s">
        <v>101</v>
      </c>
      <c r="D60" s="11" t="s">
        <v>106</v>
      </c>
      <c r="E60" s="11"/>
      <c r="F60" s="11" t="s">
        <v>98</v>
      </c>
      <c r="G60" s="11"/>
      <c r="H60" s="392" t="s">
        <v>285</v>
      </c>
      <c r="I60" s="118" t="str">
        <f>IF(_epmOfflineCondition_,"T5",_xll.EVPRO($B$1,$H60,"STYLE"))</f>
        <v>T5</v>
      </c>
      <c r="J60" s="118" t="str">
        <f>IF(_epmOfflineCondition_,"Y",_xll.EVPRO($B$1,$H60,"CALC"))</f>
        <v>Y</v>
      </c>
      <c r="K60" s="175" t="str">
        <f t="shared" ref="K60:K70" si="16">IF(AND(I60&gt;="T5"),"&gt;","")</f>
        <v>&gt;</v>
      </c>
      <c r="L60" s="86" t="str">
        <f>IF(_epmOfflineCondition_,"561100",_xll.EVPRO($B$1,H60,"JDEID"))</f>
        <v>561100</v>
      </c>
      <c r="M60" s="86" t="str">
        <f>IF(_epmOfflineCondition_,"",IF(AND(I60="N",J60="N"),_xll.EVPRO($B$1,H60,"PSFTID"),""))</f>
        <v/>
      </c>
      <c r="N60" s="86" t="str">
        <f>IF(_epmOfflineCondition_,"Cost of Food Sales",IF(_xll.EVDES(H60,$B$1)="#NODATA","",_xll.EVDES(H60,$B$1)))</f>
        <v>Cost of Food Sales</v>
      </c>
      <c r="O60" s="453">
        <v>16208.66</v>
      </c>
      <c r="P60" s="223">
        <v>18909.669999999998</v>
      </c>
      <c r="Q60" s="223">
        <v>20371.509999999998</v>
      </c>
      <c r="R60" s="223">
        <v>12316.83</v>
      </c>
      <c r="S60" s="223">
        <v>12524.36</v>
      </c>
      <c r="T60" s="223">
        <v>13702.97</v>
      </c>
      <c r="U60" s="223">
        <v>9866.08</v>
      </c>
      <c r="V60" s="223">
        <v>10960.99</v>
      </c>
      <c r="W60" s="223">
        <v>9200.9699999999993</v>
      </c>
      <c r="X60" s="223">
        <v>31075</v>
      </c>
      <c r="Y60" s="223">
        <v>41674.080000000002</v>
      </c>
      <c r="Z60" s="223">
        <v>41452.49</v>
      </c>
      <c r="AA60" s="223">
        <f t="shared" ref="AA60:AA68" si="17">IF($I60="B1","",SUM(O60:Z60))</f>
        <v>238263.61</v>
      </c>
      <c r="AB60" s="454">
        <f>IF(_epmOfflineCondition_,0.503947966183248,IF(AA60=0,"",IFERROR(AA60/_xll.EVGTS($B$1,1,_xll.EVPRO($B$1,$H60,"COSBASIS"),$B$3,$B$5,$B$6,$B$7,$B$9,AA$16,AA$17,AA$11),"")))</f>
        <v>0.503947966183248</v>
      </c>
      <c r="AC60" s="455"/>
      <c r="AD60" s="223">
        <v>383633.65899999999</v>
      </c>
      <c r="AE60" s="454">
        <f>IF(_epmOfflineCondition_,0.27574115718132,IF(AD60=0,"",IFERROR(AD60/_xll.EVGTS($B$1,1,_xll.EVPRO($B$1,$H60,"COSBASIS"),$B$3,$B$5,$B$6,$B$7,$B$9,AD$16,AD$17,AD$18),"")))</f>
        <v>0.27574115718131997</v>
      </c>
      <c r="AF60" s="456">
        <f t="shared" ref="AF60:AF70" si="18">IF(AND($AA60="",AD60=""),"",$AA60-AD60)</f>
        <v>-145370.049</v>
      </c>
      <c r="AG60" s="223">
        <v>67539.69</v>
      </c>
      <c r="AH60" s="454">
        <f>IF(_epmOfflineCondition_,0.53523077237626,IF(AG60=0,"",IFERROR(AG60/_xll.EVGTS($B$1,1,_xll.EVPRO($B$1,$H60,"COSBASIS"),$B$3,$B$5,$B$6,$B$7,$B$9,AG$16,AG$17,AG$18),"")))</f>
        <v>0.53523077237626004</v>
      </c>
      <c r="AI60" s="457">
        <f t="shared" ref="AI60:AI70" si="19">IF(AND($AA60="",AG60=""),"",$AA60-AG60)</f>
        <v>170723.91999999998</v>
      </c>
      <c r="AJ60" s="458">
        <f t="shared" ref="AJ60:AJ68" si="20">IFERROR(AA60/AA$20,0)</f>
        <v>6.9604630305863102</v>
      </c>
      <c r="AK60" s="459">
        <f t="shared" ref="AK60:AK68" si="21">IFERROR(AD60/AD$20,0)</f>
        <v>5.2129273467834807</v>
      </c>
      <c r="AL60" s="460">
        <f t="shared" ref="AL60:AL68" si="22">IFERROR(AG60/AG$20,0)</f>
        <v>6.3495054996709603</v>
      </c>
      <c r="AM60" s="461" t="str">
        <f t="shared" ref="AM60:AM68" si="23">+IFERROR(ROUND(($AB60-AE60)*100,2)&amp;" pts.",0)</f>
        <v>22.82 pts.</v>
      </c>
      <c r="AN60" s="462" t="str">
        <f t="shared" ref="AN60:AN68" si="24">+IFERROR(ROUND(($AB60-AH60)*100,2)&amp;" pts.",0)</f>
        <v>-3.13 pts.</v>
      </c>
      <c r="AO60" s="11"/>
      <c r="AP60" s="11"/>
    </row>
    <row r="61" spans="1:42" x14ac:dyDescent="0.25">
      <c r="A61" s="11" t="s">
        <v>104</v>
      </c>
      <c r="B61" s="11"/>
      <c r="C61" s="100" t="s">
        <v>101</v>
      </c>
      <c r="D61" s="11" t="s">
        <v>106</v>
      </c>
      <c r="E61" s="11"/>
      <c r="F61" s="11" t="s">
        <v>98</v>
      </c>
      <c r="G61" s="11"/>
      <c r="H61" s="392" t="s">
        <v>637</v>
      </c>
      <c r="I61" s="118" t="str">
        <f>IF(_epmOfflineCondition_,"T5",_xll.EVPRO($B$1,$H61,"STYLE"))</f>
        <v>T5</v>
      </c>
      <c r="J61" s="118" t="str">
        <f>IF(_epmOfflineCondition_,"Y",_xll.EVPRO($B$1,$H61,"CALC"))</f>
        <v>Y</v>
      </c>
      <c r="K61" s="175" t="str">
        <f t="shared" si="16"/>
        <v>&gt;</v>
      </c>
      <c r="L61" s="86" t="str">
        <f>IF(_epmOfflineCondition_,"",_xll.EVPRO($B$1,H61,"JDEID"))</f>
        <v/>
      </c>
      <c r="M61" s="86" t="str">
        <f>IF(_epmOfflineCondition_,"",IF(AND(I61="N",J61="N"),_xll.EVPRO($B$1,H61,"PSFTID"),""))</f>
        <v/>
      </c>
      <c r="N61" s="86" t="str">
        <f>IF(_epmOfflineCondition_,"Cost of Beverage Sales",IF(_xll.EVDES(H61,$B$1)="#NODATA","",_xll.EVDES(H61,$B$1)))</f>
        <v>Cost of Beverage Sales</v>
      </c>
      <c r="O61" s="463">
        <v>4341.7299999999996</v>
      </c>
      <c r="P61" s="229">
        <v>8867.07</v>
      </c>
      <c r="Q61" s="229">
        <v>5953.13</v>
      </c>
      <c r="R61" s="229">
        <v>6458.71</v>
      </c>
      <c r="S61" s="229">
        <v>4378.3500000000004</v>
      </c>
      <c r="T61" s="229">
        <v>5040.47</v>
      </c>
      <c r="U61" s="229">
        <v>6702.79</v>
      </c>
      <c r="V61" s="229">
        <v>4162.51</v>
      </c>
      <c r="W61" s="229">
        <v>6578.19</v>
      </c>
      <c r="X61" s="229">
        <v>-724.37</v>
      </c>
      <c r="Y61" s="229">
        <v>16533.93</v>
      </c>
      <c r="Z61" s="229">
        <v>10741.98</v>
      </c>
      <c r="AA61" s="229">
        <f t="shared" si="17"/>
        <v>79034.490000000005</v>
      </c>
      <c r="AB61" s="464">
        <f>IF(_epmOfflineCondition_,0.235713784029188,IF(AA61=0,"",IFERROR(AA61/_xll.EVGTS($B$1,1,_xll.EVPRO($B$1,$H61,"COSBASIS"),$B$3,$B$5,$B$6,$B$7,$B$9,AA$16,AA$17,AA$11),"")))</f>
        <v>0.23571378402918799</v>
      </c>
      <c r="AC61" s="455"/>
      <c r="AD61" s="229">
        <v>230584.71195999999</v>
      </c>
      <c r="AE61" s="464">
        <f>IF(_epmOfflineCondition_,0.219185513981671,IF(AD61=0,"",IFERROR(AD61/_xll.EVGTS($B$1,1,_xll.EVPRO($B$1,$H61,"COSBASIS"),$B$3,$B$5,$B$6,$B$7,$B$9,AD$16,AD$17,AD$18),"")))</f>
        <v>0.21918551398167099</v>
      </c>
      <c r="AF61" s="465">
        <f t="shared" si="18"/>
        <v>-151550.22196</v>
      </c>
      <c r="AG61" s="229">
        <v>30381.13</v>
      </c>
      <c r="AH61" s="464">
        <f>IF(_epmOfflineCondition_,0.290942505655356,IF(AG61=0,"",IFERROR(AG61/_xll.EVGTS($B$1,1,_xll.EVPRO($B$1,$H61,"COSBASIS"),$B$3,$B$5,$B$6,$B$7,$B$9,AG$16,AG$17,AG$18),"")))</f>
        <v>0.29094250565535601</v>
      </c>
      <c r="AI61" s="466">
        <f t="shared" si="19"/>
        <v>48653.36</v>
      </c>
      <c r="AJ61" s="467">
        <f t="shared" si="20"/>
        <v>2.3088571762437557</v>
      </c>
      <c r="AK61" s="468">
        <f t="shared" si="21"/>
        <v>3.1332530984370064</v>
      </c>
      <c r="AL61" s="469">
        <f t="shared" si="22"/>
        <v>2.8561746733101439</v>
      </c>
      <c r="AM61" s="470" t="str">
        <f t="shared" si="23"/>
        <v>1.65 pts.</v>
      </c>
      <c r="AN61" s="471" t="str">
        <f t="shared" si="24"/>
        <v>-5.52 pts.</v>
      </c>
      <c r="AO61" s="11"/>
      <c r="AP61" s="11"/>
    </row>
    <row r="62" spans="1:42" x14ac:dyDescent="0.25">
      <c r="A62" s="11" t="s">
        <v>100</v>
      </c>
      <c r="B62" s="11"/>
      <c r="C62" s="49" t="s">
        <v>101</v>
      </c>
      <c r="D62" s="11" t="s">
        <v>106</v>
      </c>
      <c r="E62" s="11"/>
      <c r="F62" s="11" t="s">
        <v>98</v>
      </c>
      <c r="G62" s="11"/>
      <c r="H62" s="392" t="s">
        <v>286</v>
      </c>
      <c r="I62" s="184" t="str">
        <f>IF(_epmOfflineCondition_,"T4",_xll.EVPRO($B$1,$H62,"STYLE"))</f>
        <v>T4</v>
      </c>
      <c r="J62" s="184" t="str">
        <f>IF(_epmOfflineCondition_,"Y",_xll.EVPRO($B$1,$H62,"CALC"))</f>
        <v>Y</v>
      </c>
      <c r="K62" s="185" t="str">
        <f t="shared" si="16"/>
        <v/>
      </c>
      <c r="L62" s="186" t="str">
        <f>IF(_epmOfflineCondition_,"",_xll.EVPRO($B$1,H62,"JDEID"))</f>
        <v/>
      </c>
      <c r="M62" s="186" t="str">
        <f>IF(_epmOfflineCondition_,"",IF(AND(I62="N",J62="N"),_xll.EVPRO($B$1,H62,"PSFTID"),""))</f>
        <v/>
      </c>
      <c r="N62" s="186" t="str">
        <f>IF(_epmOfflineCondition_,"Total Cost of Food &amp; Beverage Sales",IF(_xll.EVDES(H62,$B$1)="#NODATA","",_xll.EVDES(H62,$B$1)))</f>
        <v>Total Cost of Food &amp; Beverage Sales</v>
      </c>
      <c r="O62" s="472">
        <v>20550.39</v>
      </c>
      <c r="P62" s="236">
        <v>27776.74</v>
      </c>
      <c r="Q62" s="236">
        <v>26324.639999999999</v>
      </c>
      <c r="R62" s="236">
        <v>18775.54</v>
      </c>
      <c r="S62" s="236">
        <v>16902.71</v>
      </c>
      <c r="T62" s="236">
        <v>18743.439999999999</v>
      </c>
      <c r="U62" s="236">
        <v>16568.87</v>
      </c>
      <c r="V62" s="236">
        <v>15123.5</v>
      </c>
      <c r="W62" s="236">
        <v>15779.16</v>
      </c>
      <c r="X62" s="236">
        <v>30350.63</v>
      </c>
      <c r="Y62" s="236">
        <v>58208.01</v>
      </c>
      <c r="Z62" s="236">
        <v>52194.47</v>
      </c>
      <c r="AA62" s="236">
        <f t="shared" si="17"/>
        <v>317298.09999999998</v>
      </c>
      <c r="AB62" s="237">
        <f>IF(_epmOfflineCondition_,0.39324266009667,IF(AA62=0,"",IFERROR(AA62/_xll.EVGTS($B$1,1,_xll.EVPRO($B$1,$H62,"COSBASIS"),$B$3,$B$5,$B$6,$B$7,$B$9,AA$16,AA$17,AA$11),"")))</f>
        <v>0.39324266009667003</v>
      </c>
      <c r="AC62" s="238"/>
      <c r="AD62" s="236">
        <v>614218.37095999997</v>
      </c>
      <c r="AE62" s="237">
        <f>IF(_epmOfflineCondition_,0.251389989795621,IF(AD62=0,"",IFERROR(AD62/_xll.EVGTS($B$1,1,_xll.EVPRO($B$1,$H62,"COSBASIS"),$B$3,$B$5,$B$6,$B$7,$B$9,AD$16,AD$17,AD$18),"")))</f>
        <v>0.25138998979562099</v>
      </c>
      <c r="AF62" s="239">
        <f t="shared" si="18"/>
        <v>-296920.27095999999</v>
      </c>
      <c r="AG62" s="236">
        <v>97920.82</v>
      </c>
      <c r="AH62" s="237">
        <f>IF(_epmOfflineCondition_,0.42601230587497,IF(AG62=0,"",IFERROR(AG62/_xll.EVGTS($B$1,1,_xll.EVPRO($B$1,$H62,"COSBASIS"),$B$3,$B$5,$B$6,$B$7,$B$9,AG$16,AG$17,AG$18),"")))</f>
        <v>0.42601230587497002</v>
      </c>
      <c r="AI62" s="473">
        <f t="shared" si="19"/>
        <v>219377.27999999997</v>
      </c>
      <c r="AJ62" s="215">
        <f t="shared" si="20"/>
        <v>9.2693202068300664</v>
      </c>
      <c r="AK62" s="216">
        <f t="shared" si="21"/>
        <v>8.3461804452204866</v>
      </c>
      <c r="AL62" s="218">
        <f t="shared" si="22"/>
        <v>9.2056801729811042</v>
      </c>
      <c r="AM62" s="423" t="str">
        <f t="shared" si="23"/>
        <v>14.19 pts.</v>
      </c>
      <c r="AN62" s="474" t="str">
        <f t="shared" si="24"/>
        <v>-3.28 pts.</v>
      </c>
      <c r="AO62" s="11"/>
      <c r="AP62" s="11"/>
    </row>
    <row r="63" spans="1:42" x14ac:dyDescent="0.25">
      <c r="A63" s="11" t="s">
        <v>102</v>
      </c>
      <c r="B63" s="11"/>
      <c r="C63" s="102" t="s">
        <v>101</v>
      </c>
      <c r="D63" s="11" t="s">
        <v>106</v>
      </c>
      <c r="E63" s="11"/>
      <c r="F63" s="11" t="s">
        <v>98</v>
      </c>
      <c r="G63" s="11"/>
      <c r="H63" s="392" t="s">
        <v>287</v>
      </c>
      <c r="I63" s="184" t="str">
        <f>IF(_epmOfflineCondition_,"B1",_xll.EVPRO($B$1,$H63,"STYLE"))</f>
        <v>B1</v>
      </c>
      <c r="J63" s="184" t="str">
        <f>IF(_epmOfflineCondition_,"Y",_xll.EVPRO($B$1,$H63,"CALC"))</f>
        <v>Y</v>
      </c>
      <c r="K63" s="185" t="str">
        <f t="shared" si="16"/>
        <v/>
      </c>
      <c r="L63" s="186" t="str">
        <f>IF(_epmOfflineCondition_,"",_xll.EVPRO($B$1,H63,"JDEID"))</f>
        <v/>
      </c>
      <c r="M63" s="186" t="str">
        <f>IF(_epmOfflineCondition_,"",IF(AND(I63="N",J63="N"),_xll.EVPRO($B$1,H63,"PSFTID"),""))</f>
        <v/>
      </c>
      <c r="N63" s="186" t="str">
        <f>IF(_epmOfflineCondition_,"Cost of Other Revenue",IF(_xll.EVDES(H63,$B$1)="#NODATA","",_xll.EVDES(H63,$B$1)))</f>
        <v>Cost of Other Revenue</v>
      </c>
      <c r="O63" s="475"/>
      <c r="P63" s="241"/>
      <c r="Q63" s="241"/>
      <c r="R63" s="241"/>
      <c r="S63" s="241"/>
      <c r="T63" s="241"/>
      <c r="U63" s="241"/>
      <c r="V63" s="241"/>
      <c r="W63" s="241"/>
      <c r="X63" s="241"/>
      <c r="Y63" s="241"/>
      <c r="Z63" s="241"/>
      <c r="AA63" s="241" t="str">
        <f t="shared" si="17"/>
        <v/>
      </c>
      <c r="AB63" s="476" t="str">
        <f>IF(_epmOfflineCondition_,"",IF(AA63=0,"",IFERROR(AA63/_xll.EVGTS($B$1,1,_xll.EVPRO($B$1,$H63,"COSBASIS"),$B$3,$B$5,$B$6,$B$7,$B$9,AA$16,AA$17,AA$11),"")))</f>
        <v/>
      </c>
      <c r="AC63" s="477"/>
      <c r="AD63" s="241"/>
      <c r="AE63" s="476" t="str">
        <f>IF(_epmOfflineCondition_,"",IF(AD63=0,"",IFERROR(AD63/_xll.EVGTS($B$1,1,_xll.EVPRO($B$1,$H63,"COSBASIS"),$B$3,$B$5,$B$6,$B$7,$B$9,AD$16,AD$17,AD$18),"")))</f>
        <v/>
      </c>
      <c r="AF63" s="478" t="str">
        <f t="shared" si="18"/>
        <v/>
      </c>
      <c r="AG63" s="241"/>
      <c r="AH63" s="476" t="str">
        <f>IF(_epmOfflineCondition_,"",IF(AG63=0,"",IFERROR(AG63/_xll.EVGTS($B$1,1,_xll.EVPRO($B$1,$H63,"COSBASIS"),$B$3,$B$5,$B$6,$B$7,$B$9,AG$16,AG$17,AG$18),"")))</f>
        <v/>
      </c>
      <c r="AI63" s="479" t="str">
        <f t="shared" si="19"/>
        <v/>
      </c>
      <c r="AJ63" s="244">
        <f t="shared" si="20"/>
        <v>0</v>
      </c>
      <c r="AK63" s="245">
        <f t="shared" si="21"/>
        <v>0</v>
      </c>
      <c r="AL63" s="247">
        <f t="shared" si="22"/>
        <v>0</v>
      </c>
      <c r="AM63" s="425">
        <f t="shared" si="23"/>
        <v>0</v>
      </c>
      <c r="AN63" s="480">
        <f t="shared" si="24"/>
        <v>0</v>
      </c>
      <c r="AO63" s="11"/>
      <c r="AP63" s="11"/>
    </row>
    <row r="64" spans="1:42" x14ac:dyDescent="0.25">
      <c r="A64" s="11" t="s">
        <v>102</v>
      </c>
      <c r="B64" s="11"/>
      <c r="C64" s="192" t="s">
        <v>101</v>
      </c>
      <c r="D64" s="11" t="s">
        <v>107</v>
      </c>
      <c r="E64" s="11"/>
      <c r="F64" s="11" t="s">
        <v>99</v>
      </c>
      <c r="G64" s="11"/>
      <c r="H64" s="392" t="s">
        <v>638</v>
      </c>
      <c r="I64" s="118" t="str">
        <f>IF(_epmOfflineCondition_,"N",_xll.EVPRO($B$1,$H64,"STYLE"))</f>
        <v>N</v>
      </c>
      <c r="J64" s="118" t="str">
        <f>IF(_epmOfflineCondition_,"N",_xll.EVPRO($B$1,$H64,"CALC"))</f>
        <v>N</v>
      </c>
      <c r="K64" s="175" t="str">
        <f t="shared" si="16"/>
        <v/>
      </c>
      <c r="L64" s="86" t="str">
        <f>IF(_epmOfflineCondition_,"568300",_xll.EVPRO($B$1,H64,"JDEID"))</f>
        <v>568300</v>
      </c>
      <c r="M64" s="86" t="str">
        <f>IF(_epmOfflineCondition_,"306005",IF(AND(I64="N",J64="N"),_xll.EVPRO($B$1,H64,"PSFTID"),""))</f>
        <v>306005</v>
      </c>
      <c r="N64" s="86" t="str">
        <f>IF(_epmOfflineCondition_,"A/V Cost of Sales",IF(_xll.EVDES(H64,$B$1)="#NODATA","",_xll.EVDES(H64,$B$1)))</f>
        <v>A/V Cost of Sales</v>
      </c>
      <c r="O64" s="453"/>
      <c r="P64" s="223"/>
      <c r="Q64" s="223"/>
      <c r="R64" s="223"/>
      <c r="S64" s="223"/>
      <c r="T64" s="223"/>
      <c r="U64" s="223"/>
      <c r="V64" s="223"/>
      <c r="W64" s="223"/>
      <c r="X64" s="223"/>
      <c r="Y64" s="223"/>
      <c r="Z64" s="223"/>
      <c r="AA64" s="223">
        <f t="shared" si="17"/>
        <v>0</v>
      </c>
      <c r="AB64" s="454" t="str">
        <f>IF(_epmOfflineCondition_,"",IF(AA64=0,"",IFERROR(AA64/_xll.EVGTS($B$1,1,_xll.EVPRO($B$1,$H64,"COSBASIS"),$B$3,$B$5,$B$6,$B$7,$B$9,AA$16,AA$17,AA$11),"")))</f>
        <v/>
      </c>
      <c r="AC64" s="455"/>
      <c r="AD64" s="223"/>
      <c r="AE64" s="454" t="str">
        <f>IF(_epmOfflineCondition_,"",IF(AD64=0,"",IFERROR(AD64/_xll.EVGTS($B$1,1,_xll.EVPRO($B$1,$H64,"COSBASIS"),$B$3,$B$5,$B$6,$B$7,$B$9,AD$16,AD$17,AD$18),"")))</f>
        <v/>
      </c>
      <c r="AF64" s="456">
        <f t="shared" si="18"/>
        <v>0</v>
      </c>
      <c r="AG64" s="223"/>
      <c r="AH64" s="454" t="str">
        <f>IF(_epmOfflineCondition_,"",IF(AG64=0,"",IFERROR(AG64/_xll.EVGTS($B$1,1,_xll.EVPRO($B$1,$H64,"COSBASIS"),$B$3,$B$5,$B$6,$B$7,$B$9,AG$16,AG$17,AG$18),"")))</f>
        <v/>
      </c>
      <c r="AI64" s="457">
        <f t="shared" si="19"/>
        <v>0</v>
      </c>
      <c r="AJ64" s="458">
        <f t="shared" si="20"/>
        <v>0</v>
      </c>
      <c r="AK64" s="459">
        <f t="shared" si="21"/>
        <v>0</v>
      </c>
      <c r="AL64" s="460">
        <f t="shared" si="22"/>
        <v>0</v>
      </c>
      <c r="AM64" s="461">
        <f t="shared" si="23"/>
        <v>0</v>
      </c>
      <c r="AN64" s="462">
        <f t="shared" si="24"/>
        <v>0</v>
      </c>
      <c r="AO64" s="11"/>
      <c r="AP64" s="11"/>
    </row>
    <row r="65" spans="1:42" x14ac:dyDescent="0.25">
      <c r="A65" s="11" t="s">
        <v>108</v>
      </c>
      <c r="B65" s="11"/>
      <c r="C65" s="102" t="s">
        <v>101</v>
      </c>
      <c r="D65" s="11" t="s">
        <v>106</v>
      </c>
      <c r="E65" s="11"/>
      <c r="F65" s="11" t="s">
        <v>98</v>
      </c>
      <c r="G65" s="11"/>
      <c r="H65" s="392" t="s">
        <v>639</v>
      </c>
      <c r="I65" s="118" t="str">
        <f>IF(_epmOfflineCondition_,"N",_xll.EVPRO($B$1,$H65,"STYLE"))</f>
        <v>N</v>
      </c>
      <c r="J65" s="118" t="str">
        <f>IF(_epmOfflineCondition_,"N",_xll.EVPRO($B$1,$H65,"CALC"))</f>
        <v>N</v>
      </c>
      <c r="K65" s="175" t="str">
        <f t="shared" si="16"/>
        <v/>
      </c>
      <c r="L65" s="86" t="str">
        <f>IF(_epmOfflineCondition_,"568350",_xll.EVPRO($B$1,H65,"JDEID"))</f>
        <v>568350</v>
      </c>
      <c r="M65" s="86" t="str">
        <f>IF(_epmOfflineCondition_,"306099",IF(AND(I65="N",J65="N"),_xll.EVPRO($B$1,H65,"PSFTID"),""))</f>
        <v>306099</v>
      </c>
      <c r="N65" s="86" t="str">
        <f>IF(_epmOfflineCondition_,"Public Room Rental",IF(_xll.EVDES(H65,$B$1)="#NODATA","",_xll.EVDES(H65,$B$1)))</f>
        <v>Public Room Rental</v>
      </c>
      <c r="O65" s="453"/>
      <c r="P65" s="223"/>
      <c r="Q65" s="223"/>
      <c r="R65" s="223"/>
      <c r="S65" s="223"/>
      <c r="T65" s="223"/>
      <c r="U65" s="223"/>
      <c r="V65" s="223"/>
      <c r="W65" s="223"/>
      <c r="X65" s="223"/>
      <c r="Y65" s="223"/>
      <c r="Z65" s="223"/>
      <c r="AA65" s="223">
        <f t="shared" si="17"/>
        <v>0</v>
      </c>
      <c r="AB65" s="454" t="str">
        <f>IF(_epmOfflineCondition_,"",IF(AA65=0,"",IFERROR(AA65/_xll.EVGTS($B$1,1,_xll.EVPRO($B$1,$H65,"COSBASIS"),$B$3,$B$5,$B$6,$B$7,$B$9,AA$16,AA$17,AA$11),"")))</f>
        <v/>
      </c>
      <c r="AC65" s="455"/>
      <c r="AD65" s="223"/>
      <c r="AE65" s="454" t="str">
        <f>IF(_epmOfflineCondition_,"",IF(AD65=0,"",IFERROR(AD65/_xll.EVGTS($B$1,1,_xll.EVPRO($B$1,$H65,"COSBASIS"),$B$3,$B$5,$B$6,$B$7,$B$9,AD$16,AD$17,AD$18),"")))</f>
        <v/>
      </c>
      <c r="AF65" s="456">
        <f t="shared" si="18"/>
        <v>0</v>
      </c>
      <c r="AG65" s="223"/>
      <c r="AH65" s="454" t="str">
        <f>IF(_epmOfflineCondition_,"",IF(AG65=0,"",IFERROR(AG65/_xll.EVGTS($B$1,1,_xll.EVPRO($B$1,$H65,"COSBASIS"),$B$3,$B$5,$B$6,$B$7,$B$9,AG$16,AG$17,AG$18),"")))</f>
        <v/>
      </c>
      <c r="AI65" s="457">
        <f t="shared" si="19"/>
        <v>0</v>
      </c>
      <c r="AJ65" s="458">
        <f t="shared" si="20"/>
        <v>0</v>
      </c>
      <c r="AK65" s="459">
        <f t="shared" si="21"/>
        <v>0</v>
      </c>
      <c r="AL65" s="460">
        <f t="shared" si="22"/>
        <v>0</v>
      </c>
      <c r="AM65" s="461">
        <f t="shared" si="23"/>
        <v>0</v>
      </c>
      <c r="AN65" s="462">
        <f t="shared" si="24"/>
        <v>0</v>
      </c>
      <c r="AO65" s="11"/>
      <c r="AP65" s="11"/>
    </row>
    <row r="66" spans="1:42" x14ac:dyDescent="0.25">
      <c r="A66" s="11" t="s">
        <v>108</v>
      </c>
      <c r="B66" s="11"/>
      <c r="C66" s="192" t="s">
        <v>101</v>
      </c>
      <c r="D66" s="11" t="s">
        <v>107</v>
      </c>
      <c r="E66" s="11"/>
      <c r="F66" s="11" t="s">
        <v>99</v>
      </c>
      <c r="G66" s="11"/>
      <c r="H66" s="392" t="s">
        <v>640</v>
      </c>
      <c r="I66" s="118" t="str">
        <f>IF(_epmOfflineCondition_,"T5",_xll.EVPRO($B$1,$H66,"STYLE"))</f>
        <v>T5</v>
      </c>
      <c r="J66" s="118" t="str">
        <f>IF(_epmOfflineCondition_,"Y",_xll.EVPRO($B$1,$H66,"CALC"))</f>
        <v>Y</v>
      </c>
      <c r="K66" s="175" t="str">
        <f t="shared" si="16"/>
        <v>&gt;</v>
      </c>
      <c r="L66" s="86" t="str">
        <f>IF(_epmOfflineCondition_,"",_xll.EVPRO($B$1,H66,"JDEID"))</f>
        <v/>
      </c>
      <c r="M66" s="86" t="str">
        <f>IF(_epmOfflineCondition_,"",IF(AND(I66="N",J66="N"),_xll.EVPRO($B$1,H66,"PSFTID"),""))</f>
        <v/>
      </c>
      <c r="N66" s="86" t="str">
        <f>IF(_epmOfflineCondition_,"Miscellaneous Cost",IF(_xll.EVDES(H66,$B$1)="#NODATA","",_xll.EVDES(H66,$B$1)))</f>
        <v>Miscellaneous Cost</v>
      </c>
      <c r="O66" s="463">
        <v>60</v>
      </c>
      <c r="P66" s="229">
        <v>77.64</v>
      </c>
      <c r="Q66" s="229">
        <v>51.3</v>
      </c>
      <c r="R66" s="229">
        <v>60.47</v>
      </c>
      <c r="S66" s="229">
        <v>43.48</v>
      </c>
      <c r="T66" s="229">
        <v>60.35</v>
      </c>
      <c r="U66" s="229">
        <v>1489.48</v>
      </c>
      <c r="V66" s="229">
        <v>401.01</v>
      </c>
      <c r="W66" s="229">
        <v>174.81</v>
      </c>
      <c r="X66" s="229">
        <v>641.46</v>
      </c>
      <c r="Y66" s="229">
        <v>570.9</v>
      </c>
      <c r="Z66" s="229">
        <v>578.79999999999995</v>
      </c>
      <c r="AA66" s="229">
        <f t="shared" si="17"/>
        <v>4209.7</v>
      </c>
      <c r="AB66" s="464">
        <f>IF(_epmOfflineCondition_,0.436199920214282,IF(AA66=0,"",IFERROR(AA66/_xll.EVGTS($B$1,1,_xll.EVPRO($B$1,$H66,"COSBASIS"),$B$3,$B$5,$B$6,$B$7,$B$9,AA$16,AA$17,AA$11),"")))</f>
        <v>0.436199920214282</v>
      </c>
      <c r="AC66" s="455"/>
      <c r="AD66" s="229">
        <v>776.11338000000001</v>
      </c>
      <c r="AE66" s="464">
        <f>IF(_epmOfflineCondition_,0.237,IF(AD66=0,"",IFERROR(AD66/_xll.EVGTS($B$1,1,_xll.EVPRO($B$1,$H66,"COSBASIS"),$B$3,$B$5,$B$6,$B$7,$B$9,AD$16,AD$17,AD$18),"")))</f>
        <v>0.23699999999999999</v>
      </c>
      <c r="AF66" s="465">
        <f t="shared" si="18"/>
        <v>3433.58662</v>
      </c>
      <c r="AG66" s="229">
        <v>189.45</v>
      </c>
      <c r="AH66" s="464">
        <f>IF(_epmOfflineCondition_,0.0950219435736677,IF(AG66=0,"",IFERROR(AG66/_xll.EVGTS($B$1,1,_xll.EVPRO($B$1,$H66,"COSBASIS"),$B$3,$B$5,$B$6,$B$7,$B$9,AG$16,AG$17,AG$18),"")))</f>
        <v>9.5021943573667694E-2</v>
      </c>
      <c r="AI66" s="466">
        <f t="shared" si="19"/>
        <v>4020.25</v>
      </c>
      <c r="AJ66" s="467">
        <f t="shared" si="20"/>
        <v>0.12297917092693757</v>
      </c>
      <c r="AK66" s="468">
        <f t="shared" si="21"/>
        <v>1.0546057593988538E-2</v>
      </c>
      <c r="AL66" s="469">
        <f t="shared" si="22"/>
        <v>1.7810472877691077E-2</v>
      </c>
      <c r="AM66" s="470" t="str">
        <f t="shared" si="23"/>
        <v>19.92 pts.</v>
      </c>
      <c r="AN66" s="471" t="str">
        <f t="shared" si="24"/>
        <v>34.12 pts.</v>
      </c>
      <c r="AO66" s="11"/>
      <c r="AP66" s="11"/>
    </row>
    <row r="67" spans="1:42" x14ac:dyDescent="0.25">
      <c r="A67" s="11"/>
      <c r="B67" s="11"/>
      <c r="C67" s="11"/>
      <c r="D67" s="11"/>
      <c r="E67" s="11"/>
      <c r="F67" s="11"/>
      <c r="G67" s="11"/>
      <c r="H67" s="392" t="s">
        <v>288</v>
      </c>
      <c r="I67" s="184" t="str">
        <f>IF(_epmOfflineCondition_,"T4",_xll.EVPRO($B$1,$H67,"STYLE"))</f>
        <v>T4</v>
      </c>
      <c r="J67" s="184" t="str">
        <f>IF(_epmOfflineCondition_,"Y",_xll.EVPRO($B$1,$H67,"CALC"))</f>
        <v>Y</v>
      </c>
      <c r="K67" s="185" t="str">
        <f t="shared" si="16"/>
        <v/>
      </c>
      <c r="L67" s="186" t="str">
        <f>IF(_epmOfflineCondition_,"",_xll.EVPRO($B$1,H67,"JDEID"))</f>
        <v/>
      </c>
      <c r="M67" s="186" t="str">
        <f>IF(_epmOfflineCondition_,"",IF(AND(I67="N",J67="N"),_xll.EVPRO($B$1,H67,"PSFTID"),""))</f>
        <v/>
      </c>
      <c r="N67" s="186" t="str">
        <f>IF(_epmOfflineCondition_,"Total Cost of Other Revenue",IF(_xll.EVDES(H67,$B$1)="#NODATA","",_xll.EVDES(H67,$B$1)))</f>
        <v>Total Cost of Other Revenue</v>
      </c>
      <c r="O67" s="481">
        <v>60</v>
      </c>
      <c r="P67" s="210">
        <v>77.64</v>
      </c>
      <c r="Q67" s="210">
        <v>51.3</v>
      </c>
      <c r="R67" s="210">
        <v>60.47</v>
      </c>
      <c r="S67" s="210">
        <v>43.48</v>
      </c>
      <c r="T67" s="210">
        <v>60.35</v>
      </c>
      <c r="U67" s="210">
        <v>1489.48</v>
      </c>
      <c r="V67" s="210">
        <v>401.01</v>
      </c>
      <c r="W67" s="210">
        <v>174.81</v>
      </c>
      <c r="X67" s="210">
        <v>641.46</v>
      </c>
      <c r="Y67" s="210">
        <v>570.9</v>
      </c>
      <c r="Z67" s="210">
        <v>578.79999999999995</v>
      </c>
      <c r="AA67" s="210">
        <f t="shared" si="17"/>
        <v>4209.7</v>
      </c>
      <c r="AB67" s="211">
        <f>IF(_epmOfflineCondition_,0.01902795650089,IF(AA67=0,"",IFERROR(AA67/_xll.EVGTS($B$1,1,_xll.EVPRO($B$1,$H67,"COSBASIS"),$B$3,$B$5,$B$6,$B$7,$B$9,AA$16,AA$17,AA$11),"")))</f>
        <v>1.9027956500890002E-2</v>
      </c>
      <c r="AC67" s="251"/>
      <c r="AD67" s="210">
        <v>776.11338000000001</v>
      </c>
      <c r="AE67" s="211">
        <f>IF(_epmOfflineCondition_,0.00165081431464657,IF(AD67=0,"",IFERROR(AD67/_xll.EVGTS($B$1,1,_xll.EVPRO($B$1,$H67,"COSBASIS"),$B$3,$B$5,$B$6,$B$7,$B$9,AD$16,AD$17,AD$18),"")))</f>
        <v>1.6508143146465701E-3</v>
      </c>
      <c r="AF67" s="252">
        <f t="shared" si="18"/>
        <v>3433.58662</v>
      </c>
      <c r="AG67" s="210">
        <v>189.45</v>
      </c>
      <c r="AH67" s="211">
        <f>IF(_epmOfflineCondition_,0.0039385908306196,IF(AG67=0,"",IFERROR(AG67/_xll.EVGTS($B$1,1,_xll.EVPRO($B$1,$H67,"COSBASIS"),$B$3,$B$5,$B$6,$B$7,$B$9,AG$16,AG$17,AG$18),"")))</f>
        <v>3.9385908306195996E-3</v>
      </c>
      <c r="AI67" s="482">
        <f t="shared" si="19"/>
        <v>4020.25</v>
      </c>
      <c r="AJ67" s="253">
        <f t="shared" si="20"/>
        <v>0.12297917092693757</v>
      </c>
      <c r="AK67" s="254">
        <f t="shared" si="21"/>
        <v>1.0546057593988538E-2</v>
      </c>
      <c r="AL67" s="256">
        <f t="shared" si="22"/>
        <v>1.7810472877691077E-2</v>
      </c>
      <c r="AM67" s="427" t="str">
        <f t="shared" si="23"/>
        <v>1.74 pts.</v>
      </c>
      <c r="AN67" s="483" t="str">
        <f t="shared" si="24"/>
        <v>1.51 pts.</v>
      </c>
      <c r="AO67" s="11"/>
      <c r="AP67" s="11"/>
    </row>
    <row r="68" spans="1:42" x14ac:dyDescent="0.25">
      <c r="A68" s="11"/>
      <c r="B68" s="11"/>
      <c r="C68" s="204"/>
      <c r="D68" s="11"/>
      <c r="E68" s="11"/>
      <c r="F68" s="11"/>
      <c r="G68" s="11"/>
      <c r="H68" s="392" t="s">
        <v>289</v>
      </c>
      <c r="I68" s="184" t="str">
        <f>IF(_epmOfflineCondition_,"T3",_xll.EVPRO($B$1,$H68,"STYLE"))</f>
        <v>T3</v>
      </c>
      <c r="J68" s="184" t="str">
        <f>IF(_epmOfflineCondition_,"Y",_xll.EVPRO($B$1,$H68,"CALC"))</f>
        <v>Y</v>
      </c>
      <c r="K68" s="185" t="str">
        <f t="shared" si="16"/>
        <v/>
      </c>
      <c r="L68" s="186" t="str">
        <f>IF(_epmOfflineCondition_,"500001",_xll.EVPRO($B$1,H68,"JDEID"))</f>
        <v>500001</v>
      </c>
      <c r="M68" s="186" t="str">
        <f>IF(_epmOfflineCondition_,"",IF(AND(I68="N",J68="N"),_xll.EVPRO($B$1,H68,"PSFTID"),""))</f>
        <v/>
      </c>
      <c r="N68" s="186" t="str">
        <f>IF(_epmOfflineCondition_,"Total Cost of Sales",IF(_xll.EVDES(H68,$B$1)="#NODATA","",_xll.EVDES(H68,$B$1)))</f>
        <v>Total Cost of Sales</v>
      </c>
      <c r="O68" s="472">
        <v>20610.39</v>
      </c>
      <c r="P68" s="236">
        <v>27854.38</v>
      </c>
      <c r="Q68" s="236">
        <v>26375.94</v>
      </c>
      <c r="R68" s="236">
        <v>18836.009999999998</v>
      </c>
      <c r="S68" s="236">
        <v>16946.189999999999</v>
      </c>
      <c r="T68" s="236">
        <v>18803.79</v>
      </c>
      <c r="U68" s="236">
        <v>18058.349999999999</v>
      </c>
      <c r="V68" s="236">
        <v>15524.51</v>
      </c>
      <c r="W68" s="236">
        <v>15953.97</v>
      </c>
      <c r="X68" s="236">
        <v>30992.09</v>
      </c>
      <c r="Y68" s="236">
        <v>58778.91</v>
      </c>
      <c r="Z68" s="236">
        <v>52773.27</v>
      </c>
      <c r="AA68" s="236">
        <f t="shared" si="17"/>
        <v>321507.80000000005</v>
      </c>
      <c r="AB68" s="237">
        <f>IF(_epmOfflineCondition_,0.312716184742676,IF(AA68=0,"",IFERROR(AA68/_xll.EVGTS($B$1,1,_xll.EVPRO($B$1,$H68,"COSBASIS"),$B$3,$B$5,$B$6,$B$7,$B$9,AA$16,AA$17,AA$11),"")))</f>
        <v>0.31271618474267598</v>
      </c>
      <c r="AC68" s="238"/>
      <c r="AD68" s="236">
        <v>614994.48433999997</v>
      </c>
      <c r="AE68" s="237">
        <f>IF(_epmOfflineCondition_,0.211089600975519,IF(AD68=0,"",IFERROR(AD68/_xll.EVGTS($B$1,1,_xll.EVPRO($B$1,$H68,"COSBASIS"),$B$3,$B$5,$B$6,$B$7,$B$9,AD$16,AD$17,AD$18),"")))</f>
        <v>0.21108960097551899</v>
      </c>
      <c r="AF68" s="239">
        <f t="shared" si="18"/>
        <v>-293486.68433999992</v>
      </c>
      <c r="AG68" s="236">
        <v>98110.27</v>
      </c>
      <c r="AH68" s="237">
        <f>IF(_epmOfflineCondition_,0.352971268052357,IF(AG68=0,"",IFERROR(AG68/_xll.EVGTS($B$1,1,_xll.EVPRO($B$1,$H68,"COSBASIS"),$B$3,$B$5,$B$6,$B$7,$B$9,AG$16,AG$17,AG$18),"")))</f>
        <v>0.35297126805235701</v>
      </c>
      <c r="AI68" s="473">
        <f t="shared" si="19"/>
        <v>223397.53000000003</v>
      </c>
      <c r="AJ68" s="215">
        <f t="shared" si="20"/>
        <v>9.3922993777570056</v>
      </c>
      <c r="AK68" s="216">
        <f t="shared" si="21"/>
        <v>8.3567265028144746</v>
      </c>
      <c r="AL68" s="218">
        <f t="shared" si="22"/>
        <v>9.2234906458587957</v>
      </c>
      <c r="AM68" s="423" t="str">
        <f t="shared" si="23"/>
        <v>10.16 pts.</v>
      </c>
      <c r="AN68" s="474" t="str">
        <f t="shared" si="24"/>
        <v>-4.03 pts.</v>
      </c>
      <c r="AO68" s="11"/>
      <c r="AP68" s="11"/>
    </row>
    <row r="69" spans="1:42" x14ac:dyDescent="0.25">
      <c r="A69" s="56" t="str">
        <f>IF(_epmOfflineCondition_,"Evdre:Ok",_xll.EVDRE($B$1,A72:B79,A82:B88))</f>
        <v>Evdre:Ok</v>
      </c>
      <c r="B69" s="11"/>
      <c r="C69" s="11"/>
      <c r="D69" s="11"/>
      <c r="E69" s="11"/>
      <c r="F69" s="11"/>
      <c r="G69" s="11"/>
      <c r="H69" s="392" t="s">
        <v>175</v>
      </c>
      <c r="I69" s="85" t="str">
        <f>IF(_epmOfflineCondition_,"B1",_xll.EVPRO($B$1,$H69,"STYLE"))</f>
        <v>B1</v>
      </c>
      <c r="J69" s="85" t="str">
        <f>IF(_epmOfflineCondition_,"Y",_xll.EVPRO($B$1,$H69,"CALC"))</f>
        <v>Y</v>
      </c>
      <c r="K69" s="261" t="str">
        <f t="shared" si="16"/>
        <v/>
      </c>
      <c r="L69" s="261"/>
      <c r="M69" s="261"/>
      <c r="N69" s="102" t="str">
        <f>IF(_epmOfflineCondition_,"BLANKROW",IF(_xll.EVDES(H69,$B$1)="#NODATA","",_xll.EVDES(H69,$B$1)))</f>
        <v>BLANKROW</v>
      </c>
      <c r="O69" s="201"/>
      <c r="P69" s="201"/>
      <c r="Q69" s="201"/>
      <c r="R69" s="201"/>
      <c r="S69" s="201"/>
      <c r="T69" s="201"/>
      <c r="U69" s="201"/>
      <c r="V69" s="201"/>
      <c r="W69" s="201"/>
      <c r="X69" s="201"/>
      <c r="Y69" s="201"/>
      <c r="Z69" s="201"/>
      <c r="AA69" s="201"/>
      <c r="AB69" s="202" t="str">
        <f>IF(_epmOfflineCondition_,"",IF(O69=0,"",IFERROR(O69/_xll.EVGTS($B$1,1,INDEX($C$141:$C$164,MATCH($H69,$A$141:$A$164,0)),$B$3,$B$5,$B$6,$B$7,$B$9,O$16,O$17,O$18),"")))</f>
        <v/>
      </c>
      <c r="AC69" s="11"/>
      <c r="AD69" s="201"/>
      <c r="AE69" s="202" t="str">
        <f>IF(_epmOfflineCondition_,"",IF(AD69=0,"",IFERROR(AD69/_xll.EVGTS($B$1,1,INDEX($C$141:$C$164,MATCH($H69,$A$141:$A$164,0)),$B$3,$B$5,$B$6,$B$7,$B$9,AD$16,AD$17,AD$18),"")))</f>
        <v/>
      </c>
      <c r="AF69" s="203" t="str">
        <f t="shared" si="18"/>
        <v/>
      </c>
      <c r="AG69" s="201"/>
      <c r="AH69" s="202" t="str">
        <f>IF(_epmOfflineCondition_,"",IF(AG69=0,"",IFERROR(AG69/_xll.EVGTS($B$1,1,INDEX($C$141:$C$164,MATCH($H69,$A$141:$A$164,0)),$B$3,$B$5,$B$6,$B$7,$B$9,AG$16,AG$17,AG$18),"")))</f>
        <v/>
      </c>
      <c r="AI69" s="203" t="str">
        <f t="shared" si="19"/>
        <v/>
      </c>
      <c r="AJ69" s="11"/>
      <c r="AK69" s="11"/>
      <c r="AL69" s="11"/>
      <c r="AM69" s="11"/>
      <c r="AN69" s="11"/>
      <c r="AO69" s="11"/>
      <c r="AP69" s="11"/>
    </row>
    <row r="70" spans="1:42" x14ac:dyDescent="0.25">
      <c r="A70" s="11"/>
      <c r="B70" s="11"/>
      <c r="C70" s="11"/>
      <c r="D70" s="11"/>
      <c r="E70" s="11"/>
      <c r="F70" s="11"/>
      <c r="G70" s="11"/>
      <c r="H70" s="392" t="s">
        <v>292</v>
      </c>
      <c r="I70" s="85" t="str">
        <f>IF(_epmOfflineCondition_,"T3",_xll.EVPRO($B$1,$H70,"STYLE"))</f>
        <v>T3</v>
      </c>
      <c r="J70" s="85" t="str">
        <f>IF(_epmOfflineCondition_,"Y",_xll.EVPRO($B$1,$H70,"CALC"))</f>
        <v>Y</v>
      </c>
      <c r="K70" s="261" t="str">
        <f t="shared" si="16"/>
        <v/>
      </c>
      <c r="L70" s="261"/>
      <c r="M70" s="261"/>
      <c r="N70" s="102" t="str">
        <f>IF(_epmOfflineCondition_,"Gross Profit",IF(_xll.EVDES(H70,$B$1)="#NODATA","",_xll.EVDES(H70,$B$1)))</f>
        <v>Gross Profit</v>
      </c>
      <c r="O70" s="119">
        <f t="shared" ref="O70:Z70" si="25">SUMIF($H$35:$H$68,"400000",O35:O68)-SUMIF($H$35:$H$68,"500001",O35:O68)</f>
        <v>67926.41</v>
      </c>
      <c r="P70" s="119">
        <f t="shared" si="25"/>
        <v>69068.31</v>
      </c>
      <c r="Q70" s="119">
        <f t="shared" si="25"/>
        <v>74894.63</v>
      </c>
      <c r="R70" s="119">
        <f t="shared" si="25"/>
        <v>49135.020000000004</v>
      </c>
      <c r="S70" s="119">
        <f t="shared" si="25"/>
        <v>44281.47</v>
      </c>
      <c r="T70" s="119">
        <f t="shared" si="25"/>
        <v>36166.6</v>
      </c>
      <c r="U70" s="119">
        <f t="shared" si="25"/>
        <v>54365.250000000007</v>
      </c>
      <c r="V70" s="119">
        <f t="shared" si="25"/>
        <v>44231.18</v>
      </c>
      <c r="W70" s="119">
        <f t="shared" si="25"/>
        <v>22134.83</v>
      </c>
      <c r="X70" s="119">
        <f t="shared" si="25"/>
        <v>45025.62000000001</v>
      </c>
      <c r="Y70" s="119">
        <f t="shared" si="25"/>
        <v>73637.600000000006</v>
      </c>
      <c r="Z70" s="119">
        <f t="shared" si="25"/>
        <v>125739</v>
      </c>
      <c r="AA70" s="119">
        <f>SUM(O70:Z70)</f>
        <v>706605.91999999993</v>
      </c>
      <c r="AB70" s="188">
        <f>IF(AA70=0,"",IFERROR(AA70/AA$19,""))</f>
        <v>0.68728381525732385</v>
      </c>
      <c r="AC70" s="11"/>
      <c r="AD70" s="119">
        <f>SUMIF($H$35:$H$68,"400000",AD35:AD68)-SUMIF($H$35:$H$68,"500001",AD35:AD68)</f>
        <v>2298434.1331660002</v>
      </c>
      <c r="AE70" s="188">
        <f>IF(AD70=0,"",IFERROR(AD70/AD$19,""))</f>
        <v>0.7889103990244809</v>
      </c>
      <c r="AF70" s="121">
        <f t="shared" si="18"/>
        <v>-1591828.2131660003</v>
      </c>
      <c r="AG70" s="119">
        <f>SUMIF($H$35:$H$68,"400000",AG35:AG68)-SUMIF($H$35:$H$68,"500001",AG35:AG68)</f>
        <v>179845.13</v>
      </c>
      <c r="AH70" s="188">
        <f>IF(AG70=0,"",IFERROR(AG70/AG$19,""))</f>
        <v>0.64702873194764332</v>
      </c>
      <c r="AI70" s="121">
        <f t="shared" si="19"/>
        <v>526760.78999999992</v>
      </c>
      <c r="AJ70" s="189">
        <f>IFERROR(AA70/AA$20,0)</f>
        <v>20.642280973386693</v>
      </c>
      <c r="AK70" s="190">
        <f>IFERROR(AD70/AD$20,0)</f>
        <v>31.23180113755771</v>
      </c>
      <c r="AL70" s="191">
        <f>IFERROR(AG70/AG$20,0)</f>
        <v>16.907504935602145</v>
      </c>
      <c r="AM70" s="403" t="str">
        <f>+IFERROR(ROUND(($AB70-AE70)*100,2)&amp;" pts.",0)</f>
        <v>-10.16 pts.</v>
      </c>
      <c r="AN70" s="404" t="str">
        <f>+IFERROR(ROUND(($AB70-AH70)*100,2)&amp;" pts.",0)</f>
        <v>4.03 pts.</v>
      </c>
      <c r="AO70" s="11"/>
      <c r="AP70" s="11"/>
    </row>
    <row r="71" spans="1:42" x14ac:dyDescent="0.25">
      <c r="A71" s="57" t="s">
        <v>0</v>
      </c>
      <c r="B71" s="58" t="s">
        <v>1</v>
      </c>
      <c r="C71" s="11"/>
      <c r="D71" s="11"/>
      <c r="E71" s="11"/>
      <c r="F71" s="11"/>
      <c r="G71" s="11"/>
      <c r="H71" s="11"/>
      <c r="I71" s="55"/>
      <c r="J71" s="55"/>
      <c r="K71" s="11"/>
      <c r="L71" s="11"/>
      <c r="M71" s="11"/>
      <c r="N71" s="11"/>
      <c r="O71" s="389"/>
      <c r="P71" s="390"/>
      <c r="Q71" s="390"/>
      <c r="R71" s="390"/>
      <c r="S71" s="390"/>
      <c r="T71" s="390"/>
      <c r="U71" s="390"/>
      <c r="V71" s="390"/>
      <c r="W71" s="390"/>
      <c r="X71" s="390"/>
      <c r="Y71" s="390"/>
      <c r="Z71" s="390"/>
      <c r="AA71" s="390"/>
      <c r="AB71" s="114"/>
      <c r="AC71" s="11"/>
      <c r="AD71" s="389"/>
      <c r="AE71" s="200"/>
      <c r="AF71" s="114"/>
      <c r="AG71" s="389"/>
      <c r="AH71" s="200"/>
      <c r="AI71" s="114"/>
      <c r="AJ71" s="11"/>
      <c r="AK71" s="11"/>
      <c r="AL71" s="11"/>
      <c r="AM71" s="11"/>
      <c r="AN71" s="11"/>
      <c r="AO71" s="11"/>
      <c r="AP71" s="11"/>
    </row>
    <row r="72" spans="1:42" x14ac:dyDescent="0.25">
      <c r="A72" s="61" t="s">
        <v>2</v>
      </c>
      <c r="B72" s="62" t="str">
        <f>IF(_epmOfflineCondition_,"'FB_Cons'!$B$2:$B$10",_xll.EVRNG($B$2:$B$10))</f>
        <v>'FB_Cons'!$B$2:$B$10</v>
      </c>
      <c r="C72" s="11"/>
      <c r="D72" s="11"/>
      <c r="E72" s="11"/>
      <c r="F72" s="11"/>
      <c r="G72" s="11"/>
      <c r="H72" s="11" t="s">
        <v>73</v>
      </c>
      <c r="I72" s="55" t="str">
        <f>IF(_epmOfflineCondition_,"B1",_xll.EVPRO($B$1,$H72,"STYLE"))</f>
        <v>B1</v>
      </c>
      <c r="J72" s="55" t="str">
        <f>IF(_epmOfflineCondition_,"Y",_xll.EVPRO($B$1,$H72,"CALC"))</f>
        <v>Y</v>
      </c>
      <c r="K72" s="11"/>
      <c r="L72" s="11"/>
      <c r="M72" s="11"/>
      <c r="N72" s="101" t="str">
        <f>IF(_epmOfflineCondition_,"Labor &amp; Related Expenses",IF(_xll.EVDES(H72,$B$1)="#NODATA","",_xll.EVDES(H72,$B$1)))</f>
        <v>Labor &amp; Related Expenses</v>
      </c>
      <c r="O72" s="199"/>
      <c r="P72" s="200"/>
      <c r="Q72" s="200"/>
      <c r="R72" s="200"/>
      <c r="S72" s="200"/>
      <c r="T72" s="200"/>
      <c r="U72" s="200"/>
      <c r="V72" s="200"/>
      <c r="W72" s="200"/>
      <c r="X72" s="200"/>
      <c r="Y72" s="200"/>
      <c r="Z72" s="200"/>
      <c r="AA72" s="200"/>
      <c r="AB72" s="406"/>
      <c r="AC72" s="11"/>
      <c r="AD72" s="407"/>
      <c r="AE72" s="408"/>
      <c r="AF72" s="114"/>
      <c r="AG72" s="200"/>
      <c r="AH72" s="408"/>
      <c r="AI72" s="114"/>
      <c r="AJ72" s="11"/>
      <c r="AK72" s="11"/>
      <c r="AL72" s="11"/>
      <c r="AM72" s="11"/>
      <c r="AN72" s="11"/>
      <c r="AO72" s="11"/>
      <c r="AP72" s="11"/>
    </row>
    <row r="73" spans="1:42" x14ac:dyDescent="0.25">
      <c r="A73" s="61" t="s">
        <v>3</v>
      </c>
      <c r="B73" s="62" t="str">
        <f>IF(_epmOfflineCondition_,"'FB_Cons'!$O$16:$AN$18",_xll.EVRNG($O$16:$AN$18))</f>
        <v>'FB_Cons'!$O$16:$AN$18</v>
      </c>
      <c r="C73" s="11"/>
      <c r="D73" s="11"/>
      <c r="E73" s="11"/>
      <c r="F73" s="11"/>
      <c r="G73" s="11"/>
      <c r="H73" s="11" t="s">
        <v>74</v>
      </c>
      <c r="I73" s="55" t="str">
        <f>IF(_epmOfflineCondition_,"B1",_xll.EVPRO($B$1,$H73,"STYLE"))</f>
        <v>B1</v>
      </c>
      <c r="J73" s="55" t="str">
        <f>IF(_epmOfflineCondition_,"Y",_xll.EVPRO($B$1,$H73,"CALC"))</f>
        <v>Y</v>
      </c>
      <c r="K73" s="11"/>
      <c r="L73" s="11"/>
      <c r="M73" s="11"/>
      <c r="N73" s="49" t="str">
        <f>IF(_epmOfflineCondition_,"Salaries &amp; Wages",IF(_xll.EVDES(H73,$B$1)="#NODATA","",_xll.EVDES(H73,$B$1)))</f>
        <v>Salaries &amp; Wages</v>
      </c>
      <c r="O73" s="115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7"/>
      <c r="AC73" s="11"/>
      <c r="AD73" s="115"/>
      <c r="AE73" s="116"/>
      <c r="AF73" s="117"/>
      <c r="AG73" s="116"/>
      <c r="AH73" s="116"/>
      <c r="AI73" s="117"/>
      <c r="AJ73" s="11"/>
      <c r="AK73" s="11"/>
      <c r="AL73" s="11"/>
      <c r="AM73" s="11"/>
      <c r="AN73" s="11"/>
      <c r="AO73" s="11"/>
      <c r="AP73" s="11"/>
    </row>
    <row r="74" spans="1:42" x14ac:dyDescent="0.25">
      <c r="A74" s="61" t="s">
        <v>4</v>
      </c>
      <c r="B74" s="62" t="str">
        <f>IF(_epmOfflineCondition_,"'FB_Cons'!$H$74:$H$75,'FB_Cons'!$H$77:$H$89,'FB_Cons'!$H$92:$H$119",_xll.EVRNG(H74:H75,H77:H89,H92:H119))</f>
        <v>'FB_Cons'!$H$74:$H$75,'FB_Cons'!$H$77:$H$89,'FB_Cons'!$H$92:$H$119</v>
      </c>
      <c r="C74" s="11"/>
      <c r="D74" s="11"/>
      <c r="E74" s="11"/>
      <c r="F74" s="11"/>
      <c r="G74" s="11"/>
      <c r="H74" s="392" t="s">
        <v>844</v>
      </c>
      <c r="I74" s="118" t="str">
        <f>IF(_epmOfflineCondition_,"T3",_xll.EVPRO($B$1,$H74,"STYLE"))</f>
        <v>T3</v>
      </c>
      <c r="J74" s="118" t="str">
        <f>IF(_epmOfflineCondition_,"Y",_xll.EVPRO($B$1,$H74,"CALC"))</f>
        <v>Y</v>
      </c>
      <c r="K74" s="175" t="str">
        <f t="shared" ref="K74:K89" si="26">IF(AND(I74&gt;="T3"),"&gt;","")</f>
        <v>&gt;</v>
      </c>
      <c r="L74" s="86" t="str">
        <f>IF(_epmOfflineCondition_,"",_xll.EVPRO($B$1,H74,"JDEID"))</f>
        <v/>
      </c>
      <c r="M74" s="86" t="str">
        <f>IF(_epmOfflineCondition_,"",IF(AND(I74="N",J74="N"),_xll.EVPRO($B$1,H74,"PSFTID"),""))</f>
        <v/>
      </c>
      <c r="N74" s="86" t="str">
        <f>IF(_epmOfflineCondition_,"Management - F&amp;B Service",IF(_xll.EVDES(H74,$B$1)="#NODATA","",_xll.EVDES(H74,$B$1)))</f>
        <v>Management - F&amp;B Service</v>
      </c>
      <c r="O74" s="240">
        <v>14415.38</v>
      </c>
      <c r="P74" s="240">
        <v>12630.72</v>
      </c>
      <c r="Q74" s="240">
        <v>11630.92</v>
      </c>
      <c r="R74" s="240">
        <v>10342.6</v>
      </c>
      <c r="S74" s="240">
        <v>12991.02</v>
      </c>
      <c r="T74" s="240">
        <v>11047.9</v>
      </c>
      <c r="U74" s="240">
        <v>7981.34</v>
      </c>
      <c r="V74" s="240">
        <v>7257.07</v>
      </c>
      <c r="W74" s="240">
        <v>12324.31</v>
      </c>
      <c r="X74" s="240">
        <v>12963.02</v>
      </c>
      <c r="Y74" s="240">
        <v>12365.35</v>
      </c>
      <c r="Z74" s="240">
        <v>12116.04</v>
      </c>
      <c r="AA74" s="223">
        <f t="shared" ref="AA74:AA89" si="27">IF($I74="B1","",SUM(O74:Z74))</f>
        <v>138065.66999999998</v>
      </c>
      <c r="AB74" s="242">
        <f t="shared" ref="AB74:AB89" si="28">IF(AA74=0,"",IFERROR(AA74/AA$19,""))</f>
        <v>0.13429027092450432</v>
      </c>
      <c r="AC74" s="136"/>
      <c r="AD74" s="240">
        <v>136894.54294710699</v>
      </c>
      <c r="AE74" s="242">
        <f t="shared" ref="AE74:AE89" si="29">IF(AD74=0,"",IFERROR(AD74/AD$19,""))</f>
        <v>4.6987436769359965E-2</v>
      </c>
      <c r="AF74" s="243">
        <f t="shared" ref="AF74:AF89" si="30">IF(AND($AA74="",AD74=""),"",$AA74-AD74)</f>
        <v>1171.127052892989</v>
      </c>
      <c r="AG74" s="240">
        <v>93571.66</v>
      </c>
      <c r="AH74" s="242">
        <f t="shared" ref="AH74:AH89" si="31">IF(AG74=0,"",IFERROR(AG74/AG$19,""))</f>
        <v>0.33664271318348193</v>
      </c>
      <c r="AI74" s="243">
        <f t="shared" ref="AI74:AI89" si="32">IF(AND($AA74="",AG74=""),"",$AA74-AG74)</f>
        <v>44494.00999999998</v>
      </c>
      <c r="AJ74" s="224">
        <f t="shared" ref="AJ74:AJ89" si="33">IFERROR(AA74/AA$20,0)</f>
        <v>4.0333519324588822</v>
      </c>
      <c r="AK74" s="225">
        <f t="shared" ref="AK74:AK89" si="34">IFERROR(AD74/AD$20,0)</f>
        <v>1.8601634392940471</v>
      </c>
      <c r="AL74" s="227">
        <f t="shared" ref="AL74:AL89" si="35">IFERROR(AG74/AG$20,0)</f>
        <v>8.7968092507285895</v>
      </c>
      <c r="AM74" s="419" t="str">
        <f t="shared" ref="AM74:AM89" si="36">+IFERROR(ROUND(($AB74-AE74)*100,2)&amp;" pts.",0)</f>
        <v>8.73 pts.</v>
      </c>
      <c r="AN74" s="420" t="str">
        <f t="shared" ref="AN74:AN89" si="37">+IFERROR(ROUND(($AB74-AH74)*100,2)&amp;" pts.",0)</f>
        <v>-20.24 pts.</v>
      </c>
      <c r="AO74" s="11"/>
      <c r="AP74" s="11"/>
    </row>
    <row r="75" spans="1:42" x14ac:dyDescent="0.25">
      <c r="A75" s="61" t="s">
        <v>5</v>
      </c>
      <c r="B75" s="62"/>
      <c r="C75" s="11"/>
      <c r="D75" s="11"/>
      <c r="E75" s="11"/>
      <c r="F75" s="11"/>
      <c r="G75" s="11"/>
      <c r="H75" s="392" t="s">
        <v>845</v>
      </c>
      <c r="I75" s="118" t="str">
        <f>IF(_epmOfflineCondition_,"T3",_xll.EVPRO($B$1,$H75,"STYLE"))</f>
        <v>T3</v>
      </c>
      <c r="J75" s="118" t="str">
        <f>IF(_epmOfflineCondition_,"Y",_xll.EVPRO($B$1,$H75,"CALC"))</f>
        <v>Y</v>
      </c>
      <c r="K75" s="175" t="str">
        <f t="shared" si="26"/>
        <v>&gt;</v>
      </c>
      <c r="L75" s="86" t="str">
        <f>IF(_epmOfflineCondition_,"",_xll.EVPRO($B$1,H75,"JDEID"))</f>
        <v/>
      </c>
      <c r="M75" s="86" t="str">
        <f>IF(_epmOfflineCondition_,"",IF(AND(I75="N",J75="N"),_xll.EVPRO($B$1,H75,"PSFTID"),""))</f>
        <v/>
      </c>
      <c r="N75" s="86" t="str">
        <f>IF(_epmOfflineCondition_,"Management - F&amp;B Kitchen",IF(_xll.EVDES(H75,$B$1)="#NODATA","",_xll.EVDES(H75,$B$1)))</f>
        <v>Management - F&amp;B Kitchen</v>
      </c>
      <c r="O75" s="240">
        <v>6866.66</v>
      </c>
      <c r="P75" s="240">
        <v>6866.66</v>
      </c>
      <c r="Q75" s="240">
        <v>5282.18</v>
      </c>
      <c r="R75" s="240">
        <v>7693.59</v>
      </c>
      <c r="S75" s="240">
        <v>7072.66</v>
      </c>
      <c r="T75" s="240">
        <v>6093.5</v>
      </c>
      <c r="U75" s="240">
        <v>4787.91</v>
      </c>
      <c r="V75" s="240">
        <v>6746.36</v>
      </c>
      <c r="W75" s="240">
        <v>8829.69</v>
      </c>
      <c r="X75" s="240">
        <v>11239.32</v>
      </c>
      <c r="Y75" s="240">
        <v>11070.38</v>
      </c>
      <c r="Z75" s="240">
        <v>10913.02</v>
      </c>
      <c r="AA75" s="223">
        <f t="shared" si="27"/>
        <v>93461.930000000008</v>
      </c>
      <c r="AB75" s="242">
        <f t="shared" si="28"/>
        <v>9.0906218039770947E-2</v>
      </c>
      <c r="AC75" s="136"/>
      <c r="AD75" s="240">
        <v>128265.761224189</v>
      </c>
      <c r="AE75" s="242">
        <f t="shared" si="29"/>
        <v>4.4025709246306888E-2</v>
      </c>
      <c r="AF75" s="243">
        <f t="shared" si="30"/>
        <v>-34803.831224188994</v>
      </c>
      <c r="AG75" s="240">
        <v>54482.65</v>
      </c>
      <c r="AH75" s="242">
        <f t="shared" si="31"/>
        <v>0.19601220195758023</v>
      </c>
      <c r="AI75" s="243">
        <f t="shared" si="32"/>
        <v>38979.280000000006</v>
      </c>
      <c r="AJ75" s="224">
        <f t="shared" si="33"/>
        <v>2.7303301101340893</v>
      </c>
      <c r="AK75" s="225">
        <f t="shared" si="34"/>
        <v>1.7429130073844095</v>
      </c>
      <c r="AL75" s="227">
        <f t="shared" si="35"/>
        <v>5.1219939832659582</v>
      </c>
      <c r="AM75" s="419" t="str">
        <f t="shared" si="36"/>
        <v>4.69 pts.</v>
      </c>
      <c r="AN75" s="420" t="str">
        <f t="shared" si="37"/>
        <v>-10.51 pts.</v>
      </c>
      <c r="AO75" s="11"/>
      <c r="AP75" s="11"/>
    </row>
    <row r="76" spans="1:42" x14ac:dyDescent="0.25">
      <c r="A76" s="61" t="s">
        <v>6</v>
      </c>
      <c r="B76" s="62"/>
      <c r="C76" s="11"/>
      <c r="D76" s="11"/>
      <c r="E76" s="11"/>
      <c r="F76" s="11"/>
      <c r="G76" s="11"/>
      <c r="H76" s="392" t="s">
        <v>75</v>
      </c>
      <c r="I76" s="85" t="str">
        <f>IF(_epmOfflineCondition_,"B1",_xll.EVPRO($B$1,$H76,"STYLE"))</f>
        <v>B1</v>
      </c>
      <c r="J76" s="85" t="str">
        <f>IF(_epmOfflineCondition_,"Y",_xll.EVPRO($B$1,$H76,"CALC"))</f>
        <v>Y</v>
      </c>
      <c r="K76" s="261" t="str">
        <f t="shared" si="26"/>
        <v/>
      </c>
      <c r="L76" s="102" t="str">
        <f>IF(_epmOfflineCondition_,"",_xll.EVPRO($B$1,H76,"JDEID"))</f>
        <v/>
      </c>
      <c r="M76" s="86" t="str">
        <f>IF(_epmOfflineCondition_,"",IF(AND(I76="N",J76="N"),_xll.EVPRO($B$1,H76,"PSFTID"),""))</f>
        <v/>
      </c>
      <c r="N76" s="102" t="str">
        <f>IF(_epmOfflineCondition_,"Non-Management",IF(_xll.EVDES(H76,$B$1)="#NODATA","",_xll.EVDES(H76,$B$1)))</f>
        <v>Non-Management</v>
      </c>
      <c r="O76" s="193"/>
      <c r="P76" s="193"/>
      <c r="Q76" s="193"/>
      <c r="R76" s="193"/>
      <c r="S76" s="193"/>
      <c r="T76" s="193"/>
      <c r="U76" s="193"/>
      <c r="V76" s="193"/>
      <c r="W76" s="193"/>
      <c r="X76" s="193"/>
      <c r="Y76" s="193"/>
      <c r="Z76" s="193"/>
      <c r="AA76" s="176" t="str">
        <f t="shared" si="27"/>
        <v/>
      </c>
      <c r="AB76" s="194" t="str">
        <f t="shared" si="28"/>
        <v/>
      </c>
      <c r="AC76" s="11"/>
      <c r="AD76" s="193"/>
      <c r="AE76" s="194" t="str">
        <f t="shared" si="29"/>
        <v/>
      </c>
      <c r="AF76" s="195" t="str">
        <f t="shared" si="30"/>
        <v/>
      </c>
      <c r="AG76" s="193"/>
      <c r="AH76" s="194" t="str">
        <f t="shared" si="31"/>
        <v/>
      </c>
      <c r="AI76" s="195" t="str">
        <f t="shared" si="32"/>
        <v/>
      </c>
      <c r="AJ76" s="177">
        <f t="shared" si="33"/>
        <v>0</v>
      </c>
      <c r="AK76" s="178">
        <f t="shared" si="34"/>
        <v>0</v>
      </c>
      <c r="AL76" s="180">
        <f t="shared" si="35"/>
        <v>0</v>
      </c>
      <c r="AM76" s="381">
        <f t="shared" si="36"/>
        <v>0</v>
      </c>
      <c r="AN76" s="382">
        <f t="shared" si="37"/>
        <v>0</v>
      </c>
      <c r="AO76" s="11"/>
      <c r="AP76" s="11"/>
    </row>
    <row r="77" spans="1:42" x14ac:dyDescent="0.25">
      <c r="A77" s="61" t="s">
        <v>7</v>
      </c>
      <c r="B77" s="62" t="str">
        <f>IF(_epmOfflineCondition_,"'FB_Cons'!$A$91:$F$97",_xll.EVRNG(A91:F97))</f>
        <v>'FB_Cons'!$A$91:$F$97</v>
      </c>
      <c r="C77" s="11"/>
      <c r="D77" s="11"/>
      <c r="E77" s="11"/>
      <c r="F77" s="11"/>
      <c r="G77" s="11"/>
      <c r="H77" s="392" t="s">
        <v>833</v>
      </c>
      <c r="I77" s="118" t="str">
        <f>IF(_epmOfflineCondition_,"T3",_xll.EVPRO($B$1,$H77,"STYLE"))</f>
        <v>T3</v>
      </c>
      <c r="J77" s="118" t="str">
        <f>IF(_epmOfflineCondition_,"Y",_xll.EVPRO($B$1,$H77,"CALC"))</f>
        <v>Y</v>
      </c>
      <c r="K77" s="175" t="str">
        <f t="shared" si="26"/>
        <v>&gt;</v>
      </c>
      <c r="L77" s="86" t="str">
        <f>IF(_epmOfflineCondition_,"",_xll.EVPRO($B$1,H77,"JDEID"))</f>
        <v/>
      </c>
      <c r="M77" s="86" t="str">
        <f>IF(_epmOfflineCondition_,"",IF(AND(I77="N",J77="N"),_xll.EVPRO($B$1,H77,"PSFTID"),""))</f>
        <v/>
      </c>
      <c r="N77" s="86" t="str">
        <f>IF(_epmOfflineCondition_,"Banquet &amp; Conf/Catering Service",IF(_xll.EVDES(H77,$B$1)="#NODATA","",_xll.EVDES(H77,$B$1)))</f>
        <v>Banquet &amp; Conf/Catering Service</v>
      </c>
      <c r="O77" s="248">
        <v>3243.93</v>
      </c>
      <c r="P77" s="248">
        <v>2333.75</v>
      </c>
      <c r="Q77" s="248">
        <v>1378.89</v>
      </c>
      <c r="R77" s="248">
        <v>590.05999999999995</v>
      </c>
      <c r="S77" s="248">
        <v>497.71</v>
      </c>
      <c r="T77" s="248">
        <v>437.44</v>
      </c>
      <c r="U77" s="248">
        <v>215.21</v>
      </c>
      <c r="V77" s="248">
        <v>497.8</v>
      </c>
      <c r="W77" s="248">
        <v>221.13</v>
      </c>
      <c r="X77" s="248">
        <v>1165.52</v>
      </c>
      <c r="Y77" s="248">
        <v>977.8</v>
      </c>
      <c r="Z77" s="248">
        <v>1124.3399999999999</v>
      </c>
      <c r="AA77" s="229">
        <f t="shared" si="27"/>
        <v>12683.579999999998</v>
      </c>
      <c r="AB77" s="249">
        <f t="shared" si="28"/>
        <v>1.2336748117708223E-2</v>
      </c>
      <c r="AC77" s="136"/>
      <c r="AD77" s="248">
        <v>14920</v>
      </c>
      <c r="AE77" s="249">
        <f t="shared" si="29"/>
        <v>5.1211139721597356E-3</v>
      </c>
      <c r="AF77" s="250">
        <f t="shared" si="30"/>
        <v>-2236.4200000000019</v>
      </c>
      <c r="AG77" s="248">
        <v>708.77</v>
      </c>
      <c r="AH77" s="249">
        <f t="shared" si="31"/>
        <v>2.5499414654293457E-3</v>
      </c>
      <c r="AI77" s="250">
        <f t="shared" si="32"/>
        <v>11974.809999999998</v>
      </c>
      <c r="AJ77" s="224">
        <f t="shared" si="33"/>
        <v>0.37052905261312841</v>
      </c>
      <c r="AK77" s="225">
        <f t="shared" si="34"/>
        <v>0.20273736203634191</v>
      </c>
      <c r="AL77" s="227">
        <f t="shared" si="35"/>
        <v>6.6632509166118264E-2</v>
      </c>
      <c r="AM77" s="419" t="str">
        <f t="shared" si="36"/>
        <v>0.72 pts.</v>
      </c>
      <c r="AN77" s="420" t="str">
        <f t="shared" si="37"/>
        <v>0.98 pts.</v>
      </c>
      <c r="AO77" s="11"/>
      <c r="AP77" s="11"/>
    </row>
    <row r="78" spans="1:42" x14ac:dyDescent="0.25">
      <c r="A78" s="61" t="s">
        <v>47</v>
      </c>
      <c r="B78" s="62" t="str">
        <f>IF(_epmOfflineCondition_,"'FB_Cons'!$A$114:$B$135",_xll.EVRNG($A$114:$B$135))</f>
        <v>'FB_Cons'!$A$114:$B$135</v>
      </c>
      <c r="C78" s="11"/>
      <c r="D78" s="11"/>
      <c r="E78" s="11"/>
      <c r="F78" s="11"/>
      <c r="G78" s="11"/>
      <c r="H78" s="392" t="s">
        <v>834</v>
      </c>
      <c r="I78" s="118" t="str">
        <f>IF(_epmOfflineCondition_,"T3",_xll.EVPRO($B$1,$H78,"STYLE"))</f>
        <v>T3</v>
      </c>
      <c r="J78" s="118" t="str">
        <f>IF(_epmOfflineCondition_,"Y",_xll.EVPRO($B$1,$H78,"CALC"))</f>
        <v>Y</v>
      </c>
      <c r="K78" s="175" t="str">
        <f t="shared" si="26"/>
        <v>&gt;</v>
      </c>
      <c r="L78" s="86" t="str">
        <f>IF(_epmOfflineCondition_,"",_xll.EVPRO($B$1,H78,"JDEID"))</f>
        <v/>
      </c>
      <c r="M78" s="86" t="str">
        <f>IF(_epmOfflineCondition_,"",IF(AND(I78="N",J78="N"),_xll.EVPRO($B$1,H78,"PSFTID"),""))</f>
        <v/>
      </c>
      <c r="N78" s="86" t="str">
        <f>IF(_epmOfflineCondition_,"F&amp;B Kitchen",IF(_xll.EVDES(H78,$B$1)="#NODATA","",_xll.EVDES(H78,$B$1)))</f>
        <v>F&amp;B Kitchen</v>
      </c>
      <c r="O78" s="248">
        <v>7486.95</v>
      </c>
      <c r="P78" s="248">
        <v>7759.45</v>
      </c>
      <c r="Q78" s="248">
        <v>10813.28</v>
      </c>
      <c r="R78" s="248">
        <v>9041.1</v>
      </c>
      <c r="S78" s="248">
        <v>10317.549999999999</v>
      </c>
      <c r="T78" s="248">
        <v>9601.14</v>
      </c>
      <c r="U78" s="248">
        <v>8283.2900000000009</v>
      </c>
      <c r="V78" s="248">
        <v>8970.3700000000008</v>
      </c>
      <c r="W78" s="248">
        <v>7078.23</v>
      </c>
      <c r="X78" s="248">
        <v>13284.21</v>
      </c>
      <c r="Y78" s="248">
        <v>16321.46</v>
      </c>
      <c r="Z78" s="248">
        <v>22821.07</v>
      </c>
      <c r="AA78" s="229">
        <f t="shared" si="27"/>
        <v>131778.1</v>
      </c>
      <c r="AB78" s="249">
        <f t="shared" si="28"/>
        <v>0.12817463422236988</v>
      </c>
      <c r="AC78" s="136"/>
      <c r="AD78" s="248">
        <v>216900.837142857</v>
      </c>
      <c r="AE78" s="249">
        <f t="shared" si="29"/>
        <v>7.4448653328782061E-2</v>
      </c>
      <c r="AF78" s="250">
        <f t="shared" si="30"/>
        <v>-85122.73714285699</v>
      </c>
      <c r="AG78" s="248">
        <v>36623.18</v>
      </c>
      <c r="AH78" s="249">
        <f t="shared" si="31"/>
        <v>0.13175919589977383</v>
      </c>
      <c r="AI78" s="250">
        <f t="shared" si="32"/>
        <v>95154.920000000013</v>
      </c>
      <c r="AJ78" s="224">
        <f t="shared" si="33"/>
        <v>3.8496713505302211</v>
      </c>
      <c r="AK78" s="225">
        <f t="shared" si="34"/>
        <v>2.9473125700949754</v>
      </c>
      <c r="AL78" s="227">
        <f t="shared" si="35"/>
        <v>3.4429989658738367</v>
      </c>
      <c r="AM78" s="419" t="str">
        <f t="shared" si="36"/>
        <v>5.37 pts.</v>
      </c>
      <c r="AN78" s="420" t="str">
        <f t="shared" si="37"/>
        <v>-0.36 pts.</v>
      </c>
      <c r="AO78" s="11"/>
      <c r="AP78" s="11"/>
    </row>
    <row r="79" spans="1:42" x14ac:dyDescent="0.25">
      <c r="A79" s="61" t="s">
        <v>8</v>
      </c>
      <c r="B79" s="62"/>
      <c r="C79" s="11"/>
      <c r="D79" s="11"/>
      <c r="E79" s="11"/>
      <c r="F79" s="11"/>
      <c r="G79" s="11"/>
      <c r="H79" s="392" t="s">
        <v>835</v>
      </c>
      <c r="I79" s="118" t="str">
        <f>IF(_epmOfflineCondition_,"T3",_xll.EVPRO($B$1,$H79,"STYLE"))</f>
        <v>T3</v>
      </c>
      <c r="J79" s="118" t="str">
        <f>IF(_epmOfflineCondition_,"Y",_xll.EVPRO($B$1,$H79,"CALC"))</f>
        <v>Y</v>
      </c>
      <c r="K79" s="175" t="str">
        <f t="shared" si="26"/>
        <v>&gt;</v>
      </c>
      <c r="L79" s="86" t="str">
        <f>IF(_epmOfflineCondition_,"",_xll.EVPRO($B$1,H79,"JDEID"))</f>
        <v/>
      </c>
      <c r="M79" s="86" t="str">
        <f>IF(_epmOfflineCondition_,"",IF(AND(I79="N",J79="N"),_xll.EVPRO($B$1,H79,"PSFTID"),""))</f>
        <v/>
      </c>
      <c r="N79" s="86" t="str">
        <f>IF(_epmOfflineCondition_,"F&amp;B Venues",IF(_xll.EVDES(H79,$B$1)="#NODATA","",_xll.EVDES(H79,$B$1)))</f>
        <v>F&amp;B Venues</v>
      </c>
      <c r="O79" s="248">
        <v>12469.99</v>
      </c>
      <c r="P79" s="248">
        <v>11814.21</v>
      </c>
      <c r="Q79" s="248">
        <v>13987.59</v>
      </c>
      <c r="R79" s="248">
        <v>10043.129999999999</v>
      </c>
      <c r="S79" s="248">
        <v>10987.64</v>
      </c>
      <c r="T79" s="248">
        <v>13111.65</v>
      </c>
      <c r="U79" s="248">
        <v>10634.49</v>
      </c>
      <c r="V79" s="248">
        <v>12064.92</v>
      </c>
      <c r="W79" s="248">
        <v>16537.29</v>
      </c>
      <c r="X79" s="248">
        <v>19188.599999999999</v>
      </c>
      <c r="Y79" s="248">
        <v>46563.01</v>
      </c>
      <c r="Z79" s="248">
        <v>27240.09</v>
      </c>
      <c r="AA79" s="229">
        <f t="shared" si="27"/>
        <v>204642.61000000002</v>
      </c>
      <c r="AB79" s="249">
        <f t="shared" si="28"/>
        <v>0.19904666771687476</v>
      </c>
      <c r="AC79" s="136"/>
      <c r="AD79" s="248">
        <v>270354.36</v>
      </c>
      <c r="AE79" s="249">
        <f t="shared" si="29"/>
        <v>9.2795944398813876E-2</v>
      </c>
      <c r="AF79" s="250">
        <f t="shared" si="30"/>
        <v>-65711.749999999971</v>
      </c>
      <c r="AG79" s="248">
        <v>102430.16</v>
      </c>
      <c r="AH79" s="249">
        <f t="shared" si="31"/>
        <v>0.36851293408942581</v>
      </c>
      <c r="AI79" s="250">
        <f t="shared" si="32"/>
        <v>102212.45000000001</v>
      </c>
      <c r="AJ79" s="232">
        <f t="shared" si="33"/>
        <v>5.9782831351698755</v>
      </c>
      <c r="AK79" s="233">
        <f t="shared" si="34"/>
        <v>3.6736548097468837</v>
      </c>
      <c r="AL79" s="235">
        <f t="shared" si="35"/>
        <v>9.6296098524019929</v>
      </c>
      <c r="AM79" s="421" t="str">
        <f t="shared" si="36"/>
        <v>10.63 pts.</v>
      </c>
      <c r="AN79" s="422" t="str">
        <f t="shared" si="37"/>
        <v>-16.95 pts.</v>
      </c>
      <c r="AO79" s="11"/>
      <c r="AP79" s="11"/>
    </row>
    <row r="80" spans="1:42" x14ac:dyDescent="0.25">
      <c r="A80" s="11"/>
      <c r="B80" s="11"/>
      <c r="C80" s="11"/>
      <c r="D80" s="11"/>
      <c r="E80" s="11"/>
      <c r="F80" s="11"/>
      <c r="G80" s="11"/>
      <c r="H80" s="392" t="s">
        <v>812</v>
      </c>
      <c r="I80" s="184" t="str">
        <f>IF(_epmOfflineCondition_,"T2",_xll.EVPRO($B$1,$H80,"STYLE"))</f>
        <v>T2</v>
      </c>
      <c r="J80" s="184" t="str">
        <f>IF(_epmOfflineCondition_,"Y",_xll.EVPRO($B$1,$H80,"CALC"))</f>
        <v>Y</v>
      </c>
      <c r="K80" s="185" t="str">
        <f t="shared" si="26"/>
        <v/>
      </c>
      <c r="L80" s="186" t="str">
        <f>IF(_epmOfflineCondition_,"",_xll.EVPRO($B$1,H80,"JDEID"))</f>
        <v/>
      </c>
      <c r="M80" s="186" t="str">
        <f>IF(_epmOfflineCondition_,"",IF(AND(I80="N",J80="N"),_xll.EVPRO($B$1,H80,"PSFTID"),""))</f>
        <v/>
      </c>
      <c r="N80" s="186" t="str">
        <f>IF(_epmOfflineCondition_,"Total Salaries and Wages",IF(_xll.EVDES(H80,$B$1)="#NODATA","",_xll.EVDES(H80,$B$1)))</f>
        <v>Total Salaries and Wages</v>
      </c>
      <c r="O80" s="236">
        <v>44482.91</v>
      </c>
      <c r="P80" s="236">
        <v>41404.79</v>
      </c>
      <c r="Q80" s="236">
        <v>43092.86</v>
      </c>
      <c r="R80" s="236">
        <v>37710.480000000003</v>
      </c>
      <c r="S80" s="236">
        <v>41866.58</v>
      </c>
      <c r="T80" s="236">
        <v>40291.629999999997</v>
      </c>
      <c r="U80" s="236">
        <v>31902.240000000002</v>
      </c>
      <c r="V80" s="236">
        <v>35536.519999999997</v>
      </c>
      <c r="W80" s="236">
        <v>44990.65</v>
      </c>
      <c r="X80" s="236">
        <v>57840.67</v>
      </c>
      <c r="Y80" s="236">
        <v>87298</v>
      </c>
      <c r="Z80" s="236">
        <v>74214.559999999998</v>
      </c>
      <c r="AA80" s="236">
        <f t="shared" si="27"/>
        <v>580631.89</v>
      </c>
      <c r="AB80" s="237">
        <f t="shared" si="28"/>
        <v>0.56475453902122819</v>
      </c>
      <c r="AC80" s="238"/>
      <c r="AD80" s="236">
        <v>767335.50131415296</v>
      </c>
      <c r="AE80" s="237">
        <f t="shared" si="29"/>
        <v>0.26337885771542252</v>
      </c>
      <c r="AF80" s="239">
        <f t="shared" si="30"/>
        <v>-186703.61131415295</v>
      </c>
      <c r="AG80" s="236">
        <v>287816.42</v>
      </c>
      <c r="AH80" s="237">
        <f t="shared" si="31"/>
        <v>1.0354769865956912</v>
      </c>
      <c r="AI80" s="239">
        <f t="shared" si="32"/>
        <v>292815.47000000003</v>
      </c>
      <c r="AJ80" s="215">
        <f t="shared" si="33"/>
        <v>16.962165580906195</v>
      </c>
      <c r="AK80" s="216">
        <f t="shared" si="34"/>
        <v>10.426781188556658</v>
      </c>
      <c r="AL80" s="218">
        <f t="shared" si="35"/>
        <v>27.058044561436493</v>
      </c>
      <c r="AM80" s="423" t="str">
        <f t="shared" si="36"/>
        <v>30.14 pts.</v>
      </c>
      <c r="AN80" s="424" t="str">
        <f t="shared" si="37"/>
        <v>-47.07 pts.</v>
      </c>
      <c r="AO80" s="11"/>
      <c r="AP80" s="11"/>
    </row>
    <row r="81" spans="1:42" x14ac:dyDescent="0.25">
      <c r="A81" s="57" t="s">
        <v>9</v>
      </c>
      <c r="B81" s="58" t="s">
        <v>10</v>
      </c>
      <c r="C81" s="11"/>
      <c r="D81" s="11"/>
      <c r="E81" s="11"/>
      <c r="F81" s="11"/>
      <c r="G81" s="11"/>
      <c r="H81" s="392" t="s">
        <v>836</v>
      </c>
      <c r="I81" s="118" t="str">
        <f>IF(_epmOfflineCondition_,"T3",_xll.EVPRO($B$1,$H81,"STYLE"))</f>
        <v>T3</v>
      </c>
      <c r="J81" s="118" t="str">
        <f>IF(_epmOfflineCondition_,"Y",_xll.EVPRO($B$1,$H81,"CALC"))</f>
        <v>Y</v>
      </c>
      <c r="K81" s="175" t="str">
        <f t="shared" si="26"/>
        <v>&gt;</v>
      </c>
      <c r="L81" s="86" t="str">
        <f>IF(_epmOfflineCondition_,"",_xll.EVPRO($B$1,H81,"JDEID"))</f>
        <v/>
      </c>
      <c r="M81" s="86" t="str">
        <f>IF(_epmOfflineCondition_,"",IF(AND(I81="N",J81="N"),_xll.EVPRO($B$1,H81,"PSFTID"),""))</f>
        <v/>
      </c>
      <c r="N81" s="86" t="str">
        <f>IF(_epmOfflineCondition_,"Service Charge Distribution",IF(_xll.EVDES(H81,$B$1)="#NODATA","",_xll.EVDES(H81,$B$1)))</f>
        <v>Service Charge Distribution</v>
      </c>
      <c r="O81" s="248">
        <v>12386.59</v>
      </c>
      <c r="P81" s="248">
        <v>12182.74</v>
      </c>
      <c r="Q81" s="248">
        <v>11637.64</v>
      </c>
      <c r="R81" s="248">
        <v>8859.14</v>
      </c>
      <c r="S81" s="248">
        <v>7422.45</v>
      </c>
      <c r="T81" s="248">
        <v>7013.76</v>
      </c>
      <c r="U81" s="248">
        <v>6940.4</v>
      </c>
      <c r="V81" s="248">
        <v>7434.63</v>
      </c>
      <c r="W81" s="248">
        <v>4809.0600000000004</v>
      </c>
      <c r="X81" s="248">
        <v>10181.1</v>
      </c>
      <c r="Y81" s="248">
        <v>19275.759999999998</v>
      </c>
      <c r="Z81" s="248">
        <v>24995.77</v>
      </c>
      <c r="AA81" s="248">
        <f t="shared" si="27"/>
        <v>133139.04</v>
      </c>
      <c r="AB81" s="249">
        <f t="shared" si="28"/>
        <v>0.12949835938382381</v>
      </c>
      <c r="AC81" s="136"/>
      <c r="AD81" s="248">
        <v>424425.71510570002</v>
      </c>
      <c r="AE81" s="249">
        <f t="shared" si="29"/>
        <v>0.14567911928764662</v>
      </c>
      <c r="AF81" s="250">
        <f t="shared" si="30"/>
        <v>-291286.67510570004</v>
      </c>
      <c r="AG81" s="248">
        <v>31887.360000000001</v>
      </c>
      <c r="AH81" s="249">
        <f t="shared" si="31"/>
        <v>0.11472113871506004</v>
      </c>
      <c r="AI81" s="250">
        <f t="shared" si="32"/>
        <v>101251.68000000001</v>
      </c>
      <c r="AJ81" s="244">
        <f t="shared" si="33"/>
        <v>3.8894288802547399</v>
      </c>
      <c r="AK81" s="245">
        <f t="shared" si="34"/>
        <v>5.7672218405440754</v>
      </c>
      <c r="AL81" s="247">
        <f t="shared" si="35"/>
        <v>2.9977775688634014</v>
      </c>
      <c r="AM81" s="425" t="str">
        <f t="shared" si="36"/>
        <v>-1.62 pts.</v>
      </c>
      <c r="AN81" s="426" t="str">
        <f t="shared" si="37"/>
        <v>1.48 pts.</v>
      </c>
      <c r="AO81" s="11"/>
      <c r="AP81" s="11"/>
    </row>
    <row r="82" spans="1:42" x14ac:dyDescent="0.25">
      <c r="A82" s="61" t="s">
        <v>11</v>
      </c>
      <c r="B82" s="62" t="s">
        <v>21</v>
      </c>
      <c r="C82" s="11"/>
      <c r="D82" s="11"/>
      <c r="E82" s="11"/>
      <c r="F82" s="11"/>
      <c r="G82" s="11"/>
      <c r="H82" s="392" t="s">
        <v>904</v>
      </c>
      <c r="I82" s="118" t="str">
        <f>IF(_epmOfflineCondition_,"T3",_xll.EVPRO($B$1,$H82,"STYLE"))</f>
        <v>T3</v>
      </c>
      <c r="J82" s="118" t="str">
        <f>IF(_epmOfflineCondition_,"Y",_xll.EVPRO($B$1,$H82,"CALC"))</f>
        <v>Y</v>
      </c>
      <c r="K82" s="175" t="str">
        <f t="shared" si="26"/>
        <v>&gt;</v>
      </c>
      <c r="L82" s="86" t="str">
        <f>IF(_epmOfflineCondition_,"",_xll.EVPRO($B$1,H82,"JDEID"))</f>
        <v/>
      </c>
      <c r="M82" s="86" t="str">
        <f>IF(_epmOfflineCondition_,"",IF(AND(I82="N",J82="N"),_xll.EVPRO($B$1,H82,"PSFTID"),""))</f>
        <v/>
      </c>
      <c r="N82" s="86" t="str">
        <f>IF(_epmOfflineCondition_,"Contracted &amp; Leased Labor",IF(_xll.EVDES(H82,$B$1)="#NODATA","",_xll.EVDES(H82,$B$1)))</f>
        <v>Contracted &amp; Leased Labor</v>
      </c>
      <c r="O82" s="248"/>
      <c r="P82" s="248"/>
      <c r="Q82" s="248"/>
      <c r="R82" s="248"/>
      <c r="S82" s="248"/>
      <c r="T82" s="248"/>
      <c r="U82" s="248"/>
      <c r="V82" s="248"/>
      <c r="W82" s="248"/>
      <c r="X82" s="248"/>
      <c r="Y82" s="248"/>
      <c r="Z82" s="248"/>
      <c r="AA82" s="229">
        <f t="shared" si="27"/>
        <v>0</v>
      </c>
      <c r="AB82" s="249" t="str">
        <f t="shared" si="28"/>
        <v/>
      </c>
      <c r="AC82" s="136"/>
      <c r="AD82" s="248">
        <v>12000</v>
      </c>
      <c r="AE82" s="249">
        <f t="shared" si="29"/>
        <v>4.1188584226485806E-3</v>
      </c>
      <c r="AF82" s="250">
        <f t="shared" si="30"/>
        <v>-12000</v>
      </c>
      <c r="AG82" s="248"/>
      <c r="AH82" s="249" t="str">
        <f t="shared" si="31"/>
        <v/>
      </c>
      <c r="AI82" s="250">
        <f t="shared" si="32"/>
        <v>0</v>
      </c>
      <c r="AJ82" s="224">
        <f t="shared" si="33"/>
        <v>0</v>
      </c>
      <c r="AK82" s="225">
        <f t="shared" si="34"/>
        <v>0.16305954051180313</v>
      </c>
      <c r="AL82" s="227">
        <f t="shared" si="35"/>
        <v>0</v>
      </c>
      <c r="AM82" s="419">
        <f t="shared" si="36"/>
        <v>0</v>
      </c>
      <c r="AN82" s="420">
        <f t="shared" si="37"/>
        <v>0</v>
      </c>
      <c r="AO82" s="11"/>
      <c r="AP82" s="11"/>
    </row>
    <row r="83" spans="1:42" x14ac:dyDescent="0.25">
      <c r="A83" s="61" t="s">
        <v>12</v>
      </c>
      <c r="B83" s="62" t="s">
        <v>22</v>
      </c>
      <c r="C83" s="11"/>
      <c r="D83" s="11"/>
      <c r="E83" s="11"/>
      <c r="F83" s="11"/>
      <c r="G83" s="11"/>
      <c r="H83" s="392" t="s">
        <v>813</v>
      </c>
      <c r="I83" s="118" t="str">
        <f>IF(_epmOfflineCondition_,"T3",_xll.EVPRO($B$1,$H83,"STYLE"))</f>
        <v>T3</v>
      </c>
      <c r="J83" s="118" t="str">
        <f>IF(_epmOfflineCondition_,"Y",_xll.EVPRO($B$1,$H83,"CALC"))</f>
        <v>Y</v>
      </c>
      <c r="K83" s="175" t="str">
        <f t="shared" si="26"/>
        <v>&gt;</v>
      </c>
      <c r="L83" s="86" t="str">
        <f>IF(_epmOfflineCondition_,"",_xll.EVPRO($B$1,H83,"JDEID"))</f>
        <v/>
      </c>
      <c r="M83" s="86" t="str">
        <f>IF(_epmOfflineCondition_,"",IF(AND(I83="N",J83="N"),_xll.EVPRO($B$1,H83,"PSFTID"),""))</f>
        <v/>
      </c>
      <c r="N83" s="86" t="str">
        <f>IF(_epmOfflineCondition_,"Bonuses &amp; Incentives",IF(_xll.EVDES(H83,$B$1)="#NODATA","",_xll.EVDES(H83,$B$1)))</f>
        <v>Bonuses &amp; Incentives</v>
      </c>
      <c r="O83" s="248">
        <v>4087.04</v>
      </c>
      <c r="P83" s="248">
        <v>10604.6</v>
      </c>
      <c r="Q83" s="248">
        <v>4371.41</v>
      </c>
      <c r="R83" s="248">
        <v>4087.04</v>
      </c>
      <c r="S83" s="248">
        <v>3856.35</v>
      </c>
      <c r="T83" s="248">
        <v>4209.6099999999997</v>
      </c>
      <c r="U83" s="248">
        <v>4317.8900000000003</v>
      </c>
      <c r="V83" s="248">
        <v>3924.44</v>
      </c>
      <c r="W83" s="248">
        <v>4209.6099999999997</v>
      </c>
      <c r="X83" s="248">
        <v>4209.6099999999997</v>
      </c>
      <c r="Y83" s="248">
        <v>4005.38</v>
      </c>
      <c r="Z83" s="248">
        <v>4740.8599999999997</v>
      </c>
      <c r="AA83" s="229">
        <f t="shared" si="27"/>
        <v>56623.840000000004</v>
      </c>
      <c r="AB83" s="249">
        <f t="shared" si="28"/>
        <v>5.5075463830985549E-2</v>
      </c>
      <c r="AC83" s="136"/>
      <c r="AD83" s="248">
        <v>65437.017551565601</v>
      </c>
      <c r="AE83" s="249">
        <f t="shared" si="29"/>
        <v>2.2460484241272418E-2</v>
      </c>
      <c r="AF83" s="250">
        <f t="shared" si="30"/>
        <v>-8813.1775515655972</v>
      </c>
      <c r="AG83" s="248">
        <v>44000.9</v>
      </c>
      <c r="AH83" s="249">
        <f t="shared" si="31"/>
        <v>0.15830201535929864</v>
      </c>
      <c r="AI83" s="250">
        <f t="shared" si="32"/>
        <v>12622.940000000002</v>
      </c>
      <c r="AJ83" s="232">
        <f t="shared" si="33"/>
        <v>1.654168443808244</v>
      </c>
      <c r="AK83" s="233">
        <f t="shared" si="34"/>
        <v>0.88917750120175698</v>
      </c>
      <c r="AL83" s="235">
        <f t="shared" si="35"/>
        <v>4.1365892638901949</v>
      </c>
      <c r="AM83" s="421" t="str">
        <f t="shared" si="36"/>
        <v>3.26 pts.</v>
      </c>
      <c r="AN83" s="422" t="str">
        <f t="shared" si="37"/>
        <v>-10.32 pts.</v>
      </c>
      <c r="AO83" s="11"/>
      <c r="AP83" s="11"/>
    </row>
    <row r="84" spans="1:42" x14ac:dyDescent="0.25">
      <c r="A84" s="61" t="s">
        <v>13</v>
      </c>
      <c r="B84" s="62" t="s">
        <v>738</v>
      </c>
      <c r="C84" s="11"/>
      <c r="D84" s="11"/>
      <c r="E84" s="11"/>
      <c r="F84" s="11"/>
      <c r="G84" s="11"/>
      <c r="H84" s="392" t="s">
        <v>814</v>
      </c>
      <c r="I84" s="184" t="str">
        <f>IF(_epmOfflineCondition_,"T2",_xll.EVPRO($B$1,$H84,"STYLE"))</f>
        <v>T2</v>
      </c>
      <c r="J84" s="184" t="str">
        <f>IF(_epmOfflineCondition_,"Y",_xll.EVPRO($B$1,$H84,"CALC"))</f>
        <v>Y</v>
      </c>
      <c r="K84" s="185" t="str">
        <f t="shared" si="26"/>
        <v/>
      </c>
      <c r="L84" s="186" t="str">
        <f>IF(_epmOfflineCondition_,"",_xll.EVPRO($B$1,H84,"JDEID"))</f>
        <v/>
      </c>
      <c r="M84" s="186" t="str">
        <f>IF(_epmOfflineCondition_,"",IF(AND(I84="N",J84="N"),_xll.EVPRO($B$1,H84,"PSFTID"),""))</f>
        <v/>
      </c>
      <c r="N84" s="186" t="str">
        <f>IF(_epmOfflineCondition_,"Total Labor Expense",IF(_xll.EVDES(H84,$B$1)="#NODATA","",_xll.EVDES(H84,$B$1)))</f>
        <v>Total Labor Expense</v>
      </c>
      <c r="O84" s="236">
        <v>60956.54</v>
      </c>
      <c r="P84" s="236">
        <v>64192.13</v>
      </c>
      <c r="Q84" s="236">
        <v>59101.91</v>
      </c>
      <c r="R84" s="236">
        <v>50656.66</v>
      </c>
      <c r="S84" s="236">
        <v>53145.38</v>
      </c>
      <c r="T84" s="236">
        <v>51515</v>
      </c>
      <c r="U84" s="236">
        <v>43160.53</v>
      </c>
      <c r="V84" s="236">
        <v>46895.59</v>
      </c>
      <c r="W84" s="236">
        <v>54009.32</v>
      </c>
      <c r="X84" s="236">
        <v>72231.38</v>
      </c>
      <c r="Y84" s="236">
        <v>110579.14</v>
      </c>
      <c r="Z84" s="236">
        <v>103951.19</v>
      </c>
      <c r="AA84" s="236">
        <f t="shared" si="27"/>
        <v>770394.77</v>
      </c>
      <c r="AB84" s="237">
        <f t="shared" si="28"/>
        <v>0.74932836223603749</v>
      </c>
      <c r="AC84" s="238"/>
      <c r="AD84" s="236">
        <v>1269198.23397142</v>
      </c>
      <c r="AE84" s="237">
        <f t="shared" si="29"/>
        <v>0.43563731966699065</v>
      </c>
      <c r="AF84" s="239">
        <f t="shared" si="30"/>
        <v>-498803.46397141996</v>
      </c>
      <c r="AG84" s="236">
        <v>363704.68</v>
      </c>
      <c r="AH84" s="237">
        <f t="shared" si="31"/>
        <v>1.3085001406700498</v>
      </c>
      <c r="AI84" s="239">
        <f t="shared" si="32"/>
        <v>406690.09</v>
      </c>
      <c r="AJ84" s="215">
        <f t="shared" si="33"/>
        <v>22.505762904969181</v>
      </c>
      <c r="AK84" s="216">
        <f t="shared" si="34"/>
        <v>17.246240070814313</v>
      </c>
      <c r="AL84" s="218">
        <f t="shared" si="35"/>
        <v>34.192411394190088</v>
      </c>
      <c r="AM84" s="423" t="str">
        <f t="shared" si="36"/>
        <v>31.37 pts.</v>
      </c>
      <c r="AN84" s="424" t="str">
        <f t="shared" si="37"/>
        <v>-55.92 pts.</v>
      </c>
      <c r="AO84" s="11"/>
      <c r="AP84" s="11"/>
    </row>
    <row r="85" spans="1:42" x14ac:dyDescent="0.25">
      <c r="A85" s="61" t="s">
        <v>14</v>
      </c>
      <c r="B85" s="62"/>
      <c r="C85" s="11"/>
      <c r="D85" s="11"/>
      <c r="E85" s="11"/>
      <c r="F85" s="11"/>
      <c r="G85" s="11"/>
      <c r="H85" s="392" t="s">
        <v>815</v>
      </c>
      <c r="I85" s="118" t="str">
        <f>IF(_epmOfflineCondition_,"T3",_xll.EVPRO($B$1,$H85,"STYLE"))</f>
        <v>T3</v>
      </c>
      <c r="J85" s="118" t="str">
        <f>IF(_epmOfflineCondition_,"Y",_xll.EVPRO($B$1,$H85,"CALC"))</f>
        <v>Y</v>
      </c>
      <c r="K85" s="175" t="str">
        <f t="shared" si="26"/>
        <v>&gt;</v>
      </c>
      <c r="L85" s="86" t="str">
        <f>IF(_epmOfflineCondition_,"",_xll.EVPRO($B$1,H85,"JDEID"))</f>
        <v/>
      </c>
      <c r="M85" s="86" t="str">
        <f>IF(_epmOfflineCondition_,"",IF(AND(I85="N",J85="N"),_xll.EVPRO($B$1,H85,"PSFTID"),""))</f>
        <v/>
      </c>
      <c r="N85" s="86" t="str">
        <f>IF(_epmOfflineCondition_,"Payroll Taxes",IF(_xll.EVDES(H85,$B$1)="#NODATA","",_xll.EVDES(H85,$B$1)))</f>
        <v>Payroll Taxes</v>
      </c>
      <c r="O85" s="248">
        <v>5552.28</v>
      </c>
      <c r="P85" s="248">
        <v>5751.56</v>
      </c>
      <c r="Q85" s="248">
        <v>4795.74</v>
      </c>
      <c r="R85" s="248">
        <v>3791.31</v>
      </c>
      <c r="S85" s="248">
        <v>4338.1400000000003</v>
      </c>
      <c r="T85" s="248">
        <v>4174.57</v>
      </c>
      <c r="U85" s="248">
        <v>3471.37</v>
      </c>
      <c r="V85" s="248">
        <v>4099.55</v>
      </c>
      <c r="W85" s="248">
        <v>3844.69</v>
      </c>
      <c r="X85" s="248">
        <v>2461.0700000000002</v>
      </c>
      <c r="Y85" s="248">
        <v>8117.61</v>
      </c>
      <c r="Z85" s="248">
        <v>8417.39</v>
      </c>
      <c r="AA85" s="248">
        <f t="shared" si="27"/>
        <v>58815.28</v>
      </c>
      <c r="AB85" s="249">
        <f t="shared" si="28"/>
        <v>5.7206979010065148E-2</v>
      </c>
      <c r="AC85" s="136"/>
      <c r="AD85" s="248">
        <v>130752.32624351</v>
      </c>
      <c r="AE85" s="249">
        <f t="shared" si="29"/>
        <v>4.4879193352414692E-2</v>
      </c>
      <c r="AF85" s="250">
        <f t="shared" si="30"/>
        <v>-71937.046243510005</v>
      </c>
      <c r="AG85" s="248">
        <v>31155.98</v>
      </c>
      <c r="AH85" s="249">
        <f t="shared" si="31"/>
        <v>0.11208985326422871</v>
      </c>
      <c r="AI85" s="250">
        <f t="shared" si="32"/>
        <v>27659.3</v>
      </c>
      <c r="AJ85" s="244">
        <f t="shared" si="33"/>
        <v>1.7181876077239928</v>
      </c>
      <c r="AK85" s="245">
        <f t="shared" si="34"/>
        <v>1.7767011865096767</v>
      </c>
      <c r="AL85" s="247">
        <f t="shared" si="35"/>
        <v>2.9290194603741657</v>
      </c>
      <c r="AM85" s="425" t="str">
        <f t="shared" si="36"/>
        <v>1.23 pts.</v>
      </c>
      <c r="AN85" s="426" t="str">
        <f t="shared" si="37"/>
        <v>-5.49 pts.</v>
      </c>
      <c r="AO85" s="11"/>
      <c r="AP85" s="11"/>
    </row>
    <row r="86" spans="1:42" x14ac:dyDescent="0.25">
      <c r="A86" s="61" t="s">
        <v>15</v>
      </c>
      <c r="B86" s="62"/>
      <c r="C86" s="11"/>
      <c r="D86" s="11"/>
      <c r="E86" s="11"/>
      <c r="F86" s="11"/>
      <c r="G86" s="11"/>
      <c r="H86" s="392" t="s">
        <v>816</v>
      </c>
      <c r="I86" s="118" t="str">
        <f>IF(_epmOfflineCondition_,"T3",_xll.EVPRO($B$1,$H86,"STYLE"))</f>
        <v>T3</v>
      </c>
      <c r="J86" s="118" t="str">
        <f>IF(_epmOfflineCondition_,"Y",_xll.EVPRO($B$1,$H86,"CALC"))</f>
        <v>Y</v>
      </c>
      <c r="K86" s="175" t="str">
        <f t="shared" si="26"/>
        <v>&gt;</v>
      </c>
      <c r="L86" s="86" t="str">
        <f>IF(_epmOfflineCondition_,"",_xll.EVPRO($B$1,H86,"JDEID"))</f>
        <v/>
      </c>
      <c r="M86" s="86" t="str">
        <f>IF(_epmOfflineCondition_,"",IF(AND(I86="N",J86="N"),_xll.EVPRO($B$1,H86,"PSFTID"),""))</f>
        <v/>
      </c>
      <c r="N86" s="86" t="str">
        <f>IF(_epmOfflineCondition_,"Supplemental Pay",IF(_xll.EVDES(H86,$B$1)="#NODATA","",_xll.EVDES(H86,$B$1)))</f>
        <v>Supplemental Pay</v>
      </c>
      <c r="O86" s="248">
        <v>1819.56</v>
      </c>
      <c r="P86" s="248">
        <v>1384.14</v>
      </c>
      <c r="Q86" s="248">
        <v>1303.53</v>
      </c>
      <c r="R86" s="248">
        <v>2689.04</v>
      </c>
      <c r="S86" s="248">
        <v>2343.0100000000002</v>
      </c>
      <c r="T86" s="248">
        <v>33.61</v>
      </c>
      <c r="U86" s="248">
        <v>3316.39</v>
      </c>
      <c r="V86" s="248">
        <v>1380.71</v>
      </c>
      <c r="W86" s="248">
        <v>3592.94</v>
      </c>
      <c r="X86" s="248">
        <v>5450.5</v>
      </c>
      <c r="Y86" s="248">
        <v>3117.86</v>
      </c>
      <c r="Z86" s="248">
        <v>1052.01</v>
      </c>
      <c r="AA86" s="229">
        <f t="shared" si="27"/>
        <v>27483.299999999996</v>
      </c>
      <c r="AB86" s="249">
        <f t="shared" si="28"/>
        <v>2.6731770489357924E-2</v>
      </c>
      <c r="AC86" s="136"/>
      <c r="AD86" s="248">
        <v>28654.247308968399</v>
      </c>
      <c r="AE86" s="249">
        <f t="shared" si="29"/>
        <v>9.8352323227666599E-3</v>
      </c>
      <c r="AF86" s="250">
        <f t="shared" si="30"/>
        <v>-1170.9473089684034</v>
      </c>
      <c r="AG86" s="248">
        <v>9820.5</v>
      </c>
      <c r="AH86" s="249">
        <f t="shared" si="31"/>
        <v>3.5331207812476388E-2</v>
      </c>
      <c r="AI86" s="250">
        <f t="shared" si="32"/>
        <v>17662.799999999996</v>
      </c>
      <c r="AJ86" s="224">
        <f t="shared" si="33"/>
        <v>0.80287750869095253</v>
      </c>
      <c r="AK86" s="225">
        <f t="shared" si="34"/>
        <v>0.38936236665932988</v>
      </c>
      <c r="AL86" s="227">
        <f t="shared" si="35"/>
        <v>0.92323963523549868</v>
      </c>
      <c r="AM86" s="419" t="str">
        <f t="shared" si="36"/>
        <v>1.69 pts.</v>
      </c>
      <c r="AN86" s="420" t="str">
        <f t="shared" si="37"/>
        <v>-0.86 pts.</v>
      </c>
      <c r="AO86" s="11"/>
      <c r="AP86" s="11"/>
    </row>
    <row r="87" spans="1:42" x14ac:dyDescent="0.25">
      <c r="A87" s="61" t="s">
        <v>16</v>
      </c>
      <c r="B87" s="62" t="s">
        <v>78</v>
      </c>
      <c r="C87" s="11"/>
      <c r="D87" s="11"/>
      <c r="E87" s="11"/>
      <c r="F87" s="11"/>
      <c r="G87" s="11"/>
      <c r="H87" s="392" t="s">
        <v>817</v>
      </c>
      <c r="I87" s="118" t="str">
        <f>IF(_epmOfflineCondition_,"T3",_xll.EVPRO($B$1,$H87,"STYLE"))</f>
        <v>T3</v>
      </c>
      <c r="J87" s="118" t="str">
        <f>IF(_epmOfflineCondition_,"Y",_xll.EVPRO($B$1,$H87,"CALC"))</f>
        <v>Y</v>
      </c>
      <c r="K87" s="175" t="str">
        <f t="shared" si="26"/>
        <v>&gt;</v>
      </c>
      <c r="L87" s="86" t="str">
        <f>IF(_epmOfflineCondition_,"",_xll.EVPRO($B$1,H87,"JDEID"))</f>
        <v/>
      </c>
      <c r="M87" s="86" t="str">
        <f>IF(_epmOfflineCondition_,"",IF(AND(I87="N",J87="N"),_xll.EVPRO($B$1,H87,"PSFTID"),""))</f>
        <v/>
      </c>
      <c r="N87" s="86" t="str">
        <f>IF(_epmOfflineCondition_,"Employee Benefits",IF(_xll.EVDES(H87,$B$1)="#NODATA","",_xll.EVDES(H87,$B$1)))</f>
        <v>Employee Benefits</v>
      </c>
      <c r="O87" s="248">
        <v>-5055.67</v>
      </c>
      <c r="P87" s="248">
        <v>4079.56</v>
      </c>
      <c r="Q87" s="248">
        <v>6364.76</v>
      </c>
      <c r="R87" s="248">
        <v>138.94999999999999</v>
      </c>
      <c r="S87" s="248">
        <v>5240.01</v>
      </c>
      <c r="T87" s="248">
        <v>5074.76</v>
      </c>
      <c r="U87" s="248">
        <v>5103.9399999999996</v>
      </c>
      <c r="V87" s="248">
        <v>4782.7</v>
      </c>
      <c r="W87" s="248">
        <v>3664.47</v>
      </c>
      <c r="X87" s="248">
        <v>504.85</v>
      </c>
      <c r="Y87" s="248">
        <v>7474.92</v>
      </c>
      <c r="Z87" s="248">
        <v>6485.94</v>
      </c>
      <c r="AA87" s="229">
        <f t="shared" si="27"/>
        <v>43859.19</v>
      </c>
      <c r="AB87" s="249">
        <f t="shared" si="28"/>
        <v>4.2659862568510419E-2</v>
      </c>
      <c r="AC87" s="136"/>
      <c r="AD87" s="248">
        <v>71496.523778988907</v>
      </c>
      <c r="AE87" s="249">
        <f t="shared" si="29"/>
        <v>2.4540338263098583E-2</v>
      </c>
      <c r="AF87" s="250">
        <f t="shared" si="30"/>
        <v>-27637.333778988905</v>
      </c>
      <c r="AG87" s="248">
        <v>38771.22</v>
      </c>
      <c r="AH87" s="249">
        <f t="shared" si="31"/>
        <v>0.13948719830591524</v>
      </c>
      <c r="AI87" s="250">
        <f t="shared" si="32"/>
        <v>5087.9700000000012</v>
      </c>
      <c r="AJ87" s="232">
        <f t="shared" si="33"/>
        <v>1.2812710700826737</v>
      </c>
      <c r="AK87" s="233">
        <f t="shared" si="34"/>
        <v>0.97151585963276144</v>
      </c>
      <c r="AL87" s="235">
        <f t="shared" si="35"/>
        <v>3.6449393626022375</v>
      </c>
      <c r="AM87" s="421" t="str">
        <f t="shared" si="36"/>
        <v>1.81 pts.</v>
      </c>
      <c r="AN87" s="422" t="str">
        <f t="shared" si="37"/>
        <v>-9.68 pts.</v>
      </c>
      <c r="AO87" s="11"/>
      <c r="AP87" s="11"/>
    </row>
    <row r="88" spans="1:42" x14ac:dyDescent="0.25">
      <c r="A88" s="61" t="s">
        <v>17</v>
      </c>
      <c r="B88" s="62"/>
      <c r="C88" s="11"/>
      <c r="D88" s="11"/>
      <c r="E88" s="11"/>
      <c r="F88" s="11"/>
      <c r="G88" s="11"/>
      <c r="H88" s="392" t="s">
        <v>818</v>
      </c>
      <c r="I88" s="184" t="str">
        <f>IF(_epmOfflineCondition_,"T2",_xll.EVPRO($B$1,$H88,"STYLE"))</f>
        <v>T2</v>
      </c>
      <c r="J88" s="184" t="str">
        <f>IF(_epmOfflineCondition_,"Y",_xll.EVPRO($B$1,$H88,"CALC"))</f>
        <v>Y</v>
      </c>
      <c r="K88" s="185" t="str">
        <f t="shared" si="26"/>
        <v/>
      </c>
      <c r="L88" s="186" t="str">
        <f>IF(_epmOfflineCondition_,"",_xll.EVPRO($B$1,H88,"JDEID"))</f>
        <v/>
      </c>
      <c r="M88" s="186" t="str">
        <f>IF(_epmOfflineCondition_,"",IF(AND(I88="N",J88="N"),_xll.EVPRO($B$1,H88,"PSFTID"),""))</f>
        <v/>
      </c>
      <c r="N88" s="186" t="str">
        <f>IF(_epmOfflineCondition_,"Total Payroll Related",IF(_xll.EVDES(H88,$B$1)="#NODATA","",_xll.EVDES(H88,$B$1)))</f>
        <v>Total Payroll Related</v>
      </c>
      <c r="O88" s="210">
        <v>2316.17</v>
      </c>
      <c r="P88" s="210">
        <v>11215.26</v>
      </c>
      <c r="Q88" s="210">
        <v>12464.03</v>
      </c>
      <c r="R88" s="210">
        <v>6619.3</v>
      </c>
      <c r="S88" s="210">
        <v>11921.16</v>
      </c>
      <c r="T88" s="210">
        <v>9282.94</v>
      </c>
      <c r="U88" s="210">
        <v>11891.7</v>
      </c>
      <c r="V88" s="210">
        <v>10262.959999999999</v>
      </c>
      <c r="W88" s="210">
        <v>11102.1</v>
      </c>
      <c r="X88" s="210">
        <v>8416.42</v>
      </c>
      <c r="Y88" s="210">
        <v>18710.39</v>
      </c>
      <c r="Z88" s="210">
        <v>15955.34</v>
      </c>
      <c r="AA88" s="210">
        <f t="shared" si="27"/>
        <v>130157.76999999999</v>
      </c>
      <c r="AB88" s="211">
        <f t="shared" si="28"/>
        <v>0.12659861206793349</v>
      </c>
      <c r="AC88" s="251"/>
      <c r="AD88" s="210">
        <v>230903.097331467</v>
      </c>
      <c r="AE88" s="211">
        <f t="shared" si="29"/>
        <v>7.9254763938279821E-2</v>
      </c>
      <c r="AF88" s="252">
        <f t="shared" si="30"/>
        <v>-100745.32733146701</v>
      </c>
      <c r="AG88" s="210">
        <v>79747.7</v>
      </c>
      <c r="AH88" s="211">
        <f t="shared" si="31"/>
        <v>0.28690825938262032</v>
      </c>
      <c r="AI88" s="252">
        <f t="shared" si="32"/>
        <v>50410.069999999992</v>
      </c>
      <c r="AJ88" s="253">
        <f t="shared" si="33"/>
        <v>3.8023361864976186</v>
      </c>
      <c r="AK88" s="254">
        <f t="shared" si="34"/>
        <v>3.1375794128017636</v>
      </c>
      <c r="AL88" s="256">
        <f t="shared" si="35"/>
        <v>7.4971984582119013</v>
      </c>
      <c r="AM88" s="427" t="str">
        <f t="shared" si="36"/>
        <v>4.73 pts.</v>
      </c>
      <c r="AN88" s="428" t="str">
        <f t="shared" si="37"/>
        <v>-16.03 pts.</v>
      </c>
      <c r="AO88" s="11"/>
      <c r="AP88" s="11"/>
    </row>
    <row r="89" spans="1:42" x14ac:dyDescent="0.25">
      <c r="A89" s="11"/>
      <c r="B89" s="11"/>
      <c r="C89" s="11"/>
      <c r="D89" s="11"/>
      <c r="E89" s="11"/>
      <c r="F89" s="11"/>
      <c r="G89" s="11"/>
      <c r="H89" s="392" t="s">
        <v>76</v>
      </c>
      <c r="I89" s="184" t="str">
        <f>IF(_epmOfflineCondition_,"T1",_xll.EVPRO($B$1,$H89,"STYLE"))</f>
        <v>T1</v>
      </c>
      <c r="J89" s="184" t="str">
        <f>IF(_epmOfflineCondition_,"Y",_xll.EVPRO($B$1,$H89,"CALC"))</f>
        <v>Y</v>
      </c>
      <c r="K89" s="185" t="str">
        <f t="shared" si="26"/>
        <v/>
      </c>
      <c r="L89" s="186" t="str">
        <f>IF(_epmOfflineCondition_,"600000",_xll.EVPRO($B$1,H89,"JDEID"))</f>
        <v>600000</v>
      </c>
      <c r="M89" s="186" t="str">
        <f>IF(_epmOfflineCondition_,"",IF(AND(I89="N",J89="N"),_xll.EVPRO($B$1,H89,"PSFTID"),""))</f>
        <v/>
      </c>
      <c r="N89" s="186" t="str">
        <f>IF(_epmOfflineCondition_,"Total Labor &amp; Related Exp",IF(_xll.EVDES(H89,$B$1)="#NODATA","",_xll.EVDES(H89,$B$1)))</f>
        <v>Total Labor &amp; Related Exp</v>
      </c>
      <c r="O89" s="210">
        <v>63272.71</v>
      </c>
      <c r="P89" s="210">
        <v>75407.39</v>
      </c>
      <c r="Q89" s="210">
        <v>71565.94</v>
      </c>
      <c r="R89" s="210">
        <v>57275.96</v>
      </c>
      <c r="S89" s="210">
        <v>65066.54</v>
      </c>
      <c r="T89" s="210">
        <v>60797.94</v>
      </c>
      <c r="U89" s="210">
        <v>55052.23</v>
      </c>
      <c r="V89" s="210">
        <v>57158.55</v>
      </c>
      <c r="W89" s="210">
        <v>65111.42</v>
      </c>
      <c r="X89" s="210">
        <v>80647.8</v>
      </c>
      <c r="Y89" s="210">
        <v>129289.53</v>
      </c>
      <c r="Z89" s="210">
        <v>119906.53</v>
      </c>
      <c r="AA89" s="210">
        <f t="shared" si="27"/>
        <v>900552.54</v>
      </c>
      <c r="AB89" s="211">
        <f t="shared" si="28"/>
        <v>0.87592697430397104</v>
      </c>
      <c r="AC89" s="251"/>
      <c r="AD89" s="210">
        <v>1500101.3313028901</v>
      </c>
      <c r="AE89" s="211">
        <f t="shared" si="29"/>
        <v>0.5148920836052715</v>
      </c>
      <c r="AF89" s="252">
        <f t="shared" si="30"/>
        <v>-599548.79130289005</v>
      </c>
      <c r="AG89" s="210">
        <v>443452.38</v>
      </c>
      <c r="AH89" s="211">
        <f t="shared" si="31"/>
        <v>1.5954084000526703</v>
      </c>
      <c r="AI89" s="252">
        <f t="shared" si="32"/>
        <v>457100.16000000003</v>
      </c>
      <c r="AJ89" s="206">
        <f t="shared" si="33"/>
        <v>26.308099091466801</v>
      </c>
      <c r="AK89" s="207">
        <f t="shared" si="34"/>
        <v>20.383819483616119</v>
      </c>
      <c r="AL89" s="209">
        <f t="shared" si="35"/>
        <v>41.689609852401993</v>
      </c>
      <c r="AM89" s="429" t="str">
        <f t="shared" si="36"/>
        <v>36.1 pts.</v>
      </c>
      <c r="AN89" s="430" t="str">
        <f t="shared" si="37"/>
        <v>-71.95 pts.</v>
      </c>
      <c r="AO89" s="11"/>
      <c r="AP89" s="11"/>
    </row>
    <row r="90" spans="1:42" x14ac:dyDescent="0.25">
      <c r="A90" s="93" t="s">
        <v>92</v>
      </c>
      <c r="B90" s="94" t="s">
        <v>93</v>
      </c>
      <c r="C90" s="94" t="s">
        <v>94</v>
      </c>
      <c r="D90" s="94" t="s">
        <v>95</v>
      </c>
      <c r="E90" s="94" t="s">
        <v>96</v>
      </c>
      <c r="F90" s="95" t="s">
        <v>97</v>
      </c>
      <c r="G90" s="11"/>
      <c r="H90" s="11"/>
      <c r="I90" s="55"/>
      <c r="J90" s="55"/>
      <c r="K90" s="11"/>
      <c r="L90" s="11"/>
      <c r="M90" s="11"/>
      <c r="N90" s="11"/>
      <c r="O90" s="409"/>
      <c r="P90" s="410"/>
      <c r="Q90" s="410"/>
      <c r="R90" s="410"/>
      <c r="S90" s="410"/>
      <c r="T90" s="410"/>
      <c r="U90" s="410"/>
      <c r="V90" s="410"/>
      <c r="W90" s="410"/>
      <c r="X90" s="410"/>
      <c r="Y90" s="410"/>
      <c r="Z90" s="410"/>
      <c r="AA90" s="410"/>
      <c r="AB90" s="127"/>
      <c r="AC90" s="11"/>
      <c r="AD90" s="409"/>
      <c r="AE90" s="126"/>
      <c r="AF90" s="127"/>
      <c r="AG90" s="409"/>
      <c r="AH90" s="126"/>
      <c r="AI90" s="127"/>
      <c r="AJ90" s="11"/>
      <c r="AK90" s="11"/>
      <c r="AL90" s="11"/>
      <c r="AM90" s="11"/>
      <c r="AN90" s="11"/>
      <c r="AO90" s="11"/>
      <c r="AP90" s="11"/>
    </row>
    <row r="91" spans="1:42" x14ac:dyDescent="0.25">
      <c r="A91" s="11"/>
      <c r="B91" s="11"/>
      <c r="C91" s="11"/>
      <c r="D91" s="11"/>
      <c r="E91" s="11"/>
      <c r="F91" s="11"/>
      <c r="G91" s="11"/>
      <c r="H91" s="11" t="s">
        <v>82</v>
      </c>
      <c r="I91" s="55" t="str">
        <f>IF(_epmOfflineCondition_,"B1",_xll.EVPRO($B$1,$H91,"STYLE"))</f>
        <v>B1</v>
      </c>
      <c r="J91" s="55" t="str">
        <f>IF(_epmOfflineCondition_,"Y",_xll.EVPRO($B$1,$H91,"CALC"))</f>
        <v>Y</v>
      </c>
      <c r="K91" s="11"/>
      <c r="L91" s="11"/>
      <c r="M91" s="11"/>
      <c r="N91" s="101" t="str">
        <f>IF(_epmOfflineCondition_,"Other Expenses",IF(_xll.EVDES(H91,$B$1)="#NODATA","",_xll.EVDES(H91,$B$1)))</f>
        <v>Other Expenses</v>
      </c>
      <c r="O91" s="115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7"/>
      <c r="AC91" s="11"/>
      <c r="AD91" s="115"/>
      <c r="AE91" s="116"/>
      <c r="AF91" s="117"/>
      <c r="AG91" s="115"/>
      <c r="AH91" s="116"/>
      <c r="AI91" s="117"/>
      <c r="AJ91" s="11"/>
      <c r="AK91" s="11"/>
      <c r="AL91" s="11"/>
      <c r="AM91" s="11"/>
      <c r="AN91" s="11"/>
      <c r="AO91" s="11"/>
      <c r="AP91" s="11"/>
    </row>
    <row r="92" spans="1:42" x14ac:dyDescent="0.25">
      <c r="A92" s="11" t="s">
        <v>108</v>
      </c>
      <c r="B92" s="11"/>
      <c r="C92" s="100" t="s">
        <v>101</v>
      </c>
      <c r="D92" s="11" t="s">
        <v>106</v>
      </c>
      <c r="E92" s="11"/>
      <c r="F92" s="11" t="s">
        <v>98</v>
      </c>
      <c r="G92" s="11"/>
      <c r="H92" s="392" t="s">
        <v>789</v>
      </c>
      <c r="I92" s="118" t="str">
        <f>IF(_epmOfflineCondition_,"N",_xll.EVPRO($B$1,$H92,"STYLE"))</f>
        <v>N</v>
      </c>
      <c r="J92" s="118" t="str">
        <f>IF(_epmOfflineCondition_,"N",_xll.EVPRO($B$1,$H92,"CALC"))</f>
        <v>N</v>
      </c>
      <c r="K92" s="175" t="str">
        <f t="shared" ref="K92:K119" si="38">IF(AND(I92&lt;&gt;"B1",J92="Y"),"&gt;","")</f>
        <v/>
      </c>
      <c r="L92" s="86" t="str">
        <f>IF(_epmOfflineCondition_,"701100",_xll.EVPRO($B$1,H92,"JDEID"))</f>
        <v>701100</v>
      </c>
      <c r="M92" s="86" t="str">
        <f>IF(_epmOfflineCondition_,"690015",IF(AND(I92="N",J92="N"),_xll.EVPRO($B$1,H92,"PSFTID"),""))</f>
        <v>690015</v>
      </c>
      <c r="N92" s="86" t="str">
        <f>IF(_epmOfflineCondition_,"Dues and Subscriptions",IF(_xll.EVDES(H92,$B$1)="#NODATA","",_xll.EVDES(H92,$B$1)))</f>
        <v>Dues and Subscriptions</v>
      </c>
      <c r="O92" s="240"/>
      <c r="P92" s="240"/>
      <c r="Q92" s="240"/>
      <c r="R92" s="240"/>
      <c r="S92" s="240"/>
      <c r="T92" s="240">
        <v>40</v>
      </c>
      <c r="U92" s="240">
        <v>40</v>
      </c>
      <c r="V92" s="240">
        <v>1890</v>
      </c>
      <c r="W92" s="240">
        <v>30</v>
      </c>
      <c r="X92" s="240">
        <v>30</v>
      </c>
      <c r="Y92" s="240">
        <v>30</v>
      </c>
      <c r="Z92" s="240">
        <v>30</v>
      </c>
      <c r="AA92" s="223">
        <f t="shared" ref="AA92:AA120" si="39">IF($I92="B1","",SUM(O92:Z92))</f>
        <v>2090</v>
      </c>
      <c r="AB92" s="242">
        <f t="shared" ref="AB92:AB120" si="40">IF(AA92=0,"",IFERROR(AA92/AA$19,""))</f>
        <v>2.0328490509785241E-3</v>
      </c>
      <c r="AC92" s="136"/>
      <c r="AD92" s="240">
        <v>1495</v>
      </c>
      <c r="AE92" s="242">
        <f t="shared" ref="AE92:AE120" si="41">IF(AD92=0,"",IFERROR(AD92/AD$19,""))</f>
        <v>5.1314111182163566E-4</v>
      </c>
      <c r="AF92" s="243">
        <f t="shared" ref="AF92:AF120" si="42">IF(AND($AA92="",AD92=""),"",$AA92-AD92)</f>
        <v>595</v>
      </c>
      <c r="AG92" s="240">
        <v>42.23</v>
      </c>
      <c r="AH92" s="242">
        <f t="shared" ref="AH92:AH120" si="43">IF(AG92=0,"",IFERROR(AG92/AG$19,""))</f>
        <v>1.5193084933769947E-4</v>
      </c>
      <c r="AI92" s="243">
        <f t="shared" ref="AI92:AI120" si="44">IF(AND($AA92="",AG92=""),"",$AA92-AG92)</f>
        <v>2047.77</v>
      </c>
      <c r="AJ92" s="224">
        <f t="shared" ref="AJ92:AJ120" si="45">IFERROR(AA92/AA$20,0)</f>
        <v>6.1055768163360696E-2</v>
      </c>
      <c r="AK92" s="225">
        <f t="shared" ref="AK92:AK120" si="46">IFERROR(AD92/AD$20,0)</f>
        <v>2.0314501088762139E-2</v>
      </c>
      <c r="AL92" s="227">
        <f t="shared" ref="AL92:AL120" si="47">IFERROR(AG92/AG$20,0)</f>
        <v>3.9701043527310331E-3</v>
      </c>
      <c r="AM92" s="419" t="str">
        <f t="shared" ref="AM92:AM120" si="48">+IFERROR(ROUND(($AB92-AE92)*100,2)&amp;" pts.",0)</f>
        <v>0.15 pts.</v>
      </c>
      <c r="AN92" s="420" t="str">
        <f t="shared" ref="AN92:AN120" si="49">+IFERROR(ROUND(($AB92-AH92)*100,2)&amp;" pts.",0)</f>
        <v>0.19 pts.</v>
      </c>
      <c r="AO92" s="11"/>
      <c r="AP92" s="11"/>
    </row>
    <row r="93" spans="1:42" x14ac:dyDescent="0.25">
      <c r="A93" s="11" t="s">
        <v>100</v>
      </c>
      <c r="B93" s="11"/>
      <c r="C93" s="49" t="s">
        <v>101</v>
      </c>
      <c r="D93" s="11" t="s">
        <v>106</v>
      </c>
      <c r="E93" s="11"/>
      <c r="F93" s="11" t="s">
        <v>98</v>
      </c>
      <c r="G93" s="72"/>
      <c r="H93" s="392" t="s">
        <v>823</v>
      </c>
      <c r="I93" s="118" t="str">
        <f>IF(_epmOfflineCondition_,"N",_xll.EVPRO($B$1,$H93,"STYLE"))</f>
        <v>N</v>
      </c>
      <c r="J93" s="118" t="str">
        <f>IF(_epmOfflineCondition_,"N",_xll.EVPRO($B$1,$H93,"CALC"))</f>
        <v>N</v>
      </c>
      <c r="K93" s="175" t="str">
        <f t="shared" si="38"/>
        <v/>
      </c>
      <c r="L93" s="86" t="str">
        <f>IF(_epmOfflineCondition_,"701300",_xll.EVPRO($B$1,H93,"JDEID"))</f>
        <v>701300</v>
      </c>
      <c r="M93" s="86" t="str">
        <f>IF(_epmOfflineCondition_,"690205",IF(AND(I93="N",J93="N"),_xll.EVPRO($B$1,H93,"PSFTID"),""))</f>
        <v>690205</v>
      </c>
      <c r="N93" s="86" t="str">
        <f>IF(_epmOfflineCondition_,"Printing &amp; Stationery",IF(_xll.EVDES(H93,$B$1)="#NODATA","",_xll.EVDES(H93,$B$1)))</f>
        <v>Printing &amp; Stationery</v>
      </c>
      <c r="O93" s="240">
        <v>289.95999999999998</v>
      </c>
      <c r="P93" s="240">
        <v>53.5</v>
      </c>
      <c r="Q93" s="240">
        <v>304.95</v>
      </c>
      <c r="R93" s="240"/>
      <c r="S93" s="240"/>
      <c r="T93" s="240">
        <v>117.7</v>
      </c>
      <c r="U93" s="240">
        <v>59.92</v>
      </c>
      <c r="V93" s="240"/>
      <c r="W93" s="240">
        <v>155.15</v>
      </c>
      <c r="X93" s="240"/>
      <c r="Y93" s="240">
        <v>1153.4100000000001</v>
      </c>
      <c r="Z93" s="240"/>
      <c r="AA93" s="223">
        <f t="shared" si="39"/>
        <v>2134.59</v>
      </c>
      <c r="AB93" s="242">
        <f t="shared" si="40"/>
        <v>2.0762197395828939E-3</v>
      </c>
      <c r="AC93" s="136"/>
      <c r="AD93" s="240">
        <v>6439.7496499999997</v>
      </c>
      <c r="AE93" s="242">
        <f t="shared" si="41"/>
        <v>2.2103680904708958E-3</v>
      </c>
      <c r="AF93" s="243">
        <f t="shared" si="42"/>
        <v>-4305.1596499999996</v>
      </c>
      <c r="AG93" s="240">
        <v>773.44</v>
      </c>
      <c r="AH93" s="242">
        <f t="shared" si="43"/>
        <v>2.782604691256223E-3</v>
      </c>
      <c r="AI93" s="243">
        <f t="shared" si="44"/>
        <v>1361.15</v>
      </c>
      <c r="AJ93" s="224">
        <f t="shared" si="45"/>
        <v>6.2358388595133069E-2</v>
      </c>
      <c r="AK93" s="225">
        <f t="shared" si="46"/>
        <v>8.7505218245003749E-2</v>
      </c>
      <c r="AL93" s="227">
        <f t="shared" si="47"/>
        <v>7.2712230892168855E-2</v>
      </c>
      <c r="AM93" s="419" t="str">
        <f t="shared" si="48"/>
        <v>-0.01 pts.</v>
      </c>
      <c r="AN93" s="420" t="str">
        <f t="shared" si="49"/>
        <v>-0.07 pts.</v>
      </c>
      <c r="AO93" s="11"/>
      <c r="AP93" s="11"/>
    </row>
    <row r="94" spans="1:42" x14ac:dyDescent="0.25">
      <c r="A94" s="11" t="s">
        <v>109</v>
      </c>
      <c r="B94" s="11"/>
      <c r="C94" s="102" t="s">
        <v>101</v>
      </c>
      <c r="D94" s="11" t="s">
        <v>106</v>
      </c>
      <c r="E94" s="11"/>
      <c r="F94" s="11" t="s">
        <v>98</v>
      </c>
      <c r="G94" s="11"/>
      <c r="H94" s="392" t="s">
        <v>792</v>
      </c>
      <c r="I94" s="118" t="str">
        <f>IF(_epmOfflineCondition_,"T4",_xll.EVPRO($B$1,$H94,"STYLE"))</f>
        <v>T4</v>
      </c>
      <c r="J94" s="118" t="str">
        <f>IF(_epmOfflineCondition_,"Y",_xll.EVPRO($B$1,$H94,"CALC"))</f>
        <v>Y</v>
      </c>
      <c r="K94" s="175" t="str">
        <f t="shared" si="38"/>
        <v>&gt;</v>
      </c>
      <c r="L94" s="86" t="str">
        <f>IF(_epmOfflineCondition_,"701500",_xll.EVPRO($B$1,H94,"JDEID"))</f>
        <v>701500</v>
      </c>
      <c r="M94" s="86" t="str">
        <f>IF(_epmOfflineCondition_,"",IF(AND(I94="N",J94="N"),_xll.EVPRO($B$1,H94,"PSFTID"),""))</f>
        <v/>
      </c>
      <c r="N94" s="86" t="str">
        <f>IF(_epmOfflineCondition_,"Operating Supplies",IF(_xll.EVDES(H94,$B$1)="#NODATA","",_xll.EVDES(H94,$B$1)))</f>
        <v>Operating Supplies</v>
      </c>
      <c r="O94" s="240">
        <v>2119.21</v>
      </c>
      <c r="P94" s="240">
        <v>1594.57</v>
      </c>
      <c r="Q94" s="240">
        <v>1843.99</v>
      </c>
      <c r="R94" s="240">
        <v>937.09</v>
      </c>
      <c r="S94" s="240">
        <v>358.69</v>
      </c>
      <c r="T94" s="240">
        <v>1170.03</v>
      </c>
      <c r="U94" s="240">
        <v>721.15</v>
      </c>
      <c r="V94" s="240">
        <v>773.17</v>
      </c>
      <c r="W94" s="240">
        <v>950.62</v>
      </c>
      <c r="X94" s="240">
        <v>6385.08</v>
      </c>
      <c r="Y94" s="240">
        <v>1810.86</v>
      </c>
      <c r="Z94" s="240">
        <v>401.2</v>
      </c>
      <c r="AA94" s="223">
        <f t="shared" si="39"/>
        <v>19065.66</v>
      </c>
      <c r="AB94" s="242">
        <f t="shared" si="40"/>
        <v>1.8544310448458952E-2</v>
      </c>
      <c r="AC94" s="136"/>
      <c r="AD94" s="240">
        <v>17005.645972480001</v>
      </c>
      <c r="AE94" s="242">
        <f t="shared" si="41"/>
        <v>5.8369873455274305E-3</v>
      </c>
      <c r="AF94" s="243">
        <f t="shared" si="42"/>
        <v>2060.0140275199992</v>
      </c>
      <c r="AG94" s="240">
        <v>7477.09</v>
      </c>
      <c r="AH94" s="242">
        <f t="shared" si="43"/>
        <v>2.6900322857551964E-2</v>
      </c>
      <c r="AI94" s="243">
        <f t="shared" si="44"/>
        <v>11588.57</v>
      </c>
      <c r="AJ94" s="224">
        <f t="shared" si="45"/>
        <v>0.55697058222079399</v>
      </c>
      <c r="AK94" s="225">
        <f t="shared" si="46"/>
        <v>0.23107773486491537</v>
      </c>
      <c r="AL94" s="227">
        <f t="shared" si="47"/>
        <v>0.70293221773056314</v>
      </c>
      <c r="AM94" s="419" t="str">
        <f t="shared" si="48"/>
        <v>1.27 pts.</v>
      </c>
      <c r="AN94" s="420" t="str">
        <f t="shared" si="49"/>
        <v>-0.84 pts.</v>
      </c>
      <c r="AO94" s="11"/>
      <c r="AP94" s="11"/>
    </row>
    <row r="95" spans="1:42" x14ac:dyDescent="0.25">
      <c r="A95" s="11" t="s">
        <v>109</v>
      </c>
      <c r="B95" s="11"/>
      <c r="C95" s="192" t="s">
        <v>101</v>
      </c>
      <c r="D95" s="11" t="s">
        <v>107</v>
      </c>
      <c r="E95" s="11"/>
      <c r="F95" s="11" t="s">
        <v>99</v>
      </c>
      <c r="G95" s="11"/>
      <c r="H95" s="392" t="s">
        <v>824</v>
      </c>
      <c r="I95" s="118" t="str">
        <f>IF(_epmOfflineCondition_,"N",_xll.EVPRO($B$1,$H95,"STYLE"))</f>
        <v>N</v>
      </c>
      <c r="J95" s="118" t="str">
        <f>IF(_epmOfflineCondition_,"N",_xll.EVPRO($B$1,$H95,"CALC"))</f>
        <v>N</v>
      </c>
      <c r="K95" s="175" t="str">
        <f t="shared" si="38"/>
        <v/>
      </c>
      <c r="L95" s="86" t="str">
        <f>IF(_epmOfflineCondition_,"701600",_xll.EVPRO($B$1,H95,"JDEID"))</f>
        <v>701600</v>
      </c>
      <c r="M95" s="86" t="str">
        <f>IF(_epmOfflineCondition_,"590015",IF(AND(I95="N",J95="N"),_xll.EVPRO($B$1,H95,"PSFTID"),""))</f>
        <v>590015</v>
      </c>
      <c r="N95" s="86" t="str">
        <f>IF(_epmOfflineCondition_,"Cleaning Supplies",IF(_xll.EVDES(H95,$B$1)="#NODATA","",_xll.EVDES(H95,$B$1)))</f>
        <v>Cleaning Supplies</v>
      </c>
      <c r="O95" s="240">
        <v>222.39</v>
      </c>
      <c r="P95" s="240">
        <v>132.53</v>
      </c>
      <c r="Q95" s="240">
        <v>59.36</v>
      </c>
      <c r="R95" s="240">
        <v>466.12</v>
      </c>
      <c r="S95" s="240">
        <v>289.93</v>
      </c>
      <c r="T95" s="240">
        <v>421.46</v>
      </c>
      <c r="U95" s="240">
        <v>235.65</v>
      </c>
      <c r="V95" s="240">
        <v>741.9</v>
      </c>
      <c r="W95" s="240">
        <v>14.2</v>
      </c>
      <c r="X95" s="240">
        <v>877.91</v>
      </c>
      <c r="Y95" s="240">
        <v>989.54</v>
      </c>
      <c r="Z95" s="240">
        <v>1327.29</v>
      </c>
      <c r="AA95" s="223">
        <f t="shared" si="39"/>
        <v>5778.28</v>
      </c>
      <c r="AB95" s="242">
        <f t="shared" si="40"/>
        <v>5.6202732125780796E-3</v>
      </c>
      <c r="AC95" s="136"/>
      <c r="AD95" s="240">
        <v>6674.2012400000003</v>
      </c>
      <c r="AE95" s="242">
        <f t="shared" si="41"/>
        <v>2.2908408326521336E-3</v>
      </c>
      <c r="AF95" s="243">
        <f t="shared" si="42"/>
        <v>-895.92124000000058</v>
      </c>
      <c r="AG95" s="240">
        <v>1005.24</v>
      </c>
      <c r="AH95" s="242">
        <f t="shared" si="43"/>
        <v>3.6165514323520964E-3</v>
      </c>
      <c r="AI95" s="243">
        <f t="shared" si="44"/>
        <v>4773.04</v>
      </c>
      <c r="AJ95" s="224">
        <f t="shared" si="45"/>
        <v>0.16880254739855685</v>
      </c>
      <c r="AK95" s="225">
        <f t="shared" si="46"/>
        <v>9.0691015623142232E-2</v>
      </c>
      <c r="AL95" s="227">
        <f t="shared" si="47"/>
        <v>9.4504089498918864E-2</v>
      </c>
      <c r="AM95" s="419" t="str">
        <f t="shared" si="48"/>
        <v>0.33 pts.</v>
      </c>
      <c r="AN95" s="420" t="str">
        <f t="shared" si="49"/>
        <v>0.2 pts.</v>
      </c>
      <c r="AO95" s="11"/>
      <c r="AP95" s="11"/>
    </row>
    <row r="96" spans="1:42" x14ac:dyDescent="0.25">
      <c r="A96" s="11" t="s">
        <v>110</v>
      </c>
      <c r="B96" s="11"/>
      <c r="C96" s="102" t="s">
        <v>101</v>
      </c>
      <c r="D96" s="11" t="s">
        <v>106</v>
      </c>
      <c r="E96" s="11"/>
      <c r="F96" s="11" t="s">
        <v>98</v>
      </c>
      <c r="G96" s="11"/>
      <c r="H96" s="392" t="s">
        <v>825</v>
      </c>
      <c r="I96" s="118" t="str">
        <f>IF(_epmOfflineCondition_,"N",_xll.EVPRO($B$1,$H96,"STYLE"))</f>
        <v>N</v>
      </c>
      <c r="J96" s="118" t="str">
        <f>IF(_epmOfflineCondition_,"N",_xll.EVPRO($B$1,$H96,"CALC"))</f>
        <v>N</v>
      </c>
      <c r="K96" s="175" t="str">
        <f t="shared" si="38"/>
        <v/>
      </c>
      <c r="L96" s="86" t="str">
        <f>IF(_epmOfflineCondition_,"701700",_xll.EVPRO($B$1,H96,"JDEID"))</f>
        <v>701700</v>
      </c>
      <c r="M96" s="86" t="str">
        <f>IF(_epmOfflineCondition_,"590026",IF(AND(I96="N",J96="N"),_xll.EVPRO($B$1,H96,"PSFTID"),""))</f>
        <v>590026</v>
      </c>
      <c r="N96" s="86" t="str">
        <f>IF(_epmOfflineCondition_,"Dishwashing Supplies",IF(_xll.EVDES(H96,$B$1)="#NODATA","",_xll.EVDES(H96,$B$1)))</f>
        <v>Dishwashing Supplies</v>
      </c>
      <c r="O96" s="240"/>
      <c r="P96" s="240"/>
      <c r="Q96" s="240"/>
      <c r="R96" s="240"/>
      <c r="S96" s="240"/>
      <c r="T96" s="240"/>
      <c r="U96" s="240"/>
      <c r="V96" s="240">
        <v>239.68</v>
      </c>
      <c r="W96" s="240"/>
      <c r="X96" s="240">
        <v>1751.77</v>
      </c>
      <c r="Y96" s="240">
        <v>1270.5899999999999</v>
      </c>
      <c r="Z96" s="240"/>
      <c r="AA96" s="223">
        <f t="shared" si="39"/>
        <v>3262.04</v>
      </c>
      <c r="AB96" s="242">
        <f t="shared" si="40"/>
        <v>3.1728396738057345E-3</v>
      </c>
      <c r="AC96" s="136"/>
      <c r="AD96" s="240">
        <v>7811.1525000000001</v>
      </c>
      <c r="AE96" s="242">
        <f t="shared" si="41"/>
        <v>2.6810859387681268E-3</v>
      </c>
      <c r="AF96" s="243">
        <f t="shared" si="42"/>
        <v>-4549.1125000000002</v>
      </c>
      <c r="AG96" s="240">
        <v>385.07</v>
      </c>
      <c r="AH96" s="242">
        <f t="shared" si="43"/>
        <v>1.3853661414744954E-3</v>
      </c>
      <c r="AI96" s="243">
        <f t="shared" si="44"/>
        <v>2876.97</v>
      </c>
      <c r="AJ96" s="224">
        <f t="shared" si="45"/>
        <v>9.5294908124214886E-2</v>
      </c>
      <c r="AK96" s="225">
        <f t="shared" si="46"/>
        <v>0.10614024479313519</v>
      </c>
      <c r="AL96" s="227">
        <f t="shared" si="47"/>
        <v>3.6200996521575629E-2</v>
      </c>
      <c r="AM96" s="419" t="str">
        <f t="shared" si="48"/>
        <v>0.05 pts.</v>
      </c>
      <c r="AN96" s="420" t="str">
        <f t="shared" si="49"/>
        <v>0.18 pts.</v>
      </c>
      <c r="AO96" s="11"/>
      <c r="AP96" s="11"/>
    </row>
    <row r="97" spans="1:42" x14ac:dyDescent="0.25">
      <c r="A97" s="11" t="s">
        <v>110</v>
      </c>
      <c r="B97" s="11"/>
      <c r="C97" s="105" t="s">
        <v>101</v>
      </c>
      <c r="D97" s="11" t="s">
        <v>107</v>
      </c>
      <c r="E97" s="11"/>
      <c r="F97" s="11" t="s">
        <v>99</v>
      </c>
      <c r="G97" s="11"/>
      <c r="H97" s="392" t="s">
        <v>919</v>
      </c>
      <c r="I97" s="118" t="str">
        <f>IF(_epmOfflineCondition_,"N",_xll.EVPRO($B$1,$H97,"STYLE"))</f>
        <v>N</v>
      </c>
      <c r="J97" s="118" t="str">
        <f>IF(_epmOfflineCondition_,"N",_xll.EVPRO($B$1,$H97,"CALC"))</f>
        <v>N</v>
      </c>
      <c r="K97" s="175" t="str">
        <f t="shared" si="38"/>
        <v/>
      </c>
      <c r="L97" s="86" t="str">
        <f>IF(_epmOfflineCondition_,"701780",_xll.EVPRO($B$1,H97,"JDEID"))</f>
        <v>701780</v>
      </c>
      <c r="M97" s="86" t="str">
        <f>IF(_epmOfflineCondition_,"691070",IF(AND(I97="N",J97="N"),_xll.EVPRO($B$1,H97,"PSFTID"),""))</f>
        <v>691070</v>
      </c>
      <c r="N97" s="86" t="str">
        <f>IF(_epmOfflineCondition_,"Kitchen Smallwares",IF(_xll.EVDES(H97,$B$1)="#NODATA","",_xll.EVDES(H97,$B$1)))</f>
        <v>Kitchen Smallwares</v>
      </c>
      <c r="O97" s="240"/>
      <c r="P97" s="240"/>
      <c r="Q97" s="240"/>
      <c r="R97" s="240"/>
      <c r="S97" s="240"/>
      <c r="T97" s="240"/>
      <c r="U97" s="240"/>
      <c r="V97" s="240"/>
      <c r="W97" s="240"/>
      <c r="X97" s="240"/>
      <c r="Y97" s="240"/>
      <c r="Z97" s="240"/>
      <c r="AA97" s="223">
        <f t="shared" si="39"/>
        <v>0</v>
      </c>
      <c r="AB97" s="242" t="str">
        <f t="shared" si="40"/>
        <v/>
      </c>
      <c r="AC97" s="136"/>
      <c r="AD97" s="240"/>
      <c r="AE97" s="242" t="str">
        <f t="shared" si="41"/>
        <v/>
      </c>
      <c r="AF97" s="243">
        <f t="shared" si="42"/>
        <v>0</v>
      </c>
      <c r="AG97" s="240">
        <v>0.33999999999999603</v>
      </c>
      <c r="AH97" s="242">
        <f t="shared" si="43"/>
        <v>1.2232178255935879E-6</v>
      </c>
      <c r="AI97" s="243">
        <f t="shared" si="44"/>
        <v>-0.33999999999999603</v>
      </c>
      <c r="AJ97" s="224">
        <f t="shared" si="45"/>
        <v>0</v>
      </c>
      <c r="AK97" s="225">
        <f t="shared" si="46"/>
        <v>0</v>
      </c>
      <c r="AL97" s="227">
        <f t="shared" si="47"/>
        <v>3.1963899595750308E-5</v>
      </c>
      <c r="AM97" s="419">
        <f t="shared" si="48"/>
        <v>0</v>
      </c>
      <c r="AN97" s="420">
        <f t="shared" si="49"/>
        <v>0</v>
      </c>
      <c r="AO97" s="11"/>
      <c r="AP97" s="11"/>
    </row>
    <row r="98" spans="1:42" x14ac:dyDescent="0.25">
      <c r="A98" s="11"/>
      <c r="B98" s="11"/>
      <c r="C98" s="204"/>
      <c r="D98" s="11"/>
      <c r="E98" s="11"/>
      <c r="F98" s="11"/>
      <c r="G98" s="11"/>
      <c r="H98" s="392" t="s">
        <v>826</v>
      </c>
      <c r="I98" s="118" t="str">
        <f>IF(_epmOfflineCondition_,"N",_xll.EVPRO($B$1,$H98,"STYLE"))</f>
        <v>N</v>
      </c>
      <c r="J98" s="118" t="str">
        <f>IF(_epmOfflineCondition_,"N",_xll.EVPRO($B$1,$H98,"CALC"))</f>
        <v>N</v>
      </c>
      <c r="K98" s="175" t="str">
        <f t="shared" si="38"/>
        <v/>
      </c>
      <c r="L98" s="86" t="str">
        <f>IF(_epmOfflineCondition_,"702000",_xll.EVPRO($B$1,H98,"JDEID"))</f>
        <v>702000</v>
      </c>
      <c r="M98" s="86" t="str">
        <f>IF(_epmOfflineCondition_,"590031",IF(AND(I98="N",J98="N"),_xll.EVPRO($B$1,H98,"PSFTID"),""))</f>
        <v>590031</v>
      </c>
      <c r="N98" s="86" t="str">
        <f>IF(_epmOfflineCondition_,"Paper and Plastics",IF(_xll.EVDES(H98,$B$1)="#NODATA","",_xll.EVDES(H98,$B$1)))</f>
        <v>Paper and Plastics</v>
      </c>
      <c r="O98" s="240">
        <v>425.51</v>
      </c>
      <c r="P98" s="240">
        <v>-36.31</v>
      </c>
      <c r="Q98" s="240">
        <v>116.6</v>
      </c>
      <c r="R98" s="240">
        <v>21.38</v>
      </c>
      <c r="S98" s="240">
        <v>156.69</v>
      </c>
      <c r="T98" s="240">
        <v>219.79</v>
      </c>
      <c r="U98" s="240">
        <v>255.22</v>
      </c>
      <c r="V98" s="240">
        <v>74.89</v>
      </c>
      <c r="W98" s="240">
        <v>89.02</v>
      </c>
      <c r="X98" s="240">
        <v>1704.89</v>
      </c>
      <c r="Y98" s="240">
        <v>1279.1500000000001</v>
      </c>
      <c r="Z98" s="240">
        <v>665.95</v>
      </c>
      <c r="AA98" s="223">
        <f t="shared" si="39"/>
        <v>4972.78</v>
      </c>
      <c r="AB98" s="242">
        <f t="shared" si="40"/>
        <v>4.8367995711602798E-3</v>
      </c>
      <c r="AC98" s="136"/>
      <c r="AD98" s="240">
        <v>9124.2736299999997</v>
      </c>
      <c r="AE98" s="242">
        <f t="shared" si="41"/>
        <v>3.1317992742896533E-3</v>
      </c>
      <c r="AF98" s="243">
        <f t="shared" si="42"/>
        <v>-4151.4936299999999</v>
      </c>
      <c r="AG98" s="240">
        <v>8553.7800000000007</v>
      </c>
      <c r="AH98" s="242">
        <f t="shared" si="43"/>
        <v>3.0773929918253073E-2</v>
      </c>
      <c r="AI98" s="243">
        <f t="shared" si="44"/>
        <v>-3581.0000000000009</v>
      </c>
      <c r="AJ98" s="224">
        <f t="shared" si="45"/>
        <v>0.14527124536239081</v>
      </c>
      <c r="AK98" s="225">
        <f t="shared" si="46"/>
        <v>0.1239833221343135</v>
      </c>
      <c r="AL98" s="227">
        <f t="shared" si="47"/>
        <v>0.80415342671805967</v>
      </c>
      <c r="AM98" s="419" t="str">
        <f t="shared" si="48"/>
        <v>0.17 pts.</v>
      </c>
      <c r="AN98" s="420" t="str">
        <f t="shared" si="49"/>
        <v>-2.59 pts.</v>
      </c>
      <c r="AO98" s="11"/>
      <c r="AP98" s="11"/>
    </row>
    <row r="99" spans="1:42" x14ac:dyDescent="0.25">
      <c r="A99" s="11"/>
      <c r="B99" s="11"/>
      <c r="C99" s="204"/>
      <c r="D99" s="11"/>
      <c r="E99" s="11"/>
      <c r="F99" s="11"/>
      <c r="G99" s="11"/>
      <c r="H99" s="392" t="s">
        <v>793</v>
      </c>
      <c r="I99" s="118" t="str">
        <f>IF(_epmOfflineCondition_,"N",_xll.EVPRO($B$1,$H99,"STYLE"))</f>
        <v>N</v>
      </c>
      <c r="J99" s="118" t="str">
        <f>IF(_epmOfflineCondition_,"N",_xll.EVPRO($B$1,$H99,"CALC"))</f>
        <v>N</v>
      </c>
      <c r="K99" s="175" t="str">
        <f t="shared" si="38"/>
        <v/>
      </c>
      <c r="L99" s="86" t="str">
        <f>IF(_epmOfflineCondition_,"702300",_xll.EVPRO($B$1,H99,"JDEID"))</f>
        <v>702300</v>
      </c>
      <c r="M99" s="86" t="str">
        <f>IF(_epmOfflineCondition_,"590040",IF(AND(I99="N",J99="N"),_xll.EVPRO($B$1,H99,"PSFTID"),""))</f>
        <v>590040</v>
      </c>
      <c r="N99" s="86" t="str">
        <f>IF(_epmOfflineCondition_,"Decorations",IF(_xll.EVDES(H99,$B$1)="#NODATA","",_xll.EVDES(H99,$B$1)))</f>
        <v>Decorations</v>
      </c>
      <c r="O99" s="240">
        <v>375.01</v>
      </c>
      <c r="P99" s="240">
        <v>152.55000000000001</v>
      </c>
      <c r="Q99" s="240">
        <v>228.81</v>
      </c>
      <c r="R99" s="240">
        <v>152.80000000000001</v>
      </c>
      <c r="S99" s="240">
        <v>201.64</v>
      </c>
      <c r="T99" s="240">
        <v>371.46</v>
      </c>
      <c r="U99" s="240">
        <v>217.51</v>
      </c>
      <c r="V99" s="240">
        <v>939.89</v>
      </c>
      <c r="W99" s="240">
        <v>93.33</v>
      </c>
      <c r="X99" s="240">
        <v>143.93</v>
      </c>
      <c r="Y99" s="240">
        <v>1893.34</v>
      </c>
      <c r="Z99" s="240">
        <v>316.49</v>
      </c>
      <c r="AA99" s="223">
        <f t="shared" si="39"/>
        <v>5086.7599999999993</v>
      </c>
      <c r="AB99" s="242">
        <f t="shared" si="40"/>
        <v>4.9476627935672321E-3</v>
      </c>
      <c r="AC99" s="136"/>
      <c r="AD99" s="240">
        <v>7100</v>
      </c>
      <c r="AE99" s="242">
        <f t="shared" si="41"/>
        <v>2.4369912334004104E-3</v>
      </c>
      <c r="AF99" s="243">
        <f t="shared" si="42"/>
        <v>-2013.2400000000007</v>
      </c>
      <c r="AG99" s="240">
        <v>1025.82</v>
      </c>
      <c r="AH99" s="242">
        <f t="shared" si="43"/>
        <v>3.6905920877953794E-3</v>
      </c>
      <c r="AI99" s="243">
        <f t="shared" si="44"/>
        <v>4060.9399999999996</v>
      </c>
      <c r="AJ99" s="224">
        <f t="shared" si="45"/>
        <v>0.14860097572375913</v>
      </c>
      <c r="AK99" s="225">
        <f t="shared" si="46"/>
        <v>9.6476894802816848E-2</v>
      </c>
      <c r="AL99" s="227">
        <f t="shared" si="47"/>
        <v>9.6438845539155771E-2</v>
      </c>
      <c r="AM99" s="419" t="str">
        <f t="shared" si="48"/>
        <v>0.25 pts.</v>
      </c>
      <c r="AN99" s="420" t="str">
        <f t="shared" si="49"/>
        <v>0.13 pts.</v>
      </c>
      <c r="AO99" s="11"/>
      <c r="AP99" s="11"/>
    </row>
    <row r="100" spans="1:42" x14ac:dyDescent="0.25">
      <c r="A100" s="56" t="str">
        <f>IF(_epmOfflineCondition_,"Evdre:Ok",_xll.EVDRE($B$1,A103:B110))</f>
        <v>Evdre:Ok</v>
      </c>
      <c r="B100" s="11" t="s">
        <v>737</v>
      </c>
      <c r="C100" s="11"/>
      <c r="D100" s="11"/>
      <c r="E100" s="11"/>
      <c r="F100" s="11"/>
      <c r="G100" s="11"/>
      <c r="H100" s="392" t="s">
        <v>893</v>
      </c>
      <c r="I100" s="118" t="str">
        <f>IF(_epmOfflineCondition_,"T4",_xll.EVPRO($B$1,$H100,"STYLE"))</f>
        <v>T4</v>
      </c>
      <c r="J100" s="118" t="str">
        <f>IF(_epmOfflineCondition_,"Y",_xll.EVPRO($B$1,$H100,"CALC"))</f>
        <v>Y</v>
      </c>
      <c r="K100" s="175" t="str">
        <f t="shared" si="38"/>
        <v>&gt;</v>
      </c>
      <c r="L100" s="86" t="str">
        <f>IF(_epmOfflineCondition_,"702500",_xll.EVPRO($B$1,H100,"JDEID"))</f>
        <v>702500</v>
      </c>
      <c r="M100" s="86" t="str">
        <f>IF(_epmOfflineCondition_,"",IF(AND(I100="N",J100="N"),_xll.EVPRO($B$1,H100,"PSFTID"),""))</f>
        <v/>
      </c>
      <c r="N100" s="86" t="str">
        <f>IF(_epmOfflineCondition_,"Laundry &amp; Dry Cleaning",IF(_xll.EVDES(H100,$B$1)="#NODATA","",_xll.EVDES(H100,$B$1)))</f>
        <v>Laundry &amp; Dry Cleaning</v>
      </c>
      <c r="O100" s="240"/>
      <c r="P100" s="240"/>
      <c r="Q100" s="240"/>
      <c r="R100" s="240"/>
      <c r="S100" s="240"/>
      <c r="T100" s="240"/>
      <c r="U100" s="240"/>
      <c r="V100" s="240"/>
      <c r="W100" s="240"/>
      <c r="X100" s="240"/>
      <c r="Y100" s="240"/>
      <c r="Z100" s="240"/>
      <c r="AA100" s="223">
        <f t="shared" si="39"/>
        <v>0</v>
      </c>
      <c r="AB100" s="242" t="str">
        <f t="shared" si="40"/>
        <v/>
      </c>
      <c r="AC100" s="136"/>
      <c r="AD100" s="240"/>
      <c r="AE100" s="242" t="str">
        <f t="shared" si="41"/>
        <v/>
      </c>
      <c r="AF100" s="243">
        <f t="shared" si="42"/>
        <v>0</v>
      </c>
      <c r="AG100" s="240">
        <v>317.33</v>
      </c>
      <c r="AH100" s="242">
        <f t="shared" si="43"/>
        <v>1.1416579782224053E-3</v>
      </c>
      <c r="AI100" s="243">
        <f t="shared" si="44"/>
        <v>-317.33</v>
      </c>
      <c r="AJ100" s="224">
        <f t="shared" si="45"/>
        <v>0</v>
      </c>
      <c r="AK100" s="225">
        <f t="shared" si="46"/>
        <v>0</v>
      </c>
      <c r="AL100" s="227">
        <f t="shared" si="47"/>
        <v>2.9832659584469304E-2</v>
      </c>
      <c r="AM100" s="419">
        <f t="shared" si="48"/>
        <v>0</v>
      </c>
      <c r="AN100" s="420">
        <f t="shared" si="49"/>
        <v>0</v>
      </c>
      <c r="AO100" s="11"/>
      <c r="AP100" s="11"/>
    </row>
    <row r="101" spans="1:42" x14ac:dyDescent="0.25">
      <c r="A101" s="11"/>
      <c r="B101" s="11"/>
      <c r="C101" s="11"/>
      <c r="D101" s="11"/>
      <c r="E101" s="11"/>
      <c r="F101" s="11"/>
      <c r="G101" s="11"/>
      <c r="H101" s="392" t="s">
        <v>840</v>
      </c>
      <c r="I101" s="118" t="str">
        <f>IF(_epmOfflineCondition_,"N",_xll.EVPRO($B$1,$H101,"STYLE"))</f>
        <v>N</v>
      </c>
      <c r="J101" s="118" t="str">
        <f>IF(_epmOfflineCondition_,"N",_xll.EVPRO($B$1,$H101,"CALC"))</f>
        <v>N</v>
      </c>
      <c r="K101" s="175" t="str">
        <f t="shared" si="38"/>
        <v/>
      </c>
      <c r="L101" s="86" t="str">
        <f>IF(_epmOfflineCondition_,"702580",_xll.EVPRO($B$1,H101,"JDEID"))</f>
        <v>702580</v>
      </c>
      <c r="M101" s="86" t="str">
        <f>IF(_epmOfflineCondition_,"590166",IF(AND(I101="N",J101="N"),_xll.EVPRO($B$1,H101,"PSFTID"),""))</f>
        <v>590166</v>
      </c>
      <c r="N101" s="86" t="str">
        <f>IF(_epmOfflineCondition_,"Reservations",IF(_xll.EVDES(H101,$B$1)="#NODATA","",_xll.EVDES(H101,$B$1)))</f>
        <v>Reservations</v>
      </c>
      <c r="O101" s="240"/>
      <c r="P101" s="240"/>
      <c r="Q101" s="240"/>
      <c r="R101" s="240"/>
      <c r="S101" s="240"/>
      <c r="T101" s="240"/>
      <c r="U101" s="240"/>
      <c r="V101" s="240"/>
      <c r="W101" s="240"/>
      <c r="X101" s="240">
        <v>169.32</v>
      </c>
      <c r="Y101" s="240">
        <v>102.6</v>
      </c>
      <c r="Z101" s="240">
        <v>226.1</v>
      </c>
      <c r="AA101" s="223">
        <f t="shared" si="39"/>
        <v>498.02</v>
      </c>
      <c r="AB101" s="242">
        <f t="shared" si="40"/>
        <v>4.8440166716187774E-4</v>
      </c>
      <c r="AC101" s="136"/>
      <c r="AD101" s="240">
        <v>1860</v>
      </c>
      <c r="AE101" s="242">
        <f t="shared" si="41"/>
        <v>6.3842305551053003E-4</v>
      </c>
      <c r="AF101" s="243">
        <f t="shared" si="42"/>
        <v>-1361.98</v>
      </c>
      <c r="AG101" s="240">
        <v>287.97000000000003</v>
      </c>
      <c r="AH101" s="242">
        <f t="shared" si="43"/>
        <v>1.0360295212829109E-3</v>
      </c>
      <c r="AI101" s="243">
        <f t="shared" si="44"/>
        <v>210.04999999999995</v>
      </c>
      <c r="AJ101" s="224">
        <f t="shared" si="45"/>
        <v>1.4548800794601384E-2</v>
      </c>
      <c r="AK101" s="225">
        <f t="shared" si="46"/>
        <v>2.5274228779329486E-2</v>
      </c>
      <c r="AL101" s="227">
        <f t="shared" si="47"/>
        <v>2.7072482842906836E-2</v>
      </c>
      <c r="AM101" s="419" t="str">
        <f t="shared" si="48"/>
        <v>-0.02 pts.</v>
      </c>
      <c r="AN101" s="420" t="str">
        <f t="shared" si="49"/>
        <v>-0.06 pts.</v>
      </c>
      <c r="AO101" s="11"/>
      <c r="AP101" s="11"/>
    </row>
    <row r="102" spans="1:42" x14ac:dyDescent="0.25">
      <c r="A102" s="57" t="s">
        <v>0</v>
      </c>
      <c r="B102" s="58" t="s">
        <v>1</v>
      </c>
      <c r="C102" s="11"/>
      <c r="D102" s="11"/>
      <c r="E102" s="11"/>
      <c r="F102" s="11"/>
      <c r="G102" s="11"/>
      <c r="H102" s="392" t="s">
        <v>794</v>
      </c>
      <c r="I102" s="118" t="str">
        <f>IF(_epmOfflineCondition_,"T4",_xll.EVPRO($B$1,$H102,"STYLE"))</f>
        <v>T4</v>
      </c>
      <c r="J102" s="118" t="str">
        <f>IF(_epmOfflineCondition_,"Y",_xll.EVPRO($B$1,$H102,"CALC"))</f>
        <v>Y</v>
      </c>
      <c r="K102" s="175" t="str">
        <f t="shared" si="38"/>
        <v>&gt;</v>
      </c>
      <c r="L102" s="86" t="str">
        <f>IF(_epmOfflineCondition_,"",_xll.EVPRO($B$1,H102,"JDEID"))</f>
        <v/>
      </c>
      <c r="M102" s="86" t="str">
        <f>IF(_epmOfflineCondition_,"",IF(AND(I102="N",J102="N"),_xll.EVPRO($B$1,H102,"PSFTID"),""))</f>
        <v/>
      </c>
      <c r="N102" s="86" t="str">
        <f>IF(_epmOfflineCondition_,"Contract Services",IF(_xll.EVDES(H102,$B$1)="#NODATA","",_xll.EVDES(H102,$B$1)))</f>
        <v>Contract Services</v>
      </c>
      <c r="O102" s="240">
        <v>1346.99</v>
      </c>
      <c r="P102" s="240">
        <v>1612.49</v>
      </c>
      <c r="Q102" s="240">
        <v>1527.72</v>
      </c>
      <c r="R102" s="240">
        <v>1477</v>
      </c>
      <c r="S102" s="240">
        <v>1646.45</v>
      </c>
      <c r="T102" s="240">
        <v>2773.51</v>
      </c>
      <c r="U102" s="240">
        <v>-877</v>
      </c>
      <c r="V102" s="240">
        <v>2784</v>
      </c>
      <c r="W102" s="240">
        <v>1664.23</v>
      </c>
      <c r="X102" s="240">
        <v>3397</v>
      </c>
      <c r="Y102" s="240">
        <v>5924.02</v>
      </c>
      <c r="Z102" s="240">
        <v>6055.01</v>
      </c>
      <c r="AA102" s="223">
        <f t="shared" si="39"/>
        <v>29331.42</v>
      </c>
      <c r="AB102" s="242">
        <f t="shared" si="40"/>
        <v>2.8529353737249998E-2</v>
      </c>
      <c r="AC102" s="136"/>
      <c r="AD102" s="240">
        <v>33892</v>
      </c>
      <c r="AE102" s="242">
        <f t="shared" si="41"/>
        <v>1.1633029138367142E-2</v>
      </c>
      <c r="AF102" s="243">
        <f t="shared" si="42"/>
        <v>-4560.5800000000017</v>
      </c>
      <c r="AG102" s="240">
        <v>10909.34</v>
      </c>
      <c r="AH102" s="242">
        <f t="shared" si="43"/>
        <v>3.9248526921945026E-2</v>
      </c>
      <c r="AI102" s="243">
        <f t="shared" si="44"/>
        <v>18422.079999999998</v>
      </c>
      <c r="AJ102" s="224">
        <f t="shared" si="45"/>
        <v>0.85686716718763689</v>
      </c>
      <c r="AK102" s="225">
        <f t="shared" si="46"/>
        <v>0.46053449558550263</v>
      </c>
      <c r="AL102" s="227">
        <f t="shared" si="47"/>
        <v>1.0256030835761962</v>
      </c>
      <c r="AM102" s="419" t="str">
        <f t="shared" si="48"/>
        <v>1.69 pts.</v>
      </c>
      <c r="AN102" s="420" t="str">
        <f t="shared" si="49"/>
        <v>-1.07 pts.</v>
      </c>
      <c r="AO102" s="11"/>
      <c r="AP102" s="11"/>
    </row>
    <row r="103" spans="1:42" x14ac:dyDescent="0.25">
      <c r="A103" s="61" t="s">
        <v>2</v>
      </c>
      <c r="B103" s="62" t="str">
        <f>IF(_epmOfflineCondition_,"'FB_Cons'!$B$2:$B$10",_xll.EVRNG($B$2:$B$10))</f>
        <v>'FB_Cons'!$B$2:$B$10</v>
      </c>
      <c r="C103" s="11"/>
      <c r="D103" s="11"/>
      <c r="E103" s="11"/>
      <c r="F103" s="11"/>
      <c r="G103" s="11"/>
      <c r="H103" s="392" t="s">
        <v>795</v>
      </c>
      <c r="I103" s="118" t="str">
        <f>IF(_epmOfflineCondition_,"T4",_xll.EVPRO($B$1,$H103,"STYLE"))</f>
        <v>T4</v>
      </c>
      <c r="J103" s="118" t="str">
        <f>IF(_epmOfflineCondition_,"Y",_xll.EVPRO($B$1,$H103,"CALC"))</f>
        <v>Y</v>
      </c>
      <c r="K103" s="175" t="str">
        <f t="shared" si="38"/>
        <v>&gt;</v>
      </c>
      <c r="L103" s="86" t="str">
        <f>IF(_epmOfflineCondition_,"",_xll.EVPRO($B$1,H103,"JDEID"))</f>
        <v/>
      </c>
      <c r="M103" s="86" t="str">
        <f>IF(_epmOfflineCondition_,"",IF(AND(I103="N",J103="N"),_xll.EVPRO($B$1,H103,"PSFTID"),""))</f>
        <v/>
      </c>
      <c r="N103" s="86" t="str">
        <f>IF(_epmOfflineCondition_,"Travel - Other",IF(_xll.EVDES(H103,$B$1)="#NODATA","",_xll.EVDES(H103,$B$1)))</f>
        <v>Travel - Other</v>
      </c>
      <c r="O103" s="240">
        <v>63.63</v>
      </c>
      <c r="P103" s="240">
        <v>72.38</v>
      </c>
      <c r="Q103" s="240">
        <v>3470.64</v>
      </c>
      <c r="R103" s="240">
        <v>-39.17</v>
      </c>
      <c r="S103" s="240">
        <v>323.87</v>
      </c>
      <c r="T103" s="240">
        <v>852.46</v>
      </c>
      <c r="U103" s="240">
        <v>350.7</v>
      </c>
      <c r="V103" s="240">
        <v>248.27</v>
      </c>
      <c r="W103" s="240"/>
      <c r="X103" s="240">
        <v>4697.43</v>
      </c>
      <c r="Y103" s="240">
        <v>-1557.89</v>
      </c>
      <c r="Z103" s="240">
        <v>-947.68</v>
      </c>
      <c r="AA103" s="223">
        <f t="shared" si="39"/>
        <v>7534.6399999999994</v>
      </c>
      <c r="AB103" s="242">
        <f t="shared" si="40"/>
        <v>7.3286056332367584E-3</v>
      </c>
      <c r="AC103" s="136"/>
      <c r="AD103" s="240">
        <v>5650</v>
      </c>
      <c r="AE103" s="242">
        <f t="shared" si="41"/>
        <v>1.9392958406637068E-3</v>
      </c>
      <c r="AF103" s="243">
        <f t="shared" si="42"/>
        <v>1884.6399999999994</v>
      </c>
      <c r="AG103" s="240">
        <v>2318.4499999999998</v>
      </c>
      <c r="AH103" s="242">
        <f t="shared" si="43"/>
        <v>8.3410863757279029E-3</v>
      </c>
      <c r="AI103" s="243">
        <f t="shared" si="44"/>
        <v>5216.1899999999996</v>
      </c>
      <c r="AJ103" s="224">
        <f t="shared" si="45"/>
        <v>0.22011159475329378</v>
      </c>
      <c r="AK103" s="225">
        <f t="shared" si="46"/>
        <v>7.677386699097398E-2</v>
      </c>
      <c r="AL103" s="227">
        <f t="shared" si="47"/>
        <v>0.21796089122872989</v>
      </c>
      <c r="AM103" s="419" t="str">
        <f t="shared" si="48"/>
        <v>0.54 pts.</v>
      </c>
      <c r="AN103" s="420" t="str">
        <f t="shared" si="49"/>
        <v>-0.1 pts.</v>
      </c>
      <c r="AO103" s="11"/>
      <c r="AP103" s="11"/>
    </row>
    <row r="104" spans="1:42" x14ac:dyDescent="0.25">
      <c r="A104" s="61" t="s">
        <v>3</v>
      </c>
      <c r="B104" s="62" t="str">
        <f>IF(_epmOfflineCondition_,"'FB_Cons'!$O$16:$AN$18",_xll.EVRNG($O$16:$AN$18))</f>
        <v>'FB_Cons'!$O$16:$AN$18</v>
      </c>
      <c r="C104" s="11"/>
      <c r="D104" s="11"/>
      <c r="E104" s="11"/>
      <c r="F104" s="11"/>
      <c r="G104" s="11"/>
      <c r="H104" s="392" t="s">
        <v>796</v>
      </c>
      <c r="I104" s="118" t="str">
        <f>IF(_epmOfflineCondition_,"T4",_xll.EVPRO($B$1,$H104,"STYLE"))</f>
        <v>T4</v>
      </c>
      <c r="J104" s="118" t="str">
        <f>IF(_epmOfflineCondition_,"Y",_xll.EVPRO($B$1,$H104,"CALC"))</f>
        <v>Y</v>
      </c>
      <c r="K104" s="175" t="str">
        <f t="shared" si="38"/>
        <v>&gt;</v>
      </c>
      <c r="L104" s="86" t="str">
        <f>IF(_epmOfflineCondition_,"702900",_xll.EVPRO($B$1,H104,"JDEID"))</f>
        <v>702900</v>
      </c>
      <c r="M104" s="86" t="str">
        <f>IF(_epmOfflineCondition_,"",IF(AND(I104="N",J104="N"),_xll.EVPRO($B$1,H104,"PSFTID"),""))</f>
        <v/>
      </c>
      <c r="N104" s="86" t="str">
        <f>IF(_epmOfflineCondition_,"Travel - Meals &amp; Entertainment",IF(_xll.EVDES(H104,$B$1)="#NODATA","",_xll.EVDES(H104,$B$1)))</f>
        <v>Travel - Meals &amp; Entertainment</v>
      </c>
      <c r="O104" s="240">
        <v>4.8499999999999996</v>
      </c>
      <c r="P104" s="240"/>
      <c r="Q104" s="240">
        <v>318</v>
      </c>
      <c r="R104" s="240">
        <v>121.01</v>
      </c>
      <c r="S104" s="240">
        <v>48.57</v>
      </c>
      <c r="T104" s="240">
        <v>705.76</v>
      </c>
      <c r="U104" s="240">
        <v>226.28</v>
      </c>
      <c r="V104" s="240">
        <v>35.15</v>
      </c>
      <c r="W104" s="240"/>
      <c r="X104" s="240">
        <v>1138.18</v>
      </c>
      <c r="Y104" s="240">
        <v>1576.25</v>
      </c>
      <c r="Z104" s="240">
        <v>57.7</v>
      </c>
      <c r="AA104" s="223">
        <f t="shared" si="39"/>
        <v>4231.75</v>
      </c>
      <c r="AB104" s="242">
        <f t="shared" si="40"/>
        <v>4.1160330007073542E-3</v>
      </c>
      <c r="AC104" s="136"/>
      <c r="AD104" s="240">
        <v>975</v>
      </c>
      <c r="AE104" s="242">
        <f t="shared" si="41"/>
        <v>3.3465724684019719E-4</v>
      </c>
      <c r="AF104" s="243">
        <f t="shared" si="42"/>
        <v>3256.75</v>
      </c>
      <c r="AG104" s="240">
        <v>464.7</v>
      </c>
      <c r="AH104" s="242">
        <f t="shared" si="43"/>
        <v>1.6718509516274911E-3</v>
      </c>
      <c r="AI104" s="243">
        <f t="shared" si="44"/>
        <v>3767.05</v>
      </c>
      <c r="AJ104" s="224">
        <f t="shared" si="45"/>
        <v>0.12362332388770413</v>
      </c>
      <c r="AK104" s="225">
        <f t="shared" si="46"/>
        <v>1.3248587666584004E-2</v>
      </c>
      <c r="AL104" s="227">
        <f t="shared" si="47"/>
        <v>4.3687129829839237E-2</v>
      </c>
      <c r="AM104" s="419" t="str">
        <f t="shared" si="48"/>
        <v>0.38 pts.</v>
      </c>
      <c r="AN104" s="420" t="str">
        <f t="shared" si="49"/>
        <v>0.24 pts.</v>
      </c>
      <c r="AO104" s="11"/>
      <c r="AP104" s="11"/>
    </row>
    <row r="105" spans="1:42" x14ac:dyDescent="0.25">
      <c r="A105" s="61" t="s">
        <v>4</v>
      </c>
      <c r="B105" s="62" t="str">
        <f>IF(_epmOfflineCondition_,"'FB_Cons'!$H$120:$H$123",_xll.EVRNG(H120:H123))</f>
        <v>'FB_Cons'!$H$120:$H$123</v>
      </c>
      <c r="C105" s="11"/>
      <c r="D105" s="11"/>
      <c r="E105" s="11"/>
      <c r="F105" s="11"/>
      <c r="G105" s="11"/>
      <c r="H105" s="392" t="s">
        <v>797</v>
      </c>
      <c r="I105" s="118" t="str">
        <f>IF(_epmOfflineCondition_,"T4",_xll.EVPRO($B$1,$H105,"STYLE"))</f>
        <v>T4</v>
      </c>
      <c r="J105" s="118" t="str">
        <f>IF(_epmOfflineCondition_,"Y",_xll.EVPRO($B$1,$H105,"CALC"))</f>
        <v>Y</v>
      </c>
      <c r="K105" s="175" t="str">
        <f t="shared" si="38"/>
        <v>&gt;</v>
      </c>
      <c r="L105" s="86" t="str">
        <f>IF(_epmOfflineCondition_,"703000",_xll.EVPRO($B$1,H105,"JDEID"))</f>
        <v>703000</v>
      </c>
      <c r="M105" s="86" t="str">
        <f>IF(_epmOfflineCondition_,"",IF(AND(I105="N",J105="N"),_xll.EVPRO($B$1,H105,"PSFTID"),""))</f>
        <v/>
      </c>
      <c r="N105" s="86" t="str">
        <f>IF(_epmOfflineCondition_,"Complimentary Services &amp; Gifts",IF(_xll.EVDES(H105,$B$1)="#NODATA","",_xll.EVDES(H105,$B$1)))</f>
        <v>Complimentary Services &amp; Gifts</v>
      </c>
      <c r="O105" s="240"/>
      <c r="P105" s="240"/>
      <c r="Q105" s="240"/>
      <c r="R105" s="240">
        <v>11.53</v>
      </c>
      <c r="S105" s="240"/>
      <c r="T105" s="240"/>
      <c r="U105" s="240"/>
      <c r="V105" s="240"/>
      <c r="W105" s="240"/>
      <c r="X105" s="240"/>
      <c r="Y105" s="240"/>
      <c r="Z105" s="240"/>
      <c r="AA105" s="223">
        <f t="shared" si="39"/>
        <v>11.53</v>
      </c>
      <c r="AB105" s="242">
        <f t="shared" si="40"/>
        <v>1.121471270707291E-5</v>
      </c>
      <c r="AC105" s="136"/>
      <c r="AD105" s="240">
        <v>2867.6164939969999</v>
      </c>
      <c r="AE105" s="242">
        <f t="shared" si="41"/>
        <v>9.8427552910212816E-4</v>
      </c>
      <c r="AF105" s="243">
        <f t="shared" si="42"/>
        <v>-2856.0864939969997</v>
      </c>
      <c r="AG105" s="240">
        <v>5836.6</v>
      </c>
      <c r="AH105" s="242">
        <f t="shared" si="43"/>
        <v>2.0998332826057706E-2</v>
      </c>
      <c r="AI105" s="243">
        <f t="shared" si="44"/>
        <v>-5825.0700000000006</v>
      </c>
      <c r="AJ105" s="224">
        <f t="shared" si="45"/>
        <v>3.3682918991557358E-4</v>
      </c>
      <c r="AK105" s="225">
        <f t="shared" si="46"/>
        <v>3.8966018989601559E-2</v>
      </c>
      <c r="AL105" s="227">
        <f t="shared" si="47"/>
        <v>0.54870734229576013</v>
      </c>
      <c r="AM105" s="419" t="str">
        <f t="shared" si="48"/>
        <v>-0.1 pts.</v>
      </c>
      <c r="AN105" s="420" t="str">
        <f t="shared" si="49"/>
        <v>-2.1 pts.</v>
      </c>
      <c r="AO105" s="11"/>
      <c r="AP105" s="11"/>
    </row>
    <row r="106" spans="1:42" x14ac:dyDescent="0.25">
      <c r="A106" s="61" t="s">
        <v>5</v>
      </c>
      <c r="B106" s="62"/>
      <c r="C106" s="11"/>
      <c r="D106" s="11"/>
      <c r="E106" s="11"/>
      <c r="F106" s="11"/>
      <c r="G106" s="11"/>
      <c r="H106" s="392" t="s">
        <v>798</v>
      </c>
      <c r="I106" s="118" t="str">
        <f>IF(_epmOfflineCondition_,"N",_xll.EVPRO($B$1,$H106,"STYLE"))</f>
        <v>N</v>
      </c>
      <c r="J106" s="118" t="str">
        <f>IF(_epmOfflineCondition_,"N",_xll.EVPRO($B$1,$H106,"CALC"))</f>
        <v>N</v>
      </c>
      <c r="K106" s="175" t="str">
        <f t="shared" si="38"/>
        <v/>
      </c>
      <c r="L106" s="86" t="str">
        <f>IF(_epmOfflineCondition_,"703100",_xll.EVPRO($B$1,H106,"JDEID"))</f>
        <v>703100</v>
      </c>
      <c r="M106" s="86" t="str">
        <f>IF(_epmOfflineCondition_,"690035",IF(AND(I106="N",J106="N"),_xll.EVPRO($B$1,H106,"PSFTID"),""))</f>
        <v>690035</v>
      </c>
      <c r="N106" s="86" t="str">
        <f>IF(_epmOfflineCondition_,"Training",IF(_xll.EVDES(H106,$B$1)="#NODATA","",_xll.EVDES(H106,$B$1)))</f>
        <v>Training</v>
      </c>
      <c r="O106" s="240"/>
      <c r="P106" s="240"/>
      <c r="Q106" s="240"/>
      <c r="R106" s="240"/>
      <c r="S106" s="240"/>
      <c r="T106" s="240"/>
      <c r="U106" s="240"/>
      <c r="V106" s="240"/>
      <c r="W106" s="240"/>
      <c r="X106" s="240"/>
      <c r="Y106" s="240"/>
      <c r="Z106" s="240"/>
      <c r="AA106" s="223">
        <f t="shared" si="39"/>
        <v>0</v>
      </c>
      <c r="AB106" s="242" t="str">
        <f t="shared" si="40"/>
        <v/>
      </c>
      <c r="AC106" s="136"/>
      <c r="AD106" s="240">
        <v>1200</v>
      </c>
      <c r="AE106" s="242">
        <f t="shared" si="41"/>
        <v>4.1188584226485808E-4</v>
      </c>
      <c r="AF106" s="243">
        <f t="shared" si="42"/>
        <v>-1200</v>
      </c>
      <c r="AG106" s="240">
        <v>364</v>
      </c>
      <c r="AH106" s="242">
        <f t="shared" si="43"/>
        <v>1.3095626132825625E-3</v>
      </c>
      <c r="AI106" s="243">
        <f t="shared" si="44"/>
        <v>-364</v>
      </c>
      <c r="AJ106" s="224">
        <f t="shared" si="45"/>
        <v>0</v>
      </c>
      <c r="AK106" s="225">
        <f t="shared" si="46"/>
        <v>1.6305954051180314E-2</v>
      </c>
      <c r="AL106" s="227">
        <f t="shared" si="47"/>
        <v>3.422017486133308E-2</v>
      </c>
      <c r="AM106" s="419">
        <f t="shared" si="48"/>
        <v>0</v>
      </c>
      <c r="AN106" s="420">
        <f t="shared" si="49"/>
        <v>0</v>
      </c>
      <c r="AO106" s="11"/>
      <c r="AP106" s="11"/>
    </row>
    <row r="107" spans="1:42" x14ac:dyDescent="0.25">
      <c r="A107" s="61" t="s">
        <v>6</v>
      </c>
      <c r="B107" s="62"/>
      <c r="C107" s="11"/>
      <c r="D107" s="11"/>
      <c r="E107" s="11"/>
      <c r="F107" s="11"/>
      <c r="G107" s="11"/>
      <c r="H107" s="392" t="s">
        <v>799</v>
      </c>
      <c r="I107" s="118" t="str">
        <f>IF(_epmOfflineCondition_,"N",_xll.EVPRO($B$1,$H107,"STYLE"))</f>
        <v>N</v>
      </c>
      <c r="J107" s="118" t="str">
        <f>IF(_epmOfflineCondition_,"N",_xll.EVPRO($B$1,$H107,"CALC"))</f>
        <v>N</v>
      </c>
      <c r="K107" s="175" t="str">
        <f t="shared" si="38"/>
        <v/>
      </c>
      <c r="L107" s="86" t="str">
        <f>IF(_epmOfflineCondition_,"703200",_xll.EVPRO($B$1,H107,"JDEID"))</f>
        <v>703200</v>
      </c>
      <c r="M107" s="86" t="str">
        <f>IF(_epmOfflineCondition_,"590035",IF(AND(I107="N",J107="N"),_xll.EVPRO($B$1,H107,"PSFTID"),""))</f>
        <v>590035</v>
      </c>
      <c r="N107" s="86" t="str">
        <f>IF(_epmOfflineCondition_,"Uniform Costs",IF(_xll.EVDES(H107,$B$1)="#NODATA","",_xll.EVDES(H107,$B$1)))</f>
        <v>Uniform Costs</v>
      </c>
      <c r="O107" s="240"/>
      <c r="P107" s="240">
        <v>308.70999999999998</v>
      </c>
      <c r="Q107" s="240"/>
      <c r="R107" s="240">
        <v>156.19999999999999</v>
      </c>
      <c r="S107" s="240">
        <v>400.7</v>
      </c>
      <c r="T107" s="240">
        <v>841.82</v>
      </c>
      <c r="U107" s="240">
        <v>-620.77</v>
      </c>
      <c r="V107" s="240"/>
      <c r="W107" s="240"/>
      <c r="X107" s="240">
        <v>1438.52</v>
      </c>
      <c r="Y107" s="240">
        <v>-544</v>
      </c>
      <c r="Z107" s="240">
        <v>1913.14</v>
      </c>
      <c r="AA107" s="223">
        <f t="shared" si="39"/>
        <v>3894.3199999999997</v>
      </c>
      <c r="AB107" s="242">
        <f t="shared" si="40"/>
        <v>3.7878300077543951E-3</v>
      </c>
      <c r="AC107" s="136"/>
      <c r="AD107" s="240">
        <v>2757.08</v>
      </c>
      <c r="AE107" s="242">
        <f t="shared" si="41"/>
        <v>9.4633518165966244E-4</v>
      </c>
      <c r="AF107" s="243">
        <f t="shared" si="42"/>
        <v>1137.2399999999998</v>
      </c>
      <c r="AG107" s="240">
        <v>366.14</v>
      </c>
      <c r="AH107" s="242">
        <f t="shared" si="43"/>
        <v>1.317261690184828E-3</v>
      </c>
      <c r="AI107" s="243">
        <f t="shared" si="44"/>
        <v>3528.18</v>
      </c>
      <c r="AJ107" s="224">
        <f t="shared" si="45"/>
        <v>0.11376588472437264</v>
      </c>
      <c r="AK107" s="225">
        <f t="shared" si="46"/>
        <v>3.7464016496190182E-2</v>
      </c>
      <c r="AL107" s="227">
        <f t="shared" si="47"/>
        <v>3.4421359405847514E-2</v>
      </c>
      <c r="AM107" s="419" t="str">
        <f t="shared" si="48"/>
        <v>0.28 pts.</v>
      </c>
      <c r="AN107" s="420" t="str">
        <f t="shared" si="49"/>
        <v>0.25 pts.</v>
      </c>
      <c r="AO107" s="11"/>
      <c r="AP107" s="11"/>
    </row>
    <row r="108" spans="1:42" x14ac:dyDescent="0.25">
      <c r="A108" s="61" t="s">
        <v>7</v>
      </c>
      <c r="B108" s="62"/>
      <c r="C108" s="11"/>
      <c r="D108" s="11"/>
      <c r="E108" s="11"/>
      <c r="F108" s="11"/>
      <c r="G108" s="72"/>
      <c r="H108" s="392" t="s">
        <v>800</v>
      </c>
      <c r="I108" s="118" t="str">
        <f>IF(_epmOfflineCondition_,"N",_xll.EVPRO($B$1,$H108,"STYLE"))</f>
        <v>N</v>
      </c>
      <c r="J108" s="118" t="str">
        <f>IF(_epmOfflineCondition_,"N",_xll.EVPRO($B$1,$H108,"CALC"))</f>
        <v>N</v>
      </c>
      <c r="K108" s="175" t="str">
        <f t="shared" si="38"/>
        <v/>
      </c>
      <c r="L108" s="86" t="str">
        <f>IF(_epmOfflineCondition_,"703300",_xll.EVPRO($B$1,H108,"JDEID"))</f>
        <v>703300</v>
      </c>
      <c r="M108" s="86" t="str">
        <f>IF(_epmOfflineCondition_,"590115",IF(AND(I108="N",J108="N"),_xll.EVPRO($B$1,H108,"PSFTID"),""))</f>
        <v>590115</v>
      </c>
      <c r="N108" s="86" t="str">
        <f>IF(_epmOfflineCondition_,"Uniforms Laundry",IF(_xll.EVDES(H108,$B$1)="#NODATA","",_xll.EVDES(H108,$B$1)))</f>
        <v>Uniforms Laundry</v>
      </c>
      <c r="O108" s="240">
        <v>513.04999999999995</v>
      </c>
      <c r="P108" s="240">
        <v>85.6</v>
      </c>
      <c r="Q108" s="240">
        <v>232.45</v>
      </c>
      <c r="R108" s="240">
        <v>311.67</v>
      </c>
      <c r="S108" s="240">
        <v>142.07</v>
      </c>
      <c r="T108" s="240">
        <v>560.79</v>
      </c>
      <c r="U108" s="240">
        <v>381.77</v>
      </c>
      <c r="V108" s="240">
        <v>250.8</v>
      </c>
      <c r="W108" s="240">
        <v>2633.4</v>
      </c>
      <c r="X108" s="240">
        <v>-2020.1</v>
      </c>
      <c r="Y108" s="240">
        <v>676.5</v>
      </c>
      <c r="Z108" s="240">
        <v>682.2</v>
      </c>
      <c r="AA108" s="223">
        <f t="shared" si="39"/>
        <v>4450.2000000000007</v>
      </c>
      <c r="AB108" s="242">
        <f t="shared" si="40"/>
        <v>4.3285094960117841E-3</v>
      </c>
      <c r="AC108" s="136"/>
      <c r="AD108" s="240">
        <v>6797.8445449279998</v>
      </c>
      <c r="AE108" s="242">
        <f t="shared" si="41"/>
        <v>2.3332799383110336E-3</v>
      </c>
      <c r="AF108" s="243">
        <f t="shared" si="42"/>
        <v>-2347.644544927999</v>
      </c>
      <c r="AG108" s="240">
        <v>1901.85</v>
      </c>
      <c r="AH108" s="242">
        <f t="shared" si="43"/>
        <v>6.8422847694270365E-3</v>
      </c>
      <c r="AI108" s="243">
        <f t="shared" si="44"/>
        <v>2548.3500000000008</v>
      </c>
      <c r="AJ108" s="224">
        <f t="shared" si="45"/>
        <v>0.13000496625865446</v>
      </c>
      <c r="AK108" s="225">
        <f t="shared" si="46"/>
        <v>9.2371117330552255E-2</v>
      </c>
      <c r="AL108" s="227">
        <f t="shared" si="47"/>
        <v>0.17879571307699538</v>
      </c>
      <c r="AM108" s="419" t="str">
        <f t="shared" si="48"/>
        <v>0.2 pts.</v>
      </c>
      <c r="AN108" s="420" t="str">
        <f t="shared" si="49"/>
        <v>-0.25 pts.</v>
      </c>
      <c r="AO108" s="11"/>
      <c r="AP108" s="11"/>
    </row>
    <row r="109" spans="1:42" x14ac:dyDescent="0.25">
      <c r="A109" s="61" t="s">
        <v>47</v>
      </c>
      <c r="B109" s="62" t="str">
        <f>IF(_epmOfflineCondition_,"'FB_Cons'!$A$114:$B$135",_xll.EVRNG($A$114:$B$135))</f>
        <v>'FB_Cons'!$A$114:$B$135</v>
      </c>
      <c r="C109" s="11"/>
      <c r="D109" s="11"/>
      <c r="E109" s="11"/>
      <c r="F109" s="11"/>
      <c r="G109" s="11"/>
      <c r="H109" s="392" t="s">
        <v>827</v>
      </c>
      <c r="I109" s="118" t="str">
        <f>IF(_epmOfflineCondition_,"N",_xll.EVPRO($B$1,$H109,"STYLE"))</f>
        <v>N</v>
      </c>
      <c r="J109" s="118" t="str">
        <f>IF(_epmOfflineCondition_,"N",_xll.EVPRO($B$1,$H109,"CALC"))</f>
        <v>N</v>
      </c>
      <c r="K109" s="175" t="str">
        <f t="shared" si="38"/>
        <v/>
      </c>
      <c r="L109" s="86" t="str">
        <f>IF(_epmOfflineCondition_,"703400",_xll.EVPRO($B$1,H109,"JDEID"))</f>
        <v>703400</v>
      </c>
      <c r="M109" s="86" t="str">
        <f>IF(_epmOfflineCondition_,"590010",IF(AND(I109="N",J109="N"),_xll.EVPRO($B$1,H109,"PSFTID"),""))</f>
        <v>590010</v>
      </c>
      <c r="N109" s="86" t="str">
        <f>IF(_epmOfflineCondition_,"Linen",IF(_xll.EVDES(H109,$B$1)="#NODATA","",_xll.EVDES(H109,$B$1)))</f>
        <v>Linen</v>
      </c>
      <c r="O109" s="240">
        <v>-847.45</v>
      </c>
      <c r="P109" s="240">
        <v>285.5</v>
      </c>
      <c r="Q109" s="240">
        <v>1204.94</v>
      </c>
      <c r="R109" s="240">
        <v>335.67</v>
      </c>
      <c r="S109" s="240">
        <v>629.61</v>
      </c>
      <c r="T109" s="240">
        <v>230.06</v>
      </c>
      <c r="U109" s="240">
        <v>474.18</v>
      </c>
      <c r="V109" s="240">
        <v>482.57</v>
      </c>
      <c r="W109" s="240">
        <v>790.25</v>
      </c>
      <c r="X109" s="240">
        <v>3390.94</v>
      </c>
      <c r="Y109" s="240">
        <v>2585.9699999999998</v>
      </c>
      <c r="Z109" s="240">
        <v>2294.7800000000002</v>
      </c>
      <c r="AA109" s="223">
        <f t="shared" si="39"/>
        <v>11857.02</v>
      </c>
      <c r="AB109" s="242">
        <f t="shared" si="40"/>
        <v>1.1532790360972909E-2</v>
      </c>
      <c r="AC109" s="136"/>
      <c r="AD109" s="240">
        <v>25164.372776189</v>
      </c>
      <c r="AE109" s="242">
        <f t="shared" si="41"/>
        <v>8.6373740633228935E-3</v>
      </c>
      <c r="AF109" s="243">
        <f t="shared" si="42"/>
        <v>-13307.352776189</v>
      </c>
      <c r="AG109" s="240">
        <v>3820.1</v>
      </c>
      <c r="AH109" s="242">
        <f t="shared" si="43"/>
        <v>1.3743571810441529E-2</v>
      </c>
      <c r="AI109" s="243">
        <f t="shared" si="44"/>
        <v>8036.92</v>
      </c>
      <c r="AJ109" s="224">
        <f t="shared" si="45"/>
        <v>0.34638251876953641</v>
      </c>
      <c r="AK109" s="225">
        <f t="shared" si="46"/>
        <v>0.34194092184609221</v>
      </c>
      <c r="AL109" s="227">
        <f t="shared" si="47"/>
        <v>0.35913321425213873</v>
      </c>
      <c r="AM109" s="419" t="str">
        <f t="shared" si="48"/>
        <v>0.29 pts.</v>
      </c>
      <c r="AN109" s="420" t="str">
        <f t="shared" si="49"/>
        <v>-0.22 pts.</v>
      </c>
      <c r="AO109" s="11"/>
      <c r="AP109" s="11"/>
    </row>
    <row r="110" spans="1:42" x14ac:dyDescent="0.25">
      <c r="A110" s="61" t="s">
        <v>8</v>
      </c>
      <c r="B110" s="62"/>
      <c r="C110" s="11"/>
      <c r="D110" s="11"/>
      <c r="E110" s="11"/>
      <c r="F110" s="11"/>
      <c r="G110" s="11"/>
      <c r="H110" s="392" t="s">
        <v>828</v>
      </c>
      <c r="I110" s="118" t="str">
        <f>IF(_epmOfflineCondition_,"N",_xll.EVPRO($B$1,$H110,"STYLE"))</f>
        <v>N</v>
      </c>
      <c r="J110" s="118" t="str">
        <f>IF(_epmOfflineCondition_,"N",_xll.EVPRO($B$1,$H110,"CALC"))</f>
        <v>N</v>
      </c>
      <c r="K110" s="175" t="str">
        <f t="shared" si="38"/>
        <v/>
      </c>
      <c r="L110" s="86" t="str">
        <f>IF(_epmOfflineCondition_,"703500",_xll.EVPRO($B$1,H110,"JDEID"))</f>
        <v>703500</v>
      </c>
      <c r="M110" s="86" t="str">
        <f>IF(_epmOfflineCondition_,"590004",IF(AND(I110="N",J110="N"),_xll.EVPRO($B$1,H110,"PSFTID"),""))</f>
        <v>590004</v>
      </c>
      <c r="N110" s="86" t="str">
        <f>IF(_epmOfflineCondition_,"China",IF(_xll.EVDES(H110,$B$1)="#NODATA","",_xll.EVDES(H110,$B$1)))</f>
        <v>China</v>
      </c>
      <c r="O110" s="240"/>
      <c r="P110" s="240">
        <v>117.24</v>
      </c>
      <c r="Q110" s="240"/>
      <c r="R110" s="240"/>
      <c r="S110" s="240"/>
      <c r="T110" s="240"/>
      <c r="U110" s="240">
        <v>-27.09</v>
      </c>
      <c r="V110" s="240"/>
      <c r="W110" s="240">
        <v>24.18</v>
      </c>
      <c r="X110" s="240"/>
      <c r="Y110" s="240"/>
      <c r="Z110" s="240"/>
      <c r="AA110" s="223">
        <f t="shared" si="39"/>
        <v>114.32999999999998</v>
      </c>
      <c r="AB110" s="242">
        <f t="shared" si="40"/>
        <v>1.1120365167386346E-4</v>
      </c>
      <c r="AC110" s="136"/>
      <c r="AD110" s="240">
        <v>3400</v>
      </c>
      <c r="AE110" s="242">
        <f t="shared" si="41"/>
        <v>1.167009886417098E-3</v>
      </c>
      <c r="AF110" s="243">
        <f t="shared" si="42"/>
        <v>-3285.67</v>
      </c>
      <c r="AG110" s="240">
        <v>457.88</v>
      </c>
      <c r="AH110" s="242">
        <f t="shared" si="43"/>
        <v>1.6473146411258783E-3</v>
      </c>
      <c r="AI110" s="243">
        <f t="shared" si="44"/>
        <v>-343.55</v>
      </c>
      <c r="AJ110" s="224">
        <f t="shared" si="45"/>
        <v>3.3399550115392478E-3</v>
      </c>
      <c r="AK110" s="225">
        <f t="shared" si="46"/>
        <v>4.6200203145010887E-2</v>
      </c>
      <c r="AL110" s="227">
        <f t="shared" si="47"/>
        <v>4.3045971608536238E-2</v>
      </c>
      <c r="AM110" s="419" t="str">
        <f t="shared" si="48"/>
        <v>-0.11 pts.</v>
      </c>
      <c r="AN110" s="420" t="str">
        <f t="shared" si="49"/>
        <v>-0.15 pts.</v>
      </c>
      <c r="AO110" s="11"/>
      <c r="AP110" s="11"/>
    </row>
    <row r="111" spans="1:42" x14ac:dyDescent="0.25">
      <c r="A111" s="11"/>
      <c r="B111" s="11"/>
      <c r="C111" s="11"/>
      <c r="D111" s="11"/>
      <c r="E111" s="11"/>
      <c r="F111" s="11"/>
      <c r="G111" s="11"/>
      <c r="H111" s="392" t="s">
        <v>829</v>
      </c>
      <c r="I111" s="118" t="str">
        <f>IF(_epmOfflineCondition_,"N",_xll.EVPRO($B$1,$H111,"STYLE"))</f>
        <v>N</v>
      </c>
      <c r="J111" s="118" t="str">
        <f>IF(_epmOfflineCondition_,"N",_xll.EVPRO($B$1,$H111,"CALC"))</f>
        <v>N</v>
      </c>
      <c r="K111" s="175" t="str">
        <f t="shared" si="38"/>
        <v/>
      </c>
      <c r="L111" s="86" t="str">
        <f>IF(_epmOfflineCondition_,"703510",_xll.EVPRO($B$1,H111,"JDEID"))</f>
        <v>703510</v>
      </c>
      <c r="M111" s="86" t="str">
        <f>IF(_epmOfflineCondition_,"590003",IF(AND(I111="N",J111="N"),_xll.EVPRO($B$1,H111,"PSFTID"),""))</f>
        <v>590003</v>
      </c>
      <c r="N111" s="86" t="str">
        <f>IF(_epmOfflineCondition_,"Glassware",IF(_xll.EVDES(H111,$B$1)="#NODATA","",_xll.EVDES(H111,$B$1)))</f>
        <v>Glassware</v>
      </c>
      <c r="O111" s="240"/>
      <c r="P111" s="240"/>
      <c r="Q111" s="240"/>
      <c r="R111" s="240"/>
      <c r="S111" s="240"/>
      <c r="T111" s="240"/>
      <c r="U111" s="240"/>
      <c r="V111" s="240">
        <v>516.75</v>
      </c>
      <c r="W111" s="240"/>
      <c r="X111" s="240"/>
      <c r="Y111" s="240">
        <v>3000</v>
      </c>
      <c r="Z111" s="240">
        <v>884.55</v>
      </c>
      <c r="AA111" s="223">
        <f t="shared" si="39"/>
        <v>4401.3</v>
      </c>
      <c r="AB111" s="242">
        <f t="shared" si="40"/>
        <v>4.2809466641491765E-3</v>
      </c>
      <c r="AC111" s="136"/>
      <c r="AD111" s="240">
        <v>2150</v>
      </c>
      <c r="AE111" s="242">
        <f t="shared" si="41"/>
        <v>7.3796213405787081E-4</v>
      </c>
      <c r="AF111" s="243">
        <f t="shared" si="42"/>
        <v>2251.3000000000002</v>
      </c>
      <c r="AG111" s="240">
        <v>468.84</v>
      </c>
      <c r="AH111" s="242">
        <f t="shared" si="43"/>
        <v>1.6867454275038367E-3</v>
      </c>
      <c r="AI111" s="243">
        <f t="shared" si="44"/>
        <v>3932.46</v>
      </c>
      <c r="AJ111" s="224">
        <f t="shared" si="45"/>
        <v>0.12857643656334902</v>
      </c>
      <c r="AK111" s="225">
        <f t="shared" si="46"/>
        <v>2.9214834341698061E-2</v>
      </c>
      <c r="AL111" s="227">
        <f t="shared" si="47"/>
        <v>4.4076337313152199E-2</v>
      </c>
      <c r="AM111" s="419" t="str">
        <f t="shared" si="48"/>
        <v>0.35 pts.</v>
      </c>
      <c r="AN111" s="420" t="str">
        <f t="shared" si="49"/>
        <v>0.26 pts.</v>
      </c>
      <c r="AO111" s="11"/>
      <c r="AP111" s="11"/>
    </row>
    <row r="112" spans="1:42" x14ac:dyDescent="0.25">
      <c r="A112" s="11"/>
      <c r="B112" s="11"/>
      <c r="C112" s="11"/>
      <c r="D112" s="11"/>
      <c r="E112" s="11"/>
      <c r="F112" s="11"/>
      <c r="G112" s="11"/>
      <c r="H112" s="392" t="s">
        <v>830</v>
      </c>
      <c r="I112" s="118" t="str">
        <f>IF(_epmOfflineCondition_,"N",_xll.EVPRO($B$1,$H112,"STYLE"))</f>
        <v>N</v>
      </c>
      <c r="J112" s="118" t="str">
        <f>IF(_epmOfflineCondition_,"N",_xll.EVPRO($B$1,$H112,"CALC"))</f>
        <v>N</v>
      </c>
      <c r="K112" s="175" t="str">
        <f t="shared" si="38"/>
        <v/>
      </c>
      <c r="L112" s="86" t="str">
        <f>IF(_epmOfflineCondition_,"703520",_xll.EVPRO($B$1,H112,"JDEID"))</f>
        <v>703520</v>
      </c>
      <c r="M112" s="86" t="str">
        <f>IF(_epmOfflineCondition_,"590008",IF(AND(I112="N",J112="N"),_xll.EVPRO($B$1,H112,"PSFTID"),""))</f>
        <v>590008</v>
      </c>
      <c r="N112" s="86" t="str">
        <f>IF(_epmOfflineCondition_,"Flatware",IF(_xll.EVDES(H112,$B$1)="#NODATA","",_xll.EVDES(H112,$B$1)))</f>
        <v>Flatware</v>
      </c>
      <c r="O112" s="240"/>
      <c r="P112" s="240"/>
      <c r="Q112" s="240"/>
      <c r="R112" s="240"/>
      <c r="S112" s="240"/>
      <c r="T112" s="240"/>
      <c r="U112" s="240"/>
      <c r="V112" s="240"/>
      <c r="W112" s="240">
        <v>513.79</v>
      </c>
      <c r="X112" s="240"/>
      <c r="Y112" s="240"/>
      <c r="Z112" s="240"/>
      <c r="AA112" s="223">
        <f t="shared" si="39"/>
        <v>513.79</v>
      </c>
      <c r="AB112" s="242">
        <f t="shared" si="40"/>
        <v>4.9974043727380661E-4</v>
      </c>
      <c r="AC112" s="136"/>
      <c r="AD112" s="240">
        <v>900</v>
      </c>
      <c r="AE112" s="242">
        <f t="shared" si="41"/>
        <v>3.0891438169864359E-4</v>
      </c>
      <c r="AF112" s="243">
        <f t="shared" si="42"/>
        <v>-386.21000000000004</v>
      </c>
      <c r="AG112" s="240">
        <v>48.05</v>
      </c>
      <c r="AH112" s="242">
        <f t="shared" si="43"/>
        <v>1.7286946035227231E-4</v>
      </c>
      <c r="AI112" s="243">
        <f t="shared" si="44"/>
        <v>465.73999999999995</v>
      </c>
      <c r="AJ112" s="224">
        <f t="shared" si="45"/>
        <v>1.5009494318015832E-2</v>
      </c>
      <c r="AK112" s="225">
        <f t="shared" si="46"/>
        <v>1.2229465538385234E-2</v>
      </c>
      <c r="AL112" s="227">
        <f t="shared" si="47"/>
        <v>4.5172511046347652E-3</v>
      </c>
      <c r="AM112" s="419" t="str">
        <f t="shared" si="48"/>
        <v>0.02 pts.</v>
      </c>
      <c r="AN112" s="420" t="str">
        <f t="shared" si="49"/>
        <v>0.03 pts.</v>
      </c>
      <c r="AO112" s="11"/>
      <c r="AP112" s="11"/>
    </row>
    <row r="113" spans="1:42" x14ac:dyDescent="0.25">
      <c r="A113" s="57" t="s">
        <v>23</v>
      </c>
      <c r="B113" s="58" t="s">
        <v>24</v>
      </c>
      <c r="C113" s="11"/>
      <c r="D113" s="11"/>
      <c r="E113" s="11"/>
      <c r="F113" s="11"/>
      <c r="G113" s="72"/>
      <c r="H113" s="392" t="s">
        <v>920</v>
      </c>
      <c r="I113" s="118" t="str">
        <f>IF(_epmOfflineCondition_,"N",_xll.EVPRO($B$1,$H113,"STYLE"))</f>
        <v>N</v>
      </c>
      <c r="J113" s="118" t="str">
        <f>IF(_epmOfflineCondition_,"N",_xll.EVPRO($B$1,$H113,"CALC"))</f>
        <v>N</v>
      </c>
      <c r="K113" s="175" t="str">
        <f t="shared" si="38"/>
        <v/>
      </c>
      <c r="L113" s="86" t="str">
        <f>IF(_epmOfflineCondition_,"703600",_xll.EVPRO($B$1,H113,"JDEID"))</f>
        <v>703600</v>
      </c>
      <c r="M113" s="86" t="str">
        <f>IF(_epmOfflineCondition_,"590045",IF(AND(I113="N",J113="N"),_xll.EVPRO($B$1,H113,"PSFTID"),""))</f>
        <v>590045</v>
      </c>
      <c r="N113" s="86" t="str">
        <f>IF(_epmOfflineCondition_,"Utensils",IF(_xll.EVDES(H113,$B$1)="#NODATA","",_xll.EVDES(H113,$B$1)))</f>
        <v>Utensils</v>
      </c>
      <c r="O113" s="240"/>
      <c r="P113" s="240"/>
      <c r="Q113" s="240"/>
      <c r="R113" s="240"/>
      <c r="S113" s="240"/>
      <c r="T113" s="240"/>
      <c r="U113" s="240"/>
      <c r="V113" s="240"/>
      <c r="W113" s="240"/>
      <c r="X113" s="240"/>
      <c r="Y113" s="240"/>
      <c r="Z113" s="240"/>
      <c r="AA113" s="223">
        <f t="shared" si="39"/>
        <v>0</v>
      </c>
      <c r="AB113" s="242" t="str">
        <f t="shared" si="40"/>
        <v/>
      </c>
      <c r="AC113" s="136"/>
      <c r="AD113" s="240"/>
      <c r="AE113" s="242" t="str">
        <f t="shared" si="41"/>
        <v/>
      </c>
      <c r="AF113" s="243">
        <f t="shared" si="42"/>
        <v>0</v>
      </c>
      <c r="AG113" s="240">
        <v>132.02000000000001</v>
      </c>
      <c r="AH113" s="242">
        <f t="shared" si="43"/>
        <v>4.7496828627902174E-4</v>
      </c>
      <c r="AI113" s="243">
        <f t="shared" si="44"/>
        <v>-132.02000000000001</v>
      </c>
      <c r="AJ113" s="224">
        <f t="shared" si="45"/>
        <v>0</v>
      </c>
      <c r="AK113" s="225">
        <f t="shared" si="46"/>
        <v>0</v>
      </c>
      <c r="AL113" s="227">
        <f t="shared" si="47"/>
        <v>1.2411394190091192E-2</v>
      </c>
      <c r="AM113" s="419">
        <f t="shared" si="48"/>
        <v>0</v>
      </c>
      <c r="AN113" s="420">
        <f t="shared" si="49"/>
        <v>0</v>
      </c>
      <c r="AO113" s="11"/>
      <c r="AP113" s="11"/>
    </row>
    <row r="114" spans="1:42" x14ac:dyDescent="0.25">
      <c r="A114" s="61" t="s">
        <v>25</v>
      </c>
      <c r="B114" s="62"/>
      <c r="C114" s="11"/>
      <c r="D114" s="11"/>
      <c r="E114" s="11"/>
      <c r="F114" s="11"/>
      <c r="G114" s="11"/>
      <c r="H114" s="392" t="s">
        <v>841</v>
      </c>
      <c r="I114" s="118" t="str">
        <f>IF(_epmOfflineCondition_,"N",_xll.EVPRO($B$1,$H114,"STYLE"))</f>
        <v>N</v>
      </c>
      <c r="J114" s="118" t="str">
        <f>IF(_epmOfflineCondition_,"N",_xll.EVPRO($B$1,$H114,"CALC"))</f>
        <v>N</v>
      </c>
      <c r="K114" s="175" t="str">
        <f t="shared" si="38"/>
        <v/>
      </c>
      <c r="L114" s="86" t="str">
        <f>IF(_epmOfflineCondition_,"703700",_xll.EVPRO($B$1,H114,"JDEID"))</f>
        <v>703700</v>
      </c>
      <c r="M114" s="86" t="str">
        <f>IF(_epmOfflineCondition_,"590046",IF(AND(I114="N",J114="N"),_xll.EVPRO($B$1,H114,"PSFTID"),""))</f>
        <v>590046</v>
      </c>
      <c r="N114" s="86" t="str">
        <f>IF(_epmOfflineCondition_,"Menus and Beverage Lists",IF(_xll.EVDES(H114,$B$1)="#NODATA","",_xll.EVDES(H114,$B$1)))</f>
        <v>Menus and Beverage Lists</v>
      </c>
      <c r="O114" s="240"/>
      <c r="P114" s="240"/>
      <c r="Q114" s="240"/>
      <c r="R114" s="240"/>
      <c r="S114" s="240"/>
      <c r="T114" s="240"/>
      <c r="U114" s="240">
        <v>22.78</v>
      </c>
      <c r="V114" s="240"/>
      <c r="W114" s="240"/>
      <c r="X114" s="240">
        <v>1817.05</v>
      </c>
      <c r="Y114" s="240">
        <v>292.48</v>
      </c>
      <c r="Z114" s="240"/>
      <c r="AA114" s="223">
        <f t="shared" si="39"/>
        <v>2132.31</v>
      </c>
      <c r="AB114" s="242">
        <f t="shared" si="40"/>
        <v>2.074002086072735E-3</v>
      </c>
      <c r="AC114" s="136"/>
      <c r="AD114" s="240"/>
      <c r="AE114" s="242" t="str">
        <f t="shared" si="41"/>
        <v/>
      </c>
      <c r="AF114" s="243">
        <f t="shared" si="42"/>
        <v>2132.31</v>
      </c>
      <c r="AG114" s="240"/>
      <c r="AH114" s="242" t="str">
        <f t="shared" si="43"/>
        <v/>
      </c>
      <c r="AI114" s="243">
        <f t="shared" si="44"/>
        <v>2132.31</v>
      </c>
      <c r="AJ114" s="224">
        <f t="shared" si="45"/>
        <v>6.229178230259122E-2</v>
      </c>
      <c r="AK114" s="225">
        <f t="shared" si="46"/>
        <v>0</v>
      </c>
      <c r="AL114" s="227">
        <f t="shared" si="47"/>
        <v>0</v>
      </c>
      <c r="AM114" s="419">
        <f t="shared" si="48"/>
        <v>0</v>
      </c>
      <c r="AN114" s="420">
        <f t="shared" si="49"/>
        <v>0</v>
      </c>
      <c r="AO114" s="11"/>
      <c r="AP114" s="11"/>
    </row>
    <row r="115" spans="1:42" x14ac:dyDescent="0.25">
      <c r="A115" s="61" t="s">
        <v>26</v>
      </c>
      <c r="B115" s="62"/>
      <c r="C115" s="11"/>
      <c r="D115" s="11"/>
      <c r="E115" s="11"/>
      <c r="F115" s="11"/>
      <c r="G115" s="11"/>
      <c r="H115" s="392" t="s">
        <v>831</v>
      </c>
      <c r="I115" s="118" t="str">
        <f>IF(_epmOfflineCondition_,"N",_xll.EVPRO($B$1,$H115,"STYLE"))</f>
        <v>N</v>
      </c>
      <c r="J115" s="118" t="str">
        <f>IF(_epmOfflineCondition_,"N",_xll.EVPRO($B$1,$H115,"CALC"))</f>
        <v>N</v>
      </c>
      <c r="K115" s="175" t="str">
        <f t="shared" si="38"/>
        <v/>
      </c>
      <c r="L115" s="86" t="str">
        <f>IF(_epmOfflineCondition_,"703800",_xll.EVPRO($B$1,H115,"JDEID"))</f>
        <v>703800</v>
      </c>
      <c r="M115" s="86" t="str">
        <f>IF(_epmOfflineCondition_,"690065",IF(AND(I115="N",J115="N"),_xll.EVPRO($B$1,H115,"PSFTID"),""))</f>
        <v>690065</v>
      </c>
      <c r="N115" s="86" t="str">
        <f>IF(_epmOfflineCondition_,"Equipment Rental",IF(_xll.EVDES(H115,$B$1)="#NODATA","",_xll.EVDES(H115,$B$1)))</f>
        <v>Equipment Rental</v>
      </c>
      <c r="O115" s="240">
        <v>1894.23</v>
      </c>
      <c r="P115" s="240">
        <v>352</v>
      </c>
      <c r="Q115" s="240"/>
      <c r="R115" s="240"/>
      <c r="S115" s="240"/>
      <c r="T115" s="240"/>
      <c r="U115" s="240"/>
      <c r="V115" s="240"/>
      <c r="W115" s="240"/>
      <c r="X115" s="240"/>
      <c r="Y115" s="240">
        <v>817</v>
      </c>
      <c r="Z115" s="240">
        <v>654</v>
      </c>
      <c r="AA115" s="223">
        <f t="shared" si="39"/>
        <v>3717.23</v>
      </c>
      <c r="AB115" s="242">
        <f t="shared" si="40"/>
        <v>3.6155825252482772E-3</v>
      </c>
      <c r="AC115" s="136"/>
      <c r="AD115" s="240"/>
      <c r="AE115" s="242" t="str">
        <f t="shared" si="41"/>
        <v/>
      </c>
      <c r="AF115" s="243">
        <f t="shared" si="42"/>
        <v>3717.23</v>
      </c>
      <c r="AG115" s="240">
        <v>680.62</v>
      </c>
      <c r="AH115" s="242">
        <f t="shared" si="43"/>
        <v>2.4486662248691697E-3</v>
      </c>
      <c r="AI115" s="243">
        <f t="shared" si="44"/>
        <v>3036.61</v>
      </c>
      <c r="AJ115" s="224">
        <f t="shared" si="45"/>
        <v>0.10859250387076043</v>
      </c>
      <c r="AK115" s="225">
        <f t="shared" si="46"/>
        <v>0</v>
      </c>
      <c r="AL115" s="227">
        <f t="shared" si="47"/>
        <v>6.3986086302528902E-2</v>
      </c>
      <c r="AM115" s="419">
        <f t="shared" si="48"/>
        <v>0</v>
      </c>
      <c r="AN115" s="420" t="str">
        <f t="shared" si="49"/>
        <v>0.12 pts.</v>
      </c>
      <c r="AO115" s="11"/>
      <c r="AP115" s="11"/>
    </row>
    <row r="116" spans="1:42" x14ac:dyDescent="0.25">
      <c r="A116" s="61" t="s">
        <v>27</v>
      </c>
      <c r="B116" s="62"/>
      <c r="C116" s="11"/>
      <c r="D116" s="11"/>
      <c r="E116" s="11"/>
      <c r="F116" s="11"/>
      <c r="G116" s="11"/>
      <c r="H116" s="392" t="s">
        <v>842</v>
      </c>
      <c r="I116" s="118" t="str">
        <f>IF(_epmOfflineCondition_,"N",_xll.EVPRO($B$1,$H116,"STYLE"))</f>
        <v>N</v>
      </c>
      <c r="J116" s="118" t="str">
        <f>IF(_epmOfflineCondition_,"N",_xll.EVPRO($B$1,$H116,"CALC"))</f>
        <v>N</v>
      </c>
      <c r="K116" s="175" t="str">
        <f t="shared" si="38"/>
        <v/>
      </c>
      <c r="L116" s="86" t="str">
        <f>IF(_epmOfflineCondition_,"704100",_xll.EVPRO($B$1,H116,"JDEID"))</f>
        <v>704100</v>
      </c>
      <c r="M116" s="86" t="str">
        <f>IF(_epmOfflineCondition_,"690241",IF(AND(I116="N",J116="N"),_xll.EVPRO($B$1,H116,"PSFTID"),""))</f>
        <v>690241</v>
      </c>
      <c r="N116" s="86" t="str">
        <f>IF(_epmOfflineCondition_,"Music and Entertainment",IF(_xll.EVDES(H116,$B$1)="#NODATA","",_xll.EVDES(H116,$B$1)))</f>
        <v>Music and Entertainment</v>
      </c>
      <c r="O116" s="240">
        <v>400</v>
      </c>
      <c r="P116" s="240">
        <v>600</v>
      </c>
      <c r="Q116" s="240">
        <v>700</v>
      </c>
      <c r="R116" s="240">
        <v>400</v>
      </c>
      <c r="S116" s="240">
        <v>400</v>
      </c>
      <c r="T116" s="240">
        <v>600</v>
      </c>
      <c r="U116" s="240">
        <v>400</v>
      </c>
      <c r="V116" s="240">
        <v>400</v>
      </c>
      <c r="W116" s="240"/>
      <c r="X116" s="240">
        <v>750</v>
      </c>
      <c r="Y116" s="240"/>
      <c r="Z116" s="240">
        <v>200</v>
      </c>
      <c r="AA116" s="223">
        <f t="shared" si="39"/>
        <v>4850</v>
      </c>
      <c r="AB116" s="242">
        <f t="shared" si="40"/>
        <v>4.7173769843281543E-3</v>
      </c>
      <c r="AC116" s="136"/>
      <c r="AD116" s="240">
        <v>4000</v>
      </c>
      <c r="AE116" s="242">
        <f t="shared" si="41"/>
        <v>1.372952807549527E-3</v>
      </c>
      <c r="AF116" s="243">
        <f t="shared" si="42"/>
        <v>850</v>
      </c>
      <c r="AG116" s="240">
        <v>1340</v>
      </c>
      <c r="AH116" s="242">
        <f t="shared" si="43"/>
        <v>4.8209173126336092E-3</v>
      </c>
      <c r="AI116" s="243">
        <f t="shared" si="44"/>
        <v>3510</v>
      </c>
      <c r="AJ116" s="224">
        <f t="shared" si="45"/>
        <v>0.14168443808243988</v>
      </c>
      <c r="AK116" s="225">
        <f t="shared" si="46"/>
        <v>5.4353180170601041E-2</v>
      </c>
      <c r="AL116" s="227">
        <f t="shared" si="47"/>
        <v>0.12597536899501738</v>
      </c>
      <c r="AM116" s="419" t="str">
        <f t="shared" si="48"/>
        <v>0.33 pts.</v>
      </c>
      <c r="AN116" s="420" t="str">
        <f t="shared" si="49"/>
        <v>-0.01 pts.</v>
      </c>
      <c r="AO116" s="11"/>
      <c r="AP116" s="11"/>
    </row>
    <row r="117" spans="1:42" x14ac:dyDescent="0.25">
      <c r="A117" s="61" t="s">
        <v>28</v>
      </c>
      <c r="B117" s="62"/>
      <c r="C117" s="11"/>
      <c r="D117" s="11"/>
      <c r="E117" s="11"/>
      <c r="F117" s="11"/>
      <c r="G117" s="11"/>
      <c r="H117" s="392" t="s">
        <v>806</v>
      </c>
      <c r="I117" s="118" t="str">
        <f>IF(_epmOfflineCondition_,"N",_xll.EVPRO($B$1,$H117,"STYLE"))</f>
        <v>N</v>
      </c>
      <c r="J117" s="118" t="str">
        <f>IF(_epmOfflineCondition_,"N",_xll.EVPRO($B$1,$H117,"CALC"))</f>
        <v>N</v>
      </c>
      <c r="K117" s="175" t="str">
        <f t="shared" si="38"/>
        <v/>
      </c>
      <c r="L117" s="86" t="str">
        <f>IF(_epmOfflineCondition_,"705500",_xll.EVPRO($B$1,H117,"JDEID"))</f>
        <v>705500</v>
      </c>
      <c r="M117" s="86" t="str">
        <f>IF(_epmOfflineCondition_,"690105",IF(AND(I117="N",J117="N"),_xll.EVPRO($B$1,H117,"PSFTID"),""))</f>
        <v>690105</v>
      </c>
      <c r="N117" s="86" t="str">
        <f>IF(_epmOfflineCondition_,"Licenses &amp; Permits",IF(_xll.EVDES(H117,$B$1)="#NODATA","",_xll.EVDES(H117,$B$1)))</f>
        <v>Licenses &amp; Permits</v>
      </c>
      <c r="O117" s="240"/>
      <c r="P117" s="240"/>
      <c r="Q117" s="240">
        <v>1870</v>
      </c>
      <c r="R117" s="240"/>
      <c r="S117" s="240"/>
      <c r="T117" s="240"/>
      <c r="U117" s="240"/>
      <c r="V117" s="240"/>
      <c r="W117" s="240"/>
      <c r="X117" s="240"/>
      <c r="Y117" s="240"/>
      <c r="Z117" s="240">
        <v>4425</v>
      </c>
      <c r="AA117" s="223">
        <f t="shared" si="39"/>
        <v>6295</v>
      </c>
      <c r="AB117" s="242">
        <f t="shared" si="40"/>
        <v>6.1228635291434496E-3</v>
      </c>
      <c r="AC117" s="136"/>
      <c r="AD117" s="240">
        <v>1983</v>
      </c>
      <c r="AE117" s="242">
        <f t="shared" si="41"/>
        <v>6.8064135434267798E-4</v>
      </c>
      <c r="AF117" s="243">
        <f t="shared" si="42"/>
        <v>4312</v>
      </c>
      <c r="AG117" s="240">
        <v>2465.5</v>
      </c>
      <c r="AH117" s="242">
        <f t="shared" si="43"/>
        <v>8.8701280852971371E-3</v>
      </c>
      <c r="AI117" s="243">
        <f t="shared" si="44"/>
        <v>3829.5</v>
      </c>
      <c r="AJ117" s="224">
        <f t="shared" si="45"/>
        <v>0.18389763664514622</v>
      </c>
      <c r="AK117" s="225">
        <f t="shared" si="46"/>
        <v>2.6945589069575469E-2</v>
      </c>
      <c r="AL117" s="227">
        <f t="shared" si="47"/>
        <v>0.23178527780389208</v>
      </c>
      <c r="AM117" s="419" t="str">
        <f t="shared" si="48"/>
        <v>0.54 pts.</v>
      </c>
      <c r="AN117" s="420" t="str">
        <f t="shared" si="49"/>
        <v>-0.27 pts.</v>
      </c>
      <c r="AO117" s="11"/>
      <c r="AP117" s="11"/>
    </row>
    <row r="118" spans="1:42" x14ac:dyDescent="0.25">
      <c r="A118" s="61" t="s">
        <v>29</v>
      </c>
      <c r="B118" s="62"/>
      <c r="C118" s="11"/>
      <c r="D118" s="11"/>
      <c r="E118" s="11"/>
      <c r="F118" s="11"/>
      <c r="G118" s="11"/>
      <c r="H118" s="392" t="s">
        <v>843</v>
      </c>
      <c r="I118" s="118" t="str">
        <f>IF(_epmOfflineCondition_,"T4",_xll.EVPRO($B$1,$H118,"STYLE"))</f>
        <v>T4</v>
      </c>
      <c r="J118" s="118" t="str">
        <f>IF(_epmOfflineCondition_,"Y",_xll.EVPRO($B$1,$H118,"CALC"))</f>
        <v>Y</v>
      </c>
      <c r="K118" s="175" t="str">
        <f t="shared" si="38"/>
        <v>&gt;</v>
      </c>
      <c r="L118" s="86" t="str">
        <f>IF(_epmOfflineCondition_,"706100",_xll.EVPRO($B$1,H118,"JDEID"))</f>
        <v>706100</v>
      </c>
      <c r="M118" s="86" t="str">
        <f>IF(_epmOfflineCondition_,"",IF(AND(I118="N",J118="N"),_xll.EVPRO($B$1,H118,"PSFTID"),""))</f>
        <v/>
      </c>
      <c r="N118" s="86" t="str">
        <f>IF(_epmOfflineCondition_,"Miscellaneous",IF(_xll.EVDES(H118,$B$1)="#NODATA","",_xll.EVDES(H118,$B$1)))</f>
        <v>Miscellaneous</v>
      </c>
      <c r="O118" s="240">
        <v>20.13</v>
      </c>
      <c r="P118" s="240"/>
      <c r="Q118" s="240">
        <v>27.17</v>
      </c>
      <c r="R118" s="240">
        <v>59.31</v>
      </c>
      <c r="S118" s="240">
        <v>23.1</v>
      </c>
      <c r="T118" s="240"/>
      <c r="U118" s="240"/>
      <c r="V118" s="240">
        <v>107.4</v>
      </c>
      <c r="W118" s="240">
        <v>302.76</v>
      </c>
      <c r="X118" s="240">
        <v>439.02</v>
      </c>
      <c r="Y118" s="240">
        <v>304.33</v>
      </c>
      <c r="Z118" s="240">
        <v>7048.63</v>
      </c>
      <c r="AA118" s="223">
        <f t="shared" si="39"/>
        <v>8331.85</v>
      </c>
      <c r="AB118" s="242">
        <f t="shared" si="40"/>
        <v>8.1040159643040264E-3</v>
      </c>
      <c r="AC118" s="136"/>
      <c r="AD118" s="240"/>
      <c r="AE118" s="242" t="str">
        <f t="shared" si="41"/>
        <v/>
      </c>
      <c r="AF118" s="243">
        <f t="shared" si="42"/>
        <v>8331.85</v>
      </c>
      <c r="AG118" s="240">
        <v>779.64</v>
      </c>
      <c r="AH118" s="242">
        <f t="shared" si="43"/>
        <v>2.8049104280758711E-3</v>
      </c>
      <c r="AI118" s="243">
        <f t="shared" si="44"/>
        <v>7552.21</v>
      </c>
      <c r="AJ118" s="224">
        <f t="shared" si="45"/>
        <v>0.2434007186468406</v>
      </c>
      <c r="AK118" s="225">
        <f t="shared" si="46"/>
        <v>0</v>
      </c>
      <c r="AL118" s="227">
        <f t="shared" si="47"/>
        <v>7.3295102002444296E-2</v>
      </c>
      <c r="AM118" s="419">
        <f t="shared" si="48"/>
        <v>0</v>
      </c>
      <c r="AN118" s="420" t="str">
        <f t="shared" si="49"/>
        <v>0.53 pts.</v>
      </c>
      <c r="AO118" s="11"/>
      <c r="AP118" s="11"/>
    </row>
    <row r="119" spans="1:42" x14ac:dyDescent="0.25">
      <c r="A119" s="61" t="s">
        <v>30</v>
      </c>
      <c r="B119" s="62" t="s">
        <v>78</v>
      </c>
      <c r="C119" s="11"/>
      <c r="D119" s="11"/>
      <c r="E119" s="11"/>
      <c r="F119" s="11"/>
      <c r="G119" s="11"/>
      <c r="H119" s="392" t="s">
        <v>832</v>
      </c>
      <c r="I119" s="118" t="str">
        <f>IF(_epmOfflineCondition_,"N",_xll.EVPRO($B$1,$H119,"STYLE"))</f>
        <v>N</v>
      </c>
      <c r="J119" s="118" t="str">
        <f>IF(_epmOfflineCondition_,"N",_xll.EVPRO($B$1,$H119,"CALC"))</f>
        <v>N</v>
      </c>
      <c r="K119" s="175" t="str">
        <f t="shared" si="38"/>
        <v/>
      </c>
      <c r="L119" s="86" t="str">
        <f>IF(_epmOfflineCondition_,"706110",_xll.EVPRO($B$1,H119,"JDEID"))</f>
        <v>706110</v>
      </c>
      <c r="M119" s="86" t="str">
        <f>IF(_epmOfflineCondition_,"590056",IF(AND(I119="N",J119="N"),_xll.EVPRO($B$1,H119,"PSFTID"),""))</f>
        <v>590056</v>
      </c>
      <c r="N119" s="86" t="str">
        <f>IF(_epmOfflineCondition_,"Kitchen Fuel",IF(_xll.EVDES(H119,$B$1)="#NODATA","",_xll.EVDES(H119,$B$1)))</f>
        <v>Kitchen Fuel</v>
      </c>
      <c r="O119" s="240"/>
      <c r="P119" s="240"/>
      <c r="Q119" s="240"/>
      <c r="R119" s="240"/>
      <c r="S119" s="240"/>
      <c r="T119" s="240"/>
      <c r="U119" s="240"/>
      <c r="V119" s="240">
        <v>69</v>
      </c>
      <c r="W119" s="240"/>
      <c r="X119" s="240"/>
      <c r="Y119" s="240">
        <v>369.33</v>
      </c>
      <c r="Z119" s="240">
        <v>-220.38</v>
      </c>
      <c r="AA119" s="223">
        <f t="shared" si="39"/>
        <v>217.95</v>
      </c>
      <c r="AB119" s="242">
        <f t="shared" si="40"/>
        <v>2.119901677802724E-4</v>
      </c>
      <c r="AC119" s="136"/>
      <c r="AD119" s="240"/>
      <c r="AE119" s="242" t="str">
        <f t="shared" si="41"/>
        <v/>
      </c>
      <c r="AF119" s="243">
        <f t="shared" si="42"/>
        <v>217.95</v>
      </c>
      <c r="AG119" s="240"/>
      <c r="AH119" s="242" t="str">
        <f t="shared" si="43"/>
        <v/>
      </c>
      <c r="AI119" s="243">
        <f t="shared" si="44"/>
        <v>217.95</v>
      </c>
      <c r="AJ119" s="224">
        <f t="shared" si="45"/>
        <v>6.367035727849025E-3</v>
      </c>
      <c r="AK119" s="225">
        <f t="shared" si="46"/>
        <v>0</v>
      </c>
      <c r="AL119" s="227">
        <f t="shared" si="47"/>
        <v>0</v>
      </c>
      <c r="AM119" s="419">
        <f t="shared" si="48"/>
        <v>0</v>
      </c>
      <c r="AN119" s="420">
        <f t="shared" si="49"/>
        <v>0</v>
      </c>
      <c r="AO119" s="11"/>
      <c r="AP119" s="11"/>
    </row>
    <row r="120" spans="1:42" x14ac:dyDescent="0.25">
      <c r="A120" s="61" t="s">
        <v>31</v>
      </c>
      <c r="B120" s="62" t="s">
        <v>78</v>
      </c>
      <c r="C120" s="11"/>
      <c r="D120" s="11"/>
      <c r="E120" s="11"/>
      <c r="F120" s="11"/>
      <c r="G120" s="11"/>
      <c r="H120" s="84" t="s">
        <v>79</v>
      </c>
      <c r="I120" s="132" t="str">
        <f>IF(_epmOfflineCondition_,"T3",_xll.EVPRO($B$1,$H120,"STYLE"))</f>
        <v>T3</v>
      </c>
      <c r="J120" s="132" t="str">
        <f>IF(_epmOfflineCondition_,"Y",_xll.EVPRO($B$1,$H120,"CALC"))</f>
        <v>Y</v>
      </c>
      <c r="K120" s="100"/>
      <c r="L120" s="100"/>
      <c r="M120" s="100"/>
      <c r="N120" s="102" t="str">
        <f>IF(_epmOfflineCondition_,"Total Operations Expense",IF(_xll.EVDES(H120,$B$1)="#NODATA","",_xll.EVDES(H120,$B$1)))</f>
        <v>Total Operations Expense</v>
      </c>
      <c r="O120" s="146">
        <v>6827.51</v>
      </c>
      <c r="P120" s="146">
        <v>5330.76</v>
      </c>
      <c r="Q120" s="146">
        <v>11904.63</v>
      </c>
      <c r="R120" s="146">
        <v>4410.6099999999997</v>
      </c>
      <c r="S120" s="146">
        <v>4621.32</v>
      </c>
      <c r="T120" s="146">
        <v>8904.84</v>
      </c>
      <c r="U120" s="146">
        <v>1860.3</v>
      </c>
      <c r="V120" s="146">
        <v>9553.4699999999993</v>
      </c>
      <c r="W120" s="146">
        <v>7260.93</v>
      </c>
      <c r="X120" s="146">
        <v>26110.94</v>
      </c>
      <c r="Y120" s="146">
        <v>21973.48</v>
      </c>
      <c r="Z120" s="146">
        <v>26013.98</v>
      </c>
      <c r="AA120" s="146">
        <f t="shared" si="39"/>
        <v>134772.76999999999</v>
      </c>
      <c r="AB120" s="147">
        <f t="shared" si="40"/>
        <v>0.1310874151159076</v>
      </c>
      <c r="AC120" s="136"/>
      <c r="AD120" s="146">
        <v>149246.936807594</v>
      </c>
      <c r="AE120" s="147">
        <f t="shared" si="41"/>
        <v>5.1227250227038258E-2</v>
      </c>
      <c r="AF120" s="148">
        <f t="shared" si="42"/>
        <v>-14474.166807594011</v>
      </c>
      <c r="AG120" s="146">
        <v>52222.04</v>
      </c>
      <c r="AH120" s="147">
        <f t="shared" si="43"/>
        <v>0.18787920652018272</v>
      </c>
      <c r="AI120" s="148">
        <f t="shared" si="44"/>
        <v>82550.729999999981</v>
      </c>
      <c r="AJ120" s="431">
        <f t="shared" si="45"/>
        <v>3.9371555023224558</v>
      </c>
      <c r="AK120" s="432">
        <f t="shared" si="46"/>
        <v>2.0280114115533663</v>
      </c>
      <c r="AL120" s="433">
        <f t="shared" si="47"/>
        <v>4.9094707154272825</v>
      </c>
      <c r="AM120" s="434" t="str">
        <f t="shared" si="48"/>
        <v>7.99 pts.</v>
      </c>
      <c r="AN120" s="435" t="str">
        <f t="shared" si="49"/>
        <v>-5.68 pts.</v>
      </c>
      <c r="AO120" s="11"/>
      <c r="AP120" s="11"/>
    </row>
    <row r="121" spans="1:42" x14ac:dyDescent="0.25">
      <c r="A121" s="61" t="s">
        <v>32</v>
      </c>
      <c r="B121" s="62"/>
      <c r="C121" s="11"/>
      <c r="D121" s="11"/>
      <c r="E121" s="11"/>
      <c r="F121" s="11"/>
      <c r="G121" s="11"/>
      <c r="H121" s="11"/>
      <c r="I121" s="55"/>
      <c r="J121" s="55"/>
      <c r="K121" s="11"/>
      <c r="L121" s="11"/>
      <c r="M121" s="11"/>
      <c r="N121" s="11"/>
      <c r="O121" s="436"/>
      <c r="P121" s="436"/>
      <c r="Q121" s="436"/>
      <c r="R121" s="436"/>
      <c r="S121" s="436"/>
      <c r="T121" s="436"/>
      <c r="U121" s="436"/>
      <c r="V121" s="436"/>
      <c r="W121" s="436"/>
      <c r="X121" s="436"/>
      <c r="Y121" s="436"/>
      <c r="Z121" s="436"/>
      <c r="AA121" s="436"/>
      <c r="AB121" s="136"/>
      <c r="AC121" s="136"/>
      <c r="AD121" s="436"/>
      <c r="AE121" s="136"/>
      <c r="AF121" s="136"/>
      <c r="AG121" s="436"/>
      <c r="AH121" s="136"/>
      <c r="AI121" s="136"/>
      <c r="AJ121" s="136"/>
      <c r="AK121" s="136"/>
      <c r="AL121" s="136"/>
      <c r="AM121" s="136"/>
      <c r="AN121" s="136"/>
      <c r="AO121" s="11"/>
      <c r="AP121" s="11"/>
    </row>
    <row r="122" spans="1:42" x14ac:dyDescent="0.25">
      <c r="A122" s="61" t="s">
        <v>33</v>
      </c>
      <c r="B122" s="62"/>
      <c r="C122" s="11"/>
      <c r="D122" s="11"/>
      <c r="E122" s="11"/>
      <c r="F122" s="11"/>
      <c r="G122" s="11"/>
      <c r="H122" s="84" t="s">
        <v>80</v>
      </c>
      <c r="I122" s="132" t="str">
        <f>IF(_epmOfflineCondition_,"T3",_xll.EVPRO($B$1,$H122,"STYLE"))</f>
        <v>T3</v>
      </c>
      <c r="J122" s="132" t="str">
        <f>IF(_epmOfflineCondition_,"Y",_xll.EVPRO($B$1,$H122,"CALC"))</f>
        <v>Y</v>
      </c>
      <c r="K122" s="102"/>
      <c r="L122" s="102"/>
      <c r="M122" s="102"/>
      <c r="N122" s="102" t="str">
        <f>IF(_epmOfflineCondition_,"Total Expenses",IF(_xll.EVDES(H122,$B$1)="#NODATA","",_xll.EVDES(H122,$B$1)))</f>
        <v>Total Expenses</v>
      </c>
      <c r="O122" s="210">
        <v>70100.22</v>
      </c>
      <c r="P122" s="210">
        <v>80738.149999999994</v>
      </c>
      <c r="Q122" s="210">
        <v>83470.570000000007</v>
      </c>
      <c r="R122" s="210">
        <v>61686.57</v>
      </c>
      <c r="S122" s="210">
        <v>69687.86</v>
      </c>
      <c r="T122" s="210">
        <v>69702.78</v>
      </c>
      <c r="U122" s="210">
        <v>56912.53</v>
      </c>
      <c r="V122" s="210">
        <v>66712.02</v>
      </c>
      <c r="W122" s="210">
        <v>72372.350000000006</v>
      </c>
      <c r="X122" s="210">
        <v>106758.74</v>
      </c>
      <c r="Y122" s="210">
        <v>151263.01</v>
      </c>
      <c r="Z122" s="210">
        <v>145920.51</v>
      </c>
      <c r="AA122" s="210">
        <f>IF($I122="B1","",SUM(O122:Z122))</f>
        <v>1035325.31</v>
      </c>
      <c r="AB122" s="211">
        <f>IF(AA122=0,"",IFERROR(AA122/AA$19,""))</f>
        <v>1.0070143894198786</v>
      </c>
      <c r="AC122" s="136"/>
      <c r="AD122" s="210">
        <v>1649348.2681104799</v>
      </c>
      <c r="AE122" s="211">
        <f>IF(AD122=0,"",IFERROR(AD122/AD$19,""))</f>
        <v>0.56611933383230839</v>
      </c>
      <c r="AF122" s="212">
        <f>IF(AND($AA122="",AD122=""),"",$AA122-AD122)</f>
        <v>-614022.95811047987</v>
      </c>
      <c r="AG122" s="213">
        <v>495674.42</v>
      </c>
      <c r="AH122" s="214">
        <f>IF(AG122=0,"",IFERROR(AG122/AG$19,""))</f>
        <v>1.7832876065728529</v>
      </c>
      <c r="AI122" s="212">
        <f>IF(AND($AA122="",AG122=""),"",$AA122-AG122)</f>
        <v>539650.89000000013</v>
      </c>
      <c r="AJ122" s="437">
        <f>IFERROR(AA122/AA$20,0)</f>
        <v>30.245254593789259</v>
      </c>
      <c r="AK122" s="438">
        <f>IFERROR(AD122/AD$20,0)</f>
        <v>22.411830895169427</v>
      </c>
      <c r="AL122" s="439">
        <f>IFERROR(AG122/AG$20,0)</f>
        <v>46.599080567829276</v>
      </c>
      <c r="AM122" s="440" t="str">
        <f>+IFERROR(ROUND(($AB122-AE122)*100,2)&amp;" pts.",0)</f>
        <v>44.09 pts.</v>
      </c>
      <c r="AN122" s="441" t="str">
        <f>+IFERROR(ROUND(($AB122-AH122)*100,2)&amp;" pts.",0)</f>
        <v>-77.63 pts.</v>
      </c>
      <c r="AO122" s="11"/>
      <c r="AP122" s="11"/>
    </row>
    <row r="123" spans="1:42" ht="15.75" thickBot="1" x14ac:dyDescent="0.3">
      <c r="A123" s="61" t="s">
        <v>34</v>
      </c>
      <c r="B123" s="62"/>
      <c r="C123" s="11"/>
      <c r="D123" s="11"/>
      <c r="E123" s="11"/>
      <c r="F123" s="11"/>
      <c r="G123" s="11"/>
      <c r="H123" s="84" t="s">
        <v>81</v>
      </c>
      <c r="I123" s="132" t="str">
        <f>IF(_epmOfflineCondition_,"T3",_xll.EVPRO($B$1,$H123,"STYLE"))</f>
        <v>T3</v>
      </c>
      <c r="J123" s="132" t="str">
        <f>IF(_epmOfflineCondition_,"Y",_xll.EVPRO($B$1,$H123,"CALC"))</f>
        <v>Y</v>
      </c>
      <c r="K123" s="102"/>
      <c r="L123" s="102"/>
      <c r="M123" s="102"/>
      <c r="N123" s="102" t="str">
        <f>IF(_epmOfflineCondition_,"Department Profit (Loss)",IF(_xll.EVDES(H123,$B$1)="#NODATA","",_xll.EVDES(H123,$B$1)))</f>
        <v>Department Profit (Loss)</v>
      </c>
      <c r="O123" s="161">
        <v>-2173.8100000000099</v>
      </c>
      <c r="P123" s="161">
        <v>-11669.84</v>
      </c>
      <c r="Q123" s="161">
        <v>-8575.94</v>
      </c>
      <c r="R123" s="161">
        <v>-12551.55</v>
      </c>
      <c r="S123" s="161">
        <v>-25406.39</v>
      </c>
      <c r="T123" s="161">
        <v>-33536.18</v>
      </c>
      <c r="U123" s="161">
        <v>-2547.2799999999902</v>
      </c>
      <c r="V123" s="161">
        <v>-22480.84</v>
      </c>
      <c r="W123" s="161">
        <v>-50237.52</v>
      </c>
      <c r="X123" s="161">
        <v>-61733.120000000003</v>
      </c>
      <c r="Y123" s="161">
        <v>-77625.41</v>
      </c>
      <c r="Z123" s="161">
        <v>-20181.509999999998</v>
      </c>
      <c r="AA123" s="161">
        <f>IF($I123="B1","",SUM(O123:Z123))</f>
        <v>-328719.39</v>
      </c>
      <c r="AB123" s="162">
        <f>IF(AA123=0,"",IFERROR(AA123/AA$19,""))</f>
        <v>-0.31973057416255474</v>
      </c>
      <c r="AC123" s="136"/>
      <c r="AD123" s="161">
        <v>649085.86505551997</v>
      </c>
      <c r="AE123" s="162">
        <f>IF(AD123=0,"",IFERROR(AD123/AD$19,""))</f>
        <v>0.2227910651921724</v>
      </c>
      <c r="AF123" s="163">
        <f>IF(AND($AA123="",AD123=""),"",$AA123-AD123)</f>
        <v>-977805.25505551999</v>
      </c>
      <c r="AG123" s="161">
        <v>-315829.28999999998</v>
      </c>
      <c r="AH123" s="162">
        <f>IF(AG123=0,"",IFERROR(AG123/AG$19,""))</f>
        <v>-1.1362588746252096</v>
      </c>
      <c r="AI123" s="163">
        <f>IF(AND($AA123="",AG123=""),"",$AA123-AG123)</f>
        <v>-12890.100000000035</v>
      </c>
      <c r="AJ123" s="442">
        <f>IFERROR(AA123/AA$20,0)</f>
        <v>-9.60297362040256</v>
      </c>
      <c r="AK123" s="443">
        <f>IFERROR(AD123/AD$20,0)</f>
        <v>8.819970242388278</v>
      </c>
      <c r="AL123" s="444">
        <f>IFERROR(AG123/AG$20,0)</f>
        <v>-29.691575632227131</v>
      </c>
      <c r="AM123" s="445" t="str">
        <f>+IFERROR(ROUND(($AB123-AE123)*100,2)&amp;" pts.",0)</f>
        <v>-54.25 pts.</v>
      </c>
      <c r="AN123" s="446" t="str">
        <f>+IFERROR(ROUND(($AB123-AH123)*100,2)&amp;" pts.",0)</f>
        <v>81.65 pts.</v>
      </c>
      <c r="AO123" s="11"/>
      <c r="AP123" s="11"/>
    </row>
    <row r="124" spans="1:42" ht="15.75" thickTop="1" x14ac:dyDescent="0.25">
      <c r="A124" s="61" t="s">
        <v>35</v>
      </c>
      <c r="B124" s="62"/>
      <c r="C124" s="11"/>
      <c r="D124" s="11"/>
      <c r="E124" s="11"/>
      <c r="F124" s="11"/>
      <c r="G124" s="11"/>
      <c r="H124" s="11"/>
      <c r="I124" s="55"/>
      <c r="J124" s="55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</row>
    <row r="125" spans="1:42" x14ac:dyDescent="0.25">
      <c r="A125" s="61" t="s">
        <v>36</v>
      </c>
      <c r="B125" s="62"/>
      <c r="C125" s="11"/>
      <c r="D125" s="11"/>
      <c r="E125" s="11"/>
      <c r="F125" s="11"/>
      <c r="G125" s="11"/>
      <c r="H125" s="11"/>
      <c r="I125" s="55"/>
      <c r="J125" s="55"/>
      <c r="K125" s="11"/>
      <c r="L125" s="11"/>
      <c r="M125" s="11"/>
      <c r="N125" s="100" t="str">
        <f>N122&amp;" - Check"</f>
        <v>Total Expenses - Check</v>
      </c>
      <c r="O125" s="205">
        <f t="shared" ref="O125:AA125" si="50">SUMIF($H$35:$H$123,"600000",O$35:O$123)+SUMIF($H$35:$H$123,"700000",O$35:O$123)-SUMIF($H$35:$H$123,"TOTDEPTEXP",O$35:O$123)</f>
        <v>0</v>
      </c>
      <c r="P125" s="205">
        <f t="shared" si="50"/>
        <v>0</v>
      </c>
      <c r="Q125" s="205">
        <f t="shared" si="50"/>
        <v>0</v>
      </c>
      <c r="R125" s="205">
        <f t="shared" si="50"/>
        <v>0</v>
      </c>
      <c r="S125" s="205">
        <f t="shared" si="50"/>
        <v>0</v>
      </c>
      <c r="T125" s="205">
        <f t="shared" si="50"/>
        <v>0</v>
      </c>
      <c r="U125" s="205">
        <f t="shared" si="50"/>
        <v>0</v>
      </c>
      <c r="V125" s="205">
        <f t="shared" si="50"/>
        <v>0</v>
      </c>
      <c r="W125" s="205">
        <f t="shared" si="50"/>
        <v>0</v>
      </c>
      <c r="X125" s="205">
        <f t="shared" si="50"/>
        <v>0</v>
      </c>
      <c r="Y125" s="205">
        <f t="shared" si="50"/>
        <v>0</v>
      </c>
      <c r="Z125" s="205">
        <f t="shared" si="50"/>
        <v>0</v>
      </c>
      <c r="AA125" s="205">
        <f t="shared" si="50"/>
        <v>0</v>
      </c>
      <c r="AB125" s="96"/>
      <c r="AC125" s="11"/>
      <c r="AD125" s="205">
        <f>SUMIF($H$35:$H$123,"600000",AD$35:AD$123)+SUMIF($H$35:$H$123,"700000",AD$35:AD$123)-SUMIF($H$35:$H$123,"TOTDEPTEXP",AD$35:AD$123)</f>
        <v>4.1909515857696533E-9</v>
      </c>
      <c r="AE125" s="96"/>
      <c r="AF125" s="87"/>
      <c r="AG125" s="205">
        <f>SUMIF($H$35:$H$123,"600000",AG$35:AG$123)+SUMIF($H$35:$H$123,"700000",AG$35:AG$123)-SUMIF($H$35:$H$123,"TOTDEPTEXP",AG$35:AG$123)</f>
        <v>0</v>
      </c>
      <c r="AH125" s="96"/>
      <c r="AI125" s="87"/>
      <c r="AJ125" s="11"/>
      <c r="AK125" s="11"/>
      <c r="AL125" s="11"/>
      <c r="AM125" s="11"/>
      <c r="AN125" s="11"/>
      <c r="AO125" s="11"/>
      <c r="AP125" s="11"/>
    </row>
    <row r="126" spans="1:42" x14ac:dyDescent="0.25">
      <c r="A126" s="61" t="s">
        <v>37</v>
      </c>
      <c r="B126" s="62"/>
      <c r="C126" s="11"/>
      <c r="D126" s="11"/>
      <c r="E126" s="11"/>
      <c r="F126" s="11"/>
      <c r="G126" s="11"/>
      <c r="H126" s="11"/>
      <c r="I126" s="55"/>
      <c r="J126" s="55"/>
      <c r="K126" s="11"/>
      <c r="L126" s="11"/>
      <c r="M126" s="11"/>
      <c r="N126" s="100" t="str">
        <f>N123&amp;" - Check"</f>
        <v>Department Profit (Loss) - Check</v>
      </c>
      <c r="O126" s="205">
        <f t="shared" ref="O126:AA126" si="51">SUMIF($H$35:$H$123,"KPI_GP",O$35:O$123)-SUMIF($H$35:$H$123,"TOTDEPTEXP",O$35:O$123)-SUMIF($H$35:$H$123,"TOTDEPTPL",O$35:O$123)</f>
        <v>1.2278178473934531E-11</v>
      </c>
      <c r="P126" s="205">
        <f t="shared" si="51"/>
        <v>0</v>
      </c>
      <c r="Q126" s="205">
        <f t="shared" si="51"/>
        <v>0</v>
      </c>
      <c r="R126" s="205">
        <f t="shared" si="51"/>
        <v>0</v>
      </c>
      <c r="S126" s="205">
        <f t="shared" si="51"/>
        <v>0</v>
      </c>
      <c r="T126" s="205">
        <f t="shared" si="51"/>
        <v>0</v>
      </c>
      <c r="U126" s="205">
        <f t="shared" si="51"/>
        <v>0</v>
      </c>
      <c r="V126" s="205">
        <f t="shared" si="51"/>
        <v>0</v>
      </c>
      <c r="W126" s="205">
        <f t="shared" si="51"/>
        <v>0</v>
      </c>
      <c r="X126" s="205">
        <f t="shared" si="51"/>
        <v>0</v>
      </c>
      <c r="Y126" s="205">
        <f t="shared" si="51"/>
        <v>0</v>
      </c>
      <c r="Z126" s="205">
        <f t="shared" si="51"/>
        <v>0</v>
      </c>
      <c r="AA126" s="205">
        <f t="shared" si="51"/>
        <v>0</v>
      </c>
      <c r="AB126" s="96"/>
      <c r="AC126" s="11"/>
      <c r="AD126" s="205">
        <f>SUMIF($H$35:$H$123,"KPI_GP",AD$35:AD$123)-SUMIF($H$35:$H$123,"TOTDEPTEXP",AD$35:AD$123)-SUMIF($H$35:$H$123,"TOTDEPTPL",AD$35:AD$123)</f>
        <v>0</v>
      </c>
      <c r="AE126" s="96"/>
      <c r="AF126" s="87"/>
      <c r="AG126" s="205">
        <f>SUMIF($H$35:$H$123,"KPI_GP",AG$35:AG$123)-SUMIF($H$35:$H$123,"TOTDEPTEXP",AG$35:AG$123)-SUMIF($H$35:$H$123,"TOTDEPTPL",AG$35:AG$123)</f>
        <v>0</v>
      </c>
      <c r="AH126" s="96"/>
      <c r="AI126" s="87"/>
      <c r="AJ126" s="11"/>
      <c r="AK126" s="11"/>
      <c r="AL126" s="11"/>
      <c r="AM126" s="11"/>
      <c r="AN126" s="11"/>
      <c r="AO126" s="11"/>
      <c r="AP126" s="11"/>
    </row>
    <row r="127" spans="1:42" x14ac:dyDescent="0.25">
      <c r="A127" s="61" t="s">
        <v>38</v>
      </c>
      <c r="B127" s="62"/>
      <c r="C127" s="11"/>
      <c r="D127" s="11"/>
      <c r="E127" s="11"/>
      <c r="F127" s="11"/>
      <c r="G127" s="11"/>
      <c r="H127" s="11"/>
      <c r="I127" s="55"/>
      <c r="J127" s="55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</row>
    <row r="128" spans="1:42" x14ac:dyDescent="0.25">
      <c r="A128" s="61" t="s">
        <v>39</v>
      </c>
      <c r="B128" s="62"/>
      <c r="C128" s="11"/>
      <c r="D128" s="11"/>
      <c r="E128" s="11"/>
      <c r="F128" s="11"/>
      <c r="G128" s="11"/>
      <c r="H128" s="11"/>
      <c r="I128" s="55"/>
      <c r="J128" s="55"/>
      <c r="K128" s="11"/>
      <c r="L128" s="11"/>
      <c r="M128" s="11"/>
      <c r="N128" s="11"/>
      <c r="O128" s="133"/>
      <c r="P128" s="133"/>
      <c r="Q128" s="133"/>
      <c r="R128" s="133"/>
      <c r="S128" s="133"/>
      <c r="T128" s="133"/>
      <c r="U128" s="133"/>
      <c r="V128" s="133"/>
      <c r="W128" s="133"/>
      <c r="X128" s="133"/>
      <c r="Y128" s="133"/>
      <c r="Z128" s="133"/>
      <c r="AA128" s="133"/>
      <c r="AB128" s="11"/>
      <c r="AC128" s="11"/>
      <c r="AD128" s="133"/>
      <c r="AE128" s="11"/>
      <c r="AF128" s="133"/>
      <c r="AG128" s="133"/>
      <c r="AH128" s="11"/>
      <c r="AI128" s="11"/>
      <c r="AJ128" s="11"/>
      <c r="AK128" s="11"/>
      <c r="AL128" s="11"/>
      <c r="AM128" s="11"/>
      <c r="AN128" s="11"/>
      <c r="AO128" s="11"/>
      <c r="AP128" s="11"/>
    </row>
    <row r="129" spans="1:42" x14ac:dyDescent="0.25">
      <c r="A129" s="61" t="s">
        <v>40</v>
      </c>
      <c r="B129" s="62"/>
      <c r="C129" s="11"/>
      <c r="D129" s="11"/>
      <c r="E129" s="11"/>
      <c r="F129" s="11"/>
      <c r="G129" s="11"/>
      <c r="H129" s="11"/>
      <c r="I129" s="55"/>
      <c r="J129" s="55"/>
      <c r="K129" s="11"/>
      <c r="L129" s="11"/>
      <c r="M129" s="11"/>
      <c r="N129" s="11"/>
      <c r="O129" s="133"/>
      <c r="P129" s="133"/>
      <c r="Q129" s="133"/>
      <c r="R129" s="133"/>
      <c r="S129" s="133"/>
      <c r="T129" s="133"/>
      <c r="U129" s="133"/>
      <c r="V129" s="133"/>
      <c r="W129" s="133"/>
      <c r="X129" s="133"/>
      <c r="Y129" s="133"/>
      <c r="Z129" s="133"/>
      <c r="AA129" s="133"/>
      <c r="AB129" s="11"/>
      <c r="AC129" s="11"/>
      <c r="AD129" s="133"/>
      <c r="AE129" s="11"/>
      <c r="AF129" s="133"/>
      <c r="AG129" s="133"/>
      <c r="AH129" s="11"/>
      <c r="AI129" s="11"/>
      <c r="AJ129" s="11"/>
      <c r="AK129" s="11"/>
      <c r="AL129" s="11"/>
      <c r="AM129" s="11"/>
      <c r="AN129" s="11"/>
      <c r="AO129" s="11"/>
      <c r="AP129" s="11"/>
    </row>
    <row r="130" spans="1:42" x14ac:dyDescent="0.25">
      <c r="A130" s="61" t="s">
        <v>41</v>
      </c>
      <c r="B130" s="62"/>
      <c r="C130" s="11"/>
      <c r="D130" s="11"/>
      <c r="E130" s="11"/>
      <c r="F130" s="11"/>
      <c r="G130" s="11"/>
      <c r="H130" s="11"/>
      <c r="I130" s="55"/>
      <c r="J130" s="55"/>
      <c r="K130" s="11"/>
      <c r="L130" s="11"/>
      <c r="M130" s="11"/>
      <c r="N130" s="11"/>
      <c r="O130" s="133"/>
      <c r="P130" s="133"/>
      <c r="Q130" s="133"/>
      <c r="R130" s="133"/>
      <c r="S130" s="133"/>
      <c r="T130" s="133"/>
      <c r="U130" s="133"/>
      <c r="V130" s="133"/>
      <c r="W130" s="133"/>
      <c r="X130" s="133"/>
      <c r="Y130" s="133"/>
      <c r="Z130" s="133"/>
      <c r="AA130" s="133"/>
      <c r="AB130" s="11"/>
      <c r="AC130" s="11"/>
      <c r="AD130" s="133"/>
      <c r="AE130" s="11"/>
      <c r="AF130" s="11"/>
      <c r="AG130" s="133"/>
      <c r="AH130" s="11"/>
      <c r="AI130" s="11"/>
      <c r="AJ130" s="11"/>
      <c r="AK130" s="11"/>
      <c r="AL130" s="11"/>
      <c r="AM130" s="11"/>
      <c r="AN130" s="11"/>
      <c r="AO130" s="11"/>
      <c r="AP130" s="11"/>
    </row>
    <row r="131" spans="1:42" x14ac:dyDescent="0.25">
      <c r="A131" s="61" t="s">
        <v>42</v>
      </c>
      <c r="B131" s="62"/>
      <c r="C131" s="11"/>
      <c r="D131" s="11"/>
      <c r="E131" s="11"/>
      <c r="F131" s="11"/>
      <c r="G131" s="11"/>
      <c r="H131" s="11"/>
      <c r="I131" s="55"/>
      <c r="J131" s="55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</row>
    <row r="132" spans="1:42" x14ac:dyDescent="0.25">
      <c r="A132" s="61" t="s">
        <v>43</v>
      </c>
      <c r="B132" s="62"/>
      <c r="C132" s="11"/>
      <c r="D132" s="11"/>
      <c r="E132" s="11"/>
      <c r="F132" s="11"/>
      <c r="G132" s="11"/>
      <c r="H132" s="11"/>
      <c r="I132" s="55"/>
      <c r="J132" s="55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</row>
    <row r="133" spans="1:42" x14ac:dyDescent="0.25">
      <c r="A133" s="61" t="s">
        <v>44</v>
      </c>
      <c r="B133" s="62"/>
      <c r="C133" s="11"/>
      <c r="D133" s="11"/>
      <c r="E133" s="11"/>
      <c r="F133" s="11"/>
      <c r="G133" s="11"/>
      <c r="H133" s="55"/>
      <c r="I133" s="55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</row>
    <row r="134" spans="1:42" x14ac:dyDescent="0.25">
      <c r="A134" s="61" t="s">
        <v>45</v>
      </c>
      <c r="B134" s="62"/>
      <c r="C134" s="11"/>
      <c r="D134" s="11"/>
      <c r="E134" s="11"/>
      <c r="F134" s="11"/>
      <c r="G134" s="11"/>
      <c r="H134" s="55"/>
      <c r="I134" s="55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</row>
    <row r="135" spans="1:42" x14ac:dyDescent="0.25">
      <c r="A135" s="61" t="s">
        <v>46</v>
      </c>
      <c r="B135" s="62"/>
      <c r="C135" s="11"/>
      <c r="D135" s="11"/>
      <c r="E135" s="11"/>
      <c r="F135" s="11"/>
      <c r="G135" s="11"/>
      <c r="H135" s="55"/>
      <c r="I135" s="55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</row>
    <row r="136" spans="1:42" x14ac:dyDescent="0.25">
      <c r="A136" s="11"/>
      <c r="B136" s="11"/>
      <c r="C136" s="11"/>
      <c r="D136" s="11"/>
      <c r="E136" s="11"/>
      <c r="F136" s="11"/>
      <c r="G136" s="11"/>
      <c r="H136" s="55"/>
      <c r="I136" s="55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</row>
    <row r="137" spans="1:42" x14ac:dyDescent="0.25">
      <c r="A137" s="11"/>
      <c r="B137" s="11"/>
      <c r="C137" s="11"/>
      <c r="D137" s="11"/>
      <c r="E137" s="11"/>
      <c r="F137" s="11"/>
      <c r="G137" s="11"/>
      <c r="H137" s="55"/>
      <c r="I137" s="55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</row>
    <row r="138" spans="1:42" x14ac:dyDescent="0.25">
      <c r="A138" s="11"/>
      <c r="B138" s="11"/>
      <c r="C138" s="11"/>
      <c r="D138" s="11"/>
      <c r="E138" s="11"/>
      <c r="F138" s="11"/>
      <c r="G138" s="11"/>
      <c r="H138" s="55"/>
      <c r="I138" s="55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</row>
    <row r="139" spans="1:42" x14ac:dyDescent="0.25">
      <c r="A139" s="11"/>
      <c r="B139" s="11"/>
      <c r="C139" s="11"/>
      <c r="D139" s="11"/>
      <c r="E139" s="11"/>
      <c r="F139" s="11"/>
      <c r="G139" s="11"/>
      <c r="H139" s="55"/>
      <c r="I139" s="55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</row>
    <row r="140" spans="1:42" x14ac:dyDescent="0.25">
      <c r="A140" s="11"/>
      <c r="B140" s="11"/>
      <c r="C140" s="11"/>
      <c r="D140" s="11"/>
      <c r="E140" s="11"/>
      <c r="F140" s="11"/>
      <c r="G140" s="11"/>
      <c r="H140" s="55"/>
      <c r="I140" s="55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</row>
    <row r="141" spans="1:42" x14ac:dyDescent="0.25">
      <c r="A141" s="11"/>
      <c r="B141" s="11"/>
      <c r="C141" s="11"/>
      <c r="D141" s="11"/>
      <c r="E141" s="11"/>
      <c r="F141" s="11"/>
      <c r="G141" s="11"/>
      <c r="H141" s="55"/>
      <c r="I141" s="55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</row>
    <row r="142" spans="1:42" x14ac:dyDescent="0.25">
      <c r="A142" s="11"/>
      <c r="B142" s="11"/>
      <c r="C142" s="11"/>
      <c r="D142" s="11"/>
      <c r="E142" s="11"/>
      <c r="F142" s="11"/>
      <c r="G142" s="11"/>
      <c r="H142" s="55"/>
      <c r="I142" s="55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</row>
    <row r="143" spans="1:42" x14ac:dyDescent="0.25">
      <c r="A143" s="11"/>
      <c r="B143" s="11"/>
      <c r="C143" s="11"/>
      <c r="D143" s="11"/>
      <c r="E143" s="11"/>
      <c r="F143" s="11"/>
      <c r="G143" s="11"/>
      <c r="H143" s="55"/>
      <c r="I143" s="55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</row>
    <row r="144" spans="1:42" x14ac:dyDescent="0.25">
      <c r="A144" s="11"/>
      <c r="B144" s="11"/>
      <c r="C144" s="11"/>
      <c r="D144" s="11"/>
      <c r="E144" s="11"/>
      <c r="F144" s="11"/>
      <c r="G144" s="11"/>
      <c r="H144" s="55"/>
      <c r="I144" s="55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</row>
    <row r="145" spans="1:42" x14ac:dyDescent="0.25">
      <c r="A145" s="11"/>
      <c r="B145" s="11"/>
      <c r="C145" s="11"/>
      <c r="D145" s="11"/>
      <c r="E145" s="11"/>
      <c r="F145" s="11"/>
      <c r="G145" s="11"/>
      <c r="H145" s="55"/>
      <c r="I145" s="55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</row>
    <row r="146" spans="1:42" x14ac:dyDescent="0.25">
      <c r="A146" s="11"/>
      <c r="B146" s="11"/>
      <c r="C146" s="11"/>
      <c r="D146" s="11"/>
      <c r="E146" s="11"/>
      <c r="F146" s="11"/>
      <c r="G146" s="11"/>
      <c r="H146" s="55"/>
      <c r="I146" s="55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</row>
    <row r="147" spans="1:42" x14ac:dyDescent="0.25">
      <c r="A147" s="11"/>
      <c r="B147" s="11"/>
      <c r="C147" s="11"/>
      <c r="D147" s="11"/>
      <c r="E147" s="11"/>
      <c r="F147" s="11"/>
      <c r="G147" s="11"/>
      <c r="H147" s="55"/>
      <c r="I147" s="55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</row>
    <row r="148" spans="1:42" x14ac:dyDescent="0.25">
      <c r="A148" s="11"/>
      <c r="B148" s="11"/>
      <c r="C148" s="11"/>
      <c r="D148" s="11"/>
      <c r="E148" s="11"/>
      <c r="F148" s="11"/>
      <c r="G148" s="11"/>
      <c r="H148" s="55"/>
      <c r="I148" s="55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</row>
    <row r="149" spans="1:42" x14ac:dyDescent="0.25">
      <c r="A149" s="11"/>
      <c r="B149" s="11"/>
      <c r="C149" s="11"/>
      <c r="D149" s="11"/>
      <c r="E149" s="11"/>
      <c r="F149" s="11"/>
      <c r="G149" s="11"/>
      <c r="H149" s="55"/>
      <c r="I149" s="55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</row>
    <row r="150" spans="1:42" x14ac:dyDescent="0.25">
      <c r="A150" s="11"/>
      <c r="B150" s="11"/>
      <c r="C150" s="11"/>
      <c r="D150" s="11"/>
      <c r="E150" s="11"/>
      <c r="F150" s="11"/>
      <c r="G150" s="11"/>
      <c r="H150" s="55"/>
      <c r="I150" s="55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</row>
    <row r="151" spans="1:42" x14ac:dyDescent="0.25">
      <c r="A151" s="11"/>
      <c r="B151" s="11"/>
      <c r="C151" s="11"/>
      <c r="D151" s="11"/>
      <c r="E151" s="11"/>
      <c r="F151" s="11"/>
      <c r="G151" s="11"/>
      <c r="H151" s="55"/>
      <c r="I151" s="55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</row>
    <row r="152" spans="1:42" x14ac:dyDescent="0.25">
      <c r="A152" s="11"/>
      <c r="B152" s="11"/>
      <c r="C152" s="11"/>
      <c r="D152" s="11"/>
      <c r="E152" s="263"/>
      <c r="F152" s="11"/>
      <c r="G152" s="11"/>
      <c r="H152" s="55"/>
      <c r="I152" s="55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</row>
    <row r="153" spans="1:42" x14ac:dyDescent="0.25">
      <c r="A153" s="11"/>
      <c r="B153" s="11"/>
      <c r="C153" s="11"/>
      <c r="D153" s="11"/>
      <c r="E153" s="11"/>
      <c r="F153" s="11"/>
      <c r="G153" s="11"/>
      <c r="H153" s="55"/>
      <c r="I153" s="55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</row>
    <row r="154" spans="1:42" x14ac:dyDescent="0.25">
      <c r="A154" s="11"/>
      <c r="B154" s="11"/>
      <c r="C154" s="11"/>
      <c r="D154" s="11"/>
      <c r="E154" s="11"/>
      <c r="F154" s="11"/>
      <c r="G154" s="11"/>
      <c r="H154" s="55"/>
      <c r="I154" s="55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</row>
    <row r="155" spans="1:42" x14ac:dyDescent="0.25">
      <c r="A155" s="11"/>
      <c r="B155" s="11"/>
      <c r="C155" s="11"/>
      <c r="D155" s="11"/>
      <c r="E155" s="11"/>
      <c r="F155" s="11"/>
      <c r="G155" s="11"/>
      <c r="H155" s="55"/>
      <c r="I155" s="55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</row>
    <row r="156" spans="1:42" x14ac:dyDescent="0.25">
      <c r="A156" s="11"/>
      <c r="B156" s="11"/>
      <c r="C156" s="11"/>
      <c r="D156" s="11"/>
      <c r="E156" s="263"/>
      <c r="F156" s="11"/>
      <c r="G156" s="11"/>
      <c r="H156" s="11"/>
      <c r="I156" s="55"/>
      <c r="J156" s="55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</row>
    <row r="157" spans="1:42" x14ac:dyDescent="0.25">
      <c r="A157" s="11"/>
      <c r="B157" s="11"/>
      <c r="C157" s="11"/>
      <c r="D157" s="11"/>
      <c r="E157" s="11"/>
      <c r="F157" s="11"/>
      <c r="G157" s="11"/>
      <c r="H157" s="11"/>
      <c r="I157" s="55"/>
      <c r="J157" s="55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</row>
    <row r="158" spans="1:42" x14ac:dyDescent="0.25">
      <c r="A158" s="11"/>
      <c r="B158" s="11"/>
      <c r="C158" s="11"/>
      <c r="D158" s="11"/>
      <c r="E158" s="11"/>
      <c r="F158" s="11"/>
      <c r="G158" s="11"/>
      <c r="H158" s="11"/>
      <c r="I158" s="55"/>
      <c r="J158" s="55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</row>
    <row r="159" spans="1:42" x14ac:dyDescent="0.25">
      <c r="A159" s="11"/>
      <c r="B159" s="11"/>
      <c r="C159" s="11"/>
      <c r="D159" s="11"/>
      <c r="E159" s="11"/>
      <c r="F159" s="11"/>
      <c r="G159" s="11"/>
      <c r="H159" s="11"/>
      <c r="I159" s="55"/>
      <c r="J159" s="55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</row>
    <row r="160" spans="1:42" x14ac:dyDescent="0.25">
      <c r="A160" s="11"/>
      <c r="B160" s="11"/>
      <c r="C160" s="11"/>
      <c r="D160" s="11"/>
      <c r="E160" s="11"/>
      <c r="F160" s="11"/>
      <c r="G160" s="11"/>
      <c r="H160" s="11"/>
      <c r="I160" s="55"/>
      <c r="J160" s="55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</row>
    <row r="161" spans="1:42" x14ac:dyDescent="0.25">
      <c r="A161" s="11"/>
      <c r="B161" s="11"/>
      <c r="C161" s="11"/>
      <c r="D161" s="11"/>
      <c r="E161" s="11"/>
      <c r="F161" s="11"/>
      <c r="G161" s="11"/>
      <c r="H161" s="11"/>
      <c r="I161" s="55"/>
      <c r="J161" s="55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</row>
    <row r="162" spans="1:42" x14ac:dyDescent="0.25">
      <c r="A162" s="11"/>
      <c r="B162" s="11"/>
      <c r="C162" s="11"/>
      <c r="D162" s="11"/>
      <c r="E162" s="11"/>
      <c r="F162" s="11"/>
      <c r="G162" s="11"/>
      <c r="H162" s="11"/>
      <c r="I162" s="55"/>
      <c r="J162" s="55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</row>
    <row r="163" spans="1:42" x14ac:dyDescent="0.25">
      <c r="A163" s="11"/>
      <c r="B163" s="11"/>
      <c r="C163" s="11"/>
      <c r="D163" s="11"/>
      <c r="E163" s="11"/>
      <c r="F163" s="11"/>
      <c r="G163" s="11"/>
      <c r="H163" s="11"/>
      <c r="I163" s="55"/>
      <c r="J163" s="55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</row>
    <row r="164" spans="1:42" x14ac:dyDescent="0.25">
      <c r="A164" s="11"/>
      <c r="B164" s="11"/>
      <c r="C164" s="11"/>
      <c r="D164" s="11"/>
      <c r="E164" s="11"/>
      <c r="F164" s="11"/>
      <c r="G164" s="11"/>
      <c r="H164" s="11"/>
      <c r="I164" s="55"/>
      <c r="J164" s="55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</row>
    <row r="165" spans="1:42" x14ac:dyDescent="0.25">
      <c r="A165" s="11"/>
      <c r="B165" s="11"/>
      <c r="C165" s="11"/>
      <c r="D165" s="11"/>
      <c r="E165" s="11"/>
      <c r="F165" s="11"/>
      <c r="G165" s="11"/>
      <c r="H165" s="11"/>
      <c r="I165" s="55"/>
      <c r="J165" s="55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</row>
    <row r="166" spans="1:42" x14ac:dyDescent="0.25">
      <c r="A166" s="11"/>
      <c r="B166" s="11"/>
      <c r="C166" s="11"/>
      <c r="D166" s="11"/>
      <c r="E166" s="11"/>
      <c r="F166" s="11"/>
      <c r="G166" s="11"/>
      <c r="H166" s="11"/>
      <c r="I166" s="55"/>
      <c r="J166" s="55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</row>
    <row r="167" spans="1:42" x14ac:dyDescent="0.25">
      <c r="A167" s="11"/>
      <c r="B167" s="11"/>
      <c r="C167" s="11"/>
      <c r="D167" s="11"/>
      <c r="E167" s="11"/>
      <c r="F167" s="11"/>
      <c r="G167" s="11"/>
      <c r="H167" s="11"/>
      <c r="I167" s="55"/>
      <c r="J167" s="55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</row>
    <row r="168" spans="1:42" x14ac:dyDescent="0.25">
      <c r="A168" s="11"/>
      <c r="B168" s="11"/>
      <c r="C168" s="11"/>
      <c r="D168" s="11"/>
      <c r="E168" s="11"/>
      <c r="F168" s="11"/>
      <c r="G168" s="11"/>
      <c r="H168" s="11"/>
      <c r="I168" s="55"/>
      <c r="J168" s="55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</row>
    <row r="169" spans="1:42" x14ac:dyDescent="0.25">
      <c r="A169" s="11"/>
      <c r="B169" s="11"/>
      <c r="C169" s="11"/>
      <c r="D169" s="11"/>
      <c r="E169" s="11"/>
      <c r="F169" s="11"/>
      <c r="G169" s="11"/>
      <c r="H169" s="11"/>
      <c r="I169" s="55"/>
      <c r="J169" s="55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</row>
    <row r="170" spans="1:42" x14ac:dyDescent="0.25">
      <c r="A170" s="11"/>
      <c r="B170" s="11"/>
      <c r="C170" s="11"/>
      <c r="D170" s="11"/>
      <c r="E170" s="11"/>
      <c r="F170" s="11"/>
      <c r="G170" s="11"/>
      <c r="H170" s="11"/>
      <c r="I170" s="55"/>
      <c r="J170" s="55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</row>
    <row r="171" spans="1:42" x14ac:dyDescent="0.25">
      <c r="A171" s="11"/>
      <c r="B171" s="11"/>
      <c r="C171" s="11"/>
      <c r="D171" s="11"/>
      <c r="E171" s="11"/>
      <c r="F171" s="11"/>
      <c r="G171" s="11"/>
      <c r="H171" s="11"/>
      <c r="I171" s="55"/>
      <c r="J171" s="55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</row>
    <row r="172" spans="1:42" x14ac:dyDescent="0.25">
      <c r="A172" s="11"/>
      <c r="B172" s="11"/>
      <c r="C172" s="11"/>
      <c r="D172" s="11"/>
      <c r="E172" s="11"/>
      <c r="F172" s="11"/>
      <c r="G172" s="11"/>
      <c r="H172" s="11"/>
      <c r="I172" s="55"/>
      <c r="J172" s="55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</row>
    <row r="173" spans="1:42" x14ac:dyDescent="0.25">
      <c r="A173" s="11"/>
      <c r="B173" s="11"/>
      <c r="C173" s="11"/>
      <c r="D173" s="11"/>
      <c r="E173" s="11"/>
      <c r="F173" s="11"/>
      <c r="G173" s="11"/>
      <c r="H173" s="11"/>
      <c r="I173" s="55"/>
      <c r="J173" s="55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</row>
    <row r="174" spans="1:42" x14ac:dyDescent="0.25">
      <c r="A174" s="11"/>
      <c r="B174" s="11"/>
      <c r="C174" s="11"/>
      <c r="D174" s="11"/>
      <c r="E174" s="11"/>
      <c r="F174" s="11"/>
      <c r="G174" s="11"/>
      <c r="H174" s="11"/>
      <c r="I174" s="55"/>
      <c r="J174" s="55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</row>
    <row r="175" spans="1:42" x14ac:dyDescent="0.25">
      <c r="A175" s="11"/>
      <c r="B175" s="11"/>
      <c r="C175" s="11"/>
      <c r="D175" s="11"/>
      <c r="E175" s="11"/>
      <c r="F175" s="11"/>
      <c r="G175" s="11"/>
      <c r="H175" s="11"/>
      <c r="I175" s="55"/>
      <c r="J175" s="55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</row>
    <row r="176" spans="1:42" x14ac:dyDescent="0.25">
      <c r="A176" s="11"/>
      <c r="B176" s="11"/>
      <c r="C176" s="11"/>
      <c r="D176" s="11"/>
      <c r="E176" s="11"/>
      <c r="F176" s="11"/>
      <c r="G176" s="11"/>
      <c r="H176" s="11"/>
      <c r="I176" s="55"/>
      <c r="J176" s="55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</row>
    <row r="177" spans="1:42" x14ac:dyDescent="0.25">
      <c r="A177" s="11"/>
      <c r="B177" s="11"/>
      <c r="C177" s="11"/>
      <c r="D177" s="11"/>
      <c r="E177" s="11"/>
      <c r="F177" s="11"/>
      <c r="G177" s="11"/>
      <c r="H177" s="11"/>
      <c r="I177" s="55"/>
      <c r="J177" s="55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</row>
    <row r="178" spans="1:42" x14ac:dyDescent="0.25">
      <c r="A178" s="11"/>
      <c r="B178" s="11"/>
      <c r="C178" s="11"/>
      <c r="D178" s="11"/>
      <c r="E178" s="11"/>
      <c r="F178" s="11"/>
      <c r="G178" s="11"/>
      <c r="H178" s="11"/>
      <c r="I178" s="55"/>
      <c r="J178" s="55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</row>
    <row r="179" spans="1:42" x14ac:dyDescent="0.25">
      <c r="A179" s="11"/>
      <c r="B179" s="11"/>
      <c r="C179" s="11"/>
      <c r="D179" s="11"/>
      <c r="E179" s="11"/>
      <c r="F179" s="11"/>
      <c r="G179" s="11"/>
      <c r="H179" s="11"/>
      <c r="I179" s="55"/>
      <c r="J179" s="55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</row>
    <row r="180" spans="1:42" x14ac:dyDescent="0.25">
      <c r="A180" s="11"/>
      <c r="B180" s="11"/>
      <c r="C180" s="11"/>
      <c r="D180" s="11"/>
      <c r="E180" s="11"/>
      <c r="F180" s="11"/>
      <c r="G180" s="11"/>
      <c r="H180" s="11"/>
      <c r="I180" s="55"/>
      <c r="J180" s="55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</row>
    <row r="181" spans="1:42" x14ac:dyDescent="0.25">
      <c r="A181" s="11"/>
      <c r="B181" s="11"/>
      <c r="C181" s="11"/>
      <c r="D181" s="11"/>
      <c r="E181" s="11"/>
      <c r="F181" s="11"/>
      <c r="G181" s="11"/>
      <c r="H181" s="11"/>
      <c r="I181" s="55"/>
      <c r="J181" s="55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</row>
    <row r="182" spans="1:42" x14ac:dyDescent="0.25">
      <c r="A182" s="11"/>
      <c r="B182" s="11"/>
      <c r="C182" s="11"/>
      <c r="D182" s="11"/>
      <c r="E182" s="11"/>
      <c r="F182" s="11"/>
      <c r="G182" s="11"/>
      <c r="H182" s="11"/>
      <c r="I182" s="55"/>
      <c r="J182" s="55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</row>
    <row r="183" spans="1:42" x14ac:dyDescent="0.25">
      <c r="A183" s="11"/>
      <c r="B183" s="11"/>
      <c r="C183" s="11"/>
      <c r="D183" s="11"/>
      <c r="E183" s="11"/>
      <c r="F183" s="11"/>
      <c r="G183" s="11"/>
      <c r="H183" s="11"/>
      <c r="I183" s="55"/>
      <c r="J183" s="55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</row>
    <row r="184" spans="1:42" x14ac:dyDescent="0.25">
      <c r="A184" s="11"/>
      <c r="B184" s="11"/>
      <c r="C184" s="11"/>
      <c r="D184" s="11"/>
      <c r="E184" s="11"/>
      <c r="F184" s="11"/>
      <c r="G184" s="11"/>
      <c r="H184" s="11"/>
      <c r="I184" s="55"/>
      <c r="J184" s="55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</row>
    <row r="185" spans="1:42" x14ac:dyDescent="0.25">
      <c r="A185" s="11"/>
      <c r="B185" s="11"/>
      <c r="C185" s="11"/>
      <c r="D185" s="11"/>
      <c r="E185" s="11"/>
      <c r="F185" s="11"/>
      <c r="G185" s="11"/>
      <c r="H185" s="11"/>
      <c r="I185" s="55"/>
      <c r="J185" s="55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</row>
    <row r="186" spans="1:42" x14ac:dyDescent="0.25">
      <c r="A186" s="11"/>
      <c r="B186" s="11"/>
      <c r="C186" s="11"/>
      <c r="D186" s="11"/>
      <c r="E186" s="11"/>
      <c r="F186" s="11"/>
      <c r="G186" s="11"/>
      <c r="H186" s="11"/>
      <c r="I186" s="55"/>
      <c r="J186" s="55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</row>
    <row r="187" spans="1:42" x14ac:dyDescent="0.25">
      <c r="A187" s="11"/>
      <c r="B187" s="11"/>
      <c r="C187" s="11"/>
      <c r="D187" s="11"/>
      <c r="E187" s="11"/>
      <c r="F187" s="11"/>
      <c r="G187" s="11"/>
      <c r="H187" s="11"/>
      <c r="I187" s="55"/>
      <c r="J187" s="55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</row>
    <row r="188" spans="1:42" x14ac:dyDescent="0.25">
      <c r="A188" s="11"/>
      <c r="B188" s="11"/>
      <c r="C188" s="11"/>
      <c r="D188" s="11"/>
      <c r="E188" s="11"/>
      <c r="F188" s="11"/>
      <c r="G188" s="11"/>
      <c r="H188" s="11"/>
      <c r="I188" s="55"/>
      <c r="J188" s="55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</row>
    <row r="189" spans="1:42" x14ac:dyDescent="0.25">
      <c r="A189" s="11"/>
      <c r="B189" s="11"/>
      <c r="C189" s="11"/>
      <c r="D189" s="11"/>
      <c r="E189" s="11"/>
      <c r="F189" s="11"/>
      <c r="G189" s="11"/>
      <c r="H189" s="11"/>
      <c r="I189" s="55"/>
      <c r="J189" s="55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</row>
    <row r="190" spans="1:42" x14ac:dyDescent="0.25">
      <c r="A190" s="11"/>
      <c r="B190" s="11"/>
      <c r="C190" s="11"/>
      <c r="D190" s="11"/>
      <c r="E190" s="11"/>
      <c r="F190" s="11"/>
      <c r="G190" s="11"/>
      <c r="H190" s="11"/>
      <c r="I190" s="55"/>
      <c r="J190" s="55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</row>
    <row r="191" spans="1:42" x14ac:dyDescent="0.25">
      <c r="A191" s="11"/>
      <c r="B191" s="11"/>
      <c r="C191" s="11"/>
      <c r="D191" s="11"/>
      <c r="E191" s="11"/>
      <c r="F191" s="11"/>
      <c r="G191" s="11"/>
      <c r="H191" s="11"/>
      <c r="I191" s="55"/>
      <c r="J191" s="55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</row>
    <row r="192" spans="1:42" x14ac:dyDescent="0.25">
      <c r="A192" s="11"/>
      <c r="B192" s="11"/>
      <c r="C192" s="11"/>
      <c r="D192" s="11"/>
      <c r="E192" s="11"/>
      <c r="F192" s="11"/>
      <c r="G192" s="263"/>
      <c r="H192" s="11"/>
      <c r="I192" s="55"/>
      <c r="J192" s="55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</row>
    <row r="193" spans="1:42" x14ac:dyDescent="0.25">
      <c r="A193" s="11"/>
      <c r="B193" s="11"/>
      <c r="C193" s="11"/>
      <c r="D193" s="11"/>
      <c r="E193" s="11"/>
      <c r="F193" s="11"/>
      <c r="G193" s="11"/>
      <c r="H193" s="11"/>
      <c r="I193" s="55"/>
      <c r="J193" s="55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</row>
    <row r="194" spans="1:42" x14ac:dyDescent="0.25">
      <c r="A194" s="11"/>
      <c r="B194" s="11"/>
      <c r="C194" s="11"/>
      <c r="D194" s="11"/>
      <c r="E194" s="11"/>
      <c r="F194" s="11"/>
      <c r="G194" s="11"/>
      <c r="H194" s="11"/>
      <c r="I194" s="55"/>
      <c r="J194" s="55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</row>
    <row r="195" spans="1:42" x14ac:dyDescent="0.25">
      <c r="A195" s="11"/>
      <c r="B195" s="11"/>
      <c r="C195" s="11"/>
      <c r="D195" s="11"/>
      <c r="E195" s="11"/>
      <c r="F195" s="11"/>
      <c r="G195" s="11"/>
      <c r="H195" s="11"/>
      <c r="I195" s="55"/>
      <c r="J195" s="55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</row>
    <row r="196" spans="1:42" x14ac:dyDescent="0.25">
      <c r="A196" s="11"/>
      <c r="B196" s="11"/>
      <c r="C196" s="11"/>
      <c r="D196" s="11"/>
      <c r="E196" s="11"/>
      <c r="F196" s="11"/>
      <c r="G196" s="263"/>
      <c r="H196" s="11"/>
      <c r="I196" s="263"/>
      <c r="J196" s="11"/>
      <c r="K196" s="263"/>
      <c r="L196" s="263"/>
      <c r="M196" s="263"/>
      <c r="N196" s="11"/>
      <c r="O196" s="263"/>
      <c r="P196" s="263"/>
      <c r="Q196" s="263"/>
      <c r="R196" s="263"/>
      <c r="S196" s="263"/>
      <c r="T196" s="263"/>
      <c r="U196" s="263"/>
      <c r="V196" s="263"/>
      <c r="W196" s="263"/>
      <c r="X196" s="263"/>
      <c r="Y196" s="263"/>
      <c r="Z196" s="263"/>
      <c r="AA196" s="263"/>
      <c r="AB196" s="11"/>
      <c r="AC196" s="11"/>
      <c r="AD196" s="263"/>
      <c r="AE196" s="11"/>
      <c r="AF196" s="263"/>
      <c r="AG196" s="11"/>
      <c r="AH196" s="263"/>
      <c r="AI196" s="11"/>
      <c r="AJ196" s="11"/>
      <c r="AK196" s="11"/>
      <c r="AL196" s="11"/>
      <c r="AM196" s="11"/>
      <c r="AN196" s="11"/>
      <c r="AO196" s="11"/>
      <c r="AP196" s="11"/>
    </row>
    <row r="197" spans="1:42" x14ac:dyDescent="0.25">
      <c r="A197" s="11"/>
      <c r="B197" s="11"/>
      <c r="C197" s="11"/>
      <c r="D197" s="11"/>
      <c r="E197" s="11"/>
      <c r="F197" s="11"/>
      <c r="G197" s="11"/>
      <c r="H197" s="11"/>
      <c r="I197" s="55"/>
      <c r="J197" s="55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</row>
    <row r="198" spans="1:42" x14ac:dyDescent="0.25">
      <c r="A198" s="11"/>
      <c r="B198" s="11"/>
      <c r="C198" s="11"/>
      <c r="D198" s="11"/>
      <c r="E198" s="11"/>
      <c r="F198" s="11"/>
      <c r="G198" s="11"/>
      <c r="H198" s="11"/>
      <c r="I198" s="55"/>
      <c r="J198" s="55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</row>
    <row r="199" spans="1:42" x14ac:dyDescent="0.25">
      <c r="A199" s="11"/>
      <c r="B199" s="11"/>
      <c r="C199" s="11"/>
      <c r="D199" s="11"/>
      <c r="E199" s="11"/>
      <c r="F199" s="11"/>
      <c r="G199" s="11"/>
      <c r="H199" s="11"/>
      <c r="I199" s="55"/>
      <c r="J199" s="55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</row>
    <row r="200" spans="1:42" x14ac:dyDescent="0.25">
      <c r="A200" s="11"/>
      <c r="B200" s="11"/>
      <c r="C200" s="11"/>
      <c r="D200" s="11"/>
      <c r="E200" s="11"/>
      <c r="F200" s="11"/>
      <c r="G200" s="11"/>
      <c r="H200" s="11"/>
      <c r="I200" s="263"/>
      <c r="J200" s="11"/>
      <c r="K200" s="263"/>
      <c r="L200" s="263"/>
      <c r="M200" s="263"/>
      <c r="N200" s="11"/>
      <c r="O200" s="263"/>
      <c r="P200" s="263"/>
      <c r="Q200" s="263"/>
      <c r="R200" s="263"/>
      <c r="S200" s="263"/>
      <c r="T200" s="263"/>
      <c r="U200" s="263"/>
      <c r="V200" s="263"/>
      <c r="W200" s="263"/>
      <c r="X200" s="263"/>
      <c r="Y200" s="263"/>
      <c r="Z200" s="263"/>
      <c r="AA200" s="263"/>
      <c r="AB200" s="11"/>
      <c r="AC200" s="11"/>
      <c r="AD200" s="263"/>
      <c r="AE200" s="11"/>
      <c r="AF200" s="263"/>
      <c r="AG200" s="11"/>
      <c r="AH200" s="263"/>
      <c r="AI200" s="11"/>
      <c r="AJ200" s="11"/>
      <c r="AK200" s="11"/>
      <c r="AL200" s="11"/>
      <c r="AM200" s="11"/>
      <c r="AN200" s="11"/>
      <c r="AO200" s="11"/>
      <c r="AP200" s="11"/>
    </row>
  </sheetData>
  <sheetProtection algorithmName="SHA-512" hashValue="gTSyHNWdquDBDDCtID16/8wXpvP3iKdx6ozeaFexhioLbi0TS9FuMCYz3+NgxARplEtjaFIpnq2BL2Zkv4aiww==" saltValue="QFen5MFFbK2j/3pjHZXsRw==" spinCount="100000" sheet="1" scenarios="1"/>
  <mergeCells count="2">
    <mergeCell ref="AD31:AE31"/>
    <mergeCell ref="AG31:AH31"/>
  </mergeCells>
  <dataValidations disablePrompts="1" count="2">
    <dataValidation type="list" allowBlank="1" sqref="B84 B51 B29:C29" xr:uid="{00000000-0002-0000-0500-000000000000}">
      <formula1>"SELF,ALL,BAS,DEP,BASMEMBERS,MEMBERS,NOEXPAND,GDEP"</formula1>
    </dataValidation>
    <dataValidation type="list" allowBlank="1" sqref="B83 B50 B28:C28" xr:uid="{00000000-0002-0000-0500-000001000000}">
      <formula1>"ACCOUNT,BUSINESSUNIT,CATEGORY,DATASRC,DEPARTMENT,INTCO,MEASURES,RPTCURRENCY,TIME"</formula1>
    </dataValidation>
  </dataValidations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customProperties>
    <customPr name="EpmWorksheetKeyString_GUID" r:id="rId2"/>
    <customPr name="FPMExcelClientCellBasedFunctionStatus" r:id="rId3"/>
    <customPr name="FPMExcelClientRefreshTime" r:id="rId4"/>
  </customProperties>
  <legacy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6" tint="0.39997558519241921"/>
    <pageSetUpPr fitToPage="1"/>
  </sheetPr>
  <dimension ref="A1:AI211"/>
  <sheetViews>
    <sheetView topLeftCell="K1" zoomScale="85" zoomScaleNormal="85" workbookViewId="0">
      <pane xSplit="4" ySplit="32" topLeftCell="O33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3" width="9.7109375" style="1" hidden="1" customWidth="1" outlineLevel="1"/>
    <col min="14" max="14" width="38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16384" width="9.140625" style="1"/>
  </cols>
  <sheetData>
    <row r="1" spans="1:35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</row>
    <row r="2" spans="1:35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11"/>
      <c r="H4" s="11"/>
      <c r="I4" s="55"/>
      <c r="J4" s="55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11"/>
      <c r="H5" s="11"/>
      <c r="I5" s="55"/>
      <c r="J5" s="55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idden="1" outlineLevel="1" x14ac:dyDescent="0.25">
      <c r="A6" s="49" t="s">
        <v>52</v>
      </c>
      <c r="B6" s="52" t="s">
        <v>358</v>
      </c>
      <c r="C6" s="11" t="str">
        <f>IF(_epmOfflineCondition_,"Food &amp; Beverage",_xll.EVDES(B6,$B$1))</f>
        <v>Food &amp; Beverage</v>
      </c>
      <c r="D6" s="11"/>
      <c r="E6" s="54" t="str">
        <f>IF(_epmOfflineCondition_,"D_FB",_xll.EVPRO($B$1,$B$6,$F$6))</f>
        <v>D_FB</v>
      </c>
      <c r="F6" s="11" t="s">
        <v>278</v>
      </c>
      <c r="G6" s="11"/>
      <c r="H6" s="11"/>
      <c r="I6" s="55"/>
      <c r="J6" s="55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11"/>
      <c r="H7" s="11"/>
      <c r="I7" s="55"/>
      <c r="J7" s="55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11"/>
      <c r="H8" s="11"/>
      <c r="I8" s="55"/>
      <c r="J8" s="55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59" t="str">
        <f>IF(SetUp!$O$1=TRUE,"TRAILING12",IF(AA17="CURRENT","ROLLINGFORECAST","PERIODIC"))</f>
        <v>PERIODIC</v>
      </c>
      <c r="AB11" s="11"/>
      <c r="AC11" s="11"/>
      <c r="AD11" s="11"/>
      <c r="AE11" s="11"/>
      <c r="AF11" s="11"/>
      <c r="AG11" s="11"/>
      <c r="AH11" s="11"/>
      <c r="AI11" s="11"/>
    </row>
    <row r="12" spans="1:35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11"/>
      <c r="M12" s="11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</row>
    <row r="13" spans="1:35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11"/>
      <c r="M13" s="11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</row>
    <row r="14" spans="1:35" hidden="1" outlineLevel="1" x14ac:dyDescent="0.25">
      <c r="A14" s="56" t="str">
        <f>IF(_epmOfflineCondition_,"Evdre:Ok",_xll.EVDRE($B$1,A17:B24))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11"/>
      <c r="M14" s="11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</row>
    <row r="15" spans="1:35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11"/>
      <c r="M15" s="11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</row>
    <row r="16" spans="1:35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11"/>
      <c r="M16" s="11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</row>
    <row r="17" spans="1:35" hidden="1" outlineLevel="1" x14ac:dyDescent="0.25">
      <c r="A17" s="61" t="s">
        <v>2</v>
      </c>
      <c r="B17" s="62" t="str">
        <f>IF(_epmOfflineCondition_,"'FB_KPI'!$B$2:$B$10",_xll.EVRNG($B$2:$B$10))</f>
        <v>'FB_KPI'!$B$2:$B$10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11"/>
      <c r="M17" s="11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 t="str">
        <f>Z17</f>
        <v>ACTUAL_CON</v>
      </c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</row>
    <row r="18" spans="1:35" hidden="1" outlineLevel="1" x14ac:dyDescent="0.25">
      <c r="A18" s="61" t="s">
        <v>3</v>
      </c>
      <c r="B18" s="62" t="str">
        <f>IF(_epmOfflineCondition_,"'FB_KPI'!$O$16:$AI$18",_xll.EVRNG(O16:AI18))</f>
        <v>'FB_KPI'!$O$16:$AI$18</v>
      </c>
      <c r="C18" s="11"/>
      <c r="D18" s="11"/>
      <c r="E18" s="11"/>
      <c r="F18" s="11"/>
      <c r="G18" s="11"/>
      <c r="H18" s="11"/>
      <c r="I18" s="55"/>
      <c r="J18" s="55"/>
      <c r="K18" s="11"/>
      <c r="L18" s="11"/>
      <c r="M18" s="11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59" t="str">
        <f>AA11</f>
        <v>PERIODIC</v>
      </c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</row>
    <row r="19" spans="1:35" hidden="1" outlineLevel="1" x14ac:dyDescent="0.25">
      <c r="A19" s="61" t="s">
        <v>4</v>
      </c>
      <c r="B19" s="62" t="str">
        <f>IF(_epmOfflineCondition_,"'FB_KPI'!$H$35:$H$156",_xll.EVRNG(H35:H156))</f>
        <v>'FB_KPI'!$H$35:$H$156</v>
      </c>
      <c r="C19" s="11"/>
      <c r="D19" s="11"/>
      <c r="E19" s="11"/>
      <c r="F19" s="11"/>
      <c r="G19" s="63" t="str">
        <f>$B$6</f>
        <v>D_REST_CON</v>
      </c>
      <c r="H19" s="63" t="s">
        <v>273</v>
      </c>
      <c r="I19" s="64"/>
      <c r="J19" s="64"/>
      <c r="K19" s="63"/>
      <c r="L19" s="63"/>
      <c r="M19" s="63"/>
      <c r="N19" s="63" t="str">
        <f>IF(_epmOfflineCondition_,"Total Food &amp; Beverage Revenue",_xll.EVDES(H19))</f>
        <v>Total Food &amp; Beverage Revenue</v>
      </c>
      <c r="O19" s="65">
        <f>IF(_epmOfflineCondition_,71293.8,_xll.EVGTS($B$1,1,$B$3,$B$5,$B$7,$B$9,O$16,O$17,O$18,$G$19,$H$19))</f>
        <v>71293.8</v>
      </c>
      <c r="P19" s="65">
        <f>IF(_epmOfflineCondition_,74162.24,_xll.EVGTS($B$1,1,$B$3,$B$5,$B$7,$B$9,P$16,P$17,P$18,$G$19,$H$19))</f>
        <v>74162.240000000005</v>
      </c>
      <c r="Q19" s="65">
        <f>IF(_epmOfflineCondition_,75801.78,_xll.EVGTS($B$1,1,$B$3,$B$5,$B$7,$B$9,Q$16,Q$17,Q$18,$G$19,$H$19))</f>
        <v>75801.78</v>
      </c>
      <c r="R19" s="65">
        <f>IF(_epmOfflineCondition_,54054.11,_xll.EVGTS($B$1,1,$B$3,$B$5,$B$7,$B$9,R$16,R$17,R$18,$G$19,$H$19))</f>
        <v>54054.11</v>
      </c>
      <c r="S19" s="65">
        <f>IF(_epmOfflineCondition_,49249.67,_xll.EVGTS($B$1,1,$B$3,$B$5,$B$7,$B$9,S$16,S$17,S$18,$G$19,$H$19))</f>
        <v>49249.67</v>
      </c>
      <c r="T19" s="65">
        <f>IF(_epmOfflineCondition_,43811.83,_xll.EVGTS($B$1,1,$B$3,$B$5,$B$7,$B$9,T$16,T$17,T$18,$G$19,$H$19))</f>
        <v>43811.83</v>
      </c>
      <c r="U19" s="65">
        <f>IF(_epmOfflineCondition_,46083.45,_xll.EVGTS($B$1,1,$B$3,$B$5,$B$7,$B$9,U$16,U$17,U$18,$G$19,$H$19))</f>
        <v>46083.45</v>
      </c>
      <c r="V19" s="65">
        <f>IF(_epmOfflineCondition_,47392,_xll.EVGTS($B$1,1,$B$3,$B$5,$B$7,$B$9,V$16,V$17,V$18,$G$19,$H$19))</f>
        <v>47392</v>
      </c>
      <c r="W19" s="65">
        <f>IF(_epmOfflineCondition_,31411.02,_xll.EVGTS($B$1,1,$B$3,$B$5,$B$7,$B$9,W$16,W$17,W$18,$G$19,$H$19))</f>
        <v>31411.02</v>
      </c>
      <c r="X19" s="65">
        <f>IF(_epmOfflineCondition_,60935.81,_xll.EVGTS($B$1,1,$B$3,$B$5,$B$7,$B$9,X$16,X$17,X$18,$G$19,$H$19))</f>
        <v>60935.81</v>
      </c>
      <c r="Y19" s="65">
        <f>IF(_epmOfflineCondition_,108070.32,_xll.EVGTS($B$1,1,$B$3,$B$5,$B$7,$B$9,Y$16,Y$17,Y$18,$G$19,$H$19))</f>
        <v>108070.32</v>
      </c>
      <c r="Z19" s="65">
        <f>IF(_epmOfflineCondition_,144610.06,_xll.EVGTS($B$1,1,$B$3,$B$5,$B$7,$B$9,Z$16,Z$17,Z$18,$G$19,$H$19))</f>
        <v>144610.06</v>
      </c>
      <c r="AA19" s="65">
        <f>SUM(O19:Z19)</f>
        <v>806876.09000000008</v>
      </c>
      <c r="AB19" s="63"/>
      <c r="AC19" s="63"/>
      <c r="AD19" s="65">
        <f>IF(_epmOfflineCondition_,2443288.8973,_xll.EVGTS($B$1,1,$B$3,$B$5,$B$7,$B$9,AD$16,AD$17,AD$18,$G$19,$H$19))</f>
        <v>2443288.8972999998</v>
      </c>
      <c r="AE19" s="63"/>
      <c r="AF19" s="63"/>
      <c r="AG19" s="65">
        <f>IF(_epmOfflineCondition_,229854.44,_xll.EVGTS($B$1,1,$B$3,$B$5,$B$7,$B$9,AG$16,AG$17,AG$18,$G$19,$H$19))</f>
        <v>229854.44</v>
      </c>
      <c r="AH19" s="63"/>
      <c r="AI19" s="63"/>
    </row>
    <row r="20" spans="1:35" hidden="1" outlineLevel="1" x14ac:dyDescent="0.25">
      <c r="A20" s="61" t="s">
        <v>5</v>
      </c>
      <c r="B20" s="62"/>
      <c r="C20" s="11"/>
      <c r="D20" s="11"/>
      <c r="E20" s="11"/>
      <c r="F20" s="11"/>
      <c r="G20" s="63" t="str">
        <f>$B$6</f>
        <v>D_REST_CON</v>
      </c>
      <c r="H20" s="63">
        <v>946000</v>
      </c>
      <c r="I20" s="64"/>
      <c r="J20" s="64"/>
      <c r="K20" s="63"/>
      <c r="L20" s="63"/>
      <c r="M20" s="63"/>
      <c r="N20" s="63" t="str">
        <f>IF(_epmOfflineCondition_,"Total Customers",_xll.EVDES(H20))</f>
        <v>Total Customers</v>
      </c>
      <c r="O20" s="65">
        <f>IF(_epmOfflineCondition_,2499,_xll.EVGTS($B$1,1,$B$3,$B$5,$B$7,$B$9,O$16,O$17,O$18,$G$20,$H$20))</f>
        <v>2499</v>
      </c>
      <c r="P20" s="65">
        <f>IF(_epmOfflineCondition_,3250,_xll.EVGTS($B$1,1,$B$3,$B$5,$B$7,$B$9,P$16,P$17,P$18,$G$20,$H$20))</f>
        <v>3250</v>
      </c>
      <c r="Q20" s="65">
        <f>IF(_epmOfflineCondition_,3398,_xll.EVGTS($B$1,1,$B$3,$B$5,$B$7,$B$9,Q$16,Q$17,Q$18,$G$20,$H$20))</f>
        <v>3398</v>
      </c>
      <c r="R20" s="65">
        <f>IF(_epmOfflineCondition_,2750,_xll.EVGTS($B$1,1,$B$3,$B$5,$B$7,$B$9,R$16,R$17,R$18,$G$20,$H$20))</f>
        <v>2750</v>
      </c>
      <c r="S20" s="65">
        <f>IF(_epmOfflineCondition_,2507,_xll.EVGTS($B$1,1,$B$3,$B$5,$B$7,$B$9,S$16,S$17,S$18,$G$20,$H$20))</f>
        <v>2507</v>
      </c>
      <c r="T20" s="65">
        <f>IF(_epmOfflineCondition_,2183,_xll.EVGTS($B$1,1,$B$3,$B$5,$B$7,$B$9,T$16,T$17,T$18,$G$20,$H$20))</f>
        <v>2183</v>
      </c>
      <c r="U20" s="65">
        <f>IF(_epmOfflineCondition_,2371,_xll.EVGTS($B$1,1,$B$3,$B$5,$B$7,$B$9,U$16,U$17,U$18,$G$20,$H$20))</f>
        <v>2371</v>
      </c>
      <c r="V20" s="65">
        <f>IF(_epmOfflineCondition_,2344,_xll.EVGTS($B$1,1,$B$3,$B$5,$B$7,$B$9,V$16,V$17,V$18,$G$20,$H$20))</f>
        <v>2344</v>
      </c>
      <c r="W20" s="65">
        <f>IF(_epmOfflineCondition_,1517,_xll.EVGTS($B$1,1,$B$3,$B$5,$B$7,$B$9,W$16,W$17,W$18,$G$20,$H$20))</f>
        <v>1517</v>
      </c>
      <c r="X20" s="65">
        <f>IF(_epmOfflineCondition_,2558,_xll.EVGTS($B$1,1,$B$3,$B$5,$B$7,$B$9,X$16,X$17,X$18,$G$20,$H$20))</f>
        <v>2558</v>
      </c>
      <c r="Y20" s="65">
        <f>IF(_epmOfflineCondition_,3901,_xll.EVGTS($B$1,1,$B$3,$B$5,$B$7,$B$9,Y$16,Y$17,Y$18,$G$20,$H$20))</f>
        <v>3901</v>
      </c>
      <c r="Z20" s="65">
        <f>IF(_epmOfflineCondition_,4953,_xll.EVGTS($B$1,1,$B$3,$B$5,$B$7,$B$9,Z$16,Z$17,Z$18,$G$20,$H$20))</f>
        <v>4953</v>
      </c>
      <c r="AA20" s="65">
        <f>SUM(O20:Z20)</f>
        <v>34231</v>
      </c>
      <c r="AB20" s="63"/>
      <c r="AC20" s="63"/>
      <c r="AD20" s="65">
        <f>IF(_epmOfflineCondition_,73592.75,_xll.EVGTS($B$1,1,$B$3,$B$5,$B$7,$B$9,AD$16,AD$17,AD$18,$G$20,$H$20))</f>
        <v>73592.75</v>
      </c>
      <c r="AE20" s="63"/>
      <c r="AF20" s="63"/>
      <c r="AG20" s="65">
        <f>IF(_epmOfflineCondition_,10637,_xll.EVGTS($B$1,1,$B$3,$B$5,$B$7,$B$9,AG$16,AG$17,AG$18,$G$20,$H$20))</f>
        <v>10637</v>
      </c>
      <c r="AH20" s="63"/>
      <c r="AI20" s="63"/>
    </row>
    <row r="21" spans="1:35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hidden="1" outlineLevel="1" x14ac:dyDescent="0.25">
      <c r="A22" s="61" t="s">
        <v>7</v>
      </c>
      <c r="B22" s="62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idden="1" outlineLevel="1" x14ac:dyDescent="0.25">
      <c r="A23" s="61" t="s">
        <v>47</v>
      </c>
      <c r="B23" s="62" t="str">
        <f>IF(_epmOfflineCondition_,"'FB_KPI'!$A$37:$B$58",_xll.EVRNG($A$37:$B$58))</f>
        <v>'FB_KPI'!$A$37:$B$58</v>
      </c>
      <c r="C23" s="11"/>
      <c r="D23" s="11"/>
      <c r="E23" s="11"/>
      <c r="F23" s="11"/>
      <c r="G23" s="11"/>
      <c r="H23" s="11"/>
      <c r="I23" s="55"/>
      <c r="J23" s="55"/>
      <c r="K23" s="6"/>
      <c r="L23" s="6"/>
      <c r="M23" s="6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380"/>
      <c r="AE23" s="11"/>
      <c r="AF23" s="11"/>
      <c r="AG23" s="11"/>
      <c r="AH23" s="11"/>
      <c r="AI23" s="11"/>
    </row>
    <row r="24" spans="1:35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22.5" x14ac:dyDescent="0.3">
      <c r="A26" s="57" t="s">
        <v>9</v>
      </c>
      <c r="B26" s="58" t="s">
        <v>10</v>
      </c>
      <c r="C26" s="11"/>
      <c r="D26" s="11"/>
      <c r="E26" s="11"/>
      <c r="F26" s="11"/>
      <c r="G26" s="11"/>
      <c r="H26" s="11"/>
      <c r="I26" s="55"/>
      <c r="J26" s="55"/>
      <c r="K26" s="11"/>
      <c r="L26" s="11"/>
      <c r="M26" s="11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8" x14ac:dyDescent="0.25">
      <c r="A27" s="61" t="s">
        <v>11</v>
      </c>
      <c r="B27" s="62" t="s">
        <v>21</v>
      </c>
      <c r="C27" s="11"/>
      <c r="D27" s="11"/>
      <c r="E27" s="11"/>
      <c r="F27" s="11"/>
      <c r="G27" s="11"/>
      <c r="H27" s="11"/>
      <c r="I27" s="55"/>
      <c r="J27" s="55"/>
      <c r="K27" s="11"/>
      <c r="L27" s="11"/>
      <c r="M27" s="11"/>
      <c r="N27" s="67" t="str">
        <f>IF(_epmOfflineCondition_,"Food &amp; Beverage Department",IF(_xll.EVDES(B6,$B$1)="#NODATA","",_xll.EVDES(B6,$B$1)&amp;" Department"))</f>
        <v>Food &amp; Beverage Department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.75" x14ac:dyDescent="0.25">
      <c r="A28" s="61" t="s">
        <v>12</v>
      </c>
      <c r="B28" s="62" t="s">
        <v>22</v>
      </c>
      <c r="C28" s="11"/>
      <c r="D28" s="11"/>
      <c r="E28" s="11"/>
      <c r="F28" s="11"/>
      <c r="G28" s="11"/>
      <c r="H28" s="11"/>
      <c r="I28" s="55"/>
      <c r="J28" s="55"/>
      <c r="K28" s="11"/>
      <c r="L28" s="11"/>
      <c r="M28" s="11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ht="15" customHeight="1" x14ac:dyDescent="0.25">
      <c r="A29" s="61" t="s">
        <v>13</v>
      </c>
      <c r="B29" s="62" t="s">
        <v>293</v>
      </c>
      <c r="C29" s="11"/>
      <c r="D29" s="11"/>
      <c r="E29" s="11"/>
      <c r="F29" s="11"/>
      <c r="G29" s="11"/>
      <c r="H29" s="11"/>
      <c r="I29" s="55"/>
      <c r="J29" s="55"/>
      <c r="K29" s="11"/>
      <c r="L29" s="11"/>
      <c r="M29" s="11"/>
      <c r="N29" s="68" t="str">
        <f>IF(_epmOfflineCondition_,"Local Currency",_xll.EVDES(B9,B1))</f>
        <v>Local Currency</v>
      </c>
      <c r="O29" s="484" t="s">
        <v>344</v>
      </c>
      <c r="P29" s="484"/>
      <c r="Q29" s="484"/>
      <c r="R29" s="484"/>
      <c r="S29" s="484"/>
      <c r="T29" s="484"/>
      <c r="U29" s="484"/>
      <c r="V29" s="484"/>
      <c r="W29" s="484"/>
      <c r="X29" s="484"/>
      <c r="Y29" s="484"/>
      <c r="Z29" s="484"/>
      <c r="AA29" s="484"/>
      <c r="AB29" s="11"/>
      <c r="AC29" s="11"/>
      <c r="AD29" s="11"/>
      <c r="AE29" s="11"/>
      <c r="AF29" s="11"/>
      <c r="AG29" s="11"/>
      <c r="AH29" s="11"/>
      <c r="AI29" s="11"/>
    </row>
    <row r="30" spans="1:35" x14ac:dyDescent="0.25">
      <c r="A30" s="61" t="s">
        <v>14</v>
      </c>
      <c r="B30" s="62"/>
      <c r="C30" s="11"/>
      <c r="D30" s="11"/>
      <c r="E30" s="11"/>
      <c r="F30" s="11"/>
      <c r="G30" s="11"/>
      <c r="H30" s="11"/>
      <c r="I30" s="55"/>
      <c r="J30" s="55"/>
      <c r="K30" s="11"/>
      <c r="L30" s="11"/>
      <c r="M30" s="11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</row>
    <row r="31" spans="1:35" x14ac:dyDescent="0.25">
      <c r="A31" s="61" t="s">
        <v>15</v>
      </c>
      <c r="B31" s="62"/>
      <c r="C31" s="11"/>
      <c r="D31" s="11"/>
      <c r="E31" s="11"/>
      <c r="F31" s="11"/>
      <c r="G31" s="11"/>
      <c r="H31" s="11"/>
      <c r="I31" s="55"/>
      <c r="J31" s="55"/>
      <c r="K31" s="11"/>
      <c r="L31" s="11"/>
      <c r="M31" s="11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</row>
    <row r="32" spans="1:35" s="8" customFormat="1" ht="30" customHeight="1" x14ac:dyDescent="0.25">
      <c r="A32" s="77" t="s">
        <v>16</v>
      </c>
      <c r="B32" s="78"/>
      <c r="C32" s="79"/>
      <c r="D32" s="79"/>
      <c r="E32" s="79"/>
      <c r="F32" s="79"/>
      <c r="G32" s="79"/>
      <c r="H32" s="80"/>
      <c r="I32" s="81"/>
      <c r="J32" s="81"/>
      <c r="K32" s="79"/>
      <c r="L32" s="79"/>
      <c r="M32" s="79"/>
      <c r="N32" s="79"/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</row>
    <row r="33" spans="1:35" ht="15.75" x14ac:dyDescent="0.25">
      <c r="A33" s="61" t="s">
        <v>17</v>
      </c>
      <c r="B33" s="62"/>
      <c r="C33" s="11"/>
      <c r="D33" s="11"/>
      <c r="E33" s="11"/>
      <c r="F33" s="11"/>
      <c r="G33" s="11"/>
      <c r="H33" s="11"/>
      <c r="I33" s="55"/>
      <c r="J33" s="55"/>
      <c r="K33" s="11"/>
      <c r="L33" s="11"/>
      <c r="M33" s="11"/>
      <c r="N33" s="485" t="s">
        <v>330</v>
      </c>
      <c r="O33" s="125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7"/>
      <c r="AC33" s="11"/>
      <c r="AD33" s="125"/>
      <c r="AE33" s="126"/>
      <c r="AF33" s="127"/>
      <c r="AG33" s="125"/>
      <c r="AH33" s="126"/>
      <c r="AI33" s="127"/>
    </row>
    <row r="34" spans="1:35" x14ac:dyDescent="0.25">
      <c r="A34" s="11"/>
      <c r="B34" s="11"/>
      <c r="C34" s="11"/>
      <c r="D34" s="11"/>
      <c r="E34" s="11"/>
      <c r="F34" s="11"/>
      <c r="G34" s="11"/>
      <c r="H34" s="11"/>
      <c r="I34" s="55"/>
      <c r="J34" s="55"/>
      <c r="K34" s="11"/>
      <c r="L34" s="129" t="s">
        <v>364</v>
      </c>
      <c r="M34" s="129" t="s">
        <v>783</v>
      </c>
      <c r="N34" s="49" t="s">
        <v>312</v>
      </c>
      <c r="O34" s="199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114"/>
      <c r="AC34" s="11"/>
      <c r="AD34" s="199"/>
      <c r="AE34" s="200"/>
      <c r="AF34" s="114"/>
      <c r="AG34" s="199"/>
      <c r="AH34" s="200"/>
      <c r="AI34" s="114"/>
    </row>
    <row r="35" spans="1:35" x14ac:dyDescent="0.25">
      <c r="A35" s="11"/>
      <c r="B35" s="11"/>
      <c r="C35" s="11"/>
      <c r="D35" s="11"/>
      <c r="E35" s="11"/>
      <c r="F35" s="11"/>
      <c r="G35" s="11"/>
      <c r="H35" s="84" t="s">
        <v>260</v>
      </c>
      <c r="I35" s="118" t="str">
        <f>IF(_epmOfflineCondition_,"T5",_xll.EVPRO($B$1,$H35,"STYLE"))</f>
        <v>T5</v>
      </c>
      <c r="J35" s="118" t="str">
        <f>IF(_epmOfflineCondition_,"Y",_xll.EVPRO($B$1,$H35,"CALC"))</f>
        <v>Y</v>
      </c>
      <c r="K35" s="86"/>
      <c r="L35" s="86" t="str">
        <f>IF(_epmOfflineCondition_,"461100",_xll.EVPRO($B$1,H35,"JDEID"))</f>
        <v>461100</v>
      </c>
      <c r="M35" s="86" t="str">
        <f>IF(_epmOfflineCondition_,"",IF(AND(I35="N",J35="N"),_xll.EVPRO($B$1,H35,"PSFTID"),""))</f>
        <v/>
      </c>
      <c r="N35" s="86" t="str">
        <f>IF(_epmOfflineCondition_,"Breakfast Food",IF(_xll.EVDES(H35,$B$1)="#NODATA","",_xll.EVDES(H35,$B$1)))</f>
        <v>Breakfast Food</v>
      </c>
      <c r="O35" s="134">
        <v>18466.5</v>
      </c>
      <c r="P35" s="134">
        <v>18982.45</v>
      </c>
      <c r="Q35" s="134">
        <v>22495.02</v>
      </c>
      <c r="R35" s="134">
        <v>17559.27</v>
      </c>
      <c r="S35" s="134">
        <v>15131.79</v>
      </c>
      <c r="T35" s="134">
        <v>15749.5</v>
      </c>
      <c r="U35" s="134">
        <v>15738</v>
      </c>
      <c r="V35" s="134">
        <v>17238.38</v>
      </c>
      <c r="W35" s="134">
        <v>8504.5</v>
      </c>
      <c r="X35" s="134">
        <v>16637</v>
      </c>
      <c r="Y35" s="134">
        <v>25178.799999999999</v>
      </c>
      <c r="Z35" s="134">
        <v>28714.3</v>
      </c>
      <c r="AA35" s="134">
        <f t="shared" ref="AA35:AA40" si="0">SUM(O35:Z35)</f>
        <v>220395.50999999998</v>
      </c>
      <c r="AB35" s="138">
        <f>IF(AA35=0,"",IFERROR(AA35/AA$19,""))</f>
        <v>0.27314666121783326</v>
      </c>
      <c r="AC35" s="136"/>
      <c r="AD35" s="134">
        <v>259026.163375</v>
      </c>
      <c r="AE35" s="138">
        <f>IF(AD35=0,"",IFERROR(AD35/AD$19,""))</f>
        <v>0.10601536464281465</v>
      </c>
      <c r="AF35" s="137">
        <f t="shared" ref="AF35:AF41" si="1">IF(AND($AA35="",AD35=""),"",$AA35-AD35)</f>
        <v>-38630.653375000024</v>
      </c>
      <c r="AG35" s="134">
        <v>54439.86</v>
      </c>
      <c r="AH35" s="138">
        <f>IF(AG35=0,"",IFERROR(AG35/AG$19,""))</f>
        <v>0.23684493542957014</v>
      </c>
      <c r="AI35" s="137">
        <f t="shared" ref="AI35:AI41" si="2">IF(AND($AA35="",AG35=""),"",$AA35-AG35)</f>
        <v>165955.64999999997</v>
      </c>
    </row>
    <row r="36" spans="1:35" x14ac:dyDescent="0.25">
      <c r="A36" s="57" t="s">
        <v>23</v>
      </c>
      <c r="B36" s="58" t="s">
        <v>24</v>
      </c>
      <c r="C36" s="11"/>
      <c r="D36" s="11"/>
      <c r="E36" s="11"/>
      <c r="F36" s="11"/>
      <c r="G36" s="11"/>
      <c r="H36" s="84" t="s">
        <v>294</v>
      </c>
      <c r="I36" s="118" t="str">
        <f>IF(_epmOfflineCondition_,"T6",_xll.EVPRO($B$1,$H36,"STYLE"))</f>
        <v>T6</v>
      </c>
      <c r="J36" s="118" t="str">
        <f>IF(_epmOfflineCondition_,"Y",_xll.EVPRO($B$1,$H36,"CALC"))</f>
        <v>Y</v>
      </c>
      <c r="K36" s="86"/>
      <c r="L36" s="86" t="str">
        <f>IF(_epmOfflineCondition_,"461200",_xll.EVPRO($B$1,H36,"JDEID"))</f>
        <v>461200</v>
      </c>
      <c r="M36" s="86" t="str">
        <f>IF(_epmOfflineCondition_,"",IF(AND(I36="N",J36="N"),_xll.EVPRO($B$1,H36,"PSFTID"),""))</f>
        <v/>
      </c>
      <c r="N36" s="86" t="str">
        <f>IF(_epmOfflineCondition_,"Breakfast Liquor",IF(_xll.EVDES(H36,$B$1)="#NODATA","",_xll.EVDES(H36,$B$1)))</f>
        <v>Breakfast Liquor</v>
      </c>
      <c r="O36" s="134">
        <v>200</v>
      </c>
      <c r="P36" s="134">
        <v>250</v>
      </c>
      <c r="Q36" s="134">
        <v>371</v>
      </c>
      <c r="R36" s="134">
        <v>251</v>
      </c>
      <c r="S36" s="134">
        <v>369</v>
      </c>
      <c r="T36" s="134">
        <v>255</v>
      </c>
      <c r="U36" s="134">
        <v>280</v>
      </c>
      <c r="V36" s="134">
        <v>238</v>
      </c>
      <c r="W36" s="134">
        <v>176</v>
      </c>
      <c r="X36" s="134"/>
      <c r="Y36" s="134">
        <v>24</v>
      </c>
      <c r="Z36" s="134">
        <v>84.2</v>
      </c>
      <c r="AA36" s="134">
        <f t="shared" si="0"/>
        <v>2498.1999999999998</v>
      </c>
      <c r="AB36" s="138">
        <f>IF(AA36=0,"",IFERROR(AA36/AA$19,""))</f>
        <v>3.096138342629535E-3</v>
      </c>
      <c r="AC36" s="136"/>
      <c r="AD36" s="134">
        <v>5391.1883699999998</v>
      </c>
      <c r="AE36" s="138">
        <f>IF(AD36=0,"",IFERROR(AD36/AD$19,""))</f>
        <v>2.2065292303164105E-3</v>
      </c>
      <c r="AF36" s="137">
        <f t="shared" si="1"/>
        <v>-2892.98837</v>
      </c>
      <c r="AG36" s="134">
        <v>114</v>
      </c>
      <c r="AH36" s="138">
        <f>IF(AG36=0,"",IFERROR(AG36/AG$19,""))</f>
        <v>4.9596605573509918E-4</v>
      </c>
      <c r="AI36" s="137">
        <f t="shared" si="2"/>
        <v>2384.1999999999998</v>
      </c>
    </row>
    <row r="37" spans="1:35" x14ac:dyDescent="0.25">
      <c r="A37" s="61" t="s">
        <v>25</v>
      </c>
      <c r="B37" s="62"/>
      <c r="C37" s="11"/>
      <c r="D37" s="11"/>
      <c r="E37" s="11"/>
      <c r="F37" s="11"/>
      <c r="G37" s="11"/>
      <c r="H37" s="84" t="s">
        <v>295</v>
      </c>
      <c r="I37" s="118" t="str">
        <f>IF(_epmOfflineCondition_,"T6",_xll.EVPRO($B$1,$H37,"STYLE"))</f>
        <v>T6</v>
      </c>
      <c r="J37" s="118" t="str">
        <f>IF(_epmOfflineCondition_,"Y",_xll.EVPRO($B$1,$H37,"CALC"))</f>
        <v>Y</v>
      </c>
      <c r="K37" s="86"/>
      <c r="L37" s="86" t="str">
        <f>IF(_epmOfflineCondition_,"461300",_xll.EVPRO($B$1,H37,"JDEID"))</f>
        <v>461300</v>
      </c>
      <c r="M37" s="86" t="str">
        <f>IF(_epmOfflineCondition_,"",IF(AND(I37="N",J37="N"),_xll.EVPRO($B$1,H37,"PSFTID"),""))</f>
        <v/>
      </c>
      <c r="N37" s="86" t="str">
        <f>IF(_epmOfflineCondition_,"Breakfast Beer",IF(_xll.EVDES(H37,$B$1)="#NODATA","",_xll.EVDES(H37,$B$1)))</f>
        <v>Breakfast Beer</v>
      </c>
      <c r="O37" s="134">
        <v>7</v>
      </c>
      <c r="P37" s="134">
        <v>97</v>
      </c>
      <c r="Q37" s="134">
        <v>38</v>
      </c>
      <c r="R37" s="134">
        <v>17</v>
      </c>
      <c r="S37" s="134">
        <v>86</v>
      </c>
      <c r="T37" s="134">
        <v>19</v>
      </c>
      <c r="U37" s="134">
        <v>59</v>
      </c>
      <c r="V37" s="134">
        <v>9</v>
      </c>
      <c r="W37" s="134"/>
      <c r="X37" s="134"/>
      <c r="Y37" s="134">
        <v>12</v>
      </c>
      <c r="Z37" s="134">
        <v>8</v>
      </c>
      <c r="AA37" s="134">
        <f t="shared" si="0"/>
        <v>352</v>
      </c>
      <c r="AB37" s="138">
        <f>IF(AA37=0,"",IFERROR(AA37/AA$19,""))</f>
        <v>4.3625037891505743E-4</v>
      </c>
      <c r="AC37" s="136"/>
      <c r="AD37" s="134">
        <v>1029.2121050000001</v>
      </c>
      <c r="AE37" s="138">
        <f>IF(AD37=0,"",IFERROR(AD37/AD$19,""))</f>
        <v>4.2124044607960579E-4</v>
      </c>
      <c r="AF37" s="137">
        <f t="shared" si="1"/>
        <v>-677.21210500000007</v>
      </c>
      <c r="AG37" s="134">
        <v>124</v>
      </c>
      <c r="AH37" s="138">
        <f>IF(AG37=0,"",IFERROR(AG37/AG$19,""))</f>
        <v>5.3947185009782712E-4</v>
      </c>
      <c r="AI37" s="137">
        <f t="shared" si="2"/>
        <v>228</v>
      </c>
    </row>
    <row r="38" spans="1:35" x14ac:dyDescent="0.25">
      <c r="A38" s="61" t="s">
        <v>26</v>
      </c>
      <c r="B38" s="62"/>
      <c r="C38" s="11"/>
      <c r="D38" s="11"/>
      <c r="E38" s="11"/>
      <c r="F38" s="11"/>
      <c r="G38" s="11"/>
      <c r="H38" s="84" t="s">
        <v>296</v>
      </c>
      <c r="I38" s="118" t="str">
        <f>IF(_epmOfflineCondition_,"T6",_xll.EVPRO($B$1,$H38,"STYLE"))</f>
        <v>T6</v>
      </c>
      <c r="J38" s="118" t="str">
        <f>IF(_epmOfflineCondition_,"Y",_xll.EVPRO($B$1,$H38,"CALC"))</f>
        <v>Y</v>
      </c>
      <c r="K38" s="86"/>
      <c r="L38" s="86" t="str">
        <f>IF(_epmOfflineCondition_,"461400",_xll.EVPRO($B$1,H38,"JDEID"))</f>
        <v>461400</v>
      </c>
      <c r="M38" s="86" t="str">
        <f>IF(_epmOfflineCondition_,"",IF(AND(I38="N",J38="N"),_xll.EVPRO($B$1,H38,"PSFTID"),""))</f>
        <v/>
      </c>
      <c r="N38" s="86" t="str">
        <f>IF(_epmOfflineCondition_,"Breakfast Wine",IF(_xll.EVDES(H38,$B$1)="#NODATA","",_xll.EVDES(H38,$B$1)))</f>
        <v>Breakfast Wine</v>
      </c>
      <c r="O38" s="228">
        <v>9</v>
      </c>
      <c r="P38" s="228">
        <v>43</v>
      </c>
      <c r="Q38" s="228"/>
      <c r="R38" s="228"/>
      <c r="S38" s="228">
        <v>9</v>
      </c>
      <c r="T38" s="228">
        <v>45</v>
      </c>
      <c r="U38" s="228">
        <v>10</v>
      </c>
      <c r="V38" s="228">
        <v>20</v>
      </c>
      <c r="W38" s="228"/>
      <c r="X38" s="228"/>
      <c r="Y38" s="228">
        <v>376.6</v>
      </c>
      <c r="Z38" s="228">
        <v>1252</v>
      </c>
      <c r="AA38" s="228">
        <f t="shared" si="0"/>
        <v>1764.6</v>
      </c>
      <c r="AB38" s="230">
        <f>IF(AA38=0,"",IFERROR(AA38/AA$19,""))</f>
        <v>2.1869528938451995E-3</v>
      </c>
      <c r="AC38" s="136"/>
      <c r="AD38" s="228">
        <v>11672.22345</v>
      </c>
      <c r="AE38" s="230">
        <f>IF(AD38=0,"",IFERROR(AD38/AD$19,""))</f>
        <v>4.7772588263707162E-3</v>
      </c>
      <c r="AF38" s="231">
        <f t="shared" si="1"/>
        <v>-9907.6234499999991</v>
      </c>
      <c r="AG38" s="228">
        <v>173</v>
      </c>
      <c r="AH38" s="230">
        <f>IF(AG38=0,"",IFERROR(AG38/AG$19,""))</f>
        <v>7.5265024247519433E-4</v>
      </c>
      <c r="AI38" s="231">
        <f t="shared" si="2"/>
        <v>1591.6</v>
      </c>
    </row>
    <row r="39" spans="1:35" x14ac:dyDescent="0.25">
      <c r="A39" s="61" t="s">
        <v>27</v>
      </c>
      <c r="B39" s="62"/>
      <c r="C39" s="11"/>
      <c r="D39" s="11"/>
      <c r="E39" s="11"/>
      <c r="F39" s="11"/>
      <c r="G39" s="11"/>
      <c r="H39" s="84" t="s">
        <v>318</v>
      </c>
      <c r="I39" s="118" t="str">
        <f>IF(_epmOfflineCondition_,"N",_xll.EVPRO($B$1,$H39,"STYLE"))</f>
        <v>N</v>
      </c>
      <c r="J39" s="118" t="str">
        <f>IF(_epmOfflineCondition_,"Y",_xll.EVPRO($B$1,$H39,"CALC"))</f>
        <v>Y</v>
      </c>
      <c r="K39" s="86"/>
      <c r="L39" s="86" t="str">
        <f>IF(_epmOfflineCondition_,"",_xll.EVPRO($B$1,H39,"JDEID"))</f>
        <v/>
      </c>
      <c r="M39" s="86" t="str">
        <f>IF(_epmOfflineCondition_,"",IF(AND(I39="N",J39="N"),_xll.EVPRO($B$1,H39,"PSFTID"),""))</f>
        <v/>
      </c>
      <c r="N39" s="102" t="str">
        <f>IF(_epmOfflineCondition_,"Breakfast Revenue",IF(_xll.EVDES(H39,$B$1)="#NODATA","",_xll.EVDES(H39,$B$1)))</f>
        <v>Breakfast Revenue</v>
      </c>
      <c r="O39" s="158">
        <v>18682.5</v>
      </c>
      <c r="P39" s="158">
        <v>19372.45</v>
      </c>
      <c r="Q39" s="158">
        <v>22904.02</v>
      </c>
      <c r="R39" s="158">
        <v>17827.27</v>
      </c>
      <c r="S39" s="158">
        <v>15595.79</v>
      </c>
      <c r="T39" s="158">
        <v>16068.5</v>
      </c>
      <c r="U39" s="158">
        <v>16087</v>
      </c>
      <c r="V39" s="158">
        <v>17505.38</v>
      </c>
      <c r="W39" s="158">
        <v>8680.5</v>
      </c>
      <c r="X39" s="158">
        <v>16637</v>
      </c>
      <c r="Y39" s="158">
        <v>25591.4</v>
      </c>
      <c r="Z39" s="158">
        <v>30058.5</v>
      </c>
      <c r="AA39" s="158">
        <f t="shared" si="0"/>
        <v>225010.31</v>
      </c>
      <c r="AB39" s="159">
        <f>IF(AA39=0,"",IFERROR(AA39/AA$19,""))</f>
        <v>0.2788660028332231</v>
      </c>
      <c r="AC39" s="136"/>
      <c r="AD39" s="158">
        <v>277118.78730000003</v>
      </c>
      <c r="AE39" s="159">
        <f>IF(AD39=0,"",IFERROR(AD39/AD$19,""))</f>
        <v>0.11342039314558139</v>
      </c>
      <c r="AF39" s="160">
        <f t="shared" si="1"/>
        <v>-52108.477300000028</v>
      </c>
      <c r="AG39" s="158">
        <v>54850.86</v>
      </c>
      <c r="AH39" s="159">
        <f>IF(AG39=0,"",IFERROR(AG39/AG$19,""))</f>
        <v>0.23863302357787824</v>
      </c>
      <c r="AI39" s="160">
        <f t="shared" si="2"/>
        <v>170159.45</v>
      </c>
    </row>
    <row r="40" spans="1:35" x14ac:dyDescent="0.25">
      <c r="A40" s="61" t="s">
        <v>28</v>
      </c>
      <c r="B40" s="62"/>
      <c r="C40" s="11"/>
      <c r="D40" s="11"/>
      <c r="E40" s="11"/>
      <c r="F40" s="11"/>
      <c r="G40" s="11"/>
      <c r="H40" s="84" t="s">
        <v>297</v>
      </c>
      <c r="I40" s="118" t="str">
        <f>IF(_epmOfflineCondition_,"N",_xll.EVPRO($B$1,$H40,"STYLE"))</f>
        <v>N</v>
      </c>
      <c r="J40" s="118" t="str">
        <f>IF(_epmOfflineCondition_,"N",_xll.EVPRO($B$1,$H40,"CALC"))</f>
        <v>N</v>
      </c>
      <c r="K40" s="86"/>
      <c r="L40" s="86" t="str">
        <f>IF(_epmOfflineCondition_,"946100",_xll.EVPRO($B$1,H40,"JDEID"))</f>
        <v>946100</v>
      </c>
      <c r="M40" s="86" t="str">
        <f>IF(_epmOfflineCondition_,"991501",IF(AND(I40="N",J40="N"),_xll.EVPRO($B$1,H40,"PSFTID"),""))</f>
        <v>991501</v>
      </c>
      <c r="N40" s="86" t="str">
        <f>IF(_epmOfflineCondition_,"Breakfast Customers",IF(_xll.EVDES(H40,$B$1)="#NODATA","",_xll.EVDES(H40,$B$1)))</f>
        <v>Breakfast Customers</v>
      </c>
      <c r="O40" s="240">
        <v>990</v>
      </c>
      <c r="P40" s="240">
        <v>1182</v>
      </c>
      <c r="Q40" s="240">
        <v>1337</v>
      </c>
      <c r="R40" s="240">
        <v>1167</v>
      </c>
      <c r="S40" s="240">
        <v>1020</v>
      </c>
      <c r="T40" s="240">
        <v>954</v>
      </c>
      <c r="U40" s="240">
        <v>1005</v>
      </c>
      <c r="V40" s="240">
        <v>1122</v>
      </c>
      <c r="W40" s="240">
        <v>505</v>
      </c>
      <c r="X40" s="240">
        <v>994</v>
      </c>
      <c r="Y40" s="240">
        <v>1269</v>
      </c>
      <c r="Z40" s="240">
        <v>1528</v>
      </c>
      <c r="AA40" s="240">
        <f t="shared" si="0"/>
        <v>13073</v>
      </c>
      <c r="AB40" s="242">
        <f>IF(AA40=0,"",IFERROR(AA40/AA$89,""))</f>
        <v>0.38190529052613126</v>
      </c>
      <c r="AC40" s="136"/>
      <c r="AD40" s="240">
        <v>13305.99</v>
      </c>
      <c r="AE40" s="242">
        <f>IF(AD40=0,"",IFERROR(AD40/AD$89,""))</f>
        <v>0.18080571795455394</v>
      </c>
      <c r="AF40" s="243">
        <f t="shared" si="1"/>
        <v>-232.98999999999978</v>
      </c>
      <c r="AG40" s="240">
        <v>3931</v>
      </c>
      <c r="AH40" s="242">
        <f>IF(AG40=0,"",IFERROR(AG40/AG$89,""))</f>
        <v>0.36955908620851746</v>
      </c>
      <c r="AI40" s="243">
        <f t="shared" si="2"/>
        <v>9142</v>
      </c>
    </row>
    <row r="41" spans="1:35" x14ac:dyDescent="0.25">
      <c r="A41" s="61" t="s">
        <v>29</v>
      </c>
      <c r="B41" s="62"/>
      <c r="C41" s="11"/>
      <c r="D41" s="11"/>
      <c r="E41" s="11"/>
      <c r="F41" s="11"/>
      <c r="G41" s="11"/>
      <c r="H41" s="84" t="s">
        <v>313</v>
      </c>
      <c r="I41" s="118" t="str">
        <f>IF(_epmOfflineCondition_,"N",_xll.EVPRO($B$1,$H41,"STYLE"))</f>
        <v>N</v>
      </c>
      <c r="J41" s="118" t="str">
        <f>IF(_epmOfflineCondition_,"Y",_xll.EVPRO($B$1,$H41,"CALC"))</f>
        <v>Y</v>
      </c>
      <c r="K41" s="86"/>
      <c r="L41" s="86" t="str">
        <f>IF(_epmOfflineCondition_,"",_xll.EVPRO($B$1,H41,"JDEID"))</f>
        <v/>
      </c>
      <c r="M41" s="86" t="str">
        <f>IF(_epmOfflineCondition_,"",IF(AND(I41="N",J41="N"),_xll.EVPRO($B$1,H41,"PSFTID"),""))</f>
        <v/>
      </c>
      <c r="N41" s="186" t="str">
        <f>IF(_epmOfflineCondition_,"Breakfast - Average Check",IF(_xll.EVDES(H41,$B$1)="#NODATA","",_xll.EVDES(H41,$B$1)))</f>
        <v>Breakfast - Average Check</v>
      </c>
      <c r="O41" s="490">
        <v>18.8712121212121</v>
      </c>
      <c r="P41" s="490">
        <v>16.389551607445</v>
      </c>
      <c r="Q41" s="490">
        <v>17.130905011219099</v>
      </c>
      <c r="R41" s="490">
        <v>15.276152527849201</v>
      </c>
      <c r="S41" s="490">
        <v>15.289990196078399</v>
      </c>
      <c r="T41" s="490">
        <v>16.843291404612199</v>
      </c>
      <c r="U41" s="490">
        <v>16.006965174129402</v>
      </c>
      <c r="V41" s="490">
        <v>15.6019429590018</v>
      </c>
      <c r="W41" s="490">
        <v>17.1891089108911</v>
      </c>
      <c r="X41" s="490">
        <v>16.737424547283702</v>
      </c>
      <c r="Y41" s="490">
        <v>20.166587864460201</v>
      </c>
      <c r="Z41" s="490">
        <v>19.671793193717299</v>
      </c>
      <c r="AA41" s="490">
        <f>IFERROR(AA39/AA40,"")</f>
        <v>17.211834315000381</v>
      </c>
      <c r="AB41" s="490"/>
      <c r="AC41" s="136"/>
      <c r="AD41" s="490">
        <v>20.8266192369001</v>
      </c>
      <c r="AE41" s="490"/>
      <c r="AF41" s="491">
        <f t="shared" si="1"/>
        <v>-3.6147849218997194</v>
      </c>
      <c r="AG41" s="490">
        <v>13.953411345713601</v>
      </c>
      <c r="AH41" s="490"/>
      <c r="AI41" s="491">
        <f t="shared" si="2"/>
        <v>3.2584229692867801</v>
      </c>
    </row>
    <row r="42" spans="1:35" x14ac:dyDescent="0.25">
      <c r="A42" s="61" t="s">
        <v>30</v>
      </c>
      <c r="B42" s="62" t="s">
        <v>78</v>
      </c>
      <c r="C42" s="11"/>
      <c r="D42" s="11"/>
      <c r="E42" s="11"/>
      <c r="F42" s="11"/>
      <c r="G42" s="486">
        <f>COUNTIF(O43:AI43,FALSE)</f>
        <v>0</v>
      </c>
      <c r="H42" s="84"/>
      <c r="I42" s="118"/>
      <c r="J42" s="118"/>
      <c r="K42" s="86"/>
      <c r="L42" s="86"/>
      <c r="M42" s="86"/>
      <c r="N42" s="487" t="s">
        <v>345</v>
      </c>
      <c r="O42" s="492">
        <f t="shared" ref="O42:AA42" si="3">ROUND(IFERROR(O39/O40,0),2)</f>
        <v>18.87</v>
      </c>
      <c r="P42" s="493">
        <f t="shared" si="3"/>
        <v>16.39</v>
      </c>
      <c r="Q42" s="493">
        <f t="shared" si="3"/>
        <v>17.13</v>
      </c>
      <c r="R42" s="493">
        <f t="shared" si="3"/>
        <v>15.28</v>
      </c>
      <c r="S42" s="493">
        <f t="shared" si="3"/>
        <v>15.29</v>
      </c>
      <c r="T42" s="493">
        <f t="shared" si="3"/>
        <v>16.84</v>
      </c>
      <c r="U42" s="493">
        <f t="shared" si="3"/>
        <v>16.010000000000002</v>
      </c>
      <c r="V42" s="493">
        <f t="shared" si="3"/>
        <v>15.6</v>
      </c>
      <c r="W42" s="493">
        <f t="shared" si="3"/>
        <v>17.190000000000001</v>
      </c>
      <c r="X42" s="493">
        <f t="shared" si="3"/>
        <v>16.739999999999998</v>
      </c>
      <c r="Y42" s="493">
        <f t="shared" si="3"/>
        <v>20.170000000000002</v>
      </c>
      <c r="Z42" s="493">
        <f t="shared" si="3"/>
        <v>19.670000000000002</v>
      </c>
      <c r="AA42" s="493">
        <f t="shared" si="3"/>
        <v>17.21</v>
      </c>
      <c r="AB42" s="494"/>
      <c r="AC42" s="136"/>
      <c r="AD42" s="492">
        <f>ROUND(IFERROR(AD39/AD40,0),2)</f>
        <v>20.83</v>
      </c>
      <c r="AE42" s="493"/>
      <c r="AF42" s="151"/>
      <c r="AG42" s="492">
        <f>ROUND(IFERROR(AG39/AG40,0),2)</f>
        <v>13.95</v>
      </c>
      <c r="AH42" s="493"/>
      <c r="AI42" s="151"/>
    </row>
    <row r="43" spans="1:35" x14ac:dyDescent="0.25">
      <c r="A43" s="61" t="s">
        <v>31</v>
      </c>
      <c r="B43" s="62" t="s">
        <v>78</v>
      </c>
      <c r="C43" s="11"/>
      <c r="D43" s="11"/>
      <c r="E43" s="11"/>
      <c r="F43" s="11"/>
      <c r="G43" s="11"/>
      <c r="H43" s="84"/>
      <c r="I43" s="118"/>
      <c r="J43" s="118"/>
      <c r="K43" s="86"/>
      <c r="L43" s="86"/>
      <c r="M43" s="86"/>
      <c r="N43" s="49" t="s">
        <v>314</v>
      </c>
      <c r="O43" s="495" t="b">
        <f t="shared" ref="O43:AA43" si="4">ROUND(O41,2)=ROUND(O42,2)</f>
        <v>1</v>
      </c>
      <c r="P43" s="496" t="b">
        <f t="shared" si="4"/>
        <v>1</v>
      </c>
      <c r="Q43" s="496" t="b">
        <f t="shared" si="4"/>
        <v>1</v>
      </c>
      <c r="R43" s="496" t="b">
        <f t="shared" si="4"/>
        <v>1</v>
      </c>
      <c r="S43" s="496" t="b">
        <f t="shared" si="4"/>
        <v>1</v>
      </c>
      <c r="T43" s="496" t="b">
        <f t="shared" si="4"/>
        <v>1</v>
      </c>
      <c r="U43" s="496" t="b">
        <f t="shared" si="4"/>
        <v>1</v>
      </c>
      <c r="V43" s="496" t="b">
        <f t="shared" si="4"/>
        <v>1</v>
      </c>
      <c r="W43" s="496" t="b">
        <f t="shared" si="4"/>
        <v>1</v>
      </c>
      <c r="X43" s="496" t="b">
        <f t="shared" si="4"/>
        <v>1</v>
      </c>
      <c r="Y43" s="496" t="b">
        <f t="shared" si="4"/>
        <v>1</v>
      </c>
      <c r="Z43" s="496" t="b">
        <f t="shared" si="4"/>
        <v>1</v>
      </c>
      <c r="AA43" s="496" t="b">
        <f t="shared" si="4"/>
        <v>1</v>
      </c>
      <c r="AB43" s="497"/>
      <c r="AC43" s="498"/>
      <c r="AD43" s="495"/>
      <c r="AE43" s="496" t="b">
        <f>ROUND(AD41,2)=ROUND(AD42,2)</f>
        <v>1</v>
      </c>
      <c r="AF43" s="497"/>
      <c r="AG43" s="495"/>
      <c r="AH43" s="496" t="b">
        <f>ROUND(AG41,2)=ROUND(AG42,2)</f>
        <v>1</v>
      </c>
      <c r="AI43" s="497"/>
    </row>
    <row r="44" spans="1:35" x14ac:dyDescent="0.25">
      <c r="A44" s="61" t="s">
        <v>32</v>
      </c>
      <c r="B44" s="62"/>
      <c r="C44" s="11"/>
      <c r="D44" s="11"/>
      <c r="E44" s="11"/>
      <c r="F44" s="11"/>
      <c r="G44" s="11"/>
      <c r="H44" s="84" t="s">
        <v>261</v>
      </c>
      <c r="I44" s="118" t="str">
        <f>IF(_epmOfflineCondition_,"T5",_xll.EVPRO($B$1,$H44,"STYLE"))</f>
        <v>T5</v>
      </c>
      <c r="J44" s="118" t="str">
        <f>IF(_epmOfflineCondition_,"Y",_xll.EVPRO($B$1,$H44,"CALC"))</f>
        <v>Y</v>
      </c>
      <c r="K44" s="86"/>
      <c r="L44" s="86" t="str">
        <f>IF(_epmOfflineCondition_,"462100",_xll.EVPRO($B$1,H44,"JDEID"))</f>
        <v>462100</v>
      </c>
      <c r="M44" s="86" t="str">
        <f>IF(_epmOfflineCondition_,"",IF(AND(I44="N",J44="N"),_xll.EVPRO($B$1,H44,"PSFTID"),""))</f>
        <v/>
      </c>
      <c r="N44" s="86" t="str">
        <f>IF(_epmOfflineCondition_,"Lunch Food",IF(_xll.EVDES(H44,$B$1)="#NODATA","",_xll.EVDES(H44,$B$1)))</f>
        <v>Lunch Food</v>
      </c>
      <c r="O44" s="134">
        <v>11755.2</v>
      </c>
      <c r="P44" s="134">
        <v>9180</v>
      </c>
      <c r="Q44" s="134">
        <v>10445</v>
      </c>
      <c r="R44" s="134">
        <v>3608</v>
      </c>
      <c r="S44" s="134">
        <v>2761</v>
      </c>
      <c r="T44" s="134">
        <v>290</v>
      </c>
      <c r="U44" s="134">
        <v>1047</v>
      </c>
      <c r="V44" s="134">
        <v>710</v>
      </c>
      <c r="W44" s="134">
        <v>313</v>
      </c>
      <c r="X44" s="134">
        <v>2480</v>
      </c>
      <c r="Y44" s="134">
        <v>9014.7000000000007</v>
      </c>
      <c r="Z44" s="134">
        <v>8165.4</v>
      </c>
      <c r="AA44" s="134">
        <f t="shared" ref="AA44:AA49" si="5">SUM(O44:Z44)</f>
        <v>59769.299999999996</v>
      </c>
      <c r="AB44" s="138">
        <f>IF(AA44=0,"",IFERROR(AA44/AA$19,""))</f>
        <v>7.4074942535476529E-2</v>
      </c>
      <c r="AC44" s="136"/>
      <c r="AD44" s="134">
        <v>287509.85174100002</v>
      </c>
      <c r="AE44" s="138">
        <f>IF(AD44=0,"",IFERROR(AD44/AD$19,""))</f>
        <v>0.11767329359156747</v>
      </c>
      <c r="AF44" s="137">
        <f t="shared" ref="AF44:AF50" si="6">IF(AND($AA44="",AD44=""),"",$AA44-AD44)</f>
        <v>-227740.55174100003</v>
      </c>
      <c r="AG44" s="134">
        <v>24021.42</v>
      </c>
      <c r="AH44" s="138">
        <f>IF(AG44=0,"",IFERROR(AG44/AG$19,""))</f>
        <v>0.10450709588207215</v>
      </c>
      <c r="AI44" s="137">
        <f t="shared" ref="AI44:AI50" si="7">IF(AND($AA44="",AG44=""),"",$AA44-AG44)</f>
        <v>35747.879999999997</v>
      </c>
    </row>
    <row r="45" spans="1:35" x14ac:dyDescent="0.25">
      <c r="A45" s="61" t="s">
        <v>33</v>
      </c>
      <c r="B45" s="62"/>
      <c r="C45" s="11"/>
      <c r="D45" s="11"/>
      <c r="E45" s="11"/>
      <c r="F45" s="11"/>
      <c r="G45" s="11"/>
      <c r="H45" s="181" t="s">
        <v>301</v>
      </c>
      <c r="I45" s="118" t="str">
        <f>IF(_epmOfflineCondition_,"T6",_xll.EVPRO($B$1,$H45,"STYLE"))</f>
        <v>T6</v>
      </c>
      <c r="J45" s="118" t="str">
        <f>IF(_epmOfflineCondition_,"Y",_xll.EVPRO($B$1,$H45,"CALC"))</f>
        <v>Y</v>
      </c>
      <c r="K45" s="86"/>
      <c r="L45" s="86" t="str">
        <f>IF(_epmOfflineCondition_,"462200",_xll.EVPRO($B$1,H45,"JDEID"))</f>
        <v>462200</v>
      </c>
      <c r="M45" s="86" t="str">
        <f>IF(_epmOfflineCondition_,"",IF(AND(I45="N",J45="N"),_xll.EVPRO($B$1,H45,"PSFTID"),""))</f>
        <v/>
      </c>
      <c r="N45" s="86" t="str">
        <f>IF(_epmOfflineCondition_,"Lunch Liquor",IF(_xll.EVDES(H45,$B$1)="#NODATA","",_xll.EVDES(H45,$B$1)))</f>
        <v>Lunch Liquor</v>
      </c>
      <c r="O45" s="134">
        <v>692</v>
      </c>
      <c r="P45" s="134">
        <v>1527</v>
      </c>
      <c r="Q45" s="134">
        <v>2282</v>
      </c>
      <c r="R45" s="134">
        <v>1560</v>
      </c>
      <c r="S45" s="134">
        <v>1695</v>
      </c>
      <c r="T45" s="134">
        <v>1338</v>
      </c>
      <c r="U45" s="134">
        <v>1942</v>
      </c>
      <c r="V45" s="134">
        <v>875</v>
      </c>
      <c r="W45" s="134">
        <v>1826</v>
      </c>
      <c r="X45" s="134">
        <v>779.2</v>
      </c>
      <c r="Y45" s="134">
        <v>1690</v>
      </c>
      <c r="Z45" s="134">
        <v>2302</v>
      </c>
      <c r="AA45" s="134">
        <f t="shared" si="5"/>
        <v>18508.2</v>
      </c>
      <c r="AB45" s="138">
        <f>IF(AA45=0,"",IFERROR(AA45/AA$19,""))</f>
        <v>2.2938094497260416E-2</v>
      </c>
      <c r="AC45" s="136"/>
      <c r="AD45" s="134">
        <v>79090.607241999998</v>
      </c>
      <c r="AE45" s="138">
        <f>IF(AD45=0,"",IFERROR(AD45/AD$19,""))</f>
        <v>3.2370550747969462E-2</v>
      </c>
      <c r="AF45" s="137">
        <f t="shared" si="6"/>
        <v>-60582.407242000001</v>
      </c>
      <c r="AG45" s="134">
        <v>7183.78</v>
      </c>
      <c r="AH45" s="138">
        <f>IF(AG45=0,"",IFERROR(AG45/AG$19,""))</f>
        <v>3.1253605542707813E-2</v>
      </c>
      <c r="AI45" s="137">
        <f t="shared" si="7"/>
        <v>11324.420000000002</v>
      </c>
    </row>
    <row r="46" spans="1:35" x14ac:dyDescent="0.25">
      <c r="A46" s="61" t="s">
        <v>34</v>
      </c>
      <c r="B46" s="62"/>
      <c r="C46" s="11"/>
      <c r="D46" s="11"/>
      <c r="E46" s="11"/>
      <c r="F46" s="11"/>
      <c r="G46" s="11"/>
      <c r="H46" s="181" t="s">
        <v>305</v>
      </c>
      <c r="I46" s="118" t="str">
        <f>IF(_epmOfflineCondition_,"T6",_xll.EVPRO($B$1,$H46,"STYLE"))</f>
        <v>T6</v>
      </c>
      <c r="J46" s="118" t="str">
        <f>IF(_epmOfflineCondition_,"Y",_xll.EVPRO($B$1,$H46,"CALC"))</f>
        <v>Y</v>
      </c>
      <c r="K46" s="86"/>
      <c r="L46" s="86" t="str">
        <f>IF(_epmOfflineCondition_,"462300",_xll.EVPRO($B$1,H46,"JDEID"))</f>
        <v>462300</v>
      </c>
      <c r="M46" s="86" t="str">
        <f>IF(_epmOfflineCondition_,"",IF(AND(I46="N",J46="N"),_xll.EVPRO($B$1,H46,"PSFTID"),""))</f>
        <v/>
      </c>
      <c r="N46" s="86" t="str">
        <f>IF(_epmOfflineCondition_,"Lunch Beer",IF(_xll.EVDES(H46,$B$1)="#NODATA","",_xll.EVDES(H46,$B$1)))</f>
        <v>Lunch Beer</v>
      </c>
      <c r="O46" s="134">
        <v>358</v>
      </c>
      <c r="P46" s="134">
        <v>631</v>
      </c>
      <c r="Q46" s="134">
        <v>723</v>
      </c>
      <c r="R46" s="134">
        <v>502</v>
      </c>
      <c r="S46" s="134">
        <v>696</v>
      </c>
      <c r="T46" s="134">
        <v>85</v>
      </c>
      <c r="U46" s="134">
        <v>515</v>
      </c>
      <c r="V46" s="134">
        <v>1460</v>
      </c>
      <c r="W46" s="134">
        <v>400</v>
      </c>
      <c r="X46" s="134">
        <v>169</v>
      </c>
      <c r="Y46" s="134">
        <v>590</v>
      </c>
      <c r="Z46" s="134">
        <v>850</v>
      </c>
      <c r="AA46" s="134">
        <f t="shared" si="5"/>
        <v>6979</v>
      </c>
      <c r="AB46" s="138">
        <f>IF(AA46=0,"",IFERROR(AA46/AA$19,""))</f>
        <v>8.6494073705914373E-3</v>
      </c>
      <c r="AC46" s="136"/>
      <c r="AD46" s="134">
        <v>11544.900756999999</v>
      </c>
      <c r="AE46" s="138">
        <f>IF(AD46=0,"",IFERROR(AD46/AD$19,""))</f>
        <v>4.7251476359418234E-3</v>
      </c>
      <c r="AF46" s="137">
        <f t="shared" si="6"/>
        <v>-4565.9007569999994</v>
      </c>
      <c r="AG46" s="134">
        <v>4317</v>
      </c>
      <c r="AH46" s="138">
        <f>IF(AG46=0,"",IFERROR(AG46/AG$19,""))</f>
        <v>1.8781451426389675E-2</v>
      </c>
      <c r="AI46" s="137">
        <f t="shared" si="7"/>
        <v>2662</v>
      </c>
    </row>
    <row r="47" spans="1:35" x14ac:dyDescent="0.25">
      <c r="A47" s="61" t="s">
        <v>35</v>
      </c>
      <c r="B47" s="62"/>
      <c r="C47" s="11"/>
      <c r="D47" s="11"/>
      <c r="E47" s="11"/>
      <c r="F47" s="11"/>
      <c r="G47" s="11"/>
      <c r="H47" s="181" t="s">
        <v>303</v>
      </c>
      <c r="I47" s="118" t="str">
        <f>IF(_epmOfflineCondition_,"T6",_xll.EVPRO($B$1,$H47,"STYLE"))</f>
        <v>T6</v>
      </c>
      <c r="J47" s="118" t="str">
        <f>IF(_epmOfflineCondition_,"Y",_xll.EVPRO($B$1,$H47,"CALC"))</f>
        <v>Y</v>
      </c>
      <c r="K47" s="86"/>
      <c r="L47" s="86" t="str">
        <f>IF(_epmOfflineCondition_,"462400",_xll.EVPRO($B$1,H47,"JDEID"))</f>
        <v>462400</v>
      </c>
      <c r="M47" s="86" t="str">
        <f>IF(_epmOfflineCondition_,"",IF(AND(I47="N",J47="N"),_xll.EVPRO($B$1,H47,"PSFTID"),""))</f>
        <v/>
      </c>
      <c r="N47" s="86" t="str">
        <f>IF(_epmOfflineCondition_,"Lunch Wine",IF(_xll.EVDES(H47,$B$1)="#NODATA","",_xll.EVDES(H47,$B$1)))</f>
        <v>Lunch Wine</v>
      </c>
      <c r="O47" s="228">
        <v>470</v>
      </c>
      <c r="P47" s="228">
        <v>595</v>
      </c>
      <c r="Q47" s="228">
        <v>789</v>
      </c>
      <c r="R47" s="228">
        <v>512</v>
      </c>
      <c r="S47" s="228">
        <v>620</v>
      </c>
      <c r="T47" s="228">
        <v>137</v>
      </c>
      <c r="U47" s="228">
        <v>756</v>
      </c>
      <c r="V47" s="228">
        <v>203</v>
      </c>
      <c r="W47" s="228">
        <v>276</v>
      </c>
      <c r="X47" s="228">
        <v>36</v>
      </c>
      <c r="Y47" s="228">
        <v>883</v>
      </c>
      <c r="Z47" s="228">
        <v>1989</v>
      </c>
      <c r="AA47" s="228">
        <f t="shared" si="5"/>
        <v>7266</v>
      </c>
      <c r="AB47" s="230">
        <f>IF(AA47=0,"",IFERROR(AA47/AA$19,""))</f>
        <v>9.0051001511272932E-3</v>
      </c>
      <c r="AC47" s="136"/>
      <c r="AD47" s="228">
        <v>173173.81026</v>
      </c>
      <c r="AE47" s="230">
        <f>IF(AD47=0,"",IFERROR(AD47/AD$19,""))</f>
        <v>7.087733687627723E-2</v>
      </c>
      <c r="AF47" s="231">
        <f t="shared" si="6"/>
        <v>-165907.81026</v>
      </c>
      <c r="AG47" s="228">
        <v>4100</v>
      </c>
      <c r="AH47" s="230">
        <f>IF(AG47=0,"",IFERROR(AG47/AG$19,""))</f>
        <v>1.7837375688718477E-2</v>
      </c>
      <c r="AI47" s="231">
        <f t="shared" si="7"/>
        <v>3166</v>
      </c>
    </row>
    <row r="48" spans="1:35" x14ac:dyDescent="0.25">
      <c r="A48" s="61" t="s">
        <v>36</v>
      </c>
      <c r="B48" s="62"/>
      <c r="C48" s="11"/>
      <c r="D48" s="11"/>
      <c r="E48" s="11"/>
      <c r="F48" s="11"/>
      <c r="G48" s="11"/>
      <c r="H48" s="84" t="s">
        <v>319</v>
      </c>
      <c r="I48" s="118" t="str">
        <f>IF(_epmOfflineCondition_,"N",_xll.EVPRO($B$1,$H48,"STYLE"))</f>
        <v>N</v>
      </c>
      <c r="J48" s="118" t="str">
        <f>IF(_epmOfflineCondition_,"Y",_xll.EVPRO($B$1,$H48,"CALC"))</f>
        <v>Y</v>
      </c>
      <c r="K48" s="86"/>
      <c r="L48" s="86" t="str">
        <f>IF(_epmOfflineCondition_,"",_xll.EVPRO($B$1,H48,"JDEID"))</f>
        <v/>
      </c>
      <c r="M48" s="86" t="str">
        <f>IF(_epmOfflineCondition_,"",IF(AND(I48="N",J48="N"),_xll.EVPRO($B$1,H48,"PSFTID"),""))</f>
        <v/>
      </c>
      <c r="N48" s="102" t="str">
        <f>IF(_epmOfflineCondition_,"Lunch Revenue",IF(_xll.EVDES(H48,$B$1)="#NODATA","",_xll.EVDES(H48,$B$1)))</f>
        <v>Lunch Revenue</v>
      </c>
      <c r="O48" s="158">
        <v>13275.2</v>
      </c>
      <c r="P48" s="158">
        <v>11933</v>
      </c>
      <c r="Q48" s="158">
        <v>14239</v>
      </c>
      <c r="R48" s="158">
        <v>6182</v>
      </c>
      <c r="S48" s="158">
        <v>5772</v>
      </c>
      <c r="T48" s="158">
        <v>1850</v>
      </c>
      <c r="U48" s="158">
        <v>4260</v>
      </c>
      <c r="V48" s="158">
        <v>3248</v>
      </c>
      <c r="W48" s="158">
        <v>2815</v>
      </c>
      <c r="X48" s="158">
        <v>3464.2</v>
      </c>
      <c r="Y48" s="158">
        <v>12177.7</v>
      </c>
      <c r="Z48" s="158">
        <v>13306.4</v>
      </c>
      <c r="AA48" s="158">
        <f t="shared" si="5"/>
        <v>92522.499999999985</v>
      </c>
      <c r="AB48" s="159">
        <f>IF(AA48=0,"",IFERROR(AA48/AA$19,""))</f>
        <v>0.11466754455445566</v>
      </c>
      <c r="AC48" s="136"/>
      <c r="AD48" s="158">
        <v>551319.17000000004</v>
      </c>
      <c r="AE48" s="159">
        <f>IF(AD48=0,"",IFERROR(AD48/AD$19,""))</f>
        <v>0.22564632885175601</v>
      </c>
      <c r="AF48" s="160">
        <f t="shared" si="6"/>
        <v>-458796.67000000004</v>
      </c>
      <c r="AG48" s="158">
        <v>39622.199999999997</v>
      </c>
      <c r="AH48" s="159">
        <f>IF(AG48=0,"",IFERROR(AG48/AG$19,""))</f>
        <v>0.17237952853988811</v>
      </c>
      <c r="AI48" s="160">
        <f t="shared" si="7"/>
        <v>52900.299999999988</v>
      </c>
    </row>
    <row r="49" spans="1:35" x14ac:dyDescent="0.25">
      <c r="A49" s="61" t="s">
        <v>37</v>
      </c>
      <c r="B49" s="62"/>
      <c r="C49" s="11"/>
      <c r="D49" s="11"/>
      <c r="E49" s="11"/>
      <c r="F49" s="11"/>
      <c r="G49" s="11"/>
      <c r="H49" s="84" t="s">
        <v>298</v>
      </c>
      <c r="I49" s="118" t="str">
        <f>IF(_epmOfflineCondition_,"N",_xll.EVPRO($B$1,$H49,"STYLE"))</f>
        <v>N</v>
      </c>
      <c r="J49" s="118" t="str">
        <f>IF(_epmOfflineCondition_,"N",_xll.EVPRO($B$1,$H49,"CALC"))</f>
        <v>N</v>
      </c>
      <c r="K49" s="86"/>
      <c r="L49" s="86" t="str">
        <f>IF(_epmOfflineCondition_,"946200",_xll.EVPRO($B$1,H49,"JDEID"))</f>
        <v>946200</v>
      </c>
      <c r="M49" s="86" t="str">
        <f>IF(_epmOfflineCondition_,"991502",IF(AND(I49="N",J49="N"),_xll.EVPRO($B$1,H49,"PSFTID"),""))</f>
        <v>991502</v>
      </c>
      <c r="N49" s="86" t="str">
        <f>IF(_epmOfflineCondition_,"Lunch Customers",IF(_xll.EVDES(H49,$B$1)="#NODATA","",_xll.EVDES(H49,$B$1)))</f>
        <v>Lunch Customers</v>
      </c>
      <c r="O49" s="240">
        <v>288</v>
      </c>
      <c r="P49" s="240">
        <v>331</v>
      </c>
      <c r="Q49" s="240">
        <v>427</v>
      </c>
      <c r="R49" s="240">
        <v>237</v>
      </c>
      <c r="S49" s="240">
        <v>293</v>
      </c>
      <c r="T49" s="240">
        <v>99</v>
      </c>
      <c r="U49" s="240">
        <v>260</v>
      </c>
      <c r="V49" s="240">
        <v>123</v>
      </c>
      <c r="W49" s="240">
        <v>189</v>
      </c>
      <c r="X49" s="240">
        <v>92</v>
      </c>
      <c r="Y49" s="240">
        <v>503</v>
      </c>
      <c r="Z49" s="240">
        <v>644</v>
      </c>
      <c r="AA49" s="240">
        <f t="shared" si="5"/>
        <v>3486</v>
      </c>
      <c r="AB49" s="242">
        <f>IF(AA49=0,"",IFERROR(AA49/AA$89,""))</f>
        <v>0.10183751570214133</v>
      </c>
      <c r="AC49" s="136"/>
      <c r="AD49" s="240">
        <v>20696.41</v>
      </c>
      <c r="AE49" s="242">
        <f>IF(AD49=0,"",IFERROR(AD49/AD$89,""))</f>
        <v>0.28122892540365729</v>
      </c>
      <c r="AF49" s="243">
        <f t="shared" si="6"/>
        <v>-17210.41</v>
      </c>
      <c r="AG49" s="240">
        <v>1469</v>
      </c>
      <c r="AH49" s="242">
        <f>IF(AG49=0,"",IFERROR(AG49/AG$89,""))</f>
        <v>0.13810284854752281</v>
      </c>
      <c r="AI49" s="243">
        <f t="shared" si="7"/>
        <v>2017</v>
      </c>
    </row>
    <row r="50" spans="1:35" x14ac:dyDescent="0.25">
      <c r="A50" s="61" t="s">
        <v>38</v>
      </c>
      <c r="B50" s="62"/>
      <c r="C50" s="11"/>
      <c r="D50" s="11"/>
      <c r="E50" s="11"/>
      <c r="F50" s="11"/>
      <c r="G50" s="11"/>
      <c r="H50" s="84" t="s">
        <v>315</v>
      </c>
      <c r="I50" s="118" t="str">
        <f>IF(_epmOfflineCondition_,"N",_xll.EVPRO($B$1,$H50,"STYLE"))</f>
        <v>N</v>
      </c>
      <c r="J50" s="118" t="str">
        <f>IF(_epmOfflineCondition_,"Y",_xll.EVPRO($B$1,$H50,"CALC"))</f>
        <v>Y</v>
      </c>
      <c r="K50" s="86"/>
      <c r="L50" s="86" t="str">
        <f>IF(_epmOfflineCondition_,"",_xll.EVPRO($B$1,H50,"JDEID"))</f>
        <v/>
      </c>
      <c r="M50" s="86" t="str">
        <f>IF(_epmOfflineCondition_,"",IF(AND(I50="N",J50="N"),_xll.EVPRO($B$1,H50,"PSFTID"),""))</f>
        <v/>
      </c>
      <c r="N50" s="186" t="str">
        <f>IF(_epmOfflineCondition_,"Lunch - Average Check",IF(_xll.EVDES(H50,$B$1)="#NODATA","",_xll.EVDES(H50,$B$1)))</f>
        <v>Lunch - Average Check</v>
      </c>
      <c r="O50" s="490">
        <v>46.094444444444399</v>
      </c>
      <c r="P50" s="490">
        <v>36.051359516616301</v>
      </c>
      <c r="Q50" s="490">
        <v>33.346604215456701</v>
      </c>
      <c r="R50" s="490">
        <v>26.084388185653999</v>
      </c>
      <c r="S50" s="490">
        <v>19.699658703071702</v>
      </c>
      <c r="T50" s="490">
        <v>18.686868686868699</v>
      </c>
      <c r="U50" s="490">
        <v>16.384615384615401</v>
      </c>
      <c r="V50" s="490">
        <v>26.4065040650407</v>
      </c>
      <c r="W50" s="490">
        <v>14.894179894179899</v>
      </c>
      <c r="X50" s="490">
        <v>37.654347826086997</v>
      </c>
      <c r="Y50" s="490">
        <v>24.210139165009899</v>
      </c>
      <c r="Z50" s="490">
        <v>20.662111801242201</v>
      </c>
      <c r="AA50" s="490">
        <f>IFERROR(AA48/AA49,"")</f>
        <v>26.541164658634536</v>
      </c>
      <c r="AB50" s="490"/>
      <c r="AC50" s="136"/>
      <c r="AD50" s="490">
        <v>26.6383962242727</v>
      </c>
      <c r="AE50" s="490"/>
      <c r="AF50" s="491">
        <f t="shared" si="6"/>
        <v>-9.7231565638164597E-2</v>
      </c>
      <c r="AG50" s="490">
        <v>26.972226004084401</v>
      </c>
      <c r="AH50" s="490"/>
      <c r="AI50" s="491">
        <f t="shared" si="7"/>
        <v>-0.43106134544986574</v>
      </c>
    </row>
    <row r="51" spans="1:35" x14ac:dyDescent="0.25">
      <c r="A51" s="61" t="s">
        <v>39</v>
      </c>
      <c r="B51" s="62"/>
      <c r="C51" s="11"/>
      <c r="D51" s="11"/>
      <c r="E51" s="11"/>
      <c r="F51" s="11"/>
      <c r="G51" s="486">
        <f>COUNTIF(O52:AI52,FALSE)</f>
        <v>0</v>
      </c>
      <c r="H51" s="84"/>
      <c r="I51" s="118"/>
      <c r="J51" s="118"/>
      <c r="K51" s="86"/>
      <c r="L51" s="86"/>
      <c r="M51" s="86"/>
      <c r="N51" s="487" t="s">
        <v>345</v>
      </c>
      <c r="O51" s="492">
        <f t="shared" ref="O51:AA51" si="8">ROUND(IFERROR(O48/O49,0),2)</f>
        <v>46.09</v>
      </c>
      <c r="P51" s="493">
        <f t="shared" si="8"/>
        <v>36.049999999999997</v>
      </c>
      <c r="Q51" s="493">
        <f t="shared" si="8"/>
        <v>33.35</v>
      </c>
      <c r="R51" s="493">
        <f t="shared" si="8"/>
        <v>26.08</v>
      </c>
      <c r="S51" s="493">
        <f t="shared" si="8"/>
        <v>19.7</v>
      </c>
      <c r="T51" s="493">
        <f t="shared" si="8"/>
        <v>18.690000000000001</v>
      </c>
      <c r="U51" s="493">
        <f t="shared" si="8"/>
        <v>16.38</v>
      </c>
      <c r="V51" s="493">
        <f t="shared" si="8"/>
        <v>26.41</v>
      </c>
      <c r="W51" s="493">
        <f t="shared" si="8"/>
        <v>14.89</v>
      </c>
      <c r="X51" s="493">
        <f t="shared" si="8"/>
        <v>37.65</v>
      </c>
      <c r="Y51" s="493">
        <f t="shared" si="8"/>
        <v>24.21</v>
      </c>
      <c r="Z51" s="493">
        <f t="shared" si="8"/>
        <v>20.66</v>
      </c>
      <c r="AA51" s="493">
        <f t="shared" si="8"/>
        <v>26.54</v>
      </c>
      <c r="AB51" s="494"/>
      <c r="AC51" s="136"/>
      <c r="AD51" s="492">
        <f>ROUND(IFERROR(AD48/AD49,0),2)</f>
        <v>26.64</v>
      </c>
      <c r="AE51" s="493"/>
      <c r="AF51" s="151"/>
      <c r="AG51" s="492">
        <f>ROUND(IFERROR(AG48/AG49,0),2)</f>
        <v>26.97</v>
      </c>
      <c r="AH51" s="493"/>
      <c r="AI51" s="151"/>
    </row>
    <row r="52" spans="1:35" x14ac:dyDescent="0.25">
      <c r="A52" s="61" t="s">
        <v>40</v>
      </c>
      <c r="B52" s="62"/>
      <c r="C52" s="11"/>
      <c r="D52" s="11"/>
      <c r="E52" s="11"/>
      <c r="F52" s="11"/>
      <c r="G52" s="11"/>
      <c r="H52" s="84"/>
      <c r="I52" s="118"/>
      <c r="J52" s="118"/>
      <c r="K52" s="86"/>
      <c r="L52" s="86"/>
      <c r="M52" s="86"/>
      <c r="N52" s="49" t="s">
        <v>316</v>
      </c>
      <c r="O52" s="495" t="b">
        <f t="shared" ref="O52:AA52" si="9">ROUND(O50,2)=ROUND(O51,2)</f>
        <v>1</v>
      </c>
      <c r="P52" s="496" t="b">
        <f t="shared" si="9"/>
        <v>1</v>
      </c>
      <c r="Q52" s="496" t="b">
        <f t="shared" si="9"/>
        <v>1</v>
      </c>
      <c r="R52" s="496" t="b">
        <f t="shared" si="9"/>
        <v>1</v>
      </c>
      <c r="S52" s="496" t="b">
        <f t="shared" si="9"/>
        <v>1</v>
      </c>
      <c r="T52" s="496" t="b">
        <f t="shared" si="9"/>
        <v>1</v>
      </c>
      <c r="U52" s="496" t="b">
        <f t="shared" si="9"/>
        <v>1</v>
      </c>
      <c r="V52" s="496" t="b">
        <f t="shared" si="9"/>
        <v>1</v>
      </c>
      <c r="W52" s="496" t="b">
        <f t="shared" si="9"/>
        <v>1</v>
      </c>
      <c r="X52" s="496" t="b">
        <f t="shared" si="9"/>
        <v>1</v>
      </c>
      <c r="Y52" s="496" t="b">
        <f t="shared" si="9"/>
        <v>1</v>
      </c>
      <c r="Z52" s="496" t="b">
        <f t="shared" si="9"/>
        <v>1</v>
      </c>
      <c r="AA52" s="496" t="b">
        <f t="shared" si="9"/>
        <v>1</v>
      </c>
      <c r="AB52" s="497"/>
      <c r="AC52" s="498"/>
      <c r="AD52" s="495"/>
      <c r="AE52" s="496" t="b">
        <f>ROUND(AD50,2)=ROUND(AD51,2)</f>
        <v>1</v>
      </c>
      <c r="AF52" s="497"/>
      <c r="AG52" s="495"/>
      <c r="AH52" s="496" t="b">
        <f>ROUND(AG50,2)=ROUND(AG51,2)</f>
        <v>1</v>
      </c>
      <c r="AI52" s="497"/>
    </row>
    <row r="53" spans="1:35" x14ac:dyDescent="0.25">
      <c r="A53" s="61" t="s">
        <v>41</v>
      </c>
      <c r="B53" s="62"/>
      <c r="C53" s="11"/>
      <c r="D53" s="11"/>
      <c r="E53" s="11"/>
      <c r="F53" s="11"/>
      <c r="G53" s="11"/>
      <c r="H53" s="84" t="s">
        <v>262</v>
      </c>
      <c r="I53" s="118" t="str">
        <f>IF(_epmOfflineCondition_,"T5",_xll.EVPRO($B$1,$H53,"STYLE"))</f>
        <v>T5</v>
      </c>
      <c r="J53" s="118" t="str">
        <f>IF(_epmOfflineCondition_,"Y",_xll.EVPRO($B$1,$H53,"CALC"))</f>
        <v>Y</v>
      </c>
      <c r="K53" s="86"/>
      <c r="L53" s="86" t="str">
        <f>IF(_epmOfflineCondition_,"463100",_xll.EVPRO($B$1,H53,"JDEID"))</f>
        <v>463100</v>
      </c>
      <c r="M53" s="86" t="str">
        <f>IF(_epmOfflineCondition_,"",IF(AND(I53="N",J53="N"),_xll.EVPRO($B$1,H53,"PSFTID"),""))</f>
        <v/>
      </c>
      <c r="N53" s="86" t="str">
        <f>IF(_epmOfflineCondition_,"Dinner Food",IF(_xll.EVDES(H53,$B$1)="#NODATA","",_xll.EVDES(H53,$B$1)))</f>
        <v>Dinner Food</v>
      </c>
      <c r="O53" s="134">
        <v>4810.25</v>
      </c>
      <c r="P53" s="134">
        <v>6380</v>
      </c>
      <c r="Q53" s="134">
        <v>1500</v>
      </c>
      <c r="R53" s="134"/>
      <c r="S53" s="134"/>
      <c r="T53" s="134"/>
      <c r="U53" s="134"/>
      <c r="V53" s="134"/>
      <c r="W53" s="134"/>
      <c r="X53" s="134">
        <v>13911.66</v>
      </c>
      <c r="Y53" s="134">
        <v>25793.98</v>
      </c>
      <c r="Z53" s="134">
        <v>32501.65</v>
      </c>
      <c r="AA53" s="134">
        <f t="shared" ref="AA53:AA58" si="10">SUM(O53:Z53)</f>
        <v>84897.540000000008</v>
      </c>
      <c r="AB53" s="138">
        <f>IF(AA53=0,"",IFERROR(AA53/AA$19,""))</f>
        <v>0.10521756816464843</v>
      </c>
      <c r="AC53" s="136"/>
      <c r="AD53" s="134">
        <v>611288.76679000002</v>
      </c>
      <c r="AE53" s="138">
        <f>IF(AD53=0,"",IFERROR(AD53/AD$19,""))</f>
        <v>0.25019094854706525</v>
      </c>
      <c r="AF53" s="137">
        <f t="shared" ref="AF53:AF59" si="11">IF(AND($AA53="",AD53=""),"",$AA53-AD53)</f>
        <v>-526391.22678999999</v>
      </c>
      <c r="AG53" s="134">
        <v>2555.2199999999998</v>
      </c>
      <c r="AH53" s="138">
        <f>IF(AG53=0,"",IFERROR(AG53/AG$19,""))</f>
        <v>1.1116687587152981E-2</v>
      </c>
      <c r="AI53" s="137">
        <f t="shared" ref="AI53:AI59" si="12">IF(AND($AA53="",AG53=""),"",$AA53-AG53)</f>
        <v>82342.320000000007</v>
      </c>
    </row>
    <row r="54" spans="1:35" x14ac:dyDescent="0.25">
      <c r="A54" s="61" t="s">
        <v>42</v>
      </c>
      <c r="B54" s="62"/>
      <c r="C54" s="11"/>
      <c r="D54" s="11"/>
      <c r="E54" s="11"/>
      <c r="F54" s="11"/>
      <c r="G54" s="11"/>
      <c r="H54" s="84" t="s">
        <v>302</v>
      </c>
      <c r="I54" s="118" t="str">
        <f>IF(_epmOfflineCondition_,"T6",_xll.EVPRO($B$1,$H54,"STYLE"))</f>
        <v>T6</v>
      </c>
      <c r="J54" s="118" t="str">
        <f>IF(_epmOfflineCondition_,"Y",_xll.EVPRO($B$1,$H54,"CALC"))</f>
        <v>Y</v>
      </c>
      <c r="K54" s="86"/>
      <c r="L54" s="86" t="str">
        <f>IF(_epmOfflineCondition_,"463200",_xll.EVPRO($B$1,H54,"JDEID"))</f>
        <v>463200</v>
      </c>
      <c r="M54" s="86" t="str">
        <f>IF(_epmOfflineCondition_,"",IF(AND(I54="N",J54="N"),_xll.EVPRO($B$1,H54,"PSFTID"),""))</f>
        <v/>
      </c>
      <c r="N54" s="86" t="str">
        <f>IF(_epmOfflineCondition_,"Dinner Liquor",IF(_xll.EVDES(H54,$B$1)="#NODATA","",_xll.EVDES(H54,$B$1)))</f>
        <v>Dinner Liquor</v>
      </c>
      <c r="O54" s="134">
        <v>2850.26</v>
      </c>
      <c r="P54" s="134"/>
      <c r="Q54" s="134">
        <v>992.82</v>
      </c>
      <c r="R54" s="134"/>
      <c r="S54" s="134"/>
      <c r="T54" s="134"/>
      <c r="U54" s="134"/>
      <c r="V54" s="134"/>
      <c r="W54" s="134"/>
      <c r="X54" s="134">
        <v>481.53</v>
      </c>
      <c r="Y54" s="134">
        <v>3550.6</v>
      </c>
      <c r="Z54" s="134">
        <v>4022.65</v>
      </c>
      <c r="AA54" s="134">
        <f t="shared" si="10"/>
        <v>11897.86</v>
      </c>
      <c r="AB54" s="138">
        <f>IF(AA54=0,"",IFERROR(AA54/AA$19,""))</f>
        <v>1.4745585037722457E-2</v>
      </c>
      <c r="AC54" s="136"/>
      <c r="AD54" s="134">
        <v>213382.74705899999</v>
      </c>
      <c r="AE54" s="138">
        <f>IF(AD54=0,"",IFERROR(AD54/AD$19,""))</f>
        <v>8.7334226949094068E-2</v>
      </c>
      <c r="AF54" s="137">
        <f t="shared" si="11"/>
        <v>-201484.88705899997</v>
      </c>
      <c r="AG54" s="134"/>
      <c r="AH54" s="138" t="str">
        <f>IF(AG54=0,"",IFERROR(AG54/AG$19,""))</f>
        <v/>
      </c>
      <c r="AI54" s="137">
        <f t="shared" si="12"/>
        <v>11897.86</v>
      </c>
    </row>
    <row r="55" spans="1:35" x14ac:dyDescent="0.25">
      <c r="A55" s="61" t="s">
        <v>43</v>
      </c>
      <c r="B55" s="62"/>
      <c r="C55" s="11"/>
      <c r="D55" s="11"/>
      <c r="E55" s="11"/>
      <c r="F55" s="11"/>
      <c r="G55" s="11"/>
      <c r="H55" s="84" t="s">
        <v>306</v>
      </c>
      <c r="I55" s="118" t="str">
        <f>IF(_epmOfflineCondition_,"T6",_xll.EVPRO($B$1,$H55,"STYLE"))</f>
        <v>T6</v>
      </c>
      <c r="J55" s="118" t="str">
        <f>IF(_epmOfflineCondition_,"Y",_xll.EVPRO($B$1,$H55,"CALC"))</f>
        <v>Y</v>
      </c>
      <c r="K55" s="86"/>
      <c r="L55" s="86" t="str">
        <f>IF(_epmOfflineCondition_,"463300",_xll.EVPRO($B$1,H55,"JDEID"))</f>
        <v>463300</v>
      </c>
      <c r="M55" s="86" t="str">
        <f>IF(_epmOfflineCondition_,"",IF(AND(I55="N",J55="N"),_xll.EVPRO($B$1,H55,"PSFTID"),""))</f>
        <v/>
      </c>
      <c r="N55" s="86" t="str">
        <f>IF(_epmOfflineCondition_,"Dinner Beer",IF(_xll.EVDES(H55,$B$1)="#NODATA","",_xll.EVDES(H55,$B$1)))</f>
        <v>Dinner Beer</v>
      </c>
      <c r="O55" s="134">
        <v>80.91</v>
      </c>
      <c r="P55" s="134">
        <v>696</v>
      </c>
      <c r="Q55" s="134">
        <v>283.68</v>
      </c>
      <c r="R55" s="134"/>
      <c r="S55" s="134"/>
      <c r="T55" s="134"/>
      <c r="U55" s="134"/>
      <c r="V55" s="134"/>
      <c r="W55" s="134"/>
      <c r="X55" s="134">
        <v>425.41</v>
      </c>
      <c r="Y55" s="134">
        <v>1009</v>
      </c>
      <c r="Z55" s="134">
        <v>713.6</v>
      </c>
      <c r="AA55" s="134">
        <f t="shared" si="10"/>
        <v>3208.6</v>
      </c>
      <c r="AB55" s="138">
        <f>IF(AA55=0,"",IFERROR(AA55/AA$19,""))</f>
        <v>3.976570925530833E-3</v>
      </c>
      <c r="AC55" s="136"/>
      <c r="AD55" s="134">
        <v>59696.811172000002</v>
      </c>
      <c r="AE55" s="138">
        <f>IF(AD55=0,"",IFERROR(AD55/AD$19,""))</f>
        <v>2.443297280070688E-2</v>
      </c>
      <c r="AF55" s="137">
        <f t="shared" si="11"/>
        <v>-56488.211172000003</v>
      </c>
      <c r="AG55" s="134"/>
      <c r="AH55" s="138" t="str">
        <f>IF(AG55=0,"",IFERROR(AG55/AG$19,""))</f>
        <v/>
      </c>
      <c r="AI55" s="137">
        <f t="shared" si="12"/>
        <v>3208.6</v>
      </c>
    </row>
    <row r="56" spans="1:35" x14ac:dyDescent="0.25">
      <c r="A56" s="61" t="s">
        <v>44</v>
      </c>
      <c r="B56" s="62"/>
      <c r="C56" s="11"/>
      <c r="D56" s="11"/>
      <c r="E56" s="11"/>
      <c r="F56" s="11"/>
      <c r="G56" s="11"/>
      <c r="H56" s="84" t="s">
        <v>304</v>
      </c>
      <c r="I56" s="118" t="str">
        <f>IF(_epmOfflineCondition_,"T6",_xll.EVPRO($B$1,$H56,"STYLE"))</f>
        <v>T6</v>
      </c>
      <c r="J56" s="118" t="str">
        <f>IF(_epmOfflineCondition_,"Y",_xll.EVPRO($B$1,$H56,"CALC"))</f>
        <v>Y</v>
      </c>
      <c r="K56" s="86"/>
      <c r="L56" s="86" t="str">
        <f>IF(_epmOfflineCondition_,"463400",_xll.EVPRO($B$1,H56,"JDEID"))</f>
        <v>463400</v>
      </c>
      <c r="M56" s="86" t="str">
        <f>IF(_epmOfflineCondition_,"",IF(AND(I56="N",J56="N"),_xll.EVPRO($B$1,H56,"PSFTID"),""))</f>
        <v/>
      </c>
      <c r="N56" s="86" t="str">
        <f>IF(_epmOfflineCondition_,"Dinner Wine",IF(_xll.EVDES(H56,$B$1)="#NODATA","",_xll.EVDES(H56,$B$1)))</f>
        <v>Dinner Wine</v>
      </c>
      <c r="O56" s="228">
        <v>358.58</v>
      </c>
      <c r="P56" s="228">
        <v>1113</v>
      </c>
      <c r="Q56" s="228">
        <v>193.42</v>
      </c>
      <c r="R56" s="228"/>
      <c r="S56" s="228"/>
      <c r="T56" s="228"/>
      <c r="U56" s="228"/>
      <c r="V56" s="228"/>
      <c r="W56" s="228"/>
      <c r="X56" s="228">
        <v>1339.59</v>
      </c>
      <c r="Y56" s="228">
        <v>6219.12</v>
      </c>
      <c r="Z56" s="228">
        <v>7047</v>
      </c>
      <c r="AA56" s="228">
        <f t="shared" si="10"/>
        <v>16270.71</v>
      </c>
      <c r="AB56" s="230">
        <f>IF(AA56=0,"",IFERROR(AA56/AA$19,""))</f>
        <v>2.0165066484991515E-2</v>
      </c>
      <c r="AC56" s="136"/>
      <c r="AD56" s="228">
        <v>100929.80497899999</v>
      </c>
      <c r="AE56" s="230">
        <f>IF(AD56=0,"",IFERROR(AD56/AD$19,""))</f>
        <v>4.1308993418884797E-2</v>
      </c>
      <c r="AF56" s="231">
        <f t="shared" si="11"/>
        <v>-84659.094978999987</v>
      </c>
      <c r="AG56" s="228"/>
      <c r="AH56" s="230" t="str">
        <f>IF(AG56=0,"",IFERROR(AG56/AG$19,""))</f>
        <v/>
      </c>
      <c r="AI56" s="231">
        <f t="shared" si="12"/>
        <v>16270.71</v>
      </c>
    </row>
    <row r="57" spans="1:35" x14ac:dyDescent="0.25">
      <c r="A57" s="61" t="s">
        <v>45</v>
      </c>
      <c r="B57" s="62"/>
      <c r="C57" s="11"/>
      <c r="D57" s="11"/>
      <c r="E57" s="11"/>
      <c r="F57" s="11"/>
      <c r="G57" s="11"/>
      <c r="H57" s="84" t="s">
        <v>320</v>
      </c>
      <c r="I57" s="118" t="str">
        <f>IF(_epmOfflineCondition_,"N",_xll.EVPRO($B$1,$H57,"STYLE"))</f>
        <v>N</v>
      </c>
      <c r="J57" s="118" t="str">
        <f>IF(_epmOfflineCondition_,"Y",_xll.EVPRO($B$1,$H57,"CALC"))</f>
        <v>Y</v>
      </c>
      <c r="K57" s="86"/>
      <c r="L57" s="86" t="str">
        <f>IF(_epmOfflineCondition_,"",_xll.EVPRO($B$1,H57,"JDEID"))</f>
        <v/>
      </c>
      <c r="M57" s="86" t="str">
        <f>IF(_epmOfflineCondition_,"",IF(AND(I57="N",J57="N"),_xll.EVPRO($B$1,H57,"PSFTID"),""))</f>
        <v/>
      </c>
      <c r="N57" s="102" t="str">
        <f>IF(_epmOfflineCondition_,"Dinner Revenue",IF(_xll.EVDES(H57,$B$1)="#NODATA","",_xll.EVDES(H57,$B$1)))</f>
        <v>Dinner Revenue</v>
      </c>
      <c r="O57" s="158">
        <v>8100</v>
      </c>
      <c r="P57" s="158">
        <v>8189</v>
      </c>
      <c r="Q57" s="158">
        <v>2969.92</v>
      </c>
      <c r="R57" s="158"/>
      <c r="S57" s="158"/>
      <c r="T57" s="158"/>
      <c r="U57" s="158"/>
      <c r="V57" s="158"/>
      <c r="W57" s="158"/>
      <c r="X57" s="158">
        <v>16158.19</v>
      </c>
      <c r="Y57" s="158">
        <v>36572.699999999997</v>
      </c>
      <c r="Z57" s="158">
        <v>44284.9</v>
      </c>
      <c r="AA57" s="158">
        <f t="shared" si="10"/>
        <v>116274.70999999999</v>
      </c>
      <c r="AB57" s="159">
        <f>IF(AA57=0,"",IFERROR(AA57/AA$19,""))</f>
        <v>0.14410479061289322</v>
      </c>
      <c r="AC57" s="136"/>
      <c r="AD57" s="158">
        <v>985298.13</v>
      </c>
      <c r="AE57" s="159">
        <f>IF(AD57=0,"",IFERROR(AD57/AD$19,""))</f>
        <v>0.40326714171575101</v>
      </c>
      <c r="AF57" s="160">
        <f t="shared" si="11"/>
        <v>-869023.42</v>
      </c>
      <c r="AG57" s="158">
        <v>2555.2199999999998</v>
      </c>
      <c r="AH57" s="159">
        <f>IF(AG57=0,"",IFERROR(AG57/AG$19,""))</f>
        <v>1.1116687587152981E-2</v>
      </c>
      <c r="AI57" s="160">
        <f t="shared" si="12"/>
        <v>113719.48999999999</v>
      </c>
    </row>
    <row r="58" spans="1:35" x14ac:dyDescent="0.25">
      <c r="A58" s="61" t="s">
        <v>46</v>
      </c>
      <c r="B58" s="62"/>
      <c r="C58" s="11"/>
      <c r="D58" s="11"/>
      <c r="E58" s="11"/>
      <c r="F58" s="11"/>
      <c r="G58" s="11"/>
      <c r="H58" s="84" t="s">
        <v>299</v>
      </c>
      <c r="I58" s="118" t="str">
        <f>IF(_epmOfflineCondition_,"N",_xll.EVPRO($B$1,$H58,"STYLE"))</f>
        <v>N</v>
      </c>
      <c r="J58" s="118" t="str">
        <f>IF(_epmOfflineCondition_,"N",_xll.EVPRO($B$1,$H58,"CALC"))</f>
        <v>N</v>
      </c>
      <c r="K58" s="86"/>
      <c r="L58" s="86" t="str">
        <f>IF(_epmOfflineCondition_,"946300",_xll.EVPRO($B$1,H58,"JDEID"))</f>
        <v>946300</v>
      </c>
      <c r="M58" s="86" t="str">
        <f>IF(_epmOfflineCondition_,"991503",IF(AND(I58="N",J58="N"),_xll.EVPRO($B$1,H58,"PSFTID"),""))</f>
        <v>991503</v>
      </c>
      <c r="N58" s="86" t="str">
        <f>IF(_epmOfflineCondition_,"Dinner Customers",IF(_xll.EVDES(H58,$B$1)="#NODATA","",_xll.EVDES(H58,$B$1)))</f>
        <v>Dinner Customers</v>
      </c>
      <c r="O58" s="240">
        <v>75</v>
      </c>
      <c r="P58" s="240">
        <v>271</v>
      </c>
      <c r="Q58" s="240">
        <v>50</v>
      </c>
      <c r="R58" s="240"/>
      <c r="S58" s="240"/>
      <c r="T58" s="240"/>
      <c r="U58" s="240"/>
      <c r="V58" s="240"/>
      <c r="W58" s="240"/>
      <c r="X58" s="240">
        <v>252</v>
      </c>
      <c r="Y58" s="240">
        <v>854</v>
      </c>
      <c r="Z58" s="240">
        <v>1001</v>
      </c>
      <c r="AA58" s="240">
        <f t="shared" si="10"/>
        <v>2503</v>
      </c>
      <c r="AB58" s="242">
        <f>IF(AA58=0,"",IFERROR(AA58/AA$89,""))</f>
        <v>7.3120855365020013E-2</v>
      </c>
      <c r="AC58" s="136"/>
      <c r="AD58" s="240">
        <v>19643.349999999999</v>
      </c>
      <c r="AE58" s="242">
        <f>IF(AD58=0,"",IFERROR(AD58/AD$89,""))</f>
        <v>0.26691963542604397</v>
      </c>
      <c r="AF58" s="243">
        <f t="shared" si="11"/>
        <v>-17140.349999999999</v>
      </c>
      <c r="AG58" s="240">
        <v>109</v>
      </c>
      <c r="AH58" s="242">
        <f>IF(AG58=0,"",IFERROR(AG58/AG$89,""))</f>
        <v>1.0247250164520071E-2</v>
      </c>
      <c r="AI58" s="243">
        <f t="shared" si="12"/>
        <v>2394</v>
      </c>
    </row>
    <row r="59" spans="1:35" x14ac:dyDescent="0.25">
      <c r="A59" s="11"/>
      <c r="B59" s="11"/>
      <c r="C59" s="11"/>
      <c r="D59" s="11"/>
      <c r="E59" s="11"/>
      <c r="F59" s="11"/>
      <c r="G59" s="11"/>
      <c r="H59" s="181" t="s">
        <v>317</v>
      </c>
      <c r="I59" s="118" t="str">
        <f>IF(_epmOfflineCondition_,"N",_xll.EVPRO($B$1,$H59,"STYLE"))</f>
        <v>N</v>
      </c>
      <c r="J59" s="118" t="str">
        <f>IF(_epmOfflineCondition_,"Y",_xll.EVPRO($B$1,$H59,"CALC"))</f>
        <v>Y</v>
      </c>
      <c r="K59" s="86"/>
      <c r="L59" s="86" t="str">
        <f>IF(_epmOfflineCondition_,"",_xll.EVPRO($B$1,H59,"JDEID"))</f>
        <v/>
      </c>
      <c r="M59" s="86" t="str">
        <f>IF(_epmOfflineCondition_,"",IF(AND(I59="N",J59="N"),_xll.EVPRO($B$1,H59,"PSFTID"),""))</f>
        <v/>
      </c>
      <c r="N59" s="186" t="str">
        <f>IF(_epmOfflineCondition_,"Dinner - Average Check",IF(_xll.EVDES(H59,$B$1)="#NODATA","",_xll.EVDES(H59,$B$1)))</f>
        <v>Dinner - Average Check</v>
      </c>
      <c r="O59" s="490">
        <v>108</v>
      </c>
      <c r="P59" s="490">
        <v>30.2177121771218</v>
      </c>
      <c r="Q59" s="490">
        <v>59.398400000000002</v>
      </c>
      <c r="R59" s="490"/>
      <c r="S59" s="490"/>
      <c r="T59" s="490"/>
      <c r="U59" s="490"/>
      <c r="V59" s="490"/>
      <c r="W59" s="490"/>
      <c r="X59" s="490">
        <v>64.119801587301595</v>
      </c>
      <c r="Y59" s="490">
        <v>42.8251756440281</v>
      </c>
      <c r="Z59" s="490">
        <v>44.240659340659299</v>
      </c>
      <c r="AA59" s="490">
        <f>IFERROR(AA57/AA58,"")</f>
        <v>46.454139033160203</v>
      </c>
      <c r="AB59" s="490"/>
      <c r="AC59" s="136"/>
      <c r="AD59" s="490">
        <v>50.159373528445997</v>
      </c>
      <c r="AE59" s="490"/>
      <c r="AF59" s="491">
        <f t="shared" si="11"/>
        <v>-3.7052344952857936</v>
      </c>
      <c r="AG59" s="490">
        <v>23.4423853211009</v>
      </c>
      <c r="AH59" s="490"/>
      <c r="AI59" s="491">
        <f t="shared" si="12"/>
        <v>23.011753712059303</v>
      </c>
    </row>
    <row r="60" spans="1:35" x14ac:dyDescent="0.25">
      <c r="A60" s="11"/>
      <c r="B60" s="11"/>
      <c r="C60" s="11"/>
      <c r="D60" s="11"/>
      <c r="E60" s="11"/>
      <c r="F60" s="11"/>
      <c r="G60" s="486">
        <f>COUNTIF(O61:AI61,FALSE)</f>
        <v>0</v>
      </c>
      <c r="H60" s="84"/>
      <c r="I60" s="118"/>
      <c r="J60" s="118"/>
      <c r="K60" s="86"/>
      <c r="L60" s="86"/>
      <c r="M60" s="86"/>
      <c r="N60" s="487" t="s">
        <v>345</v>
      </c>
      <c r="O60" s="492">
        <f t="shared" ref="O60:AA60" si="13">ROUND(IFERROR(O57/O58,0),2)</f>
        <v>108</v>
      </c>
      <c r="P60" s="493">
        <f t="shared" si="13"/>
        <v>30.22</v>
      </c>
      <c r="Q60" s="493">
        <f t="shared" si="13"/>
        <v>59.4</v>
      </c>
      <c r="R60" s="493">
        <f t="shared" si="13"/>
        <v>0</v>
      </c>
      <c r="S60" s="493">
        <f t="shared" si="13"/>
        <v>0</v>
      </c>
      <c r="T60" s="493">
        <f t="shared" si="13"/>
        <v>0</v>
      </c>
      <c r="U60" s="493">
        <f t="shared" si="13"/>
        <v>0</v>
      </c>
      <c r="V60" s="493">
        <f t="shared" si="13"/>
        <v>0</v>
      </c>
      <c r="W60" s="493">
        <f t="shared" si="13"/>
        <v>0</v>
      </c>
      <c r="X60" s="493">
        <f t="shared" si="13"/>
        <v>64.12</v>
      </c>
      <c r="Y60" s="493">
        <f t="shared" si="13"/>
        <v>42.83</v>
      </c>
      <c r="Z60" s="493">
        <f t="shared" si="13"/>
        <v>44.24</v>
      </c>
      <c r="AA60" s="493">
        <f t="shared" si="13"/>
        <v>46.45</v>
      </c>
      <c r="AB60" s="494"/>
      <c r="AC60" s="136"/>
      <c r="AD60" s="492">
        <f>ROUND(IFERROR(AD57/AD58,0),2)</f>
        <v>50.16</v>
      </c>
      <c r="AE60" s="493"/>
      <c r="AF60" s="151"/>
      <c r="AG60" s="492">
        <f>ROUND(IFERROR(AG57/AG58,0),2)</f>
        <v>23.44</v>
      </c>
      <c r="AH60" s="493"/>
      <c r="AI60" s="151"/>
    </row>
    <row r="61" spans="1:35" x14ac:dyDescent="0.25">
      <c r="A61" s="11"/>
      <c r="B61" s="11"/>
      <c r="C61" s="11"/>
      <c r="D61" s="11"/>
      <c r="E61" s="11"/>
      <c r="F61" s="11"/>
      <c r="G61" s="11"/>
      <c r="H61" s="181"/>
      <c r="I61" s="118"/>
      <c r="J61" s="118"/>
      <c r="K61" s="86"/>
      <c r="L61" s="86"/>
      <c r="M61" s="86"/>
      <c r="N61" s="49" t="s">
        <v>307</v>
      </c>
      <c r="O61" s="495" t="b">
        <f t="shared" ref="O61:AA61" si="14">ROUND(O59,2)=ROUND(O60,2)</f>
        <v>1</v>
      </c>
      <c r="P61" s="496" t="b">
        <f t="shared" si="14"/>
        <v>1</v>
      </c>
      <c r="Q61" s="496" t="b">
        <f t="shared" si="14"/>
        <v>1</v>
      </c>
      <c r="R61" s="496" t="b">
        <f t="shared" si="14"/>
        <v>1</v>
      </c>
      <c r="S61" s="496" t="b">
        <f t="shared" si="14"/>
        <v>1</v>
      </c>
      <c r="T61" s="496" t="b">
        <f t="shared" si="14"/>
        <v>1</v>
      </c>
      <c r="U61" s="496" t="b">
        <f t="shared" si="14"/>
        <v>1</v>
      </c>
      <c r="V61" s="496" t="b">
        <f t="shared" si="14"/>
        <v>1</v>
      </c>
      <c r="W61" s="496" t="b">
        <f t="shared" si="14"/>
        <v>1</v>
      </c>
      <c r="X61" s="496" t="b">
        <f t="shared" si="14"/>
        <v>1</v>
      </c>
      <c r="Y61" s="496" t="b">
        <f t="shared" si="14"/>
        <v>1</v>
      </c>
      <c r="Z61" s="496" t="b">
        <f t="shared" si="14"/>
        <v>1</v>
      </c>
      <c r="AA61" s="496" t="b">
        <f t="shared" si="14"/>
        <v>1</v>
      </c>
      <c r="AB61" s="497"/>
      <c r="AC61" s="498"/>
      <c r="AD61" s="495"/>
      <c r="AE61" s="496" t="b">
        <f>ROUND(AD59,2)=ROUND(AD60,2)</f>
        <v>1</v>
      </c>
      <c r="AF61" s="497"/>
      <c r="AG61" s="495"/>
      <c r="AH61" s="496" t="b">
        <f>ROUND(AG59,2)=ROUND(AG60,2)</f>
        <v>1</v>
      </c>
      <c r="AI61" s="497"/>
    </row>
    <row r="62" spans="1:35" x14ac:dyDescent="0.25">
      <c r="A62" s="11"/>
      <c r="B62" s="11"/>
      <c r="C62" s="11"/>
      <c r="D62" s="11"/>
      <c r="E62" s="11"/>
      <c r="F62" s="11"/>
      <c r="G62" s="11"/>
      <c r="H62" s="181" t="s">
        <v>263</v>
      </c>
      <c r="I62" s="118" t="str">
        <f>IF(_epmOfflineCondition_,"T5",_xll.EVPRO($B$1,$H62,"STYLE"))</f>
        <v>T5</v>
      </c>
      <c r="J62" s="118" t="str">
        <f>IF(_epmOfflineCondition_,"Y",_xll.EVPRO($B$1,$H62,"CALC"))</f>
        <v>Y</v>
      </c>
      <c r="K62" s="86"/>
      <c r="L62" s="86" t="str">
        <f>IF(_epmOfflineCondition_,"464100",_xll.EVPRO($B$1,H62,"JDEID"))</f>
        <v>464100</v>
      </c>
      <c r="M62" s="86" t="str">
        <f>IF(_epmOfflineCondition_,"",IF(AND(I62="N",J62="N"),_xll.EVPRO($B$1,H62,"PSFTID"),""))</f>
        <v/>
      </c>
      <c r="N62" s="86" t="str">
        <f>IF(_epmOfflineCondition_,"Bar Food",IF(_xll.EVDES(H62,$B$1)="#NODATA","",_xll.EVDES(H62,$B$1)))</f>
        <v>Bar Food</v>
      </c>
      <c r="O62" s="134">
        <v>1898.08</v>
      </c>
      <c r="P62" s="134">
        <v>3109.5</v>
      </c>
      <c r="Q62" s="134">
        <v>3817.65</v>
      </c>
      <c r="R62" s="134">
        <v>1879</v>
      </c>
      <c r="S62" s="134">
        <v>1640</v>
      </c>
      <c r="T62" s="134">
        <v>3132.69</v>
      </c>
      <c r="U62" s="134">
        <v>2641.55</v>
      </c>
      <c r="V62" s="134">
        <v>3228.93</v>
      </c>
      <c r="W62" s="134">
        <v>1479.6</v>
      </c>
      <c r="X62" s="134">
        <v>529.5</v>
      </c>
      <c r="Y62" s="134">
        <v>3888.6</v>
      </c>
      <c r="Z62" s="134">
        <v>6421.45</v>
      </c>
      <c r="AA62" s="134">
        <f t="shared" ref="AA62:AA67" si="15">SUM(O62:Z62)</f>
        <v>33666.549999999996</v>
      </c>
      <c r="AB62" s="138">
        <f>IF(AA62=0,"",IFERROR(AA62/AA$19,""))</f>
        <v>4.1724560210973649E-2</v>
      </c>
      <c r="AC62" s="136"/>
      <c r="AD62" s="134">
        <v>125878.51575000001</v>
      </c>
      <c r="AE62" s="138">
        <f>IF(AD62=0,"",IFERROR(AD62/AD$19,""))</f>
        <v>5.152011122757702E-2</v>
      </c>
      <c r="AF62" s="137">
        <f t="shared" ref="AF62:AF68" si="16">IF(AND($AA62="",AD62=""),"",$AA62-AD62)</f>
        <v>-92211.965750000003</v>
      </c>
      <c r="AG62" s="134">
        <v>11806.42</v>
      </c>
      <c r="AH62" s="138">
        <f>IF(AG62=0,"",IFERROR(AG62/AG$19,""))</f>
        <v>5.1364768067999902E-2</v>
      </c>
      <c r="AI62" s="137">
        <f t="shared" ref="AI62:AI68" si="17">IF(AND($AA62="",AG62=""),"",$AA62-AG62)</f>
        <v>21860.129999999997</v>
      </c>
    </row>
    <row r="63" spans="1:35" x14ac:dyDescent="0.25">
      <c r="A63" s="11"/>
      <c r="B63" s="11"/>
      <c r="C63" s="11"/>
      <c r="D63" s="11"/>
      <c r="E63" s="11"/>
      <c r="F63" s="11"/>
      <c r="G63" s="11"/>
      <c r="H63" s="181" t="s">
        <v>308</v>
      </c>
      <c r="I63" s="118" t="str">
        <f>IF(_epmOfflineCondition_,"T6",_xll.EVPRO($B$1,$H63,"STYLE"))</f>
        <v>T6</v>
      </c>
      <c r="J63" s="118" t="str">
        <f>IF(_epmOfflineCondition_,"Y",_xll.EVPRO($B$1,$H63,"CALC"))</f>
        <v>Y</v>
      </c>
      <c r="K63" s="86"/>
      <c r="L63" s="86" t="str">
        <f>IF(_epmOfflineCondition_,"464200",_xll.EVPRO($B$1,H63,"JDEID"))</f>
        <v>464200</v>
      </c>
      <c r="M63" s="86" t="str">
        <f>IF(_epmOfflineCondition_,"",IF(AND(I63="N",J63="N"),_xll.EVPRO($B$1,H63,"PSFTID"),""))</f>
        <v/>
      </c>
      <c r="N63" s="86" t="str">
        <f>IF(_epmOfflineCondition_,"Bar Liquor",IF(_xll.EVDES(H63,$B$1)="#NODATA","",_xll.EVDES(H63,$B$1)))</f>
        <v>Bar Liquor</v>
      </c>
      <c r="O63" s="134">
        <v>12878.4</v>
      </c>
      <c r="P63" s="134">
        <v>15160.3</v>
      </c>
      <c r="Q63" s="134">
        <v>13924.6</v>
      </c>
      <c r="R63" s="134">
        <v>12864.8</v>
      </c>
      <c r="S63" s="134">
        <v>11494.5</v>
      </c>
      <c r="T63" s="134">
        <v>12054.17</v>
      </c>
      <c r="U63" s="134">
        <v>10700.8</v>
      </c>
      <c r="V63" s="134">
        <v>11328.72</v>
      </c>
      <c r="W63" s="134">
        <v>8950.6</v>
      </c>
      <c r="X63" s="134">
        <v>10587.45</v>
      </c>
      <c r="Y63" s="134">
        <v>13849.2</v>
      </c>
      <c r="Z63" s="134">
        <v>19479</v>
      </c>
      <c r="AA63" s="134">
        <f t="shared" si="15"/>
        <v>153272.54</v>
      </c>
      <c r="AB63" s="138">
        <f>IF(AA63=0,"",IFERROR(AA63/AA$19,""))</f>
        <v>0.18995796492123096</v>
      </c>
      <c r="AC63" s="136"/>
      <c r="AD63" s="134">
        <v>157140.12889200001</v>
      </c>
      <c r="AE63" s="138">
        <f>IF(AD63=0,"",IFERROR(AD63/AD$19,""))</f>
        <v>6.431500141700415E-2</v>
      </c>
      <c r="AF63" s="137">
        <f t="shared" si="16"/>
        <v>-3867.5888919999998</v>
      </c>
      <c r="AG63" s="134">
        <v>54156.57</v>
      </c>
      <c r="AH63" s="138">
        <f>IF(AG63=0,"",IFERROR(AG63/AG$19,""))</f>
        <v>0.2356124597810684</v>
      </c>
      <c r="AI63" s="137">
        <f t="shared" si="17"/>
        <v>99115.97</v>
      </c>
    </row>
    <row r="64" spans="1:35" x14ac:dyDescent="0.25">
      <c r="A64" s="11"/>
      <c r="B64" s="11"/>
      <c r="C64" s="11"/>
      <c r="D64" s="11"/>
      <c r="E64" s="11"/>
      <c r="F64" s="11"/>
      <c r="G64" s="11"/>
      <c r="H64" s="181" t="s">
        <v>310</v>
      </c>
      <c r="I64" s="118" t="str">
        <f>IF(_epmOfflineCondition_,"T6",_xll.EVPRO($B$1,$H64,"STYLE"))</f>
        <v>T6</v>
      </c>
      <c r="J64" s="118" t="str">
        <f>IF(_epmOfflineCondition_,"Y",_xll.EVPRO($B$1,$H64,"CALC"))</f>
        <v>Y</v>
      </c>
      <c r="K64" s="86"/>
      <c r="L64" s="86" t="str">
        <f>IF(_epmOfflineCondition_,"464300",_xll.EVPRO($B$1,H64,"JDEID"))</f>
        <v>464300</v>
      </c>
      <c r="M64" s="86" t="str">
        <f>IF(_epmOfflineCondition_,"",IF(AND(I64="N",J64="N"),_xll.EVPRO($B$1,H64,"PSFTID"),""))</f>
        <v/>
      </c>
      <c r="N64" s="86" t="str">
        <f>IF(_epmOfflineCondition_,"Bar Beer",IF(_xll.EVDES(H64,$B$1)="#NODATA","",_xll.EVDES(H64,$B$1)))</f>
        <v>Bar Beer</v>
      </c>
      <c r="O64" s="134">
        <v>2313</v>
      </c>
      <c r="P64" s="134">
        <v>2012.45</v>
      </c>
      <c r="Q64" s="134">
        <v>2904.95</v>
      </c>
      <c r="R64" s="134">
        <v>2924.05</v>
      </c>
      <c r="S64" s="134">
        <v>1711.55</v>
      </c>
      <c r="T64" s="134">
        <v>2177.58</v>
      </c>
      <c r="U64" s="134">
        <v>1985.45</v>
      </c>
      <c r="V64" s="134">
        <v>1922.05</v>
      </c>
      <c r="W64" s="134">
        <v>1433.8</v>
      </c>
      <c r="X64" s="134">
        <v>3398.75</v>
      </c>
      <c r="Y64" s="134">
        <v>2281.85</v>
      </c>
      <c r="Z64" s="134">
        <v>2971.4</v>
      </c>
      <c r="AA64" s="134">
        <f t="shared" si="15"/>
        <v>28036.880000000001</v>
      </c>
      <c r="AB64" s="138">
        <f>IF(AA64=0,"",IFERROR(AA64/AA$19,""))</f>
        <v>3.4747441828397715E-2</v>
      </c>
      <c r="AC64" s="136"/>
      <c r="AD64" s="134">
        <v>32372.328389999999</v>
      </c>
      <c r="AE64" s="138">
        <f>IF(AD64=0,"",IFERROR(AD64/AD$19,""))</f>
        <v>1.3249488599474921E-2</v>
      </c>
      <c r="AF64" s="137">
        <f t="shared" si="16"/>
        <v>-4335.4483899999977</v>
      </c>
      <c r="AG64" s="134">
        <v>9386.59</v>
      </c>
      <c r="AH64" s="138">
        <f>IF(AG64=0,"",IFERROR(AG64/AG$19,""))</f>
        <v>4.08371054307239E-2</v>
      </c>
      <c r="AI64" s="137">
        <f t="shared" si="17"/>
        <v>18650.29</v>
      </c>
    </row>
    <row r="65" spans="1:35" x14ac:dyDescent="0.25">
      <c r="A65" s="11"/>
      <c r="B65" s="11"/>
      <c r="C65" s="11"/>
      <c r="D65" s="11"/>
      <c r="E65" s="11"/>
      <c r="F65" s="11"/>
      <c r="G65" s="11"/>
      <c r="H65" s="181" t="s">
        <v>309</v>
      </c>
      <c r="I65" s="118" t="str">
        <f>IF(_epmOfflineCondition_,"T6",_xll.EVPRO($B$1,$H65,"STYLE"))</f>
        <v>T6</v>
      </c>
      <c r="J65" s="118" t="str">
        <f>IF(_epmOfflineCondition_,"Y",_xll.EVPRO($B$1,$H65,"CALC"))</f>
        <v>Y</v>
      </c>
      <c r="K65" s="86"/>
      <c r="L65" s="86" t="str">
        <f>IF(_epmOfflineCondition_,"464400",_xll.EVPRO($B$1,H65,"JDEID"))</f>
        <v>464400</v>
      </c>
      <c r="M65" s="86" t="str">
        <f>IF(_epmOfflineCondition_,"",IF(AND(I65="N",J65="N"),_xll.EVPRO($B$1,H65,"PSFTID"),""))</f>
        <v/>
      </c>
      <c r="N65" s="86" t="str">
        <f>IF(_epmOfflineCondition_,"Bar Wine",IF(_xll.EVDES(H65,$B$1)="#NODATA","",_xll.EVDES(H65,$B$1)))</f>
        <v>Bar Wine</v>
      </c>
      <c r="O65" s="228">
        <v>4009.51</v>
      </c>
      <c r="P65" s="228">
        <v>6603.65</v>
      </c>
      <c r="Q65" s="228">
        <v>5904</v>
      </c>
      <c r="R65" s="228">
        <v>3569.2</v>
      </c>
      <c r="S65" s="228">
        <v>3654</v>
      </c>
      <c r="T65" s="228">
        <v>2494.21</v>
      </c>
      <c r="U65" s="228">
        <v>1933.65</v>
      </c>
      <c r="V65" s="228">
        <v>2165.2399999999998</v>
      </c>
      <c r="W65" s="228">
        <v>1970.6</v>
      </c>
      <c r="X65" s="228">
        <v>3312.5</v>
      </c>
      <c r="Y65" s="228">
        <v>4465.2</v>
      </c>
      <c r="Z65" s="228">
        <v>5425.2</v>
      </c>
      <c r="AA65" s="228">
        <f t="shared" si="15"/>
        <v>45506.959999999992</v>
      </c>
      <c r="AB65" s="230">
        <f>IF(AA65=0,"",IFERROR(AA65/AA$19,""))</f>
        <v>5.6398944725205562E-2</v>
      </c>
      <c r="AC65" s="136"/>
      <c r="AD65" s="228">
        <v>154565.35696800001</v>
      </c>
      <c r="AE65" s="230">
        <f>IF(AD65=0,"",IFERROR(AD65/AD$19,""))</f>
        <v>6.3261187466944743E-2</v>
      </c>
      <c r="AF65" s="231">
        <f t="shared" si="16"/>
        <v>-109058.39696800002</v>
      </c>
      <c r="AG65" s="228">
        <v>11797.2</v>
      </c>
      <c r="AH65" s="230">
        <f>IF(AG65=0,"",IFERROR(AG65/AG$19,""))</f>
        <v>5.1324655725597475E-2</v>
      </c>
      <c r="AI65" s="231">
        <f t="shared" si="17"/>
        <v>33709.759999999995</v>
      </c>
    </row>
    <row r="66" spans="1:35" x14ac:dyDescent="0.25">
      <c r="A66" s="11"/>
      <c r="B66" s="11"/>
      <c r="C66" s="11"/>
      <c r="D66" s="11"/>
      <c r="E66" s="11"/>
      <c r="F66" s="11"/>
      <c r="G66" s="11"/>
      <c r="H66" s="181" t="s">
        <v>327</v>
      </c>
      <c r="I66" s="118" t="str">
        <f>IF(_epmOfflineCondition_,"N",_xll.EVPRO($B$1,$H66,"STYLE"))</f>
        <v>N</v>
      </c>
      <c r="J66" s="118" t="str">
        <f>IF(_epmOfflineCondition_,"Y",_xll.EVPRO($B$1,$H66,"CALC"))</f>
        <v>Y</v>
      </c>
      <c r="K66" s="86"/>
      <c r="L66" s="86" t="str">
        <f>IF(_epmOfflineCondition_,"",_xll.EVPRO($B$1,H66,"JDEID"))</f>
        <v/>
      </c>
      <c r="M66" s="86" t="str">
        <f>IF(_epmOfflineCondition_,"",IF(AND(I66="N",J66="N"),_xll.EVPRO($B$1,H66,"PSFTID"),""))</f>
        <v/>
      </c>
      <c r="N66" s="102" t="str">
        <f>IF(_epmOfflineCondition_,"Bar Revenue",IF(_xll.EVDES(H66,$B$1)="#NODATA","",_xll.EVDES(H66,$B$1)))</f>
        <v>Bar Revenue</v>
      </c>
      <c r="O66" s="158">
        <v>21098.99</v>
      </c>
      <c r="P66" s="158">
        <v>26885.9</v>
      </c>
      <c r="Q66" s="158">
        <v>26551.200000000001</v>
      </c>
      <c r="R66" s="158">
        <v>21237.05</v>
      </c>
      <c r="S66" s="158">
        <v>18500.05</v>
      </c>
      <c r="T66" s="158">
        <v>19858.650000000001</v>
      </c>
      <c r="U66" s="158">
        <v>17261.45</v>
      </c>
      <c r="V66" s="158">
        <v>18644.939999999999</v>
      </c>
      <c r="W66" s="158">
        <v>13834.6</v>
      </c>
      <c r="X66" s="158">
        <v>17828.2</v>
      </c>
      <c r="Y66" s="158">
        <v>24484.85</v>
      </c>
      <c r="Z66" s="158">
        <v>34297.050000000003</v>
      </c>
      <c r="AA66" s="158">
        <f t="shared" si="15"/>
        <v>260482.93000000005</v>
      </c>
      <c r="AB66" s="159">
        <f>IF(AA66=0,"",IFERROR(AA66/AA$19,""))</f>
        <v>0.32282891168580796</v>
      </c>
      <c r="AC66" s="136"/>
      <c r="AD66" s="158">
        <v>469956.33</v>
      </c>
      <c r="AE66" s="159">
        <f>IF(AD66=0,"",IFERROR(AD66/AD$19,""))</f>
        <v>0.19234578871100086</v>
      </c>
      <c r="AF66" s="160">
        <f t="shared" si="16"/>
        <v>-209473.39999999997</v>
      </c>
      <c r="AG66" s="158">
        <v>87146.78</v>
      </c>
      <c r="AH66" s="159">
        <f>IF(AG66=0,"",IFERROR(AG66/AG$19,""))</f>
        <v>0.37913898900538967</v>
      </c>
      <c r="AI66" s="160">
        <f t="shared" si="17"/>
        <v>173336.15000000005</v>
      </c>
    </row>
    <row r="67" spans="1:35" x14ac:dyDescent="0.25">
      <c r="A67" s="11"/>
      <c r="B67" s="11"/>
      <c r="C67" s="11"/>
      <c r="D67" s="11"/>
      <c r="E67" s="11"/>
      <c r="F67" s="11"/>
      <c r="G67" s="11"/>
      <c r="H67" s="181" t="s">
        <v>326</v>
      </c>
      <c r="I67" s="118" t="str">
        <f>IF(_epmOfflineCondition_,"N",_xll.EVPRO($B$1,$H67,"STYLE"))</f>
        <v>N</v>
      </c>
      <c r="J67" s="118" t="str">
        <f>IF(_epmOfflineCondition_,"N",_xll.EVPRO($B$1,$H67,"CALC"))</f>
        <v>N</v>
      </c>
      <c r="K67" s="86"/>
      <c r="L67" s="86" t="str">
        <f>IF(_epmOfflineCondition_,"946500",_xll.EVPRO($B$1,H67,"JDEID"))</f>
        <v>946500</v>
      </c>
      <c r="M67" s="86" t="str">
        <f>IF(_epmOfflineCondition_,"991522",IF(AND(I67="N",J67="N"),_xll.EVPRO($B$1,H67,"PSFTID"),""))</f>
        <v>991522</v>
      </c>
      <c r="N67" s="86" t="str">
        <f>IF(_epmOfflineCondition_,"Bar Customers",IF(_xll.EVDES(H67,$B$1)="#NODATA","",_xll.EVDES(H67,$B$1)))</f>
        <v>Bar Customers</v>
      </c>
      <c r="O67" s="240">
        <v>1146</v>
      </c>
      <c r="P67" s="240">
        <v>1466</v>
      </c>
      <c r="Q67" s="240">
        <v>1584</v>
      </c>
      <c r="R67" s="240">
        <v>1346</v>
      </c>
      <c r="S67" s="240">
        <v>1194</v>
      </c>
      <c r="T67" s="240">
        <v>1130</v>
      </c>
      <c r="U67" s="240">
        <v>1106</v>
      </c>
      <c r="V67" s="240">
        <v>1099</v>
      </c>
      <c r="W67" s="240">
        <v>823</v>
      </c>
      <c r="X67" s="240">
        <v>1220</v>
      </c>
      <c r="Y67" s="240">
        <v>1275</v>
      </c>
      <c r="Z67" s="240">
        <v>1634</v>
      </c>
      <c r="AA67" s="240">
        <f t="shared" si="15"/>
        <v>15023</v>
      </c>
      <c r="AB67" s="242">
        <f>IF(AA67=0,"",IFERROR(AA67/AA$89,""))</f>
        <v>0.43887119862113289</v>
      </c>
      <c r="AC67" s="136"/>
      <c r="AD67" s="240">
        <v>19575</v>
      </c>
      <c r="AE67" s="242">
        <f>IF(AD67=0,"",IFERROR(AD67/AD$89,""))</f>
        <v>0.26599087545987887</v>
      </c>
      <c r="AF67" s="243">
        <f t="shared" si="16"/>
        <v>-4552</v>
      </c>
      <c r="AG67" s="240">
        <v>5128</v>
      </c>
      <c r="AH67" s="242">
        <f>IF(AG67=0,"",IFERROR(AG67/AG$89,""))</f>
        <v>0.48209081507943968</v>
      </c>
      <c r="AI67" s="243">
        <f t="shared" si="17"/>
        <v>9895</v>
      </c>
    </row>
    <row r="68" spans="1:35" x14ac:dyDescent="0.25">
      <c r="A68" s="11"/>
      <c r="B68" s="11"/>
      <c r="C68" s="11"/>
      <c r="D68" s="11"/>
      <c r="E68" s="11"/>
      <c r="F68" s="11"/>
      <c r="G68" s="11"/>
      <c r="H68" s="181" t="s">
        <v>328</v>
      </c>
      <c r="I68" s="118" t="str">
        <f>IF(_epmOfflineCondition_,"N",_xll.EVPRO($B$1,$H68,"STYLE"))</f>
        <v>N</v>
      </c>
      <c r="J68" s="118" t="str">
        <f>IF(_epmOfflineCondition_,"Y",_xll.EVPRO($B$1,$H68,"CALC"))</f>
        <v>Y</v>
      </c>
      <c r="K68" s="86"/>
      <c r="L68" s="86" t="str">
        <f>IF(_epmOfflineCondition_,"",_xll.EVPRO($B$1,H68,"JDEID"))</f>
        <v/>
      </c>
      <c r="M68" s="86" t="str">
        <f>IF(_epmOfflineCondition_,"",IF(AND(I68="N",J68="N"),_xll.EVPRO($B$1,H68,"PSFTID"),""))</f>
        <v/>
      </c>
      <c r="N68" s="186" t="str">
        <f>IF(_epmOfflineCondition_,"Bar- Average Check",IF(_xll.EVDES(H68,$B$1)="#NODATA","",_xll.EVDES(H68,$B$1)))</f>
        <v>Bar- Average Check</v>
      </c>
      <c r="O68" s="490">
        <v>18.410986038394402</v>
      </c>
      <c r="P68" s="490">
        <v>18.339631650750299</v>
      </c>
      <c r="Q68" s="490">
        <v>16.762121212121201</v>
      </c>
      <c r="R68" s="490">
        <v>15.777897473996999</v>
      </c>
      <c r="S68" s="490">
        <v>15.4941792294807</v>
      </c>
      <c r="T68" s="490">
        <v>17.574026548672599</v>
      </c>
      <c r="U68" s="490">
        <v>15.607097649186301</v>
      </c>
      <c r="V68" s="490">
        <v>16.9653685168335</v>
      </c>
      <c r="W68" s="490">
        <v>16.8099635479951</v>
      </c>
      <c r="X68" s="490">
        <v>14.6132786885246</v>
      </c>
      <c r="Y68" s="490">
        <v>19.2038039215686</v>
      </c>
      <c r="Z68" s="490">
        <v>20.989626682986501</v>
      </c>
      <c r="AA68" s="490">
        <f>IFERROR(AA66/AA67,"")</f>
        <v>17.338942288490983</v>
      </c>
      <c r="AB68" s="490"/>
      <c r="AC68" s="136"/>
      <c r="AD68" s="490">
        <v>24.0079862068966</v>
      </c>
      <c r="AE68" s="490"/>
      <c r="AF68" s="491">
        <f t="shared" si="16"/>
        <v>-6.6690439184056167</v>
      </c>
      <c r="AG68" s="490">
        <v>16.9943018720749</v>
      </c>
      <c r="AH68" s="490"/>
      <c r="AI68" s="491">
        <f t="shared" si="17"/>
        <v>0.34464041641608389</v>
      </c>
    </row>
    <row r="69" spans="1:35" x14ac:dyDescent="0.25">
      <c r="A69" s="11"/>
      <c r="B69" s="11"/>
      <c r="C69" s="11"/>
      <c r="D69" s="11"/>
      <c r="E69" s="11"/>
      <c r="F69" s="11"/>
      <c r="G69" s="486">
        <f>COUNTIF(O70:AI70,FALSE)</f>
        <v>0</v>
      </c>
      <c r="H69" s="84"/>
      <c r="I69" s="118"/>
      <c r="J69" s="118"/>
      <c r="K69" s="86"/>
      <c r="L69" s="86"/>
      <c r="M69" s="86"/>
      <c r="N69" s="487" t="s">
        <v>345</v>
      </c>
      <c r="O69" s="492">
        <f t="shared" ref="O69:AA69" si="18">ROUND(IFERROR(O66/O67,0),2)</f>
        <v>18.41</v>
      </c>
      <c r="P69" s="493">
        <f t="shared" si="18"/>
        <v>18.34</v>
      </c>
      <c r="Q69" s="493">
        <f t="shared" si="18"/>
        <v>16.760000000000002</v>
      </c>
      <c r="R69" s="493">
        <f t="shared" si="18"/>
        <v>15.78</v>
      </c>
      <c r="S69" s="493">
        <f t="shared" si="18"/>
        <v>15.49</v>
      </c>
      <c r="T69" s="493">
        <f t="shared" si="18"/>
        <v>17.57</v>
      </c>
      <c r="U69" s="493">
        <f t="shared" si="18"/>
        <v>15.61</v>
      </c>
      <c r="V69" s="493">
        <f t="shared" si="18"/>
        <v>16.97</v>
      </c>
      <c r="W69" s="493">
        <f t="shared" si="18"/>
        <v>16.809999999999999</v>
      </c>
      <c r="X69" s="493">
        <f t="shared" si="18"/>
        <v>14.61</v>
      </c>
      <c r="Y69" s="493">
        <f t="shared" si="18"/>
        <v>19.2</v>
      </c>
      <c r="Z69" s="493">
        <f t="shared" si="18"/>
        <v>20.99</v>
      </c>
      <c r="AA69" s="493">
        <f t="shared" si="18"/>
        <v>17.34</v>
      </c>
      <c r="AB69" s="494"/>
      <c r="AC69" s="136"/>
      <c r="AD69" s="492">
        <f>ROUND(IFERROR(AD66/AD67,0),2)</f>
        <v>24.01</v>
      </c>
      <c r="AE69" s="493"/>
      <c r="AF69" s="151"/>
      <c r="AG69" s="492">
        <f>ROUND(IFERROR(AG66/AG67,0),2)</f>
        <v>16.989999999999998</v>
      </c>
      <c r="AH69" s="493"/>
      <c r="AI69" s="151"/>
    </row>
    <row r="70" spans="1:35" x14ac:dyDescent="0.25">
      <c r="A70" s="11"/>
      <c r="B70" s="11"/>
      <c r="C70" s="11"/>
      <c r="D70" s="11"/>
      <c r="E70" s="11"/>
      <c r="F70" s="11"/>
      <c r="G70" s="11"/>
      <c r="H70" s="181"/>
      <c r="I70" s="118"/>
      <c r="J70" s="118"/>
      <c r="K70" s="86"/>
      <c r="L70" s="86"/>
      <c r="M70" s="86"/>
      <c r="N70" s="49" t="s">
        <v>324</v>
      </c>
      <c r="O70" s="495" t="b">
        <f t="shared" ref="O70:AA70" si="19">ROUND(O68,2)=ROUND(O69,2)</f>
        <v>1</v>
      </c>
      <c r="P70" s="496" t="b">
        <f t="shared" si="19"/>
        <v>1</v>
      </c>
      <c r="Q70" s="496" t="b">
        <f t="shared" si="19"/>
        <v>1</v>
      </c>
      <c r="R70" s="496" t="b">
        <f t="shared" si="19"/>
        <v>1</v>
      </c>
      <c r="S70" s="496" t="b">
        <f t="shared" si="19"/>
        <v>1</v>
      </c>
      <c r="T70" s="496" t="b">
        <f t="shared" si="19"/>
        <v>1</v>
      </c>
      <c r="U70" s="496" t="b">
        <f t="shared" si="19"/>
        <v>1</v>
      </c>
      <c r="V70" s="496" t="b">
        <f t="shared" si="19"/>
        <v>1</v>
      </c>
      <c r="W70" s="496" t="b">
        <f t="shared" si="19"/>
        <v>1</v>
      </c>
      <c r="X70" s="496" t="b">
        <f t="shared" si="19"/>
        <v>1</v>
      </c>
      <c r="Y70" s="496" t="b">
        <f t="shared" si="19"/>
        <v>1</v>
      </c>
      <c r="Z70" s="496" t="b">
        <f t="shared" si="19"/>
        <v>1</v>
      </c>
      <c r="AA70" s="496" t="b">
        <f t="shared" si="19"/>
        <v>1</v>
      </c>
      <c r="AB70" s="497"/>
      <c r="AC70" s="498"/>
      <c r="AD70" s="495"/>
      <c r="AE70" s="496" t="b">
        <f>ROUND(AD68,2)=ROUND(AD69,2)</f>
        <v>1</v>
      </c>
      <c r="AF70" s="497"/>
      <c r="AG70" s="495"/>
      <c r="AH70" s="496" t="b">
        <f>ROUND(AG68,2)=ROUND(AG69,2)</f>
        <v>1</v>
      </c>
      <c r="AI70" s="497"/>
    </row>
    <row r="71" spans="1:35" x14ac:dyDescent="0.25">
      <c r="A71" s="11"/>
      <c r="B71" s="11"/>
      <c r="C71" s="11"/>
      <c r="D71" s="11"/>
      <c r="E71" s="11"/>
      <c r="F71" s="11"/>
      <c r="G71" s="11"/>
      <c r="H71" s="181" t="s">
        <v>264</v>
      </c>
      <c r="I71" s="118" t="str">
        <f>IF(_epmOfflineCondition_,"T5",_xll.EVPRO($B$1,$H71,"STYLE"))</f>
        <v>T5</v>
      </c>
      <c r="J71" s="118" t="str">
        <f>IF(_epmOfflineCondition_,"Y",_xll.EVPRO($B$1,$H71,"CALC"))</f>
        <v>Y</v>
      </c>
      <c r="K71" s="86"/>
      <c r="L71" s="86" t="str">
        <f>IF(_epmOfflineCondition_,"465100",_xll.EVPRO($B$1,H71,"JDEID"))</f>
        <v>465100</v>
      </c>
      <c r="M71" s="86" t="str">
        <f>IF(_epmOfflineCondition_,"",IF(AND(I71="N",J71="N"),_xll.EVPRO($B$1,H71,"PSFTID"),""))</f>
        <v/>
      </c>
      <c r="N71" s="86" t="str">
        <f>IF(_epmOfflineCondition_,"Private Dining Food",IF(_xll.EVDES(H71,$B$1)="#NODATA","",_xll.EVDES(H71,$B$1)))</f>
        <v>Private Dining Food</v>
      </c>
      <c r="O71" s="134"/>
      <c r="P71" s="134"/>
      <c r="Q71" s="134"/>
      <c r="R71" s="134"/>
      <c r="S71" s="134"/>
      <c r="T71" s="134"/>
      <c r="U71" s="134"/>
      <c r="V71" s="134"/>
      <c r="W71" s="134"/>
      <c r="X71" s="134"/>
      <c r="Y71" s="134"/>
      <c r="Z71" s="134">
        <v>104</v>
      </c>
      <c r="AA71" s="134">
        <f t="shared" ref="AA71:AA76" si="20">SUM(O71:Z71)</f>
        <v>104</v>
      </c>
      <c r="AB71" s="138">
        <f>IF(AA71=0,"",IFERROR(AA71/AA$19,""))</f>
        <v>1.288921574067215E-4</v>
      </c>
      <c r="AC71" s="136"/>
      <c r="AD71" s="134">
        <v>23890.722300000001</v>
      </c>
      <c r="AE71" s="138">
        <f>IF(AD71=0,"",IFERROR(AD71/AD$19,""))</f>
        <v>9.7780996452776717E-3</v>
      </c>
      <c r="AF71" s="137">
        <f t="shared" ref="AF71:AF77" si="21">IF(AND($AA71="",AD71=""),"",$AA71-AD71)</f>
        <v>-23786.722300000001</v>
      </c>
      <c r="AG71" s="134"/>
      <c r="AH71" s="138" t="str">
        <f>IF(AG71=0,"",IFERROR(AG71/AG$19,""))</f>
        <v/>
      </c>
      <c r="AI71" s="137">
        <f t="shared" ref="AI71:AI77" si="22">IF(AND($AA71="",AG71=""),"",$AA71-AG71)</f>
        <v>104</v>
      </c>
    </row>
    <row r="72" spans="1:35" x14ac:dyDescent="0.25">
      <c r="A72" s="11"/>
      <c r="B72" s="11"/>
      <c r="C72" s="11"/>
      <c r="D72" s="11"/>
      <c r="E72" s="11"/>
      <c r="F72" s="11"/>
      <c r="G72" s="11"/>
      <c r="H72" s="181" t="s">
        <v>321</v>
      </c>
      <c r="I72" s="118" t="str">
        <f>IF(_epmOfflineCondition_,"T6",_xll.EVPRO($B$1,$H72,"STYLE"))</f>
        <v>T6</v>
      </c>
      <c r="J72" s="118" t="str">
        <f>IF(_epmOfflineCondition_,"Y",_xll.EVPRO($B$1,$H72,"CALC"))</f>
        <v>Y</v>
      </c>
      <c r="K72" s="86"/>
      <c r="L72" s="86" t="str">
        <f>IF(_epmOfflineCondition_,"465200",_xll.EVPRO($B$1,H72,"JDEID"))</f>
        <v>465200</v>
      </c>
      <c r="M72" s="86" t="str">
        <f>IF(_epmOfflineCondition_,"",IF(AND(I72="N",J72="N"),_xll.EVPRO($B$1,H72,"PSFTID"),""))</f>
        <v/>
      </c>
      <c r="N72" s="86" t="str">
        <f>IF(_epmOfflineCondition_,"Private Dining Liquor",IF(_xll.EVDES(H72,$B$1)="#NODATA","",_xll.EVDES(H72,$B$1)))</f>
        <v>Private Dining Liquor</v>
      </c>
      <c r="O72" s="134"/>
      <c r="P72" s="134"/>
      <c r="Q72" s="134"/>
      <c r="R72" s="134"/>
      <c r="S72" s="134"/>
      <c r="T72" s="134"/>
      <c r="U72" s="134"/>
      <c r="V72" s="134"/>
      <c r="W72" s="134"/>
      <c r="X72" s="134"/>
      <c r="Y72" s="134"/>
      <c r="Z72" s="134">
        <v>140</v>
      </c>
      <c r="AA72" s="134">
        <f t="shared" si="20"/>
        <v>140</v>
      </c>
      <c r="AB72" s="138">
        <f>IF(AA72=0,"",IFERROR(AA72/AA$19,""))</f>
        <v>1.7350867343212509E-4</v>
      </c>
      <c r="AC72" s="136"/>
      <c r="AD72" s="134">
        <v>9332.9641200000005</v>
      </c>
      <c r="AE72" s="138">
        <f>IF(AD72=0,"",IFERROR(AD72/AD$19,""))</f>
        <v>3.8198365041127798E-3</v>
      </c>
      <c r="AF72" s="137">
        <f t="shared" si="21"/>
        <v>-9192.9641200000005</v>
      </c>
      <c r="AG72" s="134"/>
      <c r="AH72" s="138" t="str">
        <f>IF(AG72=0,"",IFERROR(AG72/AG$19,""))</f>
        <v/>
      </c>
      <c r="AI72" s="137">
        <f t="shared" si="22"/>
        <v>140</v>
      </c>
    </row>
    <row r="73" spans="1:35" x14ac:dyDescent="0.25">
      <c r="A73" s="11"/>
      <c r="B73" s="11"/>
      <c r="C73" s="11"/>
      <c r="D73" s="11"/>
      <c r="E73" s="11"/>
      <c r="F73" s="11"/>
      <c r="G73" s="11"/>
      <c r="H73" s="181" t="s">
        <v>323</v>
      </c>
      <c r="I73" s="118" t="str">
        <f>IF(_epmOfflineCondition_,"T6",_xll.EVPRO($B$1,$H73,"STYLE"))</f>
        <v>T6</v>
      </c>
      <c r="J73" s="118" t="str">
        <f>IF(_epmOfflineCondition_,"Y",_xll.EVPRO($B$1,$H73,"CALC"))</f>
        <v>Y</v>
      </c>
      <c r="K73" s="86"/>
      <c r="L73" s="86" t="str">
        <f>IF(_epmOfflineCondition_,"465300",_xll.EVPRO($B$1,H73,"JDEID"))</f>
        <v>465300</v>
      </c>
      <c r="M73" s="86" t="str">
        <f>IF(_epmOfflineCondition_,"",IF(AND(I73="N",J73="N"),_xll.EVPRO($B$1,H73,"PSFTID"),""))</f>
        <v/>
      </c>
      <c r="N73" s="86" t="str">
        <f>IF(_epmOfflineCondition_,"Private Dining Beer",IF(_xll.EVDES(H73,$B$1)="#NODATA","",_xll.EVDES(H73,$B$1)))</f>
        <v>Private Dining Beer</v>
      </c>
      <c r="O73" s="134"/>
      <c r="P73" s="134"/>
      <c r="Q73" s="134"/>
      <c r="R73" s="134"/>
      <c r="S73" s="134"/>
      <c r="T73" s="134"/>
      <c r="U73" s="134"/>
      <c r="V73" s="134"/>
      <c r="W73" s="134"/>
      <c r="X73" s="134"/>
      <c r="Y73" s="134"/>
      <c r="Z73" s="134"/>
      <c r="AA73" s="134">
        <f t="shared" si="20"/>
        <v>0</v>
      </c>
      <c r="AB73" s="138" t="str">
        <f>IF(AA73=0,"",IFERROR(AA73/AA$19,""))</f>
        <v/>
      </c>
      <c r="AC73" s="136"/>
      <c r="AD73" s="134">
        <v>2611.14732</v>
      </c>
      <c r="AE73" s="138">
        <f>IF(AD73=0,"",IFERROR(AD73/AD$19,""))</f>
        <v>1.0687018317340595E-3</v>
      </c>
      <c r="AF73" s="137">
        <f t="shared" si="21"/>
        <v>-2611.14732</v>
      </c>
      <c r="AG73" s="134"/>
      <c r="AH73" s="138" t="str">
        <f>IF(AG73=0,"",IFERROR(AG73/AG$19,""))</f>
        <v/>
      </c>
      <c r="AI73" s="137">
        <f t="shared" si="22"/>
        <v>0</v>
      </c>
    </row>
    <row r="74" spans="1:35" x14ac:dyDescent="0.25">
      <c r="A74" s="11"/>
      <c r="B74" s="11"/>
      <c r="C74" s="11"/>
      <c r="D74" s="11"/>
      <c r="E74" s="11"/>
      <c r="F74" s="11"/>
      <c r="G74" s="11"/>
      <c r="H74" s="181" t="s">
        <v>322</v>
      </c>
      <c r="I74" s="118" t="str">
        <f>IF(_epmOfflineCondition_,"T6",_xll.EVPRO($B$1,$H74,"STYLE"))</f>
        <v>T6</v>
      </c>
      <c r="J74" s="118" t="str">
        <f>IF(_epmOfflineCondition_,"Y",_xll.EVPRO($B$1,$H74,"CALC"))</f>
        <v>Y</v>
      </c>
      <c r="K74" s="86"/>
      <c r="L74" s="86" t="str">
        <f>IF(_epmOfflineCondition_,"465400",_xll.EVPRO($B$1,H74,"JDEID"))</f>
        <v>465400</v>
      </c>
      <c r="M74" s="86" t="str">
        <f>IF(_epmOfflineCondition_,"",IF(AND(I74="N",J74="N"),_xll.EVPRO($B$1,H74,"PSFTID"),""))</f>
        <v/>
      </c>
      <c r="N74" s="86" t="str">
        <f>IF(_epmOfflineCondition_,"Private Dining Wine",IF(_xll.EVDES(H74,$B$1)="#NODATA","",_xll.EVDES(H74,$B$1)))</f>
        <v>Private Dining Wine</v>
      </c>
      <c r="O74" s="228"/>
      <c r="P74" s="228"/>
      <c r="Q74" s="228"/>
      <c r="R74" s="228"/>
      <c r="S74" s="228"/>
      <c r="T74" s="228"/>
      <c r="U74" s="228"/>
      <c r="V74" s="228"/>
      <c r="W74" s="228"/>
      <c r="X74" s="228"/>
      <c r="Y74" s="228"/>
      <c r="Z74" s="228"/>
      <c r="AA74" s="228">
        <f t="shared" si="20"/>
        <v>0</v>
      </c>
      <c r="AB74" s="230" t="str">
        <f>IF(AA74=0,"",IFERROR(AA74/AA$19,""))</f>
        <v/>
      </c>
      <c r="AC74" s="136"/>
      <c r="AD74" s="228">
        <v>4415.5662599999996</v>
      </c>
      <c r="AE74" s="230">
        <f>IF(AD74=0,"",IFERROR(AD74/AD$19,""))</f>
        <v>1.807222332520522E-3</v>
      </c>
      <c r="AF74" s="231">
        <f t="shared" si="21"/>
        <v>-4415.5662599999996</v>
      </c>
      <c r="AG74" s="228"/>
      <c r="AH74" s="230" t="str">
        <f>IF(AG74=0,"",IFERROR(AG74/AG$19,""))</f>
        <v/>
      </c>
      <c r="AI74" s="231">
        <f t="shared" si="22"/>
        <v>0</v>
      </c>
    </row>
    <row r="75" spans="1:35" x14ac:dyDescent="0.25">
      <c r="A75" s="11"/>
      <c r="B75" s="11"/>
      <c r="C75" s="11"/>
      <c r="D75" s="11"/>
      <c r="E75" s="11"/>
      <c r="F75" s="11"/>
      <c r="G75" s="11"/>
      <c r="H75" s="181" t="s">
        <v>329</v>
      </c>
      <c r="I75" s="118" t="str">
        <f>IF(_epmOfflineCondition_,"N",_xll.EVPRO($B$1,$H75,"STYLE"))</f>
        <v>N</v>
      </c>
      <c r="J75" s="118" t="str">
        <f>IF(_epmOfflineCondition_,"Y",_xll.EVPRO($B$1,$H75,"CALC"))</f>
        <v>Y</v>
      </c>
      <c r="K75" s="86"/>
      <c r="L75" s="86" t="str">
        <f>IF(_epmOfflineCondition_,"",_xll.EVPRO($B$1,H75,"JDEID"))</f>
        <v/>
      </c>
      <c r="M75" s="86" t="str">
        <f>IF(_epmOfflineCondition_,"",IF(AND(I75="N",J75="N"),_xll.EVPRO($B$1,H75,"PSFTID"),""))</f>
        <v/>
      </c>
      <c r="N75" s="102" t="str">
        <f>IF(_epmOfflineCondition_,"Private Dining Revenue",IF(_xll.EVDES(H75,$B$1)="#NODATA","",_xll.EVDES(H75,$B$1)))</f>
        <v>Private Dining Revenue</v>
      </c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>
        <v>244</v>
      </c>
      <c r="AA75" s="158">
        <f t="shared" si="20"/>
        <v>244</v>
      </c>
      <c r="AB75" s="159">
        <f>IF(AA75=0,"",IFERROR(AA75/AA$19,""))</f>
        <v>3.0240083083884659E-4</v>
      </c>
      <c r="AC75" s="136"/>
      <c r="AD75" s="158">
        <v>40250.400000000001</v>
      </c>
      <c r="AE75" s="159">
        <f>IF(AD75=0,"",IFERROR(AD75/AD$19,""))</f>
        <v>1.6473860313645033E-2</v>
      </c>
      <c r="AF75" s="160">
        <f t="shared" si="21"/>
        <v>-40006.400000000001</v>
      </c>
      <c r="AG75" s="158"/>
      <c r="AH75" s="159" t="str">
        <f>IF(AG75=0,"",IFERROR(AG75/AG$19,""))</f>
        <v/>
      </c>
      <c r="AI75" s="160">
        <f t="shared" si="22"/>
        <v>244</v>
      </c>
    </row>
    <row r="76" spans="1:35" x14ac:dyDescent="0.25">
      <c r="A76" s="11"/>
      <c r="B76" s="11"/>
      <c r="C76" s="11"/>
      <c r="D76" s="11"/>
      <c r="E76" s="11"/>
      <c r="F76" s="11"/>
      <c r="G76" s="11"/>
      <c r="H76" s="181" t="s">
        <v>300</v>
      </c>
      <c r="I76" s="118" t="str">
        <f>IF(_epmOfflineCondition_,"N",_xll.EVPRO($B$1,$H76,"STYLE"))</f>
        <v>N</v>
      </c>
      <c r="J76" s="118" t="str">
        <f>IF(_epmOfflineCondition_,"N",_xll.EVPRO($B$1,$H76,"CALC"))</f>
        <v>N</v>
      </c>
      <c r="K76" s="86"/>
      <c r="L76" s="86" t="str">
        <f>IF(_epmOfflineCondition_,"946400",_xll.EVPRO($B$1,H76,"JDEID"))</f>
        <v>946400</v>
      </c>
      <c r="M76" s="86" t="str">
        <f>IF(_epmOfflineCondition_,"991510",IF(AND(I76="N",J76="N"),_xll.EVPRO($B$1,H76,"PSFTID"),""))</f>
        <v>991510</v>
      </c>
      <c r="N76" s="86" t="str">
        <f>IF(_epmOfflineCondition_,"Private Dining Customers",IF(_xll.EVDES(H76,$B$1)="#NODATA","",_xll.EVDES(H76,$B$1)))</f>
        <v>Private Dining Customers</v>
      </c>
      <c r="O76" s="240"/>
      <c r="P76" s="240"/>
      <c r="Q76" s="240"/>
      <c r="R76" s="240"/>
      <c r="S76" s="240"/>
      <c r="T76" s="240"/>
      <c r="U76" s="240"/>
      <c r="V76" s="240"/>
      <c r="W76" s="240"/>
      <c r="X76" s="240"/>
      <c r="Y76" s="240"/>
      <c r="Z76" s="240"/>
      <c r="AA76" s="240">
        <f t="shared" si="20"/>
        <v>0</v>
      </c>
      <c r="AB76" s="242" t="str">
        <f>IF(AA76=0,"",IFERROR(AA76/AA$89,""))</f>
        <v/>
      </c>
      <c r="AC76" s="136"/>
      <c r="AD76" s="240">
        <v>372</v>
      </c>
      <c r="AE76" s="242">
        <f>IF(AD76=0,"",IFERROR(AD76/AD$89,""))</f>
        <v>5.0548457558658973E-3</v>
      </c>
      <c r="AF76" s="243">
        <f t="shared" si="21"/>
        <v>-372</v>
      </c>
      <c r="AG76" s="240"/>
      <c r="AH76" s="242" t="str">
        <f>IF(AG76=0,"",IFERROR(AG76/AG$89,""))</f>
        <v/>
      </c>
      <c r="AI76" s="243">
        <f t="shared" si="22"/>
        <v>0</v>
      </c>
    </row>
    <row r="77" spans="1:35" x14ac:dyDescent="0.25">
      <c r="A77" s="11"/>
      <c r="B77" s="11"/>
      <c r="C77" s="11"/>
      <c r="D77" s="11"/>
      <c r="E77" s="11"/>
      <c r="F77" s="11"/>
      <c r="G77" s="11"/>
      <c r="H77" s="181" t="s">
        <v>325</v>
      </c>
      <c r="I77" s="118" t="str">
        <f>IF(_epmOfflineCondition_,"N",_xll.EVPRO($B$1,$H77,"STYLE"))</f>
        <v>N</v>
      </c>
      <c r="J77" s="118" t="str">
        <f>IF(_epmOfflineCondition_,"Y",_xll.EVPRO($B$1,$H77,"CALC"))</f>
        <v>Y</v>
      </c>
      <c r="K77" s="86"/>
      <c r="L77" s="86" t="str">
        <f>IF(_epmOfflineCondition_,"",_xll.EVPRO($B$1,H77,"JDEID"))</f>
        <v/>
      </c>
      <c r="M77" s="86" t="str">
        <f>IF(_epmOfflineCondition_,"",IF(AND(I77="N",J77="N"),_xll.EVPRO($B$1,H77,"PSFTID"),""))</f>
        <v/>
      </c>
      <c r="N77" s="186" t="str">
        <f>IF(_epmOfflineCondition_,"Private Dining - Average Check",IF(_xll.EVDES(H77,$B$1)="#NODATA","",_xll.EVDES(H77,$B$1)))</f>
        <v>Private Dining - Average Check</v>
      </c>
      <c r="O77" s="490"/>
      <c r="P77" s="490"/>
      <c r="Q77" s="490"/>
      <c r="R77" s="490"/>
      <c r="S77" s="490"/>
      <c r="T77" s="490"/>
      <c r="U77" s="490"/>
      <c r="V77" s="490"/>
      <c r="W77" s="490"/>
      <c r="X77" s="490"/>
      <c r="Y77" s="490"/>
      <c r="Z77" s="490"/>
      <c r="AA77" s="490" t="str">
        <f>IFERROR(AA75/AA76,"")</f>
        <v/>
      </c>
      <c r="AB77" s="490"/>
      <c r="AC77" s="136"/>
      <c r="AD77" s="490">
        <v>108.2</v>
      </c>
      <c r="AE77" s="490"/>
      <c r="AF77" s="491" t="e">
        <f t="shared" si="21"/>
        <v>#VALUE!</v>
      </c>
      <c r="AG77" s="490"/>
      <c r="AH77" s="490"/>
      <c r="AI77" s="491" t="str">
        <f t="shared" si="22"/>
        <v/>
      </c>
    </row>
    <row r="78" spans="1:35" x14ac:dyDescent="0.25">
      <c r="A78" s="11"/>
      <c r="B78" s="11"/>
      <c r="C78" s="204"/>
      <c r="D78" s="11"/>
      <c r="E78" s="11"/>
      <c r="F78" s="11"/>
      <c r="G78" s="486">
        <f>COUNTIF(O79:AI79,FALSE)</f>
        <v>0</v>
      </c>
      <c r="H78" s="84"/>
      <c r="I78" s="118"/>
      <c r="J78" s="118"/>
      <c r="K78" s="86"/>
      <c r="L78" s="86"/>
      <c r="M78" s="86"/>
      <c r="N78" s="487" t="s">
        <v>345</v>
      </c>
      <c r="O78" s="492">
        <f t="shared" ref="O78:AA78" si="23">ROUND(IFERROR(O75/O76,0),2)</f>
        <v>0</v>
      </c>
      <c r="P78" s="493">
        <f t="shared" si="23"/>
        <v>0</v>
      </c>
      <c r="Q78" s="493">
        <f t="shared" si="23"/>
        <v>0</v>
      </c>
      <c r="R78" s="493">
        <f t="shared" si="23"/>
        <v>0</v>
      </c>
      <c r="S78" s="493">
        <f t="shared" si="23"/>
        <v>0</v>
      </c>
      <c r="T78" s="493">
        <f t="shared" si="23"/>
        <v>0</v>
      </c>
      <c r="U78" s="493">
        <f t="shared" si="23"/>
        <v>0</v>
      </c>
      <c r="V78" s="493">
        <f t="shared" si="23"/>
        <v>0</v>
      </c>
      <c r="W78" s="493">
        <f t="shared" si="23"/>
        <v>0</v>
      </c>
      <c r="X78" s="493">
        <f t="shared" si="23"/>
        <v>0</v>
      </c>
      <c r="Y78" s="493">
        <f t="shared" si="23"/>
        <v>0</v>
      </c>
      <c r="Z78" s="493">
        <f t="shared" si="23"/>
        <v>0</v>
      </c>
      <c r="AA78" s="493">
        <f t="shared" si="23"/>
        <v>0</v>
      </c>
      <c r="AB78" s="494"/>
      <c r="AC78" s="136"/>
      <c r="AD78" s="492">
        <f>ROUND(IFERROR(AD75/AD76,0),2)</f>
        <v>108.2</v>
      </c>
      <c r="AE78" s="493"/>
      <c r="AF78" s="151"/>
      <c r="AG78" s="492">
        <f>ROUND(IFERROR(AG75/AG76,0),2)</f>
        <v>0</v>
      </c>
      <c r="AH78" s="493"/>
      <c r="AI78" s="151"/>
    </row>
    <row r="79" spans="1:35" x14ac:dyDescent="0.25">
      <c r="A79" s="11"/>
      <c r="B79" s="11"/>
      <c r="C79" s="204"/>
      <c r="D79" s="11"/>
      <c r="E79" s="11"/>
      <c r="F79" s="11"/>
      <c r="G79" s="11"/>
      <c r="H79" s="84"/>
      <c r="I79" s="118"/>
      <c r="J79" s="118"/>
      <c r="K79" s="86"/>
      <c r="L79" s="86"/>
      <c r="M79" s="86"/>
      <c r="N79" s="49" t="s">
        <v>362</v>
      </c>
      <c r="O79" s="495" t="b">
        <f t="shared" ref="O79:AA79" si="24">ROUND(O77,2)=ROUND(O78,2)</f>
        <v>1</v>
      </c>
      <c r="P79" s="496" t="b">
        <f t="shared" si="24"/>
        <v>1</v>
      </c>
      <c r="Q79" s="496" t="b">
        <f t="shared" si="24"/>
        <v>1</v>
      </c>
      <c r="R79" s="496" t="b">
        <f t="shared" si="24"/>
        <v>1</v>
      </c>
      <c r="S79" s="496" t="b">
        <f t="shared" si="24"/>
        <v>1</v>
      </c>
      <c r="T79" s="496" t="b">
        <f t="shared" si="24"/>
        <v>1</v>
      </c>
      <c r="U79" s="496" t="b">
        <f t="shared" si="24"/>
        <v>1</v>
      </c>
      <c r="V79" s="496" t="b">
        <f t="shared" si="24"/>
        <v>1</v>
      </c>
      <c r="W79" s="496" t="b">
        <f t="shared" si="24"/>
        <v>1</v>
      </c>
      <c r="X79" s="496" t="b">
        <f t="shared" si="24"/>
        <v>1</v>
      </c>
      <c r="Y79" s="496" t="b">
        <f t="shared" si="24"/>
        <v>1</v>
      </c>
      <c r="Z79" s="496" t="b">
        <f t="shared" si="24"/>
        <v>1</v>
      </c>
      <c r="AA79" s="496" t="e">
        <f t="shared" si="24"/>
        <v>#VALUE!</v>
      </c>
      <c r="AB79" s="497"/>
      <c r="AC79" s="498"/>
      <c r="AD79" s="495"/>
      <c r="AE79" s="496" t="b">
        <f>ROUND(AD77,2)=ROUND(AD78,2)</f>
        <v>1</v>
      </c>
      <c r="AF79" s="497"/>
      <c r="AG79" s="495"/>
      <c r="AH79" s="496" t="b">
        <f>ROUND(AG77,2)=ROUND(AG78,2)</f>
        <v>1</v>
      </c>
      <c r="AI79" s="497"/>
    </row>
    <row r="80" spans="1:35" x14ac:dyDescent="0.25">
      <c r="A80" s="11"/>
      <c r="B80" s="11"/>
      <c r="C80" s="204"/>
      <c r="D80" s="11"/>
      <c r="E80" s="11"/>
      <c r="F80" s="11"/>
      <c r="G80" s="11"/>
      <c r="H80" s="84" t="s">
        <v>350</v>
      </c>
      <c r="I80" s="118" t="str">
        <f>IF(_epmOfflineCondition_,"T5",_xll.EVPRO($B$1,$H80,"STYLE"))</f>
        <v>T5</v>
      </c>
      <c r="J80" s="118" t="str">
        <f>IF(_epmOfflineCondition_,"Y",_xll.EVPRO($B$1,$H80,"CALC"))</f>
        <v>Y</v>
      </c>
      <c r="K80" s="86"/>
      <c r="L80" s="86" t="str">
        <f>IF(_epmOfflineCondition_,"467100",_xll.EVPRO($B$1,H80,"JDEID"))</f>
        <v>467100</v>
      </c>
      <c r="M80" s="86" t="str">
        <f>IF(_epmOfflineCondition_,"",IF(AND(I80="N",J80="N"),_xll.EVPRO($B$1,H80,"PSFTID"),""))</f>
        <v/>
      </c>
      <c r="N80" s="86" t="str">
        <f>IF(_epmOfflineCondition_,"Mini Bar Food",IF(_xll.EVDES(H80,$B$1)="#NODATA","",_xll.EVDES(H80,$B$1)))</f>
        <v>Mini Bar Food</v>
      </c>
      <c r="O80" s="134">
        <v>6569.75</v>
      </c>
      <c r="P80" s="134">
        <v>4707.8900000000003</v>
      </c>
      <c r="Q80" s="134">
        <v>5724</v>
      </c>
      <c r="R80" s="134">
        <v>5557</v>
      </c>
      <c r="S80" s="134">
        <v>5577</v>
      </c>
      <c r="T80" s="134">
        <v>3834</v>
      </c>
      <c r="U80" s="134">
        <v>5252</v>
      </c>
      <c r="V80" s="134">
        <v>4871</v>
      </c>
      <c r="W80" s="134">
        <v>3328.92</v>
      </c>
      <c r="X80" s="134">
        <v>4168.22</v>
      </c>
      <c r="Y80" s="134">
        <v>6522.99</v>
      </c>
      <c r="Z80" s="134">
        <v>9575.4</v>
      </c>
      <c r="AA80" s="134">
        <f>SUM(O80:Z80)</f>
        <v>65688.17</v>
      </c>
      <c r="AB80" s="138">
        <f>IF(AA80=0,"",IFERROR(AA80/AA$19,""))</f>
        <v>8.1410480263456556E-2</v>
      </c>
      <c r="AC80" s="136"/>
      <c r="AD80" s="134">
        <v>83687.8</v>
      </c>
      <c r="AE80" s="138">
        <f>IF(AD80=0,"",IFERROR(AD80/AD$19,""))</f>
        <v>3.4252109970491294E-2</v>
      </c>
      <c r="AF80" s="137">
        <f>IF(AND($AA80="",AD80=""),"",$AA80-AD80)</f>
        <v>-17999.630000000005</v>
      </c>
      <c r="AG80" s="134">
        <v>33365.06</v>
      </c>
      <c r="AH80" s="138">
        <f>IF(AG80=0,"",IFERROR(AG80/AG$19,""))</f>
        <v>0.14515734392600813</v>
      </c>
      <c r="AI80" s="137">
        <f>IF(AND($AA80="",AG80=""),"",$AA80-AG80)</f>
        <v>32323.11</v>
      </c>
    </row>
    <row r="81" spans="1:35" x14ac:dyDescent="0.25">
      <c r="A81" s="11"/>
      <c r="B81" s="11"/>
      <c r="C81" s="204"/>
      <c r="D81" s="11"/>
      <c r="E81" s="11"/>
      <c r="F81" s="11"/>
      <c r="G81" s="11"/>
      <c r="H81" s="84" t="s">
        <v>351</v>
      </c>
      <c r="I81" s="118" t="str">
        <f>IF(_epmOfflineCondition_,"T5",_xll.EVPRO($B$1,$H81,"STYLE"))</f>
        <v>T5</v>
      </c>
      <c r="J81" s="118" t="str">
        <f>IF(_epmOfflineCondition_,"Y",_xll.EVPRO($B$1,$H81,"CALC"))</f>
        <v>Y</v>
      </c>
      <c r="K81" s="86"/>
      <c r="L81" s="86" t="str">
        <f>IF(_epmOfflineCondition_,"467200",_xll.EVPRO($B$1,H81,"JDEID"))</f>
        <v>467200</v>
      </c>
      <c r="M81" s="86" t="str">
        <f>IF(_epmOfflineCondition_,"",IF(AND(I81="N",J81="N"),_xll.EVPRO($B$1,H81,"PSFTID"),""))</f>
        <v/>
      </c>
      <c r="N81" s="86" t="str">
        <f>IF(_epmOfflineCondition_,"Mini Bar Beverage",IF(_xll.EVDES(H81,$B$1)="#NODATA","",_xll.EVDES(H81,$B$1)))</f>
        <v>Mini Bar Beverage</v>
      </c>
      <c r="O81" s="134">
        <v>3860</v>
      </c>
      <c r="P81" s="134">
        <v>3074</v>
      </c>
      <c r="Q81" s="134">
        <v>3500</v>
      </c>
      <c r="R81" s="134">
        <v>3422</v>
      </c>
      <c r="S81" s="134">
        <v>4079</v>
      </c>
      <c r="T81" s="134">
        <v>2221</v>
      </c>
      <c r="U81" s="134">
        <v>3223</v>
      </c>
      <c r="V81" s="134">
        <v>3188</v>
      </c>
      <c r="W81" s="134">
        <v>2752</v>
      </c>
      <c r="X81" s="134">
        <v>2680</v>
      </c>
      <c r="Y81" s="134">
        <v>2741</v>
      </c>
      <c r="Z81" s="134">
        <v>4857</v>
      </c>
      <c r="AA81" s="134">
        <f>SUM(O81:Z81)</f>
        <v>39597</v>
      </c>
      <c r="AB81" s="138">
        <f>IF(AA81=0,"",IFERROR(AA81/AA$19,""))</f>
        <v>4.9074449584941844E-2</v>
      </c>
      <c r="AC81" s="136"/>
      <c r="AD81" s="134">
        <v>35658.28</v>
      </c>
      <c r="AE81" s="138">
        <f>IF(AD81=0,"",IFERROR(AD81/AD$19,""))</f>
        <v>1.4594377291774551E-2</v>
      </c>
      <c r="AF81" s="137">
        <f>IF(AND($AA81="",AD81=""),"",$AA81-AD81)</f>
        <v>3938.7200000000012</v>
      </c>
      <c r="AG81" s="134">
        <v>13071</v>
      </c>
      <c r="AH81" s="138">
        <f>IF(AG81=0,"",IFERROR(AG81/AG$19,""))</f>
        <v>5.6866423811521759E-2</v>
      </c>
      <c r="AI81" s="137">
        <f>IF(AND($AA81="",AG81=""),"",$AA81-AG81)</f>
        <v>26526</v>
      </c>
    </row>
    <row r="82" spans="1:35" x14ac:dyDescent="0.25">
      <c r="A82" s="11"/>
      <c r="B82" s="11"/>
      <c r="C82" s="204"/>
      <c r="D82" s="11"/>
      <c r="E82" s="11"/>
      <c r="F82" s="11"/>
      <c r="G82" s="11"/>
      <c r="H82" s="84" t="s">
        <v>363</v>
      </c>
      <c r="I82" s="118" t="str">
        <f>IF(_epmOfflineCondition_,"N",_xll.EVPRO($B$1,$H82,"STYLE"))</f>
        <v>N</v>
      </c>
      <c r="J82" s="118" t="str">
        <f>IF(_epmOfflineCondition_,"Y",_xll.EVPRO($B$1,$H82,"CALC"))</f>
        <v>Y</v>
      </c>
      <c r="K82" s="86"/>
      <c r="L82" s="86" t="str">
        <f>IF(_epmOfflineCondition_,"",_xll.EVPRO($B$1,H82,"JDEID"))</f>
        <v/>
      </c>
      <c r="M82" s="86" t="str">
        <f>IF(_epmOfflineCondition_,"",IF(AND(I82="N",J82="N"),_xll.EVPRO($B$1,H82,"PSFTID"),""))</f>
        <v/>
      </c>
      <c r="N82" s="102" t="str">
        <f>IF(_epmOfflineCondition_,"Mini Bar F&amp;B Revenue",IF(_xll.EVDES(H82,$B$1)="#NODATA","",_xll.EVDES(H82,$B$1)))</f>
        <v>Mini Bar F&amp;B Revenue</v>
      </c>
      <c r="O82" s="158">
        <v>10429.75</v>
      </c>
      <c r="P82" s="158">
        <v>7781.89</v>
      </c>
      <c r="Q82" s="158">
        <v>9224</v>
      </c>
      <c r="R82" s="158">
        <v>8979</v>
      </c>
      <c r="S82" s="158">
        <v>9656</v>
      </c>
      <c r="T82" s="158">
        <v>6055</v>
      </c>
      <c r="U82" s="158">
        <v>8475</v>
      </c>
      <c r="V82" s="158">
        <v>8059</v>
      </c>
      <c r="W82" s="158">
        <v>6080.92</v>
      </c>
      <c r="X82" s="158">
        <v>6848.22</v>
      </c>
      <c r="Y82" s="158">
        <v>9263.99</v>
      </c>
      <c r="Z82" s="158">
        <v>14432.4</v>
      </c>
      <c r="AA82" s="158">
        <f>SUM(O82:Z82)</f>
        <v>105285.17</v>
      </c>
      <c r="AB82" s="159">
        <f>IF(AA82=0,"",IFERROR(AA82/AA$19,""))</f>
        <v>0.13048492984839838</v>
      </c>
      <c r="AC82" s="136"/>
      <c r="AD82" s="158">
        <v>119346.08</v>
      </c>
      <c r="AE82" s="159">
        <f>IF(AD82=0,"",IFERROR(AD82/AD$19,""))</f>
        <v>4.8846487262265842E-2</v>
      </c>
      <c r="AF82" s="160">
        <f>IF(AND($AA82="",AD82=""),"",$AA82-AD82)</f>
        <v>-14060.910000000003</v>
      </c>
      <c r="AG82" s="158">
        <v>46436.06</v>
      </c>
      <c r="AH82" s="159">
        <f>IF(AG82=0,"",IFERROR(AG82/AG$19,""))</f>
        <v>0.20202376773752989</v>
      </c>
      <c r="AI82" s="160">
        <f>IF(AND($AA82="",AG82=""),"",$AA82-AG82)</f>
        <v>58849.11</v>
      </c>
    </row>
    <row r="83" spans="1:35" x14ac:dyDescent="0.25">
      <c r="A83" s="11"/>
      <c r="B83" s="11"/>
      <c r="C83" s="204"/>
      <c r="D83" s="11"/>
      <c r="E83" s="11"/>
      <c r="F83" s="11"/>
      <c r="G83" s="11"/>
      <c r="H83" s="84"/>
      <c r="I83" s="118"/>
      <c r="J83" s="118"/>
      <c r="K83" s="86"/>
      <c r="L83" s="86"/>
      <c r="M83" s="86"/>
      <c r="N83" s="487"/>
      <c r="O83" s="499"/>
      <c r="P83" s="500"/>
      <c r="Q83" s="500"/>
      <c r="R83" s="500"/>
      <c r="S83" s="500"/>
      <c r="T83" s="500"/>
      <c r="U83" s="500"/>
      <c r="V83" s="500"/>
      <c r="W83" s="500"/>
      <c r="X83" s="500"/>
      <c r="Y83" s="500"/>
      <c r="Z83" s="500"/>
      <c r="AA83" s="500"/>
      <c r="AB83" s="501"/>
      <c r="AC83" s="136"/>
      <c r="AD83" s="499"/>
      <c r="AE83" s="500"/>
      <c r="AF83" s="157"/>
      <c r="AG83" s="499"/>
      <c r="AH83" s="500"/>
      <c r="AI83" s="157"/>
    </row>
    <row r="84" spans="1:35" x14ac:dyDescent="0.25">
      <c r="A84" s="11"/>
      <c r="B84" s="11"/>
      <c r="C84" s="204"/>
      <c r="D84" s="11"/>
      <c r="E84" s="11"/>
      <c r="F84" s="11"/>
      <c r="G84" s="11"/>
      <c r="H84" s="84" t="s">
        <v>486</v>
      </c>
      <c r="I84" s="118" t="str">
        <f>IF(_epmOfflineCondition_,"T5",_xll.EVPRO($B$1,$H84,"STYLE"))</f>
        <v>T5</v>
      </c>
      <c r="J84" s="118" t="str">
        <f>IF(_epmOfflineCondition_,"Y",_xll.EVPRO($B$1,$H84,"CALC"))</f>
        <v>Y</v>
      </c>
      <c r="K84" s="86"/>
      <c r="L84" s="86" t="str">
        <f>IF(_epmOfflineCondition_,"",_xll.EVPRO($B$1,H84,"JDEID"))</f>
        <v/>
      </c>
      <c r="M84" s="86" t="str">
        <f>IF(_epmOfflineCondition_,"",IF(AND(I84="N",J84="N"),_xll.EVPRO($B$1,H84,"PSFTID"),""))</f>
        <v/>
      </c>
      <c r="N84" s="86" t="str">
        <f>IF(_epmOfflineCondition_,"Food &amp; Beverage: Allowances",IF(_xll.EVDES(H84,$B$1)="#NODATA","",_xll.EVDES(H84,$B$1)))</f>
        <v>Food &amp; Beverage: Allowances</v>
      </c>
      <c r="O84" s="134">
        <v>-292.64</v>
      </c>
      <c r="P84" s="134"/>
      <c r="Q84" s="134">
        <v>-86.36</v>
      </c>
      <c r="R84" s="134">
        <v>-171.21</v>
      </c>
      <c r="S84" s="134">
        <v>-274.17</v>
      </c>
      <c r="T84" s="134">
        <v>-20.32</v>
      </c>
      <c r="U84" s="134"/>
      <c r="V84" s="134">
        <v>-65.319999999999993</v>
      </c>
      <c r="W84" s="134">
        <v>0</v>
      </c>
      <c r="X84" s="134"/>
      <c r="Y84" s="134">
        <v>-20.32</v>
      </c>
      <c r="Z84" s="134">
        <v>-286.19</v>
      </c>
      <c r="AA84" s="134">
        <f>SUM(O84:Z84)</f>
        <v>-1216.5300000000002</v>
      </c>
      <c r="AB84" s="138">
        <f>IF(AA84=0,"",IFERROR(AA84/AA$19,""))</f>
        <v>-1.5077036177884512E-3</v>
      </c>
      <c r="AC84" s="136"/>
      <c r="AD84" s="134"/>
      <c r="AE84" s="138" t="str">
        <f>IF(AD84=0,"",IFERROR(AD84/AD$19,""))</f>
        <v/>
      </c>
      <c r="AF84" s="137">
        <f>IF(AND($AA84="",AD84=""),"",$AA84-AD84)</f>
        <v>-1216.5300000000002</v>
      </c>
      <c r="AG84" s="134">
        <v>-756.68</v>
      </c>
      <c r="AH84" s="138">
        <f>IF(AG84=0,"",IFERROR(AG84/AG$19,""))</f>
        <v>-3.2919964478389015E-3</v>
      </c>
      <c r="AI84" s="137">
        <f>IF(AND($AA84="",AG84=""),"",$AA84-AG84)</f>
        <v>-459.85000000000025</v>
      </c>
    </row>
    <row r="85" spans="1:35" x14ac:dyDescent="0.25">
      <c r="A85" s="11"/>
      <c r="B85" s="11"/>
      <c r="C85" s="204"/>
      <c r="D85" s="11"/>
      <c r="E85" s="11"/>
      <c r="F85" s="11"/>
      <c r="G85" s="11"/>
      <c r="H85" s="181"/>
      <c r="I85" s="118"/>
      <c r="J85" s="118"/>
      <c r="K85" s="11"/>
      <c r="L85" s="86"/>
      <c r="M85" s="86"/>
      <c r="N85" s="49" t="s">
        <v>348</v>
      </c>
      <c r="O85" s="154"/>
      <c r="P85" s="155"/>
      <c r="Q85" s="155"/>
      <c r="R85" s="155"/>
      <c r="S85" s="155"/>
      <c r="T85" s="155"/>
      <c r="U85" s="155"/>
      <c r="V85" s="155"/>
      <c r="W85" s="155"/>
      <c r="X85" s="155"/>
      <c r="Y85" s="155"/>
      <c r="Z85" s="155"/>
      <c r="AA85" s="155"/>
      <c r="AB85" s="156"/>
      <c r="AC85" s="136"/>
      <c r="AD85" s="154"/>
      <c r="AE85" s="155"/>
      <c r="AF85" s="156"/>
      <c r="AG85" s="154"/>
      <c r="AH85" s="155"/>
      <c r="AI85" s="156"/>
    </row>
    <row r="86" spans="1:35" x14ac:dyDescent="0.25">
      <c r="A86" s="11"/>
      <c r="B86" s="11"/>
      <c r="C86" s="204"/>
      <c r="D86" s="11"/>
      <c r="E86" s="11"/>
      <c r="F86" s="11"/>
      <c r="G86" s="11"/>
      <c r="H86" s="181"/>
      <c r="I86" s="118"/>
      <c r="J86" s="118"/>
      <c r="K86" s="11"/>
      <c r="L86" s="86"/>
      <c r="M86" s="86"/>
      <c r="N86" s="49"/>
      <c r="O86" s="154"/>
      <c r="P86" s="155"/>
      <c r="Q86" s="155"/>
      <c r="R86" s="155"/>
      <c r="S86" s="155"/>
      <c r="T86" s="155"/>
      <c r="U86" s="155"/>
      <c r="V86" s="155"/>
      <c r="W86" s="155"/>
      <c r="X86" s="155"/>
      <c r="Y86" s="155"/>
      <c r="Z86" s="155"/>
      <c r="AA86" s="155"/>
      <c r="AB86" s="156"/>
      <c r="AC86" s="136"/>
      <c r="AD86" s="154"/>
      <c r="AE86" s="155"/>
      <c r="AF86" s="156"/>
      <c r="AG86" s="154"/>
      <c r="AH86" s="155"/>
      <c r="AI86" s="156"/>
    </row>
    <row r="87" spans="1:35" x14ac:dyDescent="0.25">
      <c r="A87" s="11"/>
      <c r="B87" s="11"/>
      <c r="C87" s="204"/>
      <c r="D87" s="11"/>
      <c r="E87" s="11"/>
      <c r="F87" s="11"/>
      <c r="G87" s="11"/>
      <c r="H87" s="181" t="s">
        <v>273</v>
      </c>
      <c r="I87" s="118" t="str">
        <f>IF(_epmOfflineCondition_,"T4",_xll.EVPRO($B$1,$H87,"STYLE"))</f>
        <v>T4</v>
      </c>
      <c r="J87" s="118" t="str">
        <f>IF(_epmOfflineCondition_,"Y",_xll.EVPRO($B$1,$H87,"CALC"))</f>
        <v>Y</v>
      </c>
      <c r="K87" s="11"/>
      <c r="L87" s="86" t="str">
        <f>IF(_epmOfflineCondition_,"",_xll.EVPRO($B$1,H87,"JDEID"))</f>
        <v/>
      </c>
      <c r="M87" s="86" t="str">
        <f>IF(_epmOfflineCondition_,"",IF(AND(I87="N",J87="N"),_xll.EVPRO($B$1,H87,"PSFTID"),""))</f>
        <v/>
      </c>
      <c r="N87" s="86" t="str">
        <f>IF(_epmOfflineCondition_,"Total Food &amp; Beverage Revenue",IF(_xll.EVDES(H87,$B$1)="#NODATA","",_xll.EVDES(H87,$B$1)))</f>
        <v>Total Food &amp; Beverage Revenue</v>
      </c>
      <c r="O87" s="502">
        <v>71293.8</v>
      </c>
      <c r="P87" s="502">
        <v>74162.240000000005</v>
      </c>
      <c r="Q87" s="502">
        <v>75801.78</v>
      </c>
      <c r="R87" s="502">
        <v>54054.11</v>
      </c>
      <c r="S87" s="502">
        <v>49249.67</v>
      </c>
      <c r="T87" s="502">
        <v>43811.83</v>
      </c>
      <c r="U87" s="502">
        <v>46083.45</v>
      </c>
      <c r="V87" s="502">
        <v>47392</v>
      </c>
      <c r="W87" s="502">
        <v>31411.02</v>
      </c>
      <c r="X87" s="502">
        <v>60935.81</v>
      </c>
      <c r="Y87" s="502">
        <v>108070.32</v>
      </c>
      <c r="Z87" s="502">
        <v>144610.06</v>
      </c>
      <c r="AA87" s="502">
        <f>SUM(O87:Z87)</f>
        <v>806876.09000000008</v>
      </c>
      <c r="AB87" s="503">
        <f>IF(AA87=0,"",IFERROR(AA87/AA$19,""))</f>
        <v>1</v>
      </c>
      <c r="AC87" s="136"/>
      <c r="AD87" s="502">
        <v>2443288.8972999998</v>
      </c>
      <c r="AE87" s="503">
        <f>IF(AD87=0,"",IFERROR(AD87/AD$19,""))</f>
        <v>1</v>
      </c>
      <c r="AF87" s="504">
        <f>IF(AND($AA87="",AD87=""),"",$AA87-AD87)</f>
        <v>-1636412.8072999998</v>
      </c>
      <c r="AG87" s="502">
        <v>229854.44</v>
      </c>
      <c r="AH87" s="503">
        <f>IF(AG87=0,"",IFERROR(AG87/AG$19,""))</f>
        <v>1</v>
      </c>
      <c r="AI87" s="504">
        <f>IF(AND($AA87="",AG87=""),"",$AA87-AG87)</f>
        <v>577021.65000000014</v>
      </c>
    </row>
    <row r="88" spans="1:35" x14ac:dyDescent="0.25">
      <c r="A88" s="11"/>
      <c r="B88" s="11"/>
      <c r="C88" s="204"/>
      <c r="D88" s="11"/>
      <c r="E88" s="11"/>
      <c r="F88" s="11"/>
      <c r="G88" s="11"/>
      <c r="H88" s="181" t="s">
        <v>768</v>
      </c>
      <c r="I88" s="118" t="str">
        <f>IF(_epmOfflineCondition_,"N",_xll.EVPRO($B$1,$H88,"STYLE"))</f>
        <v>N</v>
      </c>
      <c r="J88" s="118" t="str">
        <f>IF(_epmOfflineCondition_,"N",_xll.EVPRO($B$1,$H88,"CALC"))</f>
        <v>N</v>
      </c>
      <c r="K88" s="11"/>
      <c r="L88" s="86" t="str">
        <f>IF(_epmOfflineCondition_,"947500",_xll.EVPRO($B$1,H88,"JDEID"))</f>
        <v>947500</v>
      </c>
      <c r="M88" s="86" t="str">
        <f>IF(_epmOfflineCondition_,"991552",IF(AND(I88="N",J88="N"),_xll.EVPRO($B$1,H88,"PSFTID"),""))</f>
        <v>991552</v>
      </c>
      <c r="N88" s="86" t="str">
        <f>IF(_epmOfflineCondition_,"# of Seats in Outlet",IF(_xll.EVDES(H88,$B$1)="#NODATA","",_xll.EVDES(H88,$B$1)))</f>
        <v># of Seats in Outlet</v>
      </c>
      <c r="O88" s="502"/>
      <c r="P88" s="502"/>
      <c r="Q88" s="502"/>
      <c r="R88" s="502"/>
      <c r="S88" s="502"/>
      <c r="T88" s="502"/>
      <c r="U88" s="502"/>
      <c r="V88" s="502"/>
      <c r="W88" s="502"/>
      <c r="X88" s="502"/>
      <c r="Y88" s="502">
        <v>68</v>
      </c>
      <c r="Z88" s="502">
        <v>140</v>
      </c>
      <c r="AA88" s="502">
        <f>SUM(O88:Z88)</f>
        <v>208</v>
      </c>
      <c r="AB88" s="503"/>
      <c r="AC88" s="136"/>
      <c r="AD88" s="502"/>
      <c r="AE88" s="503"/>
      <c r="AF88" s="504">
        <f>IF(AND($AA88="",AD88=""),"",$AA88-AD88)</f>
        <v>208</v>
      </c>
      <c r="AG88" s="502">
        <v>26</v>
      </c>
      <c r="AH88" s="503"/>
      <c r="AI88" s="504">
        <f>IF(AND($AA88="",AG88=""),"",$AA88-AG88)</f>
        <v>182</v>
      </c>
    </row>
    <row r="89" spans="1:35" x14ac:dyDescent="0.25">
      <c r="A89" s="11"/>
      <c r="B89" s="11"/>
      <c r="C89" s="204"/>
      <c r="D89" s="11"/>
      <c r="E89" s="11"/>
      <c r="F89" s="11"/>
      <c r="G89" s="11"/>
      <c r="H89" s="181" t="s">
        <v>331</v>
      </c>
      <c r="I89" s="118" t="str">
        <f>IF(_epmOfflineCondition_,"T2",_xll.EVPRO($B$1,$H89,"STYLE"))</f>
        <v>T2</v>
      </c>
      <c r="J89" s="118" t="str">
        <f>IF(_epmOfflineCondition_,"Y",_xll.EVPRO($B$1,$H89,"CALC"))</f>
        <v>Y</v>
      </c>
      <c r="K89" s="11"/>
      <c r="L89" s="86" t="str">
        <f>IF(_epmOfflineCondition_,"946000",_xll.EVPRO($B$1,H89,"JDEID"))</f>
        <v>946000</v>
      </c>
      <c r="M89" s="86" t="str">
        <f>IF(_epmOfflineCondition_,"",IF(AND(I89="N",J89="N"),_xll.EVPRO($B$1,H89,"PSFTID"),""))</f>
        <v/>
      </c>
      <c r="N89" s="86" t="str">
        <f>IF(_epmOfflineCondition_,"Total Customers (excl Mini Bar)",IF(_xll.EVDES(H89,$B$1)="#NODATA","",_xll.EVDES(H89,$B$1))&amp;" (excl Mini Bar)")</f>
        <v>Total Customers (excl Mini Bar)</v>
      </c>
      <c r="O89" s="502">
        <v>2499</v>
      </c>
      <c r="P89" s="502">
        <v>3250</v>
      </c>
      <c r="Q89" s="502">
        <v>3398</v>
      </c>
      <c r="R89" s="502">
        <v>2750</v>
      </c>
      <c r="S89" s="502">
        <v>2507</v>
      </c>
      <c r="T89" s="502">
        <v>2183</v>
      </c>
      <c r="U89" s="502">
        <v>2371</v>
      </c>
      <c r="V89" s="502">
        <v>2344</v>
      </c>
      <c r="W89" s="502">
        <v>1517</v>
      </c>
      <c r="X89" s="502">
        <v>2558</v>
      </c>
      <c r="Y89" s="502">
        <v>3901</v>
      </c>
      <c r="Z89" s="502">
        <v>4953</v>
      </c>
      <c r="AA89" s="502">
        <f>SUM(O89:Z89)</f>
        <v>34231</v>
      </c>
      <c r="AB89" s="503">
        <f>IF(AA89=0,"",IFERROR(AA89/AA$20,""))</f>
        <v>1</v>
      </c>
      <c r="AC89" s="136"/>
      <c r="AD89" s="502">
        <v>73592.75</v>
      </c>
      <c r="AE89" s="503">
        <f>IF(AD89=0,"",IFERROR(AD89/AD$20,""))</f>
        <v>1</v>
      </c>
      <c r="AF89" s="504">
        <f>IF(AND($AA89="",AD89=""),"",$AA89-AD89)</f>
        <v>-39361.75</v>
      </c>
      <c r="AG89" s="502">
        <v>10637</v>
      </c>
      <c r="AH89" s="503">
        <f>IF(AG89=0,"",IFERROR(AG89/AG$20,""))</f>
        <v>1</v>
      </c>
      <c r="AI89" s="504">
        <f>IF(AND($AA89="",AG89=""),"",$AA89-AG89)</f>
        <v>23594</v>
      </c>
    </row>
    <row r="90" spans="1:35" x14ac:dyDescent="0.25">
      <c r="A90" s="11"/>
      <c r="B90" s="11"/>
      <c r="C90" s="204"/>
      <c r="D90" s="11"/>
      <c r="E90" s="11"/>
      <c r="F90" s="11"/>
      <c r="G90" s="11"/>
      <c r="H90" s="181" t="s">
        <v>311</v>
      </c>
      <c r="I90" s="118" t="str">
        <f>IF(_epmOfflineCondition_,"N",_xll.EVPRO($B$1,$H90,"STYLE"))</f>
        <v>N</v>
      </c>
      <c r="J90" s="118" t="str">
        <f>IF(_epmOfflineCondition_,"Y",_xll.EVPRO($B$1,$H90,"CALC"))</f>
        <v>Y</v>
      </c>
      <c r="K90" s="11"/>
      <c r="L90" s="86"/>
      <c r="M90" s="86"/>
      <c r="N90" s="86" t="str">
        <f>IF(_epmOfflineCondition_,"Total Average Check (excl Mini Bar)",IF(_xll.EVDES(H90,$B$1)="#NODATA","",_xll.EVDES(H90,$B$1))&amp;" (excl Mini Bar)")</f>
        <v>Total Average Check (excl Mini Bar)</v>
      </c>
      <c r="O90" s="490">
        <v>24.355362144857899</v>
      </c>
      <c r="P90" s="490">
        <v>20.424723076923101</v>
      </c>
      <c r="Q90" s="490">
        <v>19.593225426721599</v>
      </c>
      <c r="R90" s="490">
        <v>16.3909490909091</v>
      </c>
      <c r="S90" s="490">
        <v>15.793246908655799</v>
      </c>
      <c r="T90" s="490">
        <v>17.295845167201101</v>
      </c>
      <c r="U90" s="490">
        <v>15.861851539434801</v>
      </c>
      <c r="V90" s="490">
        <v>16.780290102389099</v>
      </c>
      <c r="W90" s="490">
        <v>16.697495056031599</v>
      </c>
      <c r="X90" s="490">
        <v>21.144483971852999</v>
      </c>
      <c r="Y90" s="490">
        <v>25.328461932837701</v>
      </c>
      <c r="Z90" s="490">
        <v>26.2825883303049</v>
      </c>
      <c r="AA90" s="490">
        <f>IFERROR(AA87/AA89,"")</f>
        <v>23.571502147176538</v>
      </c>
      <c r="AB90" s="490"/>
      <c r="AC90" s="136"/>
      <c r="AD90" s="490">
        <v>31.578420663720301</v>
      </c>
      <c r="AE90" s="490"/>
      <c r="AF90" s="491">
        <f>IF(AND($AA90="",AD90=""),"",$AA90-AD90)</f>
        <v>-8.0069185165437631</v>
      </c>
      <c r="AG90" s="490">
        <v>17.243431418633101</v>
      </c>
      <c r="AH90" s="490"/>
      <c r="AI90" s="491">
        <f>IF(AND($AA90="",AG90=""),"",$AA90-AG90)</f>
        <v>6.3280707285434374</v>
      </c>
    </row>
    <row r="91" spans="1:35" x14ac:dyDescent="0.25">
      <c r="A91" s="11"/>
      <c r="B91" s="11"/>
      <c r="C91" s="204"/>
      <c r="D91" s="11"/>
      <c r="E91" s="11"/>
      <c r="F91" s="11"/>
      <c r="G91" s="11"/>
      <c r="H91" s="181"/>
      <c r="I91" s="118"/>
      <c r="J91" s="118"/>
      <c r="K91" s="11"/>
      <c r="L91" s="86"/>
      <c r="M91" s="86"/>
      <c r="N91" s="86"/>
      <c r="O91" s="166"/>
      <c r="P91" s="167"/>
      <c r="Q91" s="167"/>
      <c r="R91" s="167"/>
      <c r="S91" s="167"/>
      <c r="T91" s="167"/>
      <c r="U91" s="167"/>
      <c r="V91" s="167"/>
      <c r="W91" s="167"/>
      <c r="X91" s="167"/>
      <c r="Y91" s="167"/>
      <c r="Z91" s="167"/>
      <c r="AA91" s="167"/>
      <c r="AB91" s="168"/>
      <c r="AC91" s="136"/>
      <c r="AD91" s="166"/>
      <c r="AE91" s="167"/>
      <c r="AF91" s="168"/>
      <c r="AG91" s="166"/>
      <c r="AH91" s="167"/>
      <c r="AI91" s="168"/>
    </row>
    <row r="92" spans="1:35" x14ac:dyDescent="0.25">
      <c r="A92" s="11"/>
      <c r="B92" s="11"/>
      <c r="C92" s="204"/>
      <c r="D92" s="11"/>
      <c r="E92" s="11"/>
      <c r="F92" s="11"/>
      <c r="G92" s="11"/>
      <c r="H92" s="181"/>
      <c r="I92" s="118"/>
      <c r="J92" s="118"/>
      <c r="K92" s="11"/>
      <c r="L92" s="86"/>
      <c r="M92" s="86"/>
      <c r="N92" s="49" t="s">
        <v>334</v>
      </c>
      <c r="O92" s="154"/>
      <c r="P92" s="155"/>
      <c r="Q92" s="155"/>
      <c r="R92" s="155"/>
      <c r="S92" s="155"/>
      <c r="T92" s="155"/>
      <c r="U92" s="155"/>
      <c r="V92" s="155"/>
      <c r="W92" s="155"/>
      <c r="X92" s="155"/>
      <c r="Y92" s="155"/>
      <c r="Z92" s="155"/>
      <c r="AA92" s="155"/>
      <c r="AB92" s="156"/>
      <c r="AC92" s="136"/>
      <c r="AD92" s="154"/>
      <c r="AE92" s="155"/>
      <c r="AF92" s="156"/>
      <c r="AG92" s="154"/>
      <c r="AH92" s="155"/>
      <c r="AI92" s="156"/>
    </row>
    <row r="93" spans="1:35" hidden="1" outlineLevel="1" x14ac:dyDescent="0.25">
      <c r="A93" s="11"/>
      <c r="B93" s="11"/>
      <c r="C93" s="204"/>
      <c r="D93" s="11"/>
      <c r="E93" s="11"/>
      <c r="F93" s="11"/>
      <c r="G93" s="11"/>
      <c r="H93" s="181" t="s">
        <v>332</v>
      </c>
      <c r="I93" s="118" t="str">
        <f>IF(_epmOfflineCondition_,"T4",_xll.EVPRO($B$1,$H93,"STYLE"))</f>
        <v>T4</v>
      </c>
      <c r="J93" s="118" t="str">
        <f>IF(_epmOfflineCondition_,"Y",_xll.EVPRO($B$1,$H93,"CALC"))</f>
        <v>Y</v>
      </c>
      <c r="K93" s="11"/>
      <c r="L93" s="86"/>
      <c r="M93" s="86"/>
      <c r="N93" s="86" t="str">
        <f>IF(_epmOfflineCondition_,"F&amp;B Kitchen - THW",IF(_xll.EVDES(H93,$B$1)="#NODATA","",_xll.EVDES(H93,$B$1)))</f>
        <v>F&amp;B Kitchen - THW</v>
      </c>
      <c r="O93" s="134">
        <v>555.29</v>
      </c>
      <c r="P93" s="134">
        <v>595</v>
      </c>
      <c r="Q93" s="134">
        <v>649.75</v>
      </c>
      <c r="R93" s="134">
        <v>447.25</v>
      </c>
      <c r="S93" s="134">
        <v>471</v>
      </c>
      <c r="T93" s="134">
        <v>665.25</v>
      </c>
      <c r="U93" s="134">
        <v>576.75</v>
      </c>
      <c r="V93" s="134">
        <v>647.5</v>
      </c>
      <c r="W93" s="134">
        <v>510.5</v>
      </c>
      <c r="X93" s="134">
        <v>1470.5</v>
      </c>
      <c r="Y93" s="134">
        <v>1301.75</v>
      </c>
      <c r="Z93" s="134">
        <v>1015.25</v>
      </c>
      <c r="AA93" s="134">
        <f>SUM(O93:Z93)</f>
        <v>8905.7900000000009</v>
      </c>
      <c r="AB93" s="138"/>
      <c r="AC93" s="136"/>
      <c r="AD93" s="134">
        <v>17234.428571428602</v>
      </c>
      <c r="AE93" s="138"/>
      <c r="AF93" s="137">
        <f>IF(AND($AA93="",AD93=""),"",$AA93-AD93)</f>
        <v>-8328.6385714286007</v>
      </c>
      <c r="AG93" s="134">
        <v>2744.31</v>
      </c>
      <c r="AH93" s="138"/>
      <c r="AI93" s="137">
        <f>IF(AND($AA93="",AG93=""),"",$AA93-AG93)</f>
        <v>6161.4800000000014</v>
      </c>
    </row>
    <row r="94" spans="1:35" hidden="1" outlineLevel="1" x14ac:dyDescent="0.25">
      <c r="A94" s="11"/>
      <c r="B94" s="11"/>
      <c r="C94" s="204"/>
      <c r="D94" s="11"/>
      <c r="E94" s="11"/>
      <c r="F94" s="11"/>
      <c r="G94" s="11"/>
      <c r="H94" s="181" t="s">
        <v>333</v>
      </c>
      <c r="I94" s="118" t="str">
        <f>IF(_epmOfflineCondition_,"T4",_xll.EVPRO($B$1,$H94,"STYLE"))</f>
        <v>T4</v>
      </c>
      <c r="J94" s="118" t="str">
        <f>IF(_epmOfflineCondition_,"Y",_xll.EVPRO($B$1,$H94,"CALC"))</f>
        <v>Y</v>
      </c>
      <c r="K94" s="11"/>
      <c r="L94" s="86"/>
      <c r="M94" s="86"/>
      <c r="N94" s="86" t="str">
        <f>IF(_epmOfflineCondition_,"F&amp;B Venues - THW",IF(_xll.EVDES(H94,$B$1)="#NODATA","",_xll.EVDES(H94,$B$1)))</f>
        <v>F&amp;B Venues - THW</v>
      </c>
      <c r="O94" s="134">
        <v>1407.12</v>
      </c>
      <c r="P94" s="134">
        <v>1080.81</v>
      </c>
      <c r="Q94" s="134">
        <v>1392.52</v>
      </c>
      <c r="R94" s="134">
        <v>1027.27</v>
      </c>
      <c r="S94" s="134">
        <v>1079</v>
      </c>
      <c r="T94" s="134">
        <v>1298.44</v>
      </c>
      <c r="U94" s="134">
        <v>1049.08</v>
      </c>
      <c r="V94" s="134">
        <v>1225.5</v>
      </c>
      <c r="W94" s="134">
        <v>1243.25</v>
      </c>
      <c r="X94" s="134">
        <v>3173.93</v>
      </c>
      <c r="Y94" s="134">
        <v>2906.5</v>
      </c>
      <c r="Z94" s="134">
        <v>2796.43</v>
      </c>
      <c r="AA94" s="134">
        <f>SUM(O94:Z94)</f>
        <v>19679.849999999999</v>
      </c>
      <c r="AB94" s="138"/>
      <c r="AC94" s="136"/>
      <c r="AD94" s="134">
        <v>33060</v>
      </c>
      <c r="AE94" s="138"/>
      <c r="AF94" s="137">
        <f>IF(AND($AA94="",AD94=""),"",$AA94-AD94)</f>
        <v>-13380.150000000001</v>
      </c>
      <c r="AG94" s="134">
        <v>11353.13</v>
      </c>
      <c r="AH94" s="138"/>
      <c r="AI94" s="137">
        <f>IF(AND($AA94="",AG94=""),"",$AA94-AG94)</f>
        <v>8326.7199999999993</v>
      </c>
    </row>
    <row r="95" spans="1:35" collapsed="1" x14ac:dyDescent="0.25">
      <c r="A95" s="11"/>
      <c r="B95" s="11"/>
      <c r="C95" s="204"/>
      <c r="D95" s="11"/>
      <c r="E95" s="11"/>
      <c r="F95" s="11"/>
      <c r="G95" s="11"/>
      <c r="H95" s="181"/>
      <c r="I95" s="118"/>
      <c r="J95" s="118"/>
      <c r="K95" s="11"/>
      <c r="L95" s="86"/>
      <c r="M95" s="86"/>
      <c r="N95" s="100" t="s">
        <v>335</v>
      </c>
      <c r="O95" s="505">
        <f t="shared" ref="O95:AA95" si="25">IFERROR(O$89/O93,"")</f>
        <v>4.5003511678582369</v>
      </c>
      <c r="P95" s="505">
        <f t="shared" si="25"/>
        <v>5.46218487394958</v>
      </c>
      <c r="Q95" s="505">
        <f t="shared" si="25"/>
        <v>5.229703732204694</v>
      </c>
      <c r="R95" s="505">
        <f t="shared" si="25"/>
        <v>6.1486864169927333</v>
      </c>
      <c r="S95" s="505">
        <f t="shared" si="25"/>
        <v>5.3227176220806793</v>
      </c>
      <c r="T95" s="505">
        <f t="shared" si="25"/>
        <v>3.2814731304021043</v>
      </c>
      <c r="U95" s="505">
        <f t="shared" si="25"/>
        <v>4.110966623320329</v>
      </c>
      <c r="V95" s="505">
        <f t="shared" si="25"/>
        <v>3.6200772200772202</v>
      </c>
      <c r="W95" s="505">
        <f t="shared" si="25"/>
        <v>2.9715964740450538</v>
      </c>
      <c r="X95" s="505">
        <f t="shared" si="25"/>
        <v>1.7395443726623598</v>
      </c>
      <c r="Y95" s="505">
        <f t="shared" si="25"/>
        <v>2.9967351642020357</v>
      </c>
      <c r="Z95" s="505">
        <f t="shared" si="25"/>
        <v>4.878601329721743</v>
      </c>
      <c r="AA95" s="505">
        <f t="shared" si="25"/>
        <v>3.8436792244146782</v>
      </c>
      <c r="AB95" s="506"/>
      <c r="AC95" s="136"/>
      <c r="AD95" s="505">
        <f>IFERROR(AD$89/AD93,"")</f>
        <v>4.2701009607015781</v>
      </c>
      <c r="AE95" s="506"/>
      <c r="AF95" s="226">
        <f>IF(AND($AA95="",AD95=""),"",$AA95-AD95)</f>
        <v>-0.42642173628689983</v>
      </c>
      <c r="AG95" s="505">
        <f>IFERROR(AG$89/AG93,"")</f>
        <v>3.8760198374090393</v>
      </c>
      <c r="AH95" s="506"/>
      <c r="AI95" s="226">
        <f>IF(AND($AA95="",AG95=""),"",$AA95-AG95)</f>
        <v>-3.2340612994361084E-2</v>
      </c>
    </row>
    <row r="96" spans="1:35" x14ac:dyDescent="0.25">
      <c r="A96" s="11"/>
      <c r="B96" s="11"/>
      <c r="C96" s="204"/>
      <c r="D96" s="11"/>
      <c r="E96" s="11"/>
      <c r="F96" s="11"/>
      <c r="G96" s="11"/>
      <c r="H96" s="181"/>
      <c r="I96" s="118"/>
      <c r="J96" s="118"/>
      <c r="K96" s="11"/>
      <c r="L96" s="86"/>
      <c r="M96" s="86"/>
      <c r="N96" s="100" t="s">
        <v>336</v>
      </c>
      <c r="O96" s="505">
        <f t="shared" ref="O96:AA96" si="26">IFERROR(O$89/O94,"")</f>
        <v>1.7759679345045201</v>
      </c>
      <c r="P96" s="505">
        <f t="shared" si="26"/>
        <v>3.0070040062545687</v>
      </c>
      <c r="Q96" s="505">
        <f t="shared" si="26"/>
        <v>2.4401803923821563</v>
      </c>
      <c r="R96" s="505">
        <f t="shared" si="26"/>
        <v>2.6769982575174978</v>
      </c>
      <c r="S96" s="505">
        <f t="shared" si="26"/>
        <v>2.3234476367006489</v>
      </c>
      <c r="T96" s="505">
        <f t="shared" si="26"/>
        <v>1.6812482671513507</v>
      </c>
      <c r="U96" s="505">
        <f t="shared" si="26"/>
        <v>2.2600754947191826</v>
      </c>
      <c r="V96" s="505">
        <f t="shared" si="26"/>
        <v>1.9126886984904121</v>
      </c>
      <c r="W96" s="505">
        <f t="shared" si="26"/>
        <v>1.220189020711844</v>
      </c>
      <c r="X96" s="505">
        <f t="shared" si="26"/>
        <v>0.80594089976779582</v>
      </c>
      <c r="Y96" s="505">
        <f t="shared" si="26"/>
        <v>1.342164114914846</v>
      </c>
      <c r="Z96" s="505">
        <f t="shared" si="26"/>
        <v>1.7711868346427411</v>
      </c>
      <c r="AA96" s="505">
        <f t="shared" si="26"/>
        <v>1.7393933388719935</v>
      </c>
      <c r="AB96" s="506"/>
      <c r="AC96" s="136"/>
      <c r="AD96" s="505">
        <f>IFERROR(AD$89/AD94,"")</f>
        <v>2.2260359951603146</v>
      </c>
      <c r="AE96" s="506"/>
      <c r="AF96" s="226">
        <f>IF(AND($AA96="",AD96=""),"",$AA96-AD96)</f>
        <v>-0.48664265628832104</v>
      </c>
      <c r="AG96" s="505">
        <f>IFERROR(AG$89/AG94,"")</f>
        <v>0.93692224082697906</v>
      </c>
      <c r="AH96" s="506"/>
      <c r="AI96" s="226">
        <f>IF(AND($AA96="",AG96=""),"",$AA96-AG96)</f>
        <v>0.80247109804501449</v>
      </c>
    </row>
    <row r="97" spans="1:35" x14ac:dyDescent="0.25">
      <c r="A97" s="11"/>
      <c r="B97" s="11"/>
      <c r="C97" s="204"/>
      <c r="D97" s="11"/>
      <c r="E97" s="11"/>
      <c r="F97" s="11"/>
      <c r="G97" s="11"/>
      <c r="H97" s="181"/>
      <c r="I97" s="118"/>
      <c r="J97" s="118"/>
      <c r="K97" s="11"/>
      <c r="L97" s="86"/>
      <c r="M97" s="86"/>
      <c r="N97" s="86"/>
      <c r="O97" s="507"/>
      <c r="P97" s="508"/>
      <c r="Q97" s="508"/>
      <c r="R97" s="508"/>
      <c r="S97" s="508"/>
      <c r="T97" s="508"/>
      <c r="U97" s="508"/>
      <c r="V97" s="508"/>
      <c r="W97" s="508"/>
      <c r="X97" s="508"/>
      <c r="Y97" s="508"/>
      <c r="Z97" s="508"/>
      <c r="AA97" s="508"/>
      <c r="AB97" s="153"/>
      <c r="AC97" s="136"/>
      <c r="AD97" s="509"/>
      <c r="AE97" s="477"/>
      <c r="AF97" s="153"/>
      <c r="AG97" s="477"/>
      <c r="AH97" s="477"/>
      <c r="AI97" s="153"/>
    </row>
    <row r="98" spans="1:35" x14ac:dyDescent="0.25">
      <c r="A98" s="11"/>
      <c r="B98" s="11"/>
      <c r="C98" s="204"/>
      <c r="D98" s="11"/>
      <c r="E98" s="11"/>
      <c r="F98" s="11"/>
      <c r="G98" s="11"/>
      <c r="H98" s="181"/>
      <c r="I98" s="118"/>
      <c r="J98" s="118"/>
      <c r="K98" s="11"/>
      <c r="L98" s="86"/>
      <c r="M98" s="86"/>
      <c r="N98" s="49" t="s">
        <v>343</v>
      </c>
      <c r="O98" s="509"/>
      <c r="P98" s="477"/>
      <c r="Q98" s="477"/>
      <c r="R98" s="477"/>
      <c r="S98" s="477"/>
      <c r="T98" s="477"/>
      <c r="U98" s="477"/>
      <c r="V98" s="477"/>
      <c r="W98" s="477"/>
      <c r="X98" s="477"/>
      <c r="Y98" s="477"/>
      <c r="Z98" s="477"/>
      <c r="AA98" s="477"/>
      <c r="AB98" s="510"/>
      <c r="AC98" s="136"/>
      <c r="AD98" s="511"/>
      <c r="AE98" s="512"/>
      <c r="AF98" s="153"/>
      <c r="AG98" s="477"/>
      <c r="AH98" s="512"/>
      <c r="AI98" s="153"/>
    </row>
    <row r="99" spans="1:35" x14ac:dyDescent="0.25">
      <c r="A99" s="11"/>
      <c r="B99" s="11"/>
      <c r="C99" s="204"/>
      <c r="D99" s="11"/>
      <c r="E99" s="11"/>
      <c r="F99" s="11"/>
      <c r="G99" s="11"/>
      <c r="H99" s="181"/>
      <c r="I99" s="118"/>
      <c r="J99" s="118"/>
      <c r="K99" s="11"/>
      <c r="L99" s="86"/>
      <c r="M99" s="86"/>
      <c r="N99" s="49" t="s">
        <v>337</v>
      </c>
      <c r="O99" s="154"/>
      <c r="P99" s="155"/>
      <c r="Q99" s="155"/>
      <c r="R99" s="155"/>
      <c r="S99" s="155"/>
      <c r="T99" s="155"/>
      <c r="U99" s="155"/>
      <c r="V99" s="155"/>
      <c r="W99" s="155"/>
      <c r="X99" s="155"/>
      <c r="Y99" s="155"/>
      <c r="Z99" s="155"/>
      <c r="AA99" s="155"/>
      <c r="AB99" s="156"/>
      <c r="AC99" s="136"/>
      <c r="AD99" s="154"/>
      <c r="AE99" s="155"/>
      <c r="AF99" s="156"/>
      <c r="AG99" s="155"/>
      <c r="AH99" s="155"/>
      <c r="AI99" s="156"/>
    </row>
    <row r="100" spans="1:35" x14ac:dyDescent="0.25">
      <c r="A100" s="11"/>
      <c r="B100" s="11"/>
      <c r="C100" s="204"/>
      <c r="D100" s="11"/>
      <c r="E100" s="11"/>
      <c r="F100" s="11"/>
      <c r="G100" s="11"/>
      <c r="H100" s="181" t="s">
        <v>294</v>
      </c>
      <c r="I100" s="118"/>
      <c r="J100" s="118"/>
      <c r="K100" s="11"/>
      <c r="L100" s="86" t="str">
        <f>IF(_epmOfflineCondition_,"461200",_xll.EVPRO($B$1,H100,"JDEID"))</f>
        <v>461200</v>
      </c>
      <c r="M100" s="86" t="str">
        <f>IF(_epmOfflineCondition_,"",IF(AND(I100="N",J100="N"),_xll.EVPRO($B$1,H100,"PSFTID"),""))</f>
        <v/>
      </c>
      <c r="N100" s="86" t="str">
        <f>IF(_epmOfflineCondition_,"Breakfast Liquor",IF(_xll.EVDES(H100,$B$1)="#NODATA","",_xll.EVDES(H100,$B$1)))</f>
        <v>Breakfast Liquor</v>
      </c>
      <c r="O100" s="134">
        <v>200</v>
      </c>
      <c r="P100" s="134">
        <v>250</v>
      </c>
      <c r="Q100" s="134">
        <v>371</v>
      </c>
      <c r="R100" s="134">
        <v>251</v>
      </c>
      <c r="S100" s="134">
        <v>369</v>
      </c>
      <c r="T100" s="134">
        <v>255</v>
      </c>
      <c r="U100" s="134">
        <v>280</v>
      </c>
      <c r="V100" s="134">
        <v>238</v>
      </c>
      <c r="W100" s="134">
        <v>176</v>
      </c>
      <c r="X100" s="134"/>
      <c r="Y100" s="134">
        <v>24</v>
      </c>
      <c r="Z100" s="134">
        <v>84.2</v>
      </c>
      <c r="AA100" s="134">
        <f t="shared" ref="AA100:AA105" si="27">SUM(O100:Z100)</f>
        <v>2498.1999999999998</v>
      </c>
      <c r="AB100" s="138">
        <f t="shared" ref="AB100:AB105" si="28">IF(AA100=0,"",IFERROR(AA100/AA$19,""))</f>
        <v>3.096138342629535E-3</v>
      </c>
      <c r="AC100" s="136"/>
      <c r="AD100" s="134">
        <v>5391.1883699999998</v>
      </c>
      <c r="AE100" s="138">
        <f t="shared" ref="AE100:AE105" si="29">IF(AD100=0,"",IFERROR(AD100/AD$19,""))</f>
        <v>2.2065292303164105E-3</v>
      </c>
      <c r="AF100" s="137">
        <f t="shared" ref="AF100:AF105" si="30">IF(AND($AA100="",AD100=""),"",$AA100-AD100)</f>
        <v>-2892.98837</v>
      </c>
      <c r="AG100" s="134">
        <v>114</v>
      </c>
      <c r="AH100" s="138">
        <f t="shared" ref="AH100:AH105" si="31">IF(AG100=0,"",IFERROR(AG100/AG$19,""))</f>
        <v>4.9596605573509918E-4</v>
      </c>
      <c r="AI100" s="137">
        <f t="shared" ref="AI100:AI105" si="32">IF(AND($AA100="",AG100=""),"",$AA100-AG100)</f>
        <v>2384.1999999999998</v>
      </c>
    </row>
    <row r="101" spans="1:35" x14ac:dyDescent="0.25">
      <c r="A101" s="11"/>
      <c r="B101" s="11"/>
      <c r="C101" s="204"/>
      <c r="D101" s="11"/>
      <c r="E101" s="11"/>
      <c r="F101" s="11"/>
      <c r="G101" s="11"/>
      <c r="H101" s="181" t="s">
        <v>301</v>
      </c>
      <c r="I101" s="118"/>
      <c r="J101" s="118"/>
      <c r="K101" s="11"/>
      <c r="L101" s="86" t="str">
        <f>IF(_epmOfflineCondition_,"462200",_xll.EVPRO($B$1,H101,"JDEID"))</f>
        <v>462200</v>
      </c>
      <c r="M101" s="86" t="str">
        <f>IF(_epmOfflineCondition_,"",IF(AND(I101="N",J101="N"),_xll.EVPRO($B$1,H101,"PSFTID"),""))</f>
        <v/>
      </c>
      <c r="N101" s="86" t="str">
        <f>IF(_epmOfflineCondition_,"Lunch Liquor",IF(_xll.EVDES(H101,$B$1)="#NODATA","",_xll.EVDES(H101,$B$1)))</f>
        <v>Lunch Liquor</v>
      </c>
      <c r="O101" s="134">
        <v>692</v>
      </c>
      <c r="P101" s="134">
        <v>1527</v>
      </c>
      <c r="Q101" s="134">
        <v>2282</v>
      </c>
      <c r="R101" s="134">
        <v>1560</v>
      </c>
      <c r="S101" s="134">
        <v>1695</v>
      </c>
      <c r="T101" s="134">
        <v>1338</v>
      </c>
      <c r="U101" s="134">
        <v>1942</v>
      </c>
      <c r="V101" s="134">
        <v>875</v>
      </c>
      <c r="W101" s="134">
        <v>1826</v>
      </c>
      <c r="X101" s="134">
        <v>779.2</v>
      </c>
      <c r="Y101" s="134">
        <v>1690</v>
      </c>
      <c r="Z101" s="134">
        <v>2302</v>
      </c>
      <c r="AA101" s="134">
        <f t="shared" si="27"/>
        <v>18508.2</v>
      </c>
      <c r="AB101" s="138">
        <f t="shared" si="28"/>
        <v>2.2938094497260416E-2</v>
      </c>
      <c r="AC101" s="136"/>
      <c r="AD101" s="134">
        <v>79090.607241999998</v>
      </c>
      <c r="AE101" s="138">
        <f t="shared" si="29"/>
        <v>3.2370550747969462E-2</v>
      </c>
      <c r="AF101" s="137">
        <f t="shared" si="30"/>
        <v>-60582.407242000001</v>
      </c>
      <c r="AG101" s="134">
        <v>7183.78</v>
      </c>
      <c r="AH101" s="138">
        <f t="shared" si="31"/>
        <v>3.1253605542707813E-2</v>
      </c>
      <c r="AI101" s="137">
        <f t="shared" si="32"/>
        <v>11324.420000000002</v>
      </c>
    </row>
    <row r="102" spans="1:35" x14ac:dyDescent="0.25">
      <c r="A102" s="11"/>
      <c r="B102" s="11"/>
      <c r="C102" s="204"/>
      <c r="D102" s="11"/>
      <c r="E102" s="11"/>
      <c r="F102" s="11"/>
      <c r="G102" s="11"/>
      <c r="H102" s="181" t="s">
        <v>302</v>
      </c>
      <c r="I102" s="118"/>
      <c r="J102" s="118"/>
      <c r="K102" s="11"/>
      <c r="L102" s="86" t="str">
        <f>IF(_epmOfflineCondition_,"463200",_xll.EVPRO($B$1,H102,"JDEID"))</f>
        <v>463200</v>
      </c>
      <c r="M102" s="86" t="str">
        <f>IF(_epmOfflineCondition_,"",IF(AND(I102="N",J102="N"),_xll.EVPRO($B$1,H102,"PSFTID"),""))</f>
        <v/>
      </c>
      <c r="N102" s="86" t="str">
        <f>IF(_epmOfflineCondition_,"Dinner Liquor",IF(_xll.EVDES(H102,$B$1)="#NODATA","",_xll.EVDES(H102,$B$1)))</f>
        <v>Dinner Liquor</v>
      </c>
      <c r="O102" s="134">
        <v>2850.26</v>
      </c>
      <c r="P102" s="134"/>
      <c r="Q102" s="134">
        <v>992.82</v>
      </c>
      <c r="R102" s="134"/>
      <c r="S102" s="134"/>
      <c r="T102" s="134"/>
      <c r="U102" s="134"/>
      <c r="V102" s="134"/>
      <c r="W102" s="134"/>
      <c r="X102" s="134">
        <v>481.53</v>
      </c>
      <c r="Y102" s="134">
        <v>3550.6</v>
      </c>
      <c r="Z102" s="134">
        <v>4022.65</v>
      </c>
      <c r="AA102" s="134">
        <f t="shared" si="27"/>
        <v>11897.86</v>
      </c>
      <c r="AB102" s="138">
        <f t="shared" si="28"/>
        <v>1.4745585037722457E-2</v>
      </c>
      <c r="AC102" s="136"/>
      <c r="AD102" s="134">
        <v>213382.74705899999</v>
      </c>
      <c r="AE102" s="138">
        <f t="shared" si="29"/>
        <v>8.7334226949094068E-2</v>
      </c>
      <c r="AF102" s="137">
        <f t="shared" si="30"/>
        <v>-201484.88705899997</v>
      </c>
      <c r="AG102" s="134"/>
      <c r="AH102" s="138" t="str">
        <f t="shared" si="31"/>
        <v/>
      </c>
      <c r="AI102" s="137">
        <f t="shared" si="32"/>
        <v>11897.86</v>
      </c>
    </row>
    <row r="103" spans="1:35" x14ac:dyDescent="0.25">
      <c r="A103" s="11"/>
      <c r="B103" s="11"/>
      <c r="C103" s="204"/>
      <c r="D103" s="11"/>
      <c r="E103" s="11"/>
      <c r="F103" s="11"/>
      <c r="G103" s="11"/>
      <c r="H103" s="181" t="s">
        <v>308</v>
      </c>
      <c r="I103" s="118"/>
      <c r="J103" s="118"/>
      <c r="K103" s="11"/>
      <c r="L103" s="86" t="str">
        <f>IF(_epmOfflineCondition_,"464200",_xll.EVPRO($B$1,H103,"JDEID"))</f>
        <v>464200</v>
      </c>
      <c r="M103" s="86" t="str">
        <f>IF(_epmOfflineCondition_,"",IF(AND(I103="N",J103="N"),_xll.EVPRO($B$1,H103,"PSFTID"),""))</f>
        <v/>
      </c>
      <c r="N103" s="86" t="str">
        <f>IF(_epmOfflineCondition_,"Bar Liquor",IF(_xll.EVDES(H103,$B$1)="#NODATA","",_xll.EVDES(H103,$B$1)))</f>
        <v>Bar Liquor</v>
      </c>
      <c r="O103" s="134">
        <v>12878.4</v>
      </c>
      <c r="P103" s="134">
        <v>15160.3</v>
      </c>
      <c r="Q103" s="134">
        <v>13924.6</v>
      </c>
      <c r="R103" s="134">
        <v>12864.8</v>
      </c>
      <c r="S103" s="134">
        <v>11494.5</v>
      </c>
      <c r="T103" s="134">
        <v>12054.17</v>
      </c>
      <c r="U103" s="134">
        <v>10700.8</v>
      </c>
      <c r="V103" s="134">
        <v>11328.72</v>
      </c>
      <c r="W103" s="134">
        <v>8950.6</v>
      </c>
      <c r="X103" s="134">
        <v>10587.45</v>
      </c>
      <c r="Y103" s="134">
        <v>13849.2</v>
      </c>
      <c r="Z103" s="134">
        <v>19479</v>
      </c>
      <c r="AA103" s="134">
        <f t="shared" si="27"/>
        <v>153272.54</v>
      </c>
      <c r="AB103" s="138">
        <f t="shared" si="28"/>
        <v>0.18995796492123096</v>
      </c>
      <c r="AC103" s="136"/>
      <c r="AD103" s="134">
        <v>157140.12889200001</v>
      </c>
      <c r="AE103" s="138">
        <f t="shared" si="29"/>
        <v>6.431500141700415E-2</v>
      </c>
      <c r="AF103" s="137">
        <f t="shared" si="30"/>
        <v>-3867.5888919999998</v>
      </c>
      <c r="AG103" s="134">
        <v>54156.57</v>
      </c>
      <c r="AH103" s="138">
        <f t="shared" si="31"/>
        <v>0.2356124597810684</v>
      </c>
      <c r="AI103" s="137">
        <f t="shared" si="32"/>
        <v>99115.97</v>
      </c>
    </row>
    <row r="104" spans="1:35" x14ac:dyDescent="0.25">
      <c r="A104" s="11"/>
      <c r="B104" s="11"/>
      <c r="C104" s="204"/>
      <c r="D104" s="11"/>
      <c r="E104" s="11"/>
      <c r="F104" s="11"/>
      <c r="G104" s="11"/>
      <c r="H104" s="181" t="s">
        <v>321</v>
      </c>
      <c r="I104" s="118"/>
      <c r="J104" s="118"/>
      <c r="K104" s="11"/>
      <c r="L104" s="86" t="str">
        <f>IF(_epmOfflineCondition_,"465200",_xll.EVPRO($B$1,H104,"JDEID"))</f>
        <v>465200</v>
      </c>
      <c r="M104" s="86" t="str">
        <f>IF(_epmOfflineCondition_,"",IF(AND(I104="N",J104="N"),_xll.EVPRO($B$1,H104,"PSFTID"),""))</f>
        <v/>
      </c>
      <c r="N104" s="86" t="str">
        <f>IF(_epmOfflineCondition_,"Private Dining Liquor",IF(_xll.EVDES(H104,$B$1)="#NODATA","",_xll.EVDES(H104,$B$1)))</f>
        <v>Private Dining Liquor</v>
      </c>
      <c r="O104" s="134"/>
      <c r="P104" s="134"/>
      <c r="Q104" s="134"/>
      <c r="R104" s="134"/>
      <c r="S104" s="134"/>
      <c r="T104" s="134"/>
      <c r="U104" s="134"/>
      <c r="V104" s="134"/>
      <c r="W104" s="134"/>
      <c r="X104" s="134"/>
      <c r="Y104" s="134"/>
      <c r="Z104" s="134">
        <v>140</v>
      </c>
      <c r="AA104" s="134">
        <f t="shared" si="27"/>
        <v>140</v>
      </c>
      <c r="AB104" s="138">
        <f t="shared" si="28"/>
        <v>1.7350867343212509E-4</v>
      </c>
      <c r="AC104" s="136"/>
      <c r="AD104" s="134">
        <v>9332.9641200000005</v>
      </c>
      <c r="AE104" s="138">
        <f t="shared" si="29"/>
        <v>3.8198365041127798E-3</v>
      </c>
      <c r="AF104" s="137">
        <f t="shared" si="30"/>
        <v>-9192.9641200000005</v>
      </c>
      <c r="AG104" s="134"/>
      <c r="AH104" s="138" t="str">
        <f t="shared" si="31"/>
        <v/>
      </c>
      <c r="AI104" s="137">
        <f t="shared" si="32"/>
        <v>140</v>
      </c>
    </row>
    <row r="105" spans="1:35" x14ac:dyDescent="0.25">
      <c r="A105" s="11"/>
      <c r="B105" s="11"/>
      <c r="C105" s="204"/>
      <c r="D105" s="11"/>
      <c r="E105" s="11"/>
      <c r="F105" s="11"/>
      <c r="G105" s="11"/>
      <c r="H105" s="181" t="s">
        <v>340</v>
      </c>
      <c r="I105" s="118"/>
      <c r="J105" s="118"/>
      <c r="K105" s="11"/>
      <c r="L105" s="86" t="str">
        <f>IF(_epmOfflineCondition_,"",_xll.EVPRO($B$1,H105,"JDEID"))</f>
        <v/>
      </c>
      <c r="M105" s="86" t="str">
        <f>IF(_epmOfflineCondition_,"",IF(AND(I105="N",J105="N"),_xll.EVPRO($B$1,H105,"PSFTID"),""))</f>
        <v/>
      </c>
      <c r="N105" s="102" t="str">
        <f>IF(_epmOfflineCondition_,"Liquor Revenue ",IF(_xll.EVDES(H105,$B$1)="#NODATA","",_xll.EVDES(H105,$B$1)))</f>
        <v xml:space="preserve">Liquor Revenue </v>
      </c>
      <c r="O105" s="158">
        <v>16620.66</v>
      </c>
      <c r="P105" s="158">
        <v>16937.3</v>
      </c>
      <c r="Q105" s="158">
        <v>17570.419999999998</v>
      </c>
      <c r="R105" s="158">
        <v>14675.8</v>
      </c>
      <c r="S105" s="158">
        <v>13558.5</v>
      </c>
      <c r="T105" s="158">
        <v>13647.17</v>
      </c>
      <c r="U105" s="158">
        <v>12922.8</v>
      </c>
      <c r="V105" s="158">
        <v>12441.72</v>
      </c>
      <c r="W105" s="158">
        <v>10952.6</v>
      </c>
      <c r="X105" s="158">
        <v>11848.18</v>
      </c>
      <c r="Y105" s="158">
        <v>19113.8</v>
      </c>
      <c r="Z105" s="158">
        <v>26027.85</v>
      </c>
      <c r="AA105" s="158">
        <f t="shared" si="27"/>
        <v>186316.79999999999</v>
      </c>
      <c r="AB105" s="159">
        <f t="shared" si="28"/>
        <v>0.23091129147227546</v>
      </c>
      <c r="AC105" s="136"/>
      <c r="AD105" s="158">
        <v>464337.63568299997</v>
      </c>
      <c r="AE105" s="159">
        <f t="shared" si="29"/>
        <v>0.19004614484849688</v>
      </c>
      <c r="AF105" s="160">
        <f t="shared" si="30"/>
        <v>-278020.83568299998</v>
      </c>
      <c r="AG105" s="158">
        <v>61454.35</v>
      </c>
      <c r="AH105" s="159">
        <f t="shared" si="31"/>
        <v>0.26736203137951131</v>
      </c>
      <c r="AI105" s="160">
        <f t="shared" si="32"/>
        <v>124862.44999999998</v>
      </c>
    </row>
    <row r="106" spans="1:35" x14ac:dyDescent="0.25">
      <c r="A106" s="11"/>
      <c r="B106" s="11"/>
      <c r="C106" s="204"/>
      <c r="D106" s="11"/>
      <c r="E106" s="11"/>
      <c r="F106" s="11"/>
      <c r="G106" s="11"/>
      <c r="H106" s="181"/>
      <c r="I106" s="118"/>
      <c r="J106" s="118"/>
      <c r="K106" s="11"/>
      <c r="L106" s="86"/>
      <c r="M106" s="86"/>
      <c r="N106" s="49"/>
      <c r="O106" s="166"/>
      <c r="P106" s="167"/>
      <c r="Q106" s="167"/>
      <c r="R106" s="167"/>
      <c r="S106" s="167"/>
      <c r="T106" s="167"/>
      <c r="U106" s="167"/>
      <c r="V106" s="167"/>
      <c r="W106" s="167"/>
      <c r="X106" s="167"/>
      <c r="Y106" s="167"/>
      <c r="Z106" s="167"/>
      <c r="AA106" s="167"/>
      <c r="AB106" s="168"/>
      <c r="AC106" s="136"/>
      <c r="AD106" s="166"/>
      <c r="AE106" s="167"/>
      <c r="AF106" s="168"/>
      <c r="AG106" s="166"/>
      <c r="AH106" s="167"/>
      <c r="AI106" s="168"/>
    </row>
    <row r="107" spans="1:35" x14ac:dyDescent="0.25">
      <c r="A107" s="11"/>
      <c r="B107" s="11"/>
      <c r="C107" s="204"/>
      <c r="D107" s="11"/>
      <c r="E107" s="11"/>
      <c r="F107" s="11"/>
      <c r="G107" s="11"/>
      <c r="H107" s="181"/>
      <c r="I107" s="118"/>
      <c r="J107" s="118"/>
      <c r="K107" s="11"/>
      <c r="L107" s="86"/>
      <c r="M107" s="86"/>
      <c r="N107" s="49" t="s">
        <v>339</v>
      </c>
      <c r="O107" s="154"/>
      <c r="P107" s="155"/>
      <c r="Q107" s="155"/>
      <c r="R107" s="155"/>
      <c r="S107" s="155"/>
      <c r="T107" s="155"/>
      <c r="U107" s="155"/>
      <c r="V107" s="155"/>
      <c r="W107" s="155"/>
      <c r="X107" s="155"/>
      <c r="Y107" s="155"/>
      <c r="Z107" s="155"/>
      <c r="AA107" s="155"/>
      <c r="AB107" s="156"/>
      <c r="AC107" s="136"/>
      <c r="AD107" s="154"/>
      <c r="AE107" s="155"/>
      <c r="AF107" s="156"/>
      <c r="AG107" s="154"/>
      <c r="AH107" s="155"/>
      <c r="AI107" s="156"/>
    </row>
    <row r="108" spans="1:35" x14ac:dyDescent="0.25">
      <c r="A108" s="11"/>
      <c r="B108" s="11"/>
      <c r="C108" s="204"/>
      <c r="D108" s="11"/>
      <c r="E108" s="11"/>
      <c r="F108" s="11"/>
      <c r="G108" s="11"/>
      <c r="H108" s="181" t="s">
        <v>295</v>
      </c>
      <c r="I108" s="118"/>
      <c r="J108" s="118"/>
      <c r="K108" s="11"/>
      <c r="L108" s="86" t="str">
        <f>IF(_epmOfflineCondition_,"461300",_xll.EVPRO($B$1,H108,"JDEID"))</f>
        <v>461300</v>
      </c>
      <c r="M108" s="86" t="str">
        <f>IF(_epmOfflineCondition_,"",IF(AND(I108="N",J108="N"),_xll.EVPRO($B$1,H108,"PSFTID"),""))</f>
        <v/>
      </c>
      <c r="N108" s="86" t="str">
        <f>IF(_epmOfflineCondition_,"Breakfast Beer",IF(_xll.EVDES(H108,$B$1)="#NODATA","",_xll.EVDES(H108,$B$1)))</f>
        <v>Breakfast Beer</v>
      </c>
      <c r="O108" s="134">
        <v>7</v>
      </c>
      <c r="P108" s="134">
        <v>97</v>
      </c>
      <c r="Q108" s="134">
        <v>38</v>
      </c>
      <c r="R108" s="134">
        <v>17</v>
      </c>
      <c r="S108" s="134">
        <v>86</v>
      </c>
      <c r="T108" s="134">
        <v>19</v>
      </c>
      <c r="U108" s="134">
        <v>59</v>
      </c>
      <c r="V108" s="134">
        <v>9</v>
      </c>
      <c r="W108" s="134"/>
      <c r="X108" s="134"/>
      <c r="Y108" s="134">
        <v>12</v>
      </c>
      <c r="Z108" s="134">
        <v>8</v>
      </c>
      <c r="AA108" s="134">
        <f t="shared" ref="AA108:AA113" si="33">SUM(O108:Z108)</f>
        <v>352</v>
      </c>
      <c r="AB108" s="138">
        <f t="shared" ref="AB108:AB113" si="34">IF(AA108=0,"",IFERROR(AA108/AA$19,""))</f>
        <v>4.3625037891505743E-4</v>
      </c>
      <c r="AC108" s="136"/>
      <c r="AD108" s="134">
        <v>1029.2121050000001</v>
      </c>
      <c r="AE108" s="138">
        <f t="shared" ref="AE108:AE113" si="35">IF(AD108=0,"",IFERROR(AD108/AD$19,""))</f>
        <v>4.2124044607960579E-4</v>
      </c>
      <c r="AF108" s="137">
        <f t="shared" ref="AF108:AF113" si="36">IF(AND($AA108="",AD108=""),"",$AA108-AD108)</f>
        <v>-677.21210500000007</v>
      </c>
      <c r="AG108" s="134">
        <v>124</v>
      </c>
      <c r="AH108" s="138">
        <f t="shared" ref="AH108:AH113" si="37">IF(AG108=0,"",IFERROR(AG108/AG$19,""))</f>
        <v>5.3947185009782712E-4</v>
      </c>
      <c r="AI108" s="137">
        <f t="shared" ref="AI108:AI113" si="38">IF(AND($AA108="",AG108=""),"",$AA108-AG108)</f>
        <v>228</v>
      </c>
    </row>
    <row r="109" spans="1:35" x14ac:dyDescent="0.25">
      <c r="A109" s="11"/>
      <c r="B109" s="11"/>
      <c r="C109" s="204"/>
      <c r="D109" s="11"/>
      <c r="E109" s="11"/>
      <c r="F109" s="11"/>
      <c r="G109" s="11"/>
      <c r="H109" s="181" t="s">
        <v>305</v>
      </c>
      <c r="I109" s="118"/>
      <c r="J109" s="118"/>
      <c r="K109" s="11"/>
      <c r="L109" s="86" t="str">
        <f>IF(_epmOfflineCondition_,"462300",_xll.EVPRO($B$1,H109,"JDEID"))</f>
        <v>462300</v>
      </c>
      <c r="M109" s="86" t="str">
        <f>IF(_epmOfflineCondition_,"",IF(AND(I109="N",J109="N"),_xll.EVPRO($B$1,H109,"PSFTID"),""))</f>
        <v/>
      </c>
      <c r="N109" s="86" t="str">
        <f>IF(_epmOfflineCondition_,"Lunch Beer",IF(_xll.EVDES(H109,$B$1)="#NODATA","",_xll.EVDES(H109,$B$1)))</f>
        <v>Lunch Beer</v>
      </c>
      <c r="O109" s="134">
        <v>358</v>
      </c>
      <c r="P109" s="134">
        <v>631</v>
      </c>
      <c r="Q109" s="134">
        <v>723</v>
      </c>
      <c r="R109" s="134">
        <v>502</v>
      </c>
      <c r="S109" s="134">
        <v>696</v>
      </c>
      <c r="T109" s="134">
        <v>85</v>
      </c>
      <c r="U109" s="134">
        <v>515</v>
      </c>
      <c r="V109" s="134">
        <v>1460</v>
      </c>
      <c r="W109" s="134">
        <v>400</v>
      </c>
      <c r="X109" s="134">
        <v>169</v>
      </c>
      <c r="Y109" s="134">
        <v>590</v>
      </c>
      <c r="Z109" s="134">
        <v>850</v>
      </c>
      <c r="AA109" s="134">
        <f t="shared" si="33"/>
        <v>6979</v>
      </c>
      <c r="AB109" s="138">
        <f t="shared" si="34"/>
        <v>8.6494073705914373E-3</v>
      </c>
      <c r="AC109" s="136"/>
      <c r="AD109" s="134">
        <v>11544.900756999999</v>
      </c>
      <c r="AE109" s="138">
        <f t="shared" si="35"/>
        <v>4.7251476359418234E-3</v>
      </c>
      <c r="AF109" s="137">
        <f t="shared" si="36"/>
        <v>-4565.9007569999994</v>
      </c>
      <c r="AG109" s="134">
        <v>4317</v>
      </c>
      <c r="AH109" s="138">
        <f t="shared" si="37"/>
        <v>1.8781451426389675E-2</v>
      </c>
      <c r="AI109" s="137">
        <f t="shared" si="38"/>
        <v>2662</v>
      </c>
    </row>
    <row r="110" spans="1:35" x14ac:dyDescent="0.25">
      <c r="A110" s="11"/>
      <c r="B110" s="11"/>
      <c r="C110" s="204"/>
      <c r="D110" s="11"/>
      <c r="E110" s="11"/>
      <c r="F110" s="11"/>
      <c r="G110" s="11"/>
      <c r="H110" s="181" t="s">
        <v>306</v>
      </c>
      <c r="I110" s="118"/>
      <c r="J110" s="118"/>
      <c r="K110" s="11"/>
      <c r="L110" s="86" t="str">
        <f>IF(_epmOfflineCondition_,"463300",_xll.EVPRO($B$1,H110,"JDEID"))</f>
        <v>463300</v>
      </c>
      <c r="M110" s="86" t="str">
        <f>IF(_epmOfflineCondition_,"",IF(AND(I110="N",J110="N"),_xll.EVPRO($B$1,H110,"PSFTID"),""))</f>
        <v/>
      </c>
      <c r="N110" s="86" t="str">
        <f>IF(_epmOfflineCondition_,"Dinner Beer",IF(_xll.EVDES(H110,$B$1)="#NODATA","",_xll.EVDES(H110,$B$1)))</f>
        <v>Dinner Beer</v>
      </c>
      <c r="O110" s="134">
        <v>80.91</v>
      </c>
      <c r="P110" s="134">
        <v>696</v>
      </c>
      <c r="Q110" s="134">
        <v>283.68</v>
      </c>
      <c r="R110" s="134"/>
      <c r="S110" s="134"/>
      <c r="T110" s="134"/>
      <c r="U110" s="134"/>
      <c r="V110" s="134"/>
      <c r="W110" s="134"/>
      <c r="X110" s="134">
        <v>425.41</v>
      </c>
      <c r="Y110" s="134">
        <v>1009</v>
      </c>
      <c r="Z110" s="134">
        <v>713.6</v>
      </c>
      <c r="AA110" s="134">
        <f t="shared" si="33"/>
        <v>3208.6</v>
      </c>
      <c r="AB110" s="138">
        <f t="shared" si="34"/>
        <v>3.976570925530833E-3</v>
      </c>
      <c r="AC110" s="136"/>
      <c r="AD110" s="134">
        <v>59696.811172000002</v>
      </c>
      <c r="AE110" s="138">
        <f t="shared" si="35"/>
        <v>2.443297280070688E-2</v>
      </c>
      <c r="AF110" s="137">
        <f t="shared" si="36"/>
        <v>-56488.211172000003</v>
      </c>
      <c r="AG110" s="134"/>
      <c r="AH110" s="138" t="str">
        <f t="shared" si="37"/>
        <v/>
      </c>
      <c r="AI110" s="137">
        <f t="shared" si="38"/>
        <v>3208.6</v>
      </c>
    </row>
    <row r="111" spans="1:35" x14ac:dyDescent="0.25">
      <c r="A111" s="11"/>
      <c r="B111" s="11"/>
      <c r="C111" s="204"/>
      <c r="D111" s="11"/>
      <c r="E111" s="11"/>
      <c r="F111" s="11"/>
      <c r="G111" s="11"/>
      <c r="H111" s="181" t="s">
        <v>310</v>
      </c>
      <c r="I111" s="118"/>
      <c r="J111" s="118"/>
      <c r="K111" s="11"/>
      <c r="L111" s="86" t="str">
        <f>IF(_epmOfflineCondition_,"464300",_xll.EVPRO($B$1,H111,"JDEID"))</f>
        <v>464300</v>
      </c>
      <c r="M111" s="86" t="str">
        <f>IF(_epmOfflineCondition_,"",IF(AND(I111="N",J111="N"),_xll.EVPRO($B$1,H111,"PSFTID"),""))</f>
        <v/>
      </c>
      <c r="N111" s="86" t="str">
        <f>IF(_epmOfflineCondition_,"Bar Beer",IF(_xll.EVDES(H111,$B$1)="#NODATA","",_xll.EVDES(H111,$B$1)))</f>
        <v>Bar Beer</v>
      </c>
      <c r="O111" s="134">
        <v>2313</v>
      </c>
      <c r="P111" s="134">
        <v>2012.45</v>
      </c>
      <c r="Q111" s="134">
        <v>2904.95</v>
      </c>
      <c r="R111" s="134">
        <v>2924.05</v>
      </c>
      <c r="S111" s="134">
        <v>1711.55</v>
      </c>
      <c r="T111" s="134">
        <v>2177.58</v>
      </c>
      <c r="U111" s="134">
        <v>1985.45</v>
      </c>
      <c r="V111" s="134">
        <v>1922.05</v>
      </c>
      <c r="W111" s="134">
        <v>1433.8</v>
      </c>
      <c r="X111" s="134">
        <v>3398.75</v>
      </c>
      <c r="Y111" s="134">
        <v>2281.85</v>
      </c>
      <c r="Z111" s="134">
        <v>2971.4</v>
      </c>
      <c r="AA111" s="134">
        <f t="shared" si="33"/>
        <v>28036.880000000001</v>
      </c>
      <c r="AB111" s="138">
        <f t="shared" si="34"/>
        <v>3.4747441828397715E-2</v>
      </c>
      <c r="AC111" s="136"/>
      <c r="AD111" s="134">
        <v>32372.328389999999</v>
      </c>
      <c r="AE111" s="138">
        <f t="shared" si="35"/>
        <v>1.3249488599474921E-2</v>
      </c>
      <c r="AF111" s="137">
        <f t="shared" si="36"/>
        <v>-4335.4483899999977</v>
      </c>
      <c r="AG111" s="134">
        <v>9386.59</v>
      </c>
      <c r="AH111" s="138">
        <f t="shared" si="37"/>
        <v>4.08371054307239E-2</v>
      </c>
      <c r="AI111" s="137">
        <f t="shared" si="38"/>
        <v>18650.29</v>
      </c>
    </row>
    <row r="112" spans="1:35" x14ac:dyDescent="0.25">
      <c r="A112" s="11"/>
      <c r="B112" s="11"/>
      <c r="C112" s="204"/>
      <c r="D112" s="11"/>
      <c r="E112" s="11"/>
      <c r="F112" s="11"/>
      <c r="G112" s="11"/>
      <c r="H112" s="181" t="s">
        <v>323</v>
      </c>
      <c r="I112" s="118"/>
      <c r="J112" s="118"/>
      <c r="K112" s="11"/>
      <c r="L112" s="86" t="str">
        <f>IF(_epmOfflineCondition_,"465300",_xll.EVPRO($B$1,H112,"JDEID"))</f>
        <v>465300</v>
      </c>
      <c r="M112" s="86" t="str">
        <f>IF(_epmOfflineCondition_,"",IF(AND(I112="N",J112="N"),_xll.EVPRO($B$1,H112,"PSFTID"),""))</f>
        <v/>
      </c>
      <c r="N112" s="86" t="str">
        <f>IF(_epmOfflineCondition_,"Private Dining Beer",IF(_xll.EVDES(H112,$B$1)="#NODATA","",_xll.EVDES(H112,$B$1)))</f>
        <v>Private Dining Beer</v>
      </c>
      <c r="O112" s="134"/>
      <c r="P112" s="134"/>
      <c r="Q112" s="134"/>
      <c r="R112" s="134"/>
      <c r="S112" s="134"/>
      <c r="T112" s="134"/>
      <c r="U112" s="134"/>
      <c r="V112" s="134"/>
      <c r="W112" s="134"/>
      <c r="X112" s="134"/>
      <c r="Y112" s="134"/>
      <c r="Z112" s="134"/>
      <c r="AA112" s="134">
        <f t="shared" si="33"/>
        <v>0</v>
      </c>
      <c r="AB112" s="138" t="str">
        <f t="shared" si="34"/>
        <v/>
      </c>
      <c r="AC112" s="136"/>
      <c r="AD112" s="134">
        <v>2611.14732</v>
      </c>
      <c r="AE112" s="138">
        <f t="shared" si="35"/>
        <v>1.0687018317340595E-3</v>
      </c>
      <c r="AF112" s="137">
        <f t="shared" si="36"/>
        <v>-2611.14732</v>
      </c>
      <c r="AG112" s="134"/>
      <c r="AH112" s="138" t="str">
        <f t="shared" si="37"/>
        <v/>
      </c>
      <c r="AI112" s="137">
        <f t="shared" si="38"/>
        <v>0</v>
      </c>
    </row>
    <row r="113" spans="1:35" x14ac:dyDescent="0.25">
      <c r="A113" s="11"/>
      <c r="B113" s="11"/>
      <c r="C113" s="204"/>
      <c r="D113" s="11"/>
      <c r="E113" s="11"/>
      <c r="F113" s="11"/>
      <c r="G113" s="11"/>
      <c r="H113" s="181" t="s">
        <v>342</v>
      </c>
      <c r="I113" s="118"/>
      <c r="J113" s="118"/>
      <c r="K113" s="11"/>
      <c r="L113" s="86" t="str">
        <f>IF(_epmOfflineCondition_,"",_xll.EVPRO($B$1,H113,"JDEID"))</f>
        <v/>
      </c>
      <c r="M113" s="86" t="str">
        <f>IF(_epmOfflineCondition_,"",IF(AND(I113="N",J113="N"),_xll.EVPRO($B$1,H113,"PSFTID"),""))</f>
        <v/>
      </c>
      <c r="N113" s="102" t="str">
        <f>IF(_epmOfflineCondition_,"Beer Revenue",IF(_xll.EVDES(H113,$B$1)="#NODATA","",_xll.EVDES(H113,$B$1)))</f>
        <v>Beer Revenue</v>
      </c>
      <c r="O113" s="158">
        <v>2758.91</v>
      </c>
      <c r="P113" s="158">
        <v>3436.45</v>
      </c>
      <c r="Q113" s="158">
        <v>3949.63</v>
      </c>
      <c r="R113" s="158">
        <v>3443.05</v>
      </c>
      <c r="S113" s="158">
        <v>2493.5500000000002</v>
      </c>
      <c r="T113" s="158">
        <v>2281.58</v>
      </c>
      <c r="U113" s="158">
        <v>2559.4499999999998</v>
      </c>
      <c r="V113" s="158">
        <v>3391.05</v>
      </c>
      <c r="W113" s="158">
        <v>1833.8</v>
      </c>
      <c r="X113" s="158">
        <v>3993.16</v>
      </c>
      <c r="Y113" s="158">
        <v>3892.85</v>
      </c>
      <c r="Z113" s="158">
        <v>4543</v>
      </c>
      <c r="AA113" s="158">
        <f t="shared" si="33"/>
        <v>38576.479999999996</v>
      </c>
      <c r="AB113" s="159">
        <f t="shared" si="34"/>
        <v>4.7809670503435035E-2</v>
      </c>
      <c r="AC113" s="136"/>
      <c r="AD113" s="158">
        <v>107254.39974399999</v>
      </c>
      <c r="AE113" s="159">
        <f t="shared" si="35"/>
        <v>4.3897551313937286E-2</v>
      </c>
      <c r="AF113" s="160">
        <f t="shared" si="36"/>
        <v>-68677.919743999999</v>
      </c>
      <c r="AG113" s="158">
        <v>13827.59</v>
      </c>
      <c r="AH113" s="159">
        <f t="shared" si="37"/>
        <v>6.0158028707211396E-2</v>
      </c>
      <c r="AI113" s="160">
        <f t="shared" si="38"/>
        <v>24748.889999999996</v>
      </c>
    </row>
    <row r="114" spans="1:35" x14ac:dyDescent="0.25">
      <c r="A114" s="11"/>
      <c r="B114" s="11"/>
      <c r="C114" s="204"/>
      <c r="D114" s="11"/>
      <c r="E114" s="11"/>
      <c r="F114" s="11"/>
      <c r="G114" s="11"/>
      <c r="H114" s="181"/>
      <c r="I114" s="118"/>
      <c r="J114" s="118"/>
      <c r="K114" s="11"/>
      <c r="L114" s="86"/>
      <c r="M114" s="86"/>
      <c r="N114" s="49"/>
      <c r="O114" s="166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Z114" s="167"/>
      <c r="AA114" s="167"/>
      <c r="AB114" s="168"/>
      <c r="AC114" s="136"/>
      <c r="AD114" s="166"/>
      <c r="AE114" s="167"/>
      <c r="AF114" s="168"/>
      <c r="AG114" s="166"/>
      <c r="AH114" s="167"/>
      <c r="AI114" s="168"/>
    </row>
    <row r="115" spans="1:35" x14ac:dyDescent="0.25">
      <c r="A115" s="11"/>
      <c r="B115" s="11"/>
      <c r="C115" s="204"/>
      <c r="D115" s="11"/>
      <c r="E115" s="11"/>
      <c r="F115" s="11"/>
      <c r="G115" s="11"/>
      <c r="H115" s="181"/>
      <c r="I115" s="118"/>
      <c r="J115" s="118"/>
      <c r="K115" s="11"/>
      <c r="L115" s="86"/>
      <c r="M115" s="86"/>
      <c r="N115" s="49" t="s">
        <v>338</v>
      </c>
      <c r="O115" s="154"/>
      <c r="P115" s="155"/>
      <c r="Q115" s="155"/>
      <c r="R115" s="155"/>
      <c r="S115" s="155"/>
      <c r="T115" s="155"/>
      <c r="U115" s="155"/>
      <c r="V115" s="155"/>
      <c r="W115" s="155"/>
      <c r="X115" s="155"/>
      <c r="Y115" s="155"/>
      <c r="Z115" s="155"/>
      <c r="AA115" s="155"/>
      <c r="AB115" s="156"/>
      <c r="AC115" s="136"/>
      <c r="AD115" s="154"/>
      <c r="AE115" s="155"/>
      <c r="AF115" s="156"/>
      <c r="AG115" s="154"/>
      <c r="AH115" s="155"/>
      <c r="AI115" s="156"/>
    </row>
    <row r="116" spans="1:35" x14ac:dyDescent="0.25">
      <c r="A116" s="11"/>
      <c r="B116" s="11"/>
      <c r="C116" s="204"/>
      <c r="D116" s="11"/>
      <c r="E116" s="11"/>
      <c r="F116" s="11"/>
      <c r="G116" s="11"/>
      <c r="H116" s="181" t="s">
        <v>296</v>
      </c>
      <c r="I116" s="118"/>
      <c r="J116" s="118"/>
      <c r="K116" s="11"/>
      <c r="L116" s="86" t="str">
        <f>IF(_epmOfflineCondition_,"461400",_xll.EVPRO($B$1,H116,"JDEID"))</f>
        <v>461400</v>
      </c>
      <c r="M116" s="86" t="str">
        <f>IF(_epmOfflineCondition_,"",IF(AND(I116="N",J116="N"),_xll.EVPRO($B$1,H116,"PSFTID"),""))</f>
        <v/>
      </c>
      <c r="N116" s="86" t="str">
        <f>IF(_epmOfflineCondition_,"Breakfast Wine",IF(_xll.EVDES(H116,$B$1)="#NODATA","",_xll.EVDES(H116,$B$1)))</f>
        <v>Breakfast Wine</v>
      </c>
      <c r="O116" s="134">
        <v>9</v>
      </c>
      <c r="P116" s="134">
        <v>43</v>
      </c>
      <c r="Q116" s="134"/>
      <c r="R116" s="134"/>
      <c r="S116" s="134">
        <v>9</v>
      </c>
      <c r="T116" s="134">
        <v>45</v>
      </c>
      <c r="U116" s="134">
        <v>10</v>
      </c>
      <c r="V116" s="134">
        <v>20</v>
      </c>
      <c r="W116" s="134"/>
      <c r="X116" s="134"/>
      <c r="Y116" s="134">
        <v>376.6</v>
      </c>
      <c r="Z116" s="134">
        <v>1252</v>
      </c>
      <c r="AA116" s="134">
        <f t="shared" ref="AA116:AA121" si="39">SUM(O116:Z116)</f>
        <v>1764.6</v>
      </c>
      <c r="AB116" s="138">
        <f t="shared" ref="AB116:AB121" si="40">IF(AA116=0,"",IFERROR(AA116/AA$19,""))</f>
        <v>2.1869528938451995E-3</v>
      </c>
      <c r="AC116" s="136"/>
      <c r="AD116" s="134">
        <v>11672.22345</v>
      </c>
      <c r="AE116" s="138">
        <f t="shared" ref="AE116:AE121" si="41">IF(AD116=0,"",IFERROR(AD116/AD$19,""))</f>
        <v>4.7772588263707162E-3</v>
      </c>
      <c r="AF116" s="137">
        <f t="shared" ref="AF116:AF121" si="42">IF(AND($AA116="",AD116=""),"",$AA116-AD116)</f>
        <v>-9907.6234499999991</v>
      </c>
      <c r="AG116" s="134">
        <v>173</v>
      </c>
      <c r="AH116" s="138">
        <f t="shared" ref="AH116:AH121" si="43">IF(AG116=0,"",IFERROR(AG116/AG$19,""))</f>
        <v>7.5265024247519433E-4</v>
      </c>
      <c r="AI116" s="137">
        <f t="shared" ref="AI116:AI121" si="44">IF(AND($AA116="",AG116=""),"",$AA116-AG116)</f>
        <v>1591.6</v>
      </c>
    </row>
    <row r="117" spans="1:35" x14ac:dyDescent="0.25">
      <c r="A117" s="11"/>
      <c r="B117" s="11"/>
      <c r="C117" s="204"/>
      <c r="D117" s="11"/>
      <c r="E117" s="11"/>
      <c r="F117" s="11"/>
      <c r="G117" s="11"/>
      <c r="H117" s="181" t="s">
        <v>303</v>
      </c>
      <c r="I117" s="118"/>
      <c r="J117" s="118"/>
      <c r="K117" s="11"/>
      <c r="L117" s="86" t="str">
        <f>IF(_epmOfflineCondition_,"462400",_xll.EVPRO($B$1,H117,"JDEID"))</f>
        <v>462400</v>
      </c>
      <c r="M117" s="86" t="str">
        <f>IF(_epmOfflineCondition_,"",IF(AND(I117="N",J117="N"),_xll.EVPRO($B$1,H117,"PSFTID"),""))</f>
        <v/>
      </c>
      <c r="N117" s="86" t="str">
        <f>IF(_epmOfflineCondition_,"Lunch Wine",IF(_xll.EVDES(H117,$B$1)="#NODATA","",_xll.EVDES(H117,$B$1)))</f>
        <v>Lunch Wine</v>
      </c>
      <c r="O117" s="134">
        <v>470</v>
      </c>
      <c r="P117" s="134">
        <v>595</v>
      </c>
      <c r="Q117" s="134">
        <v>789</v>
      </c>
      <c r="R117" s="134">
        <v>512</v>
      </c>
      <c r="S117" s="134">
        <v>620</v>
      </c>
      <c r="T117" s="134">
        <v>137</v>
      </c>
      <c r="U117" s="134">
        <v>756</v>
      </c>
      <c r="V117" s="134">
        <v>203</v>
      </c>
      <c r="W117" s="134">
        <v>276</v>
      </c>
      <c r="X117" s="134">
        <v>36</v>
      </c>
      <c r="Y117" s="134">
        <v>883</v>
      </c>
      <c r="Z117" s="134">
        <v>1989</v>
      </c>
      <c r="AA117" s="134">
        <f t="shared" si="39"/>
        <v>7266</v>
      </c>
      <c r="AB117" s="138">
        <f t="shared" si="40"/>
        <v>9.0051001511272932E-3</v>
      </c>
      <c r="AC117" s="136"/>
      <c r="AD117" s="134">
        <v>173173.81026</v>
      </c>
      <c r="AE117" s="138">
        <f t="shared" si="41"/>
        <v>7.087733687627723E-2</v>
      </c>
      <c r="AF117" s="137">
        <f t="shared" si="42"/>
        <v>-165907.81026</v>
      </c>
      <c r="AG117" s="134">
        <v>4100</v>
      </c>
      <c r="AH117" s="138">
        <f t="shared" si="43"/>
        <v>1.7837375688718477E-2</v>
      </c>
      <c r="AI117" s="137">
        <f t="shared" si="44"/>
        <v>3166</v>
      </c>
    </row>
    <row r="118" spans="1:35" x14ac:dyDescent="0.25">
      <c r="A118" s="11"/>
      <c r="B118" s="11"/>
      <c r="C118" s="204"/>
      <c r="D118" s="11"/>
      <c r="E118" s="11"/>
      <c r="F118" s="11"/>
      <c r="G118" s="11"/>
      <c r="H118" s="181" t="s">
        <v>304</v>
      </c>
      <c r="I118" s="118"/>
      <c r="J118" s="118"/>
      <c r="K118" s="11"/>
      <c r="L118" s="86" t="str">
        <f>IF(_epmOfflineCondition_,"463400",_xll.EVPRO($B$1,H118,"JDEID"))</f>
        <v>463400</v>
      </c>
      <c r="M118" s="86" t="str">
        <f>IF(_epmOfflineCondition_,"",IF(AND(I118="N",J118="N"),_xll.EVPRO($B$1,H118,"PSFTID"),""))</f>
        <v/>
      </c>
      <c r="N118" s="86" t="str">
        <f>IF(_epmOfflineCondition_,"Dinner Wine",IF(_xll.EVDES(H118,$B$1)="#NODATA","",_xll.EVDES(H118,$B$1)))</f>
        <v>Dinner Wine</v>
      </c>
      <c r="O118" s="134">
        <v>358.58</v>
      </c>
      <c r="P118" s="134">
        <v>1113</v>
      </c>
      <c r="Q118" s="134">
        <v>193.42</v>
      </c>
      <c r="R118" s="134"/>
      <c r="S118" s="134"/>
      <c r="T118" s="134"/>
      <c r="U118" s="134"/>
      <c r="V118" s="134"/>
      <c r="W118" s="134"/>
      <c r="X118" s="134">
        <v>1339.59</v>
      </c>
      <c r="Y118" s="134">
        <v>6219.12</v>
      </c>
      <c r="Z118" s="134">
        <v>7047</v>
      </c>
      <c r="AA118" s="134">
        <f t="shared" si="39"/>
        <v>16270.71</v>
      </c>
      <c r="AB118" s="138">
        <f t="shared" si="40"/>
        <v>2.0165066484991515E-2</v>
      </c>
      <c r="AC118" s="136"/>
      <c r="AD118" s="134">
        <v>100929.80497899999</v>
      </c>
      <c r="AE118" s="138">
        <f t="shared" si="41"/>
        <v>4.1308993418884797E-2</v>
      </c>
      <c r="AF118" s="137">
        <f t="shared" si="42"/>
        <v>-84659.094978999987</v>
      </c>
      <c r="AG118" s="134"/>
      <c r="AH118" s="138" t="str">
        <f t="shared" si="43"/>
        <v/>
      </c>
      <c r="AI118" s="137">
        <f t="shared" si="44"/>
        <v>16270.71</v>
      </c>
    </row>
    <row r="119" spans="1:35" x14ac:dyDescent="0.25">
      <c r="A119" s="11"/>
      <c r="B119" s="11"/>
      <c r="C119" s="204"/>
      <c r="D119" s="11"/>
      <c r="E119" s="11"/>
      <c r="F119" s="11"/>
      <c r="G119" s="11"/>
      <c r="H119" s="181" t="s">
        <v>309</v>
      </c>
      <c r="I119" s="118"/>
      <c r="J119" s="118"/>
      <c r="K119" s="11"/>
      <c r="L119" s="86" t="str">
        <f>IF(_epmOfflineCondition_,"464400",_xll.EVPRO($B$1,H119,"JDEID"))</f>
        <v>464400</v>
      </c>
      <c r="M119" s="86" t="str">
        <f>IF(_epmOfflineCondition_,"",IF(AND(I119="N",J119="N"),_xll.EVPRO($B$1,H119,"PSFTID"),""))</f>
        <v/>
      </c>
      <c r="N119" s="86" t="str">
        <f>IF(_epmOfflineCondition_,"Bar Wine",IF(_xll.EVDES(H119,$B$1)="#NODATA","",_xll.EVDES(H119,$B$1)))</f>
        <v>Bar Wine</v>
      </c>
      <c r="O119" s="134">
        <v>4009.51</v>
      </c>
      <c r="P119" s="134">
        <v>6603.65</v>
      </c>
      <c r="Q119" s="134">
        <v>5904</v>
      </c>
      <c r="R119" s="134">
        <v>3569.2</v>
      </c>
      <c r="S119" s="134">
        <v>3654</v>
      </c>
      <c r="T119" s="134">
        <v>2494.21</v>
      </c>
      <c r="U119" s="134">
        <v>1933.65</v>
      </c>
      <c r="V119" s="134">
        <v>2165.2399999999998</v>
      </c>
      <c r="W119" s="134">
        <v>1970.6</v>
      </c>
      <c r="X119" s="134">
        <v>3312.5</v>
      </c>
      <c r="Y119" s="134">
        <v>4465.2</v>
      </c>
      <c r="Z119" s="134">
        <v>5425.2</v>
      </c>
      <c r="AA119" s="134">
        <f t="shared" si="39"/>
        <v>45506.959999999992</v>
      </c>
      <c r="AB119" s="138">
        <f t="shared" si="40"/>
        <v>5.6398944725205562E-2</v>
      </c>
      <c r="AC119" s="136"/>
      <c r="AD119" s="134">
        <v>154565.35696800001</v>
      </c>
      <c r="AE119" s="138">
        <f t="shared" si="41"/>
        <v>6.3261187466944743E-2</v>
      </c>
      <c r="AF119" s="137">
        <f t="shared" si="42"/>
        <v>-109058.39696800002</v>
      </c>
      <c r="AG119" s="134">
        <v>11797.2</v>
      </c>
      <c r="AH119" s="138">
        <f t="shared" si="43"/>
        <v>5.1324655725597475E-2</v>
      </c>
      <c r="AI119" s="137">
        <f t="shared" si="44"/>
        <v>33709.759999999995</v>
      </c>
    </row>
    <row r="120" spans="1:35" x14ac:dyDescent="0.25">
      <c r="A120" s="11"/>
      <c r="B120" s="11"/>
      <c r="C120" s="204"/>
      <c r="D120" s="11"/>
      <c r="E120" s="11"/>
      <c r="F120" s="11"/>
      <c r="G120" s="11"/>
      <c r="H120" s="181" t="s">
        <v>322</v>
      </c>
      <c r="I120" s="118"/>
      <c r="J120" s="118"/>
      <c r="K120" s="11"/>
      <c r="L120" s="86" t="str">
        <f>IF(_epmOfflineCondition_,"465400",_xll.EVPRO($B$1,H120,"JDEID"))</f>
        <v>465400</v>
      </c>
      <c r="M120" s="86" t="str">
        <f>IF(_epmOfflineCondition_,"",IF(AND(I120="N",J120="N"),_xll.EVPRO($B$1,H120,"PSFTID"),""))</f>
        <v/>
      </c>
      <c r="N120" s="86" t="str">
        <f>IF(_epmOfflineCondition_,"Private Dining Wine",IF(_xll.EVDES(H120,$B$1)="#NODATA","",_xll.EVDES(H120,$B$1)))</f>
        <v>Private Dining Wine</v>
      </c>
      <c r="O120" s="134"/>
      <c r="P120" s="134"/>
      <c r="Q120" s="134"/>
      <c r="R120" s="134"/>
      <c r="S120" s="134"/>
      <c r="T120" s="134"/>
      <c r="U120" s="134"/>
      <c r="V120" s="134"/>
      <c r="W120" s="134"/>
      <c r="X120" s="134"/>
      <c r="Y120" s="134"/>
      <c r="Z120" s="134"/>
      <c r="AA120" s="134">
        <f t="shared" si="39"/>
        <v>0</v>
      </c>
      <c r="AB120" s="138" t="str">
        <f t="shared" si="40"/>
        <v/>
      </c>
      <c r="AC120" s="136"/>
      <c r="AD120" s="134">
        <v>4415.5662599999996</v>
      </c>
      <c r="AE120" s="138">
        <f t="shared" si="41"/>
        <v>1.807222332520522E-3</v>
      </c>
      <c r="AF120" s="137">
        <f t="shared" si="42"/>
        <v>-4415.5662599999996</v>
      </c>
      <c r="AG120" s="134"/>
      <c r="AH120" s="138" t="str">
        <f t="shared" si="43"/>
        <v/>
      </c>
      <c r="AI120" s="137">
        <f t="shared" si="44"/>
        <v>0</v>
      </c>
    </row>
    <row r="121" spans="1:35" x14ac:dyDescent="0.25">
      <c r="A121" s="11"/>
      <c r="B121" s="11"/>
      <c r="C121" s="204"/>
      <c r="D121" s="11"/>
      <c r="E121" s="11"/>
      <c r="F121" s="11"/>
      <c r="G121" s="11"/>
      <c r="H121" s="181" t="s">
        <v>341</v>
      </c>
      <c r="I121" s="118"/>
      <c r="J121" s="118"/>
      <c r="K121" s="11"/>
      <c r="L121" s="86" t="str">
        <f>IF(_epmOfflineCondition_,"",_xll.EVPRO($B$1,H121,"JDEID"))</f>
        <v/>
      </c>
      <c r="M121" s="86" t="str">
        <f>IF(_epmOfflineCondition_,"",IF(AND(I121="N",J121="N"),_xll.EVPRO($B$1,H121,"PSFTID"),""))</f>
        <v/>
      </c>
      <c r="N121" s="102" t="str">
        <f>IF(_epmOfflineCondition_,"Wine Revenue",IF(_xll.EVDES(H121,$B$1)="#NODATA","",_xll.EVDES(H121,$B$1)))</f>
        <v>Wine Revenue</v>
      </c>
      <c r="O121" s="158">
        <v>4847.09</v>
      </c>
      <c r="P121" s="158">
        <v>8354.65</v>
      </c>
      <c r="Q121" s="158">
        <v>6886.42</v>
      </c>
      <c r="R121" s="158">
        <v>4081.2</v>
      </c>
      <c r="S121" s="158">
        <v>4283</v>
      </c>
      <c r="T121" s="158">
        <v>2676.21</v>
      </c>
      <c r="U121" s="158">
        <v>2699.65</v>
      </c>
      <c r="V121" s="158">
        <v>2388.2399999999998</v>
      </c>
      <c r="W121" s="158">
        <v>2246.6</v>
      </c>
      <c r="X121" s="158">
        <v>4688.09</v>
      </c>
      <c r="Y121" s="158">
        <v>11943.92</v>
      </c>
      <c r="Z121" s="158">
        <v>15713.2</v>
      </c>
      <c r="AA121" s="158">
        <f t="shared" si="39"/>
        <v>70808.26999999999</v>
      </c>
      <c r="AB121" s="159">
        <f t="shared" si="40"/>
        <v>8.7756064255169561E-2</v>
      </c>
      <c r="AC121" s="136"/>
      <c r="AD121" s="158">
        <v>444756.761917</v>
      </c>
      <c r="AE121" s="159">
        <f t="shared" si="41"/>
        <v>0.182031998920998</v>
      </c>
      <c r="AF121" s="160">
        <f t="shared" si="42"/>
        <v>-373948.49191700004</v>
      </c>
      <c r="AG121" s="158">
        <v>16070.2</v>
      </c>
      <c r="AH121" s="159">
        <f t="shared" si="43"/>
        <v>6.9914681656791142E-2</v>
      </c>
      <c r="AI121" s="160">
        <f t="shared" si="44"/>
        <v>54738.069999999992</v>
      </c>
    </row>
    <row r="122" spans="1:35" x14ac:dyDescent="0.25">
      <c r="A122" s="11"/>
      <c r="B122" s="11"/>
      <c r="C122" s="204"/>
      <c r="D122" s="11"/>
      <c r="E122" s="11"/>
      <c r="F122" s="11"/>
      <c r="G122" s="11"/>
      <c r="H122" s="181"/>
      <c r="I122" s="118"/>
      <c r="J122" s="118"/>
      <c r="K122" s="11"/>
      <c r="L122" s="86"/>
      <c r="M122" s="86"/>
      <c r="N122" s="11"/>
      <c r="O122" s="166"/>
      <c r="P122" s="167"/>
      <c r="Q122" s="167"/>
      <c r="R122" s="167"/>
      <c r="S122" s="167"/>
      <c r="T122" s="167"/>
      <c r="U122" s="167"/>
      <c r="V122" s="167"/>
      <c r="W122" s="167"/>
      <c r="X122" s="167"/>
      <c r="Y122" s="167"/>
      <c r="Z122" s="167"/>
      <c r="AA122" s="167"/>
      <c r="AB122" s="168"/>
      <c r="AC122" s="136"/>
      <c r="AD122" s="166"/>
      <c r="AE122" s="167"/>
      <c r="AF122" s="168"/>
      <c r="AG122" s="166"/>
      <c r="AH122" s="167"/>
      <c r="AI122" s="168"/>
    </row>
    <row r="123" spans="1:35" x14ac:dyDescent="0.25">
      <c r="A123" s="11"/>
      <c r="B123" s="11"/>
      <c r="C123" s="204"/>
      <c r="D123" s="11"/>
      <c r="E123" s="11"/>
      <c r="F123" s="11"/>
      <c r="G123" s="11"/>
      <c r="H123" s="84" t="s">
        <v>267</v>
      </c>
      <c r="I123" s="118"/>
      <c r="J123" s="118"/>
      <c r="K123" s="11"/>
      <c r="L123" s="86" t="str">
        <f>IF(_epmOfflineCondition_,"",_xll.EVPRO($B$1,H123,"JDEID"))</f>
        <v/>
      </c>
      <c r="M123" s="86" t="str">
        <f>IF(_epmOfflineCondition_,"",IF(AND(I123="N",J123="N"),_xll.EVPRO($B$1,H123,"PSFTID"),""))</f>
        <v/>
      </c>
      <c r="N123" s="86" t="str">
        <f>IF(_epmOfflineCondition_,"Breakfast  Beverage Revenue",IF(_xll.EVDES(H123,$B$1)="#NODATA","",_xll.EVDES(H123,$B$1)))</f>
        <v>Breakfast  Beverage Revenue</v>
      </c>
      <c r="O123" s="134">
        <f t="shared" ref="O123:Z123" si="45">O100+O108+O116</f>
        <v>216</v>
      </c>
      <c r="P123" s="134">
        <f t="shared" si="45"/>
        <v>390</v>
      </c>
      <c r="Q123" s="134">
        <f t="shared" si="45"/>
        <v>409</v>
      </c>
      <c r="R123" s="134">
        <f t="shared" si="45"/>
        <v>268</v>
      </c>
      <c r="S123" s="134">
        <f t="shared" si="45"/>
        <v>464</v>
      </c>
      <c r="T123" s="134">
        <f t="shared" si="45"/>
        <v>319</v>
      </c>
      <c r="U123" s="134">
        <f t="shared" si="45"/>
        <v>349</v>
      </c>
      <c r="V123" s="134">
        <f t="shared" si="45"/>
        <v>267</v>
      </c>
      <c r="W123" s="134">
        <f t="shared" si="45"/>
        <v>176</v>
      </c>
      <c r="X123" s="134">
        <f t="shared" si="45"/>
        <v>0</v>
      </c>
      <c r="Y123" s="134">
        <f t="shared" si="45"/>
        <v>412.6</v>
      </c>
      <c r="Z123" s="134">
        <f t="shared" si="45"/>
        <v>1344.2</v>
      </c>
      <c r="AA123" s="134">
        <f t="shared" ref="AA123:AA129" si="46">SUM(O123:Z123)</f>
        <v>4614.8</v>
      </c>
      <c r="AB123" s="138">
        <f t="shared" ref="AB123:AB129" si="47">IF(AA123=0,"",IFERROR(AA123/AA$19,""))</f>
        <v>5.7193416153897923E-3</v>
      </c>
      <c r="AC123" s="136"/>
      <c r="AD123" s="134">
        <f>AD100+AD108+AD116</f>
        <v>18092.623925</v>
      </c>
      <c r="AE123" s="138">
        <f t="shared" ref="AE123:AE129" si="48">IF(AD123=0,"",IFERROR(AD123/AD$19,""))</f>
        <v>7.4050285027667329E-3</v>
      </c>
      <c r="AF123" s="137">
        <f t="shared" ref="AF123:AF129" si="49">IF(AND($AA123="",AD123=""),"",$AA123-AD123)</f>
        <v>-13477.823925000001</v>
      </c>
      <c r="AG123" s="134">
        <f>AG100+AG108+AG116</f>
        <v>411</v>
      </c>
      <c r="AH123" s="138">
        <f t="shared" ref="AH123:AH129" si="50">IF(AG123=0,"",IFERROR(AG123/AG$19,""))</f>
        <v>1.7880881483081205E-3</v>
      </c>
      <c r="AI123" s="137">
        <f t="shared" ref="AI123:AI129" si="51">IF(AND($AA123="",AG123=""),"",$AA123-AG123)</f>
        <v>4203.8</v>
      </c>
    </row>
    <row r="124" spans="1:35" x14ac:dyDescent="0.25">
      <c r="A124" s="11"/>
      <c r="B124" s="11"/>
      <c r="C124" s="204"/>
      <c r="D124" s="11"/>
      <c r="E124" s="11"/>
      <c r="F124" s="11"/>
      <c r="G124" s="11"/>
      <c r="H124" s="84" t="s">
        <v>268</v>
      </c>
      <c r="I124" s="118"/>
      <c r="J124" s="118"/>
      <c r="K124" s="11"/>
      <c r="L124" s="86" t="str">
        <f>IF(_epmOfflineCondition_,"",_xll.EVPRO($B$1,H124,"JDEID"))</f>
        <v/>
      </c>
      <c r="M124" s="86" t="str">
        <f>IF(_epmOfflineCondition_,"",IF(AND(I124="N",J124="N"),_xll.EVPRO($B$1,H124,"PSFTID"),""))</f>
        <v/>
      </c>
      <c r="N124" s="86" t="str">
        <f>IF(_epmOfflineCondition_,"Lunch Beverage Revenue",IF(_xll.EVDES(H124,$B$1)="#NODATA","",_xll.EVDES(H124,$B$1)))</f>
        <v>Lunch Beverage Revenue</v>
      </c>
      <c r="O124" s="134">
        <f t="shared" ref="O124:Z124" si="52">O101+O109+O117</f>
        <v>1520</v>
      </c>
      <c r="P124" s="134">
        <f t="shared" si="52"/>
        <v>2753</v>
      </c>
      <c r="Q124" s="134">
        <f t="shared" si="52"/>
        <v>3794</v>
      </c>
      <c r="R124" s="134">
        <f t="shared" si="52"/>
        <v>2574</v>
      </c>
      <c r="S124" s="134">
        <f t="shared" si="52"/>
        <v>3011</v>
      </c>
      <c r="T124" s="134">
        <f t="shared" si="52"/>
        <v>1560</v>
      </c>
      <c r="U124" s="134">
        <f t="shared" si="52"/>
        <v>3213</v>
      </c>
      <c r="V124" s="134">
        <f t="shared" si="52"/>
        <v>2538</v>
      </c>
      <c r="W124" s="134">
        <f t="shared" si="52"/>
        <v>2502</v>
      </c>
      <c r="X124" s="134">
        <f t="shared" si="52"/>
        <v>984.2</v>
      </c>
      <c r="Y124" s="134">
        <f t="shared" si="52"/>
        <v>3163</v>
      </c>
      <c r="Z124" s="134">
        <f t="shared" si="52"/>
        <v>5141</v>
      </c>
      <c r="AA124" s="134">
        <f t="shared" si="46"/>
        <v>32753.200000000001</v>
      </c>
      <c r="AB124" s="138">
        <f t="shared" si="47"/>
        <v>4.0592602018979143E-2</v>
      </c>
      <c r="AC124" s="136"/>
      <c r="AD124" s="134">
        <f>AD101+AD109+AD117</f>
        <v>263809.31825899996</v>
      </c>
      <c r="AE124" s="138">
        <f t="shared" si="48"/>
        <v>0.1079730352601885</v>
      </c>
      <c r="AF124" s="137">
        <f t="shared" si="49"/>
        <v>-231056.11825899995</v>
      </c>
      <c r="AG124" s="134">
        <f>AG101+AG109+AG117</f>
        <v>15600.779999999999</v>
      </c>
      <c r="AH124" s="138">
        <f t="shared" si="50"/>
        <v>6.7872432657815965E-2</v>
      </c>
      <c r="AI124" s="137">
        <f t="shared" si="51"/>
        <v>17152.420000000002</v>
      </c>
    </row>
    <row r="125" spans="1:35" x14ac:dyDescent="0.25">
      <c r="A125" s="11"/>
      <c r="B125" s="11"/>
      <c r="C125" s="204"/>
      <c r="D125" s="11"/>
      <c r="E125" s="11"/>
      <c r="F125" s="11"/>
      <c r="G125" s="11"/>
      <c r="H125" s="181" t="s">
        <v>269</v>
      </c>
      <c r="I125" s="118"/>
      <c r="J125" s="118"/>
      <c r="K125" s="11"/>
      <c r="L125" s="86" t="str">
        <f>IF(_epmOfflineCondition_,"",_xll.EVPRO($B$1,H125,"JDEID"))</f>
        <v/>
      </c>
      <c r="M125" s="86" t="str">
        <f>IF(_epmOfflineCondition_,"",IF(AND(I125="N",J125="N"),_xll.EVPRO($B$1,H125,"PSFTID"),""))</f>
        <v/>
      </c>
      <c r="N125" s="86" t="str">
        <f>IF(_epmOfflineCondition_,"Dinner Beverage Revenue",IF(_xll.EVDES(H125,$B$1)="#NODATA","",_xll.EVDES(H125,$B$1)))</f>
        <v>Dinner Beverage Revenue</v>
      </c>
      <c r="O125" s="134">
        <f t="shared" ref="O125:Z125" si="53">O102+O110+O118</f>
        <v>3289.75</v>
      </c>
      <c r="P125" s="134">
        <f t="shared" si="53"/>
        <v>1809</v>
      </c>
      <c r="Q125" s="134">
        <f t="shared" si="53"/>
        <v>1469.92</v>
      </c>
      <c r="R125" s="134">
        <f t="shared" si="53"/>
        <v>0</v>
      </c>
      <c r="S125" s="134">
        <f t="shared" si="53"/>
        <v>0</v>
      </c>
      <c r="T125" s="134">
        <f t="shared" si="53"/>
        <v>0</v>
      </c>
      <c r="U125" s="134">
        <f t="shared" si="53"/>
        <v>0</v>
      </c>
      <c r="V125" s="134">
        <f t="shared" si="53"/>
        <v>0</v>
      </c>
      <c r="W125" s="134">
        <f t="shared" si="53"/>
        <v>0</v>
      </c>
      <c r="X125" s="134">
        <f t="shared" si="53"/>
        <v>2246.5299999999997</v>
      </c>
      <c r="Y125" s="134">
        <f t="shared" si="53"/>
        <v>10778.720000000001</v>
      </c>
      <c r="Z125" s="134">
        <f t="shared" si="53"/>
        <v>11783.25</v>
      </c>
      <c r="AA125" s="134">
        <f t="shared" si="46"/>
        <v>31377.170000000002</v>
      </c>
      <c r="AB125" s="138">
        <f t="shared" si="47"/>
        <v>3.8887222448244808E-2</v>
      </c>
      <c r="AC125" s="136"/>
      <c r="AD125" s="134">
        <f>AD102+AD110+AD118</f>
        <v>374009.36320999998</v>
      </c>
      <c r="AE125" s="138">
        <f t="shared" si="48"/>
        <v>0.15307619316868576</v>
      </c>
      <c r="AF125" s="137">
        <f t="shared" si="49"/>
        <v>-342632.19321</v>
      </c>
      <c r="AG125" s="134">
        <f>AG102+AG110+AG118</f>
        <v>0</v>
      </c>
      <c r="AH125" s="138" t="str">
        <f t="shared" si="50"/>
        <v/>
      </c>
      <c r="AI125" s="137">
        <f t="shared" si="51"/>
        <v>31377.170000000002</v>
      </c>
    </row>
    <row r="126" spans="1:35" x14ac:dyDescent="0.25">
      <c r="A126" s="11"/>
      <c r="B126" s="11"/>
      <c r="C126" s="204"/>
      <c r="D126" s="11"/>
      <c r="E126" s="11"/>
      <c r="F126" s="11"/>
      <c r="G126" s="11"/>
      <c r="H126" s="181" t="s">
        <v>270</v>
      </c>
      <c r="I126" s="118"/>
      <c r="J126" s="118"/>
      <c r="K126" s="11"/>
      <c r="L126" s="86" t="str">
        <f>IF(_epmOfflineCondition_,"",_xll.EVPRO($B$1,H126,"JDEID"))</f>
        <v/>
      </c>
      <c r="M126" s="86" t="str">
        <f>IF(_epmOfflineCondition_,"",IF(AND(I126="N",J126="N"),_xll.EVPRO($B$1,H126,"PSFTID"),""))</f>
        <v/>
      </c>
      <c r="N126" s="86" t="str">
        <f>IF(_epmOfflineCondition_,"Bar Beverage Revenue",IF(_xll.EVDES(H126,$B$1)="#NODATA","",_xll.EVDES(H126,$B$1)))</f>
        <v>Bar Beverage Revenue</v>
      </c>
      <c r="O126" s="134">
        <f t="shared" ref="O126:Z126" si="54">O103+O111+O119</f>
        <v>19200.91</v>
      </c>
      <c r="P126" s="134">
        <f t="shared" si="54"/>
        <v>23776.400000000001</v>
      </c>
      <c r="Q126" s="134">
        <f t="shared" si="54"/>
        <v>22733.55</v>
      </c>
      <c r="R126" s="134">
        <f t="shared" si="54"/>
        <v>19358.05</v>
      </c>
      <c r="S126" s="134">
        <f t="shared" si="54"/>
        <v>16860.05</v>
      </c>
      <c r="T126" s="134">
        <f t="shared" si="54"/>
        <v>16725.96</v>
      </c>
      <c r="U126" s="134">
        <f t="shared" si="54"/>
        <v>14619.9</v>
      </c>
      <c r="V126" s="134">
        <f t="shared" si="54"/>
        <v>15416.009999999998</v>
      </c>
      <c r="W126" s="134">
        <f t="shared" si="54"/>
        <v>12355</v>
      </c>
      <c r="X126" s="134">
        <f t="shared" si="54"/>
        <v>17298.7</v>
      </c>
      <c r="Y126" s="134">
        <f t="shared" si="54"/>
        <v>20596.25</v>
      </c>
      <c r="Z126" s="134">
        <f t="shared" si="54"/>
        <v>27875.600000000002</v>
      </c>
      <c r="AA126" s="134">
        <f t="shared" si="46"/>
        <v>226816.38000000003</v>
      </c>
      <c r="AB126" s="138">
        <f t="shared" si="47"/>
        <v>0.28110435147483426</v>
      </c>
      <c r="AC126" s="136"/>
      <c r="AD126" s="134">
        <f>AD103+AD111+AD119</f>
        <v>344077.81425000005</v>
      </c>
      <c r="AE126" s="138">
        <f t="shared" si="48"/>
        <v>0.14082567748342384</v>
      </c>
      <c r="AF126" s="137">
        <f t="shared" si="49"/>
        <v>-117261.43425000002</v>
      </c>
      <c r="AG126" s="134">
        <f>AG103+AG111+AG119</f>
        <v>75340.36</v>
      </c>
      <c r="AH126" s="138">
        <f t="shared" si="50"/>
        <v>0.32777422093738978</v>
      </c>
      <c r="AI126" s="137">
        <f t="shared" si="51"/>
        <v>151476.02000000002</v>
      </c>
    </row>
    <row r="127" spans="1:35" x14ac:dyDescent="0.25">
      <c r="A127" s="11"/>
      <c r="B127" s="11"/>
      <c r="C127" s="204"/>
      <c r="D127" s="11"/>
      <c r="E127" s="11"/>
      <c r="F127" s="11"/>
      <c r="G127" s="11"/>
      <c r="H127" s="181" t="s">
        <v>271</v>
      </c>
      <c r="I127" s="118"/>
      <c r="J127" s="118"/>
      <c r="K127" s="11"/>
      <c r="L127" s="86" t="str">
        <f>IF(_epmOfflineCondition_,"",_xll.EVPRO($B$1,H127,"JDEID"))</f>
        <v/>
      </c>
      <c r="M127" s="86" t="str">
        <f>IF(_epmOfflineCondition_,"",IF(AND(I127="N",J127="N"),_xll.EVPRO($B$1,H127,"PSFTID"),""))</f>
        <v/>
      </c>
      <c r="N127" s="86" t="str">
        <f>IF(_epmOfflineCondition_,"Private Dining Beverage Revenue",IF(_xll.EVDES(H127,$B$1)="#NODATA","",_xll.EVDES(H127,$B$1)))</f>
        <v>Private Dining Beverage Revenue</v>
      </c>
      <c r="O127" s="134">
        <f t="shared" ref="O127:Z127" si="55">O104+O112+O120</f>
        <v>0</v>
      </c>
      <c r="P127" s="134">
        <f t="shared" si="55"/>
        <v>0</v>
      </c>
      <c r="Q127" s="134">
        <f t="shared" si="55"/>
        <v>0</v>
      </c>
      <c r="R127" s="134">
        <f t="shared" si="55"/>
        <v>0</v>
      </c>
      <c r="S127" s="134">
        <f t="shared" si="55"/>
        <v>0</v>
      </c>
      <c r="T127" s="134">
        <f t="shared" si="55"/>
        <v>0</v>
      </c>
      <c r="U127" s="134">
        <f t="shared" si="55"/>
        <v>0</v>
      </c>
      <c r="V127" s="134">
        <f t="shared" si="55"/>
        <v>0</v>
      </c>
      <c r="W127" s="134">
        <f t="shared" si="55"/>
        <v>0</v>
      </c>
      <c r="X127" s="134">
        <f t="shared" si="55"/>
        <v>0</v>
      </c>
      <c r="Y127" s="134">
        <f t="shared" si="55"/>
        <v>0</v>
      </c>
      <c r="Z127" s="134">
        <f t="shared" si="55"/>
        <v>140</v>
      </c>
      <c r="AA127" s="134">
        <f t="shared" si="46"/>
        <v>140</v>
      </c>
      <c r="AB127" s="138">
        <f t="shared" si="47"/>
        <v>1.7350867343212509E-4</v>
      </c>
      <c r="AC127" s="136"/>
      <c r="AD127" s="134">
        <f>AD104+AD112+AD120</f>
        <v>16359.6777</v>
      </c>
      <c r="AE127" s="138">
        <f t="shared" si="48"/>
        <v>6.6957606683673617E-3</v>
      </c>
      <c r="AF127" s="137">
        <f t="shared" si="49"/>
        <v>-16219.6777</v>
      </c>
      <c r="AG127" s="134">
        <f>AG104+AG112+AG120</f>
        <v>0</v>
      </c>
      <c r="AH127" s="138" t="str">
        <f t="shared" si="50"/>
        <v/>
      </c>
      <c r="AI127" s="137">
        <f t="shared" si="51"/>
        <v>140</v>
      </c>
    </row>
    <row r="128" spans="1:35" x14ac:dyDescent="0.25">
      <c r="A128" s="11"/>
      <c r="B128" s="11"/>
      <c r="C128" s="204"/>
      <c r="D128" s="11"/>
      <c r="E128" s="11"/>
      <c r="F128" s="11"/>
      <c r="G128" s="11"/>
      <c r="H128" s="181" t="s">
        <v>351</v>
      </c>
      <c r="I128" s="118"/>
      <c r="J128" s="118"/>
      <c r="K128" s="11"/>
      <c r="L128" s="86" t="str">
        <f>IF(_epmOfflineCondition_,"467200",_xll.EVPRO($B$1,H128,"JDEID"))</f>
        <v>467200</v>
      </c>
      <c r="M128" s="86" t="str">
        <f>IF(_epmOfflineCondition_,"",IF(AND(I128="N",J128="N"),_xll.EVPRO($B$1,H128,"PSFTID"),""))</f>
        <v/>
      </c>
      <c r="N128" s="86" t="str">
        <f>IF(_epmOfflineCondition_,"Mini Bar Beverage",IF(_xll.EVDES(H128,$B$1)="#NODATA","",_xll.EVDES(H128,$B$1)))</f>
        <v>Mini Bar Beverage</v>
      </c>
      <c r="O128" s="134">
        <f t="shared" ref="O128:Z128" si="56">O81</f>
        <v>3860</v>
      </c>
      <c r="P128" s="134">
        <f t="shared" si="56"/>
        <v>3074</v>
      </c>
      <c r="Q128" s="134">
        <f t="shared" si="56"/>
        <v>3500</v>
      </c>
      <c r="R128" s="134">
        <f t="shared" si="56"/>
        <v>3422</v>
      </c>
      <c r="S128" s="134">
        <f t="shared" si="56"/>
        <v>4079</v>
      </c>
      <c r="T128" s="134">
        <f t="shared" si="56"/>
        <v>2221</v>
      </c>
      <c r="U128" s="134">
        <f t="shared" si="56"/>
        <v>3223</v>
      </c>
      <c r="V128" s="134">
        <f t="shared" si="56"/>
        <v>3188</v>
      </c>
      <c r="W128" s="134">
        <f t="shared" si="56"/>
        <v>2752</v>
      </c>
      <c r="X128" s="134">
        <f t="shared" si="56"/>
        <v>2680</v>
      </c>
      <c r="Y128" s="134">
        <f t="shared" si="56"/>
        <v>2741</v>
      </c>
      <c r="Z128" s="134">
        <f t="shared" si="56"/>
        <v>4857</v>
      </c>
      <c r="AA128" s="134">
        <f t="shared" si="46"/>
        <v>39597</v>
      </c>
      <c r="AB128" s="138">
        <f t="shared" si="47"/>
        <v>4.9074449584941844E-2</v>
      </c>
      <c r="AC128" s="136"/>
      <c r="AD128" s="134">
        <f>AD81</f>
        <v>35658.28</v>
      </c>
      <c r="AE128" s="138">
        <f t="shared" si="48"/>
        <v>1.4594377291774551E-2</v>
      </c>
      <c r="AF128" s="137">
        <f t="shared" si="49"/>
        <v>3938.7200000000012</v>
      </c>
      <c r="AG128" s="134">
        <f>AG81</f>
        <v>13071</v>
      </c>
      <c r="AH128" s="138">
        <f t="shared" si="50"/>
        <v>5.6866423811521759E-2</v>
      </c>
      <c r="AI128" s="137">
        <f t="shared" si="51"/>
        <v>26526</v>
      </c>
    </row>
    <row r="129" spans="1:35" x14ac:dyDescent="0.25">
      <c r="A129" s="11"/>
      <c r="B129" s="11"/>
      <c r="C129" s="204"/>
      <c r="D129" s="11"/>
      <c r="E129" s="11"/>
      <c r="F129" s="11"/>
      <c r="G129" s="11"/>
      <c r="H129" s="84" t="s">
        <v>272</v>
      </c>
      <c r="I129" s="118"/>
      <c r="J129" s="118"/>
      <c r="K129" s="11"/>
      <c r="L129" s="86" t="str">
        <f>IF(_epmOfflineCondition_,"",_xll.EVPRO($B$1,H129,"JDEID"))</f>
        <v/>
      </c>
      <c r="M129" s="86" t="str">
        <f>IF(_epmOfflineCondition_,"",IF(AND(I129="N",J129="N"),_xll.EVPRO($B$1,H129,"PSFTID"),""))</f>
        <v/>
      </c>
      <c r="N129" s="102" t="str">
        <f>IF(_epmOfflineCondition_,"Total Beverage Revenue",IF(_xll.EVDES(H129,$B$1)="#NODATA","",_xll.EVDES(H129,$B$1)))</f>
        <v>Total Beverage Revenue</v>
      </c>
      <c r="O129" s="158">
        <f t="shared" ref="O129:Z129" si="57">SUM(O123:O128)</f>
        <v>28086.66</v>
      </c>
      <c r="P129" s="158">
        <f t="shared" si="57"/>
        <v>31802.400000000001</v>
      </c>
      <c r="Q129" s="158">
        <f t="shared" si="57"/>
        <v>31906.47</v>
      </c>
      <c r="R129" s="158">
        <f t="shared" si="57"/>
        <v>25622.05</v>
      </c>
      <c r="S129" s="158">
        <f t="shared" si="57"/>
        <v>24414.05</v>
      </c>
      <c r="T129" s="158">
        <f t="shared" si="57"/>
        <v>20825.96</v>
      </c>
      <c r="U129" s="158">
        <f t="shared" si="57"/>
        <v>21404.9</v>
      </c>
      <c r="V129" s="158">
        <f t="shared" si="57"/>
        <v>21409.01</v>
      </c>
      <c r="W129" s="158">
        <f t="shared" si="57"/>
        <v>17785</v>
      </c>
      <c r="X129" s="158">
        <f t="shared" si="57"/>
        <v>23209.43</v>
      </c>
      <c r="Y129" s="158">
        <f t="shared" si="57"/>
        <v>37691.57</v>
      </c>
      <c r="Z129" s="158">
        <f t="shared" si="57"/>
        <v>51141.05</v>
      </c>
      <c r="AA129" s="158">
        <f t="shared" si="46"/>
        <v>335298.55</v>
      </c>
      <c r="AB129" s="159">
        <f t="shared" si="47"/>
        <v>0.41555147581582191</v>
      </c>
      <c r="AC129" s="136"/>
      <c r="AD129" s="158">
        <f>SUM(AD123:AD128)</f>
        <v>1052007.0773439999</v>
      </c>
      <c r="AE129" s="159">
        <f t="shared" si="48"/>
        <v>0.43057007237520667</v>
      </c>
      <c r="AF129" s="160">
        <f t="shared" si="49"/>
        <v>-716708.52734399983</v>
      </c>
      <c r="AG129" s="158">
        <f>SUM(AG123:AG128)</f>
        <v>104423.14</v>
      </c>
      <c r="AH129" s="159">
        <f t="shared" si="50"/>
        <v>0.45430116555503558</v>
      </c>
      <c r="AI129" s="160">
        <f t="shared" si="51"/>
        <v>230875.40999999997</v>
      </c>
    </row>
    <row r="130" spans="1:35" x14ac:dyDescent="0.25">
      <c r="A130" s="11"/>
      <c r="B130" s="11"/>
      <c r="C130" s="204"/>
      <c r="D130" s="11"/>
      <c r="E130" s="11"/>
      <c r="F130" s="11"/>
      <c r="G130" s="11"/>
      <c r="H130" s="181"/>
      <c r="I130" s="118"/>
      <c r="J130" s="118"/>
      <c r="K130" s="11"/>
      <c r="L130" s="11"/>
      <c r="M130" s="11"/>
      <c r="N130" s="11"/>
      <c r="O130" s="166"/>
      <c r="P130" s="167"/>
      <c r="Q130" s="167"/>
      <c r="R130" s="167"/>
      <c r="S130" s="167"/>
      <c r="T130" s="167"/>
      <c r="U130" s="167"/>
      <c r="V130" s="167"/>
      <c r="W130" s="167"/>
      <c r="X130" s="167"/>
      <c r="Y130" s="167"/>
      <c r="Z130" s="167"/>
      <c r="AA130" s="167"/>
      <c r="AB130" s="168"/>
      <c r="AC130" s="136"/>
      <c r="AD130" s="166"/>
      <c r="AE130" s="167"/>
      <c r="AF130" s="168"/>
      <c r="AG130" s="166"/>
      <c r="AH130" s="167"/>
      <c r="AI130" s="168"/>
    </row>
    <row r="131" spans="1:35" x14ac:dyDescent="0.25">
      <c r="A131" s="11"/>
      <c r="B131" s="11"/>
      <c r="C131" s="204"/>
      <c r="D131" s="11"/>
      <c r="E131" s="11"/>
      <c r="F131" s="11"/>
      <c r="G131" s="11"/>
      <c r="H131" s="181"/>
      <c r="I131" s="118"/>
      <c r="J131" s="118"/>
      <c r="K131" s="11"/>
      <c r="L131" s="11"/>
      <c r="M131" s="11"/>
      <c r="N131" s="11"/>
      <c r="O131" s="154"/>
      <c r="P131" s="155"/>
      <c r="Q131" s="155"/>
      <c r="R131" s="155"/>
      <c r="S131" s="155"/>
      <c r="T131" s="155"/>
      <c r="U131" s="155"/>
      <c r="V131" s="155"/>
      <c r="W131" s="155"/>
      <c r="X131" s="155"/>
      <c r="Y131" s="155"/>
      <c r="Z131" s="155"/>
      <c r="AA131" s="155"/>
      <c r="AB131" s="156"/>
      <c r="AC131" s="136"/>
      <c r="AD131" s="154"/>
      <c r="AE131" s="155"/>
      <c r="AF131" s="156"/>
      <c r="AG131" s="154"/>
      <c r="AH131" s="155"/>
      <c r="AI131" s="156"/>
    </row>
    <row r="132" spans="1:35" ht="15" customHeight="1" x14ac:dyDescent="0.25">
      <c r="A132" s="11"/>
      <c r="B132" s="11"/>
      <c r="C132" s="204"/>
      <c r="D132" s="11"/>
      <c r="E132" s="11"/>
      <c r="F132" s="11"/>
      <c r="G132" s="11"/>
      <c r="H132" s="181" t="s">
        <v>281</v>
      </c>
      <c r="I132" s="118"/>
      <c r="J132" s="118"/>
      <c r="K132" s="11"/>
      <c r="L132" s="11"/>
      <c r="M132" s="11"/>
      <c r="N132" s="485" t="str">
        <f>IF(_epmOfflineCondition_,"Cost of Sales",IF(_xll.EVDES(H132,$B$1)="#NODATA","",_xll.EVDES(H132,$B$1)))</f>
        <v>Cost of Sales</v>
      </c>
      <c r="O132" s="513"/>
      <c r="P132" s="514"/>
      <c r="Q132" s="514"/>
      <c r="R132" s="514"/>
      <c r="S132" s="514"/>
      <c r="T132" s="514"/>
      <c r="U132" s="514"/>
      <c r="V132" s="514"/>
      <c r="W132" s="514"/>
      <c r="X132" s="514"/>
      <c r="Y132" s="514"/>
      <c r="Z132" s="514"/>
      <c r="AA132" s="514"/>
      <c r="AB132" s="515"/>
      <c r="AC132" s="136"/>
      <c r="AD132" s="513"/>
      <c r="AE132" s="514"/>
      <c r="AF132" s="514"/>
      <c r="AG132" s="514"/>
      <c r="AH132" s="514"/>
      <c r="AI132" s="515"/>
    </row>
    <row r="133" spans="1:35" x14ac:dyDescent="0.25">
      <c r="A133" s="11"/>
      <c r="B133" s="11"/>
      <c r="C133" s="204"/>
      <c r="D133" s="11"/>
      <c r="E133" s="11"/>
      <c r="F133" s="11"/>
      <c r="G133" s="11"/>
      <c r="H133" s="181">
        <v>561100</v>
      </c>
      <c r="I133" s="118"/>
      <c r="J133" s="118"/>
      <c r="K133" s="11"/>
      <c r="L133" s="86" t="str">
        <f>IF(_epmOfflineCondition_,"561100",_xll.EVPRO($B$1,H133,"JDEID"))</f>
        <v>561100</v>
      </c>
      <c r="M133" s="86" t="str">
        <f>IF(_epmOfflineCondition_,"",IF(AND(I133="N",J133="N"),_xll.EVPRO($B$1,H133,"PSFTID"),""))</f>
        <v/>
      </c>
      <c r="N133" s="86" t="str">
        <f>IF(_epmOfflineCondition_,"Cost of Food Sales",IF(_xll.EVDES(H133,$B$1)="#NODATA","",_xll.EVDES(H133,$B$1)))</f>
        <v>Cost of Food Sales</v>
      </c>
      <c r="O133" s="134">
        <v>16208.66</v>
      </c>
      <c r="P133" s="134">
        <v>18909.669999999998</v>
      </c>
      <c r="Q133" s="134">
        <v>20371.509999999998</v>
      </c>
      <c r="R133" s="134">
        <v>12316.83</v>
      </c>
      <c r="S133" s="134">
        <v>12524.36</v>
      </c>
      <c r="T133" s="134">
        <v>13702.97</v>
      </c>
      <c r="U133" s="134">
        <v>9866.08</v>
      </c>
      <c r="V133" s="134">
        <v>10960.99</v>
      </c>
      <c r="W133" s="134">
        <v>9200.9699999999993</v>
      </c>
      <c r="X133" s="134">
        <v>31075</v>
      </c>
      <c r="Y133" s="134">
        <v>41674.080000000002</v>
      </c>
      <c r="Z133" s="134">
        <v>41452.49</v>
      </c>
      <c r="AA133" s="134">
        <f>SUM(O133:Z133)</f>
        <v>238263.61</v>
      </c>
      <c r="AB133" s="454">
        <f>IF(_epmOfflineCondition_,0.503947966183248,IF(AA133=0,"",IFERROR(AA133/_xll.EVGTS($B$1,1,_xll.EVPRO($B$1,$H133,"COSBASIS"),$B$3,$B$5,$B$6,$B$7,$B$9,AA$16,AA$17,AA$11),"")))</f>
        <v>0.503947966183248</v>
      </c>
      <c r="AC133" s="136"/>
      <c r="AD133" s="134">
        <v>383633.65899999999</v>
      </c>
      <c r="AE133" s="454">
        <f>IF(_epmOfflineCondition_,0.27574115718132,IF(AD133=0,"",IFERROR(AD133/_xll.EVGTS($B$1,1,_xll.EVPRO($B$1,$H133,"COSBASIS"),$B$3,$B$5,$B$6,$B$7,$B$9,AD$16,AD$17,AD$18),"")))</f>
        <v>0.27574115718131997</v>
      </c>
      <c r="AF133" s="137">
        <f t="shared" ref="AF133:AF138" si="58">IF(AND($AA133="",AD133=""),"",$AA133-AD133)</f>
        <v>-145370.049</v>
      </c>
      <c r="AG133" s="134">
        <v>67539.69</v>
      </c>
      <c r="AH133" s="454">
        <f>IF(_epmOfflineCondition_,0.53523077237626,IF(AG133=0,"",IFERROR(AG133/_xll.EVGTS($B$1,1,_xll.EVPRO($B$1,$H133,"COSBASIS"),$B$3,$B$5,$B$6,$B$7,$B$9,AG$16,AG$17,AG$18),"")))</f>
        <v>0.53523077237626004</v>
      </c>
      <c r="AI133" s="137">
        <f t="shared" ref="AI133:AI138" si="59">IF(AND($AA133="",AG133=""),"",$AA133-AG133)</f>
        <v>170723.91999999998</v>
      </c>
    </row>
    <row r="134" spans="1:35" x14ac:dyDescent="0.25">
      <c r="A134" s="11"/>
      <c r="B134" s="11"/>
      <c r="C134" s="204"/>
      <c r="D134" s="11"/>
      <c r="E134" s="11"/>
      <c r="F134" s="11"/>
      <c r="G134" s="11"/>
      <c r="H134" s="181" t="s">
        <v>757</v>
      </c>
      <c r="I134" s="118"/>
      <c r="J134" s="118"/>
      <c r="K134" s="11"/>
      <c r="L134" s="86" t="str">
        <f>IF(_epmOfflineCondition_,"",_xll.EVPRO($B$1,H134,"JDEID"))</f>
        <v/>
      </c>
      <c r="M134" s="86" t="str">
        <f>IF(_epmOfflineCondition_,"",IF(AND(I134="N",J134="N"),_xll.EVPRO($B$1,H134,"PSFTID"),""))</f>
        <v/>
      </c>
      <c r="N134" s="488" t="str">
        <f>IF(_epmOfflineCondition_,"Food Cost %",IF(_xll.EVDES(H134,$B$1)="#NODATA","",_xll.EVDES(H134,$B$1)))</f>
        <v>Food Cost %</v>
      </c>
      <c r="O134" s="503">
        <v>0.37261475805165001</v>
      </c>
      <c r="P134" s="503">
        <v>0.44640560493146297</v>
      </c>
      <c r="Q134" s="503">
        <v>0.46318182097223698</v>
      </c>
      <c r="R134" s="503">
        <v>0.43060915762428598</v>
      </c>
      <c r="S134" s="503">
        <v>0.49878394044713198</v>
      </c>
      <c r="T134" s="503">
        <v>0.59562100460789003</v>
      </c>
      <c r="U134" s="503">
        <v>0.39978361775712101</v>
      </c>
      <c r="V134" s="503">
        <v>0.420794669596607</v>
      </c>
      <c r="W134" s="503">
        <v>0.67524999963305499</v>
      </c>
      <c r="X134" s="503">
        <v>0.82369418958299201</v>
      </c>
      <c r="Y134" s="503">
        <v>0.59196918368381901</v>
      </c>
      <c r="Z134" s="503">
        <v>0.44213536955816901</v>
      </c>
      <c r="AA134" s="503">
        <v>0.503947966183248</v>
      </c>
      <c r="AB134" s="454"/>
      <c r="AC134" s="136"/>
      <c r="AD134" s="503">
        <v>0.27574115718131997</v>
      </c>
      <c r="AE134" s="454"/>
      <c r="AF134" s="516">
        <f t="shared" si="58"/>
        <v>0.22820680900192802</v>
      </c>
      <c r="AG134" s="503">
        <v>0.53523077237625905</v>
      </c>
      <c r="AH134" s="454"/>
      <c r="AI134" s="516">
        <f t="shared" si="59"/>
        <v>-3.1282806193011048E-2</v>
      </c>
    </row>
    <row r="135" spans="1:35" x14ac:dyDescent="0.25">
      <c r="A135" s="11"/>
      <c r="B135" s="11"/>
      <c r="C135" s="204"/>
      <c r="D135" s="11"/>
      <c r="E135" s="11"/>
      <c r="F135" s="11"/>
      <c r="G135" s="11"/>
      <c r="H135" s="181" t="s">
        <v>771</v>
      </c>
      <c r="I135" s="118"/>
      <c r="J135" s="118"/>
      <c r="K135" s="11"/>
      <c r="L135" s="86" t="str">
        <f>IF(_epmOfflineCondition_,"",_xll.EVPRO($B$1,H135,"JDEID"))</f>
        <v/>
      </c>
      <c r="M135" s="86" t="str">
        <f>IF(_epmOfflineCondition_,"",IF(AND(I135="N",J135="N"),_xll.EVPRO($B$1,H135,"PSFTID"),""))</f>
        <v/>
      </c>
      <c r="N135" s="86" t="str">
        <f>IF(_epmOfflineCondition_,"Cost of Food (Excl Minibar)",IF(_xll.EVDES(H135,$B$1)="#NODATA","",_xll.EVDES(H135,$B$1)))</f>
        <v>Cost of Food (Excl Minibar)</v>
      </c>
      <c r="O135" s="134">
        <v>15236.29</v>
      </c>
      <c r="P135" s="134">
        <v>18044.439999999999</v>
      </c>
      <c r="Q135" s="134">
        <v>19344.29</v>
      </c>
      <c r="R135" s="134">
        <v>10529.5</v>
      </c>
      <c r="S135" s="134">
        <v>11478.68</v>
      </c>
      <c r="T135" s="134">
        <v>12717.21</v>
      </c>
      <c r="U135" s="134">
        <v>8232.89</v>
      </c>
      <c r="V135" s="134">
        <v>10435.6</v>
      </c>
      <c r="W135" s="134">
        <v>8403.2099999999991</v>
      </c>
      <c r="X135" s="134">
        <v>30109.14</v>
      </c>
      <c r="Y135" s="134">
        <v>40570.400000000001</v>
      </c>
      <c r="Z135" s="134">
        <v>39192.160000000003</v>
      </c>
      <c r="AA135" s="134">
        <f>SUM(O135:Z135)</f>
        <v>224293.81</v>
      </c>
      <c r="AB135" s="454">
        <f>IF(_epmOfflineCondition_,0.550947087723366,IF(AA135=0,"",IFERROR(AA135/_xll.EVGTS($B$1,1,_xll.EVPRO($B$1,$H135,"COSBASIS"),$B$3,$B$5,$B$6,$B$7,$B$9,AA$16,AA$17,AA$11),"")))</f>
        <v>0.55094708772336598</v>
      </c>
      <c r="AC135" s="136"/>
      <c r="AD135" s="134">
        <v>358108.88</v>
      </c>
      <c r="AE135" s="454">
        <f>IF(_epmOfflineCondition_,0.273868551350556,IF(AD135=0,"",IFERROR(AD135/_xll.EVGTS($B$1,1,_xll.EVPRO($B$1,$H135,"COSBASIS"),$B$3,$B$5,$B$6,$B$7,$B$9,AD$16,AD$17,AD$18),"")))</f>
        <v>0.27386855135055599</v>
      </c>
      <c r="AF135" s="137">
        <f t="shared" si="58"/>
        <v>-133815.07</v>
      </c>
      <c r="AG135" s="134">
        <v>59433.33</v>
      </c>
      <c r="AH135" s="454">
        <f>IF(_epmOfflineCondition_,0.640287226473806,IF(AG135=0,"",IFERROR(AG135/_xll.EVGTS($B$1,1,_xll.EVPRO($B$1,$H135,"COSBASIS"),$B$3,$B$5,$B$6,$B$7,$B$9,AG$16,AG$17,AG$18),"")))</f>
        <v>0.64028722647380598</v>
      </c>
      <c r="AI135" s="137">
        <f t="shared" si="59"/>
        <v>164860.47999999998</v>
      </c>
    </row>
    <row r="136" spans="1:35" x14ac:dyDescent="0.25">
      <c r="A136" s="11"/>
      <c r="B136" s="11"/>
      <c r="C136" s="204"/>
      <c r="D136" s="11"/>
      <c r="E136" s="11"/>
      <c r="F136" s="11"/>
      <c r="G136" s="11"/>
      <c r="H136" s="181" t="s">
        <v>772</v>
      </c>
      <c r="I136" s="118"/>
      <c r="J136" s="118"/>
      <c r="K136" s="11"/>
      <c r="L136" s="86" t="str">
        <f>IF(_epmOfflineCondition_,"",_xll.EVPRO($B$1,H136,"JDEID"))</f>
        <v/>
      </c>
      <c r="M136" s="86" t="str">
        <f>IF(_epmOfflineCondition_,"",IF(AND(I136="N",J136="N"),_xll.EVPRO($B$1,H136,"PSFTID"),""))</f>
        <v/>
      </c>
      <c r="N136" s="488" t="str">
        <f>IF(_epmOfflineCondition_,"Cost of Food % (Excl Minibar)",IF(_xll.EVDES(H136,$B$1)="#NODATA","",_xll.EVDES(H136,$B$1)))</f>
        <v>Cost of Food % (Excl Minibar)</v>
      </c>
      <c r="O136" s="503">
        <v>0.41257182840089801</v>
      </c>
      <c r="P136" s="503">
        <v>0.47924317332833999</v>
      </c>
      <c r="Q136" s="503">
        <v>0.50563168117661095</v>
      </c>
      <c r="R136" s="503">
        <v>0.45688521396303999</v>
      </c>
      <c r="S136" s="503">
        <v>0.58766208002031495</v>
      </c>
      <c r="T136" s="503">
        <v>0.66331545848439899</v>
      </c>
      <c r="U136" s="503">
        <v>0.42379578463494499</v>
      </c>
      <c r="V136" s="503">
        <v>0.49277268926034501</v>
      </c>
      <c r="W136" s="503">
        <v>0.81607539986986599</v>
      </c>
      <c r="X136" s="503">
        <v>0.89722261292037497</v>
      </c>
      <c r="Y136" s="503">
        <v>0.63514229426727498</v>
      </c>
      <c r="Z136" s="503">
        <v>0.465576777326627</v>
      </c>
      <c r="AA136" s="503">
        <v>0.55094708772336598</v>
      </c>
      <c r="AB136" s="454"/>
      <c r="AC136" s="136"/>
      <c r="AD136" s="503">
        <v>0.27386855135055599</v>
      </c>
      <c r="AE136" s="454"/>
      <c r="AF136" s="516">
        <f t="shared" si="58"/>
        <v>0.27707853637280999</v>
      </c>
      <c r="AG136" s="503">
        <v>0.64028722647380598</v>
      </c>
      <c r="AH136" s="454"/>
      <c r="AI136" s="516">
        <f t="shared" si="59"/>
        <v>-8.9340138750440001E-2</v>
      </c>
    </row>
    <row r="137" spans="1:35" x14ac:dyDescent="0.25">
      <c r="A137" s="11"/>
      <c r="B137" s="11"/>
      <c r="C137" s="204"/>
      <c r="D137" s="11"/>
      <c r="E137" s="11"/>
      <c r="F137" s="11"/>
      <c r="G137" s="11"/>
      <c r="H137" s="489">
        <v>567100</v>
      </c>
      <c r="I137" s="118"/>
      <c r="J137" s="118"/>
      <c r="K137" s="11"/>
      <c r="L137" s="86" t="str">
        <f>IF(_epmOfflineCondition_,"567100",_xll.EVPRO($B$1,H137,"JDEID"))</f>
        <v>567100</v>
      </c>
      <c r="M137" s="86" t="str">
        <f>IF(_epmOfflineCondition_,"",IF(AND(I137="N",J137="N"),_xll.EVPRO($B$1,H137,"PSFTID"),""))</f>
        <v/>
      </c>
      <c r="N137" s="86" t="str">
        <f>IF(_epmOfflineCondition_,"Mini Bar Cost of Food",IF(_xll.EVDES(H137,$B$1)="#NODATA","",_xll.EVDES(H137,$B$1)))</f>
        <v>Mini Bar Cost of Food</v>
      </c>
      <c r="O137" s="134">
        <v>972.37</v>
      </c>
      <c r="P137" s="134">
        <v>865.23</v>
      </c>
      <c r="Q137" s="134">
        <v>1027.22</v>
      </c>
      <c r="R137" s="134">
        <v>1787.33</v>
      </c>
      <c r="S137" s="134">
        <v>1045.68</v>
      </c>
      <c r="T137" s="134">
        <v>985.76</v>
      </c>
      <c r="U137" s="134">
        <v>1633.19</v>
      </c>
      <c r="V137" s="134">
        <v>525.39</v>
      </c>
      <c r="W137" s="134">
        <v>797.76</v>
      </c>
      <c r="X137" s="134">
        <v>965.86</v>
      </c>
      <c r="Y137" s="134">
        <v>1103.68</v>
      </c>
      <c r="Z137" s="134">
        <v>2260.33</v>
      </c>
      <c r="AA137" s="134">
        <f>SUM(O137:Z137)</f>
        <v>13969.800000000001</v>
      </c>
      <c r="AB137" s="454">
        <f>IF(_epmOfflineCondition_,0.212668430251596,IF(AA137=0,"",IFERROR(AA137/_xll.EVGTS($B$1,1,_xll.EVPRO($B$1,$H137,"COSBASIS"),$B$3,$B$5,$B$6,$B$7,$B$9,AA$16,AA$17,AA$11),"")))</f>
        <v>0.21266843025159601</v>
      </c>
      <c r="AC137" s="136"/>
      <c r="AD137" s="134">
        <v>25524.778999999999</v>
      </c>
      <c r="AE137" s="454">
        <f>IF(_epmOfflineCondition_,0.305,IF(AD137=0,"",IFERROR(AD137/_xll.EVGTS($B$1,1,_xll.EVPRO($B$1,$H137,"COSBASIS"),$B$3,$B$5,$B$6,$B$7,$B$9,AD$16,AD$17,AD$18),"")))</f>
        <v>0.30499999999999999</v>
      </c>
      <c r="AF137" s="137">
        <f t="shared" si="58"/>
        <v>-11554.978999999998</v>
      </c>
      <c r="AG137" s="134">
        <v>8106.36</v>
      </c>
      <c r="AH137" s="454">
        <f>IF(_epmOfflineCondition_,0.242959551099264,IF(AG137=0,"",IFERROR(AG137/_xll.EVGTS($B$1,1,_xll.EVPRO($B$1,$H137,"COSBASIS"),$B$3,$B$5,$B$6,$B$7,$B$9,AG$16,AG$17,AG$18),"")))</f>
        <v>0.24295955109926401</v>
      </c>
      <c r="AI137" s="137">
        <f t="shared" si="59"/>
        <v>5863.4400000000014</v>
      </c>
    </row>
    <row r="138" spans="1:35" x14ac:dyDescent="0.25">
      <c r="A138" s="11"/>
      <c r="B138" s="11"/>
      <c r="C138" s="204"/>
      <c r="D138" s="11"/>
      <c r="E138" s="11"/>
      <c r="F138" s="11"/>
      <c r="G138" s="11"/>
      <c r="H138" s="181" t="s">
        <v>773</v>
      </c>
      <c r="I138" s="118"/>
      <c r="J138" s="118"/>
      <c r="K138" s="11"/>
      <c r="L138" s="86" t="str">
        <f>IF(_epmOfflineCondition_,"",_xll.EVPRO($B$1,H138,"JDEID"))</f>
        <v/>
      </c>
      <c r="M138" s="86" t="str">
        <f>IF(_epmOfflineCondition_,"",IF(AND(I138="N",J138="N"),_xll.EVPRO($B$1,H138,"PSFTID"),""))</f>
        <v/>
      </c>
      <c r="N138" s="488" t="str">
        <f>IF(_epmOfflineCondition_,"Minibar Food Cost %",IF(_xll.EVDES(H138,$B$1)="#NODATA","",_xll.EVDES(H138,$B$1)))</f>
        <v>Minibar Food Cost %</v>
      </c>
      <c r="O138" s="503">
        <v>0.14800715400129399</v>
      </c>
      <c r="P138" s="503">
        <v>0.183782968591025</v>
      </c>
      <c r="Q138" s="503">
        <v>0.179458420684836</v>
      </c>
      <c r="R138" s="503">
        <v>0.32163577469857801</v>
      </c>
      <c r="S138" s="503">
        <v>0.18749865519096301</v>
      </c>
      <c r="T138" s="503">
        <v>0.25711006781429302</v>
      </c>
      <c r="U138" s="503">
        <v>0.31096534653465302</v>
      </c>
      <c r="V138" s="503">
        <v>0.10786080886881499</v>
      </c>
      <c r="W138" s="503">
        <v>0.23964529036444299</v>
      </c>
      <c r="X138" s="503">
        <v>0.231720014778491</v>
      </c>
      <c r="Y138" s="503">
        <v>0.16919848106466501</v>
      </c>
      <c r="Z138" s="503">
        <v>0.23605593500010399</v>
      </c>
      <c r="AA138" s="503">
        <v>0.21266843025159601</v>
      </c>
      <c r="AB138" s="454"/>
      <c r="AC138" s="136"/>
      <c r="AD138" s="503">
        <v>0.30499999999999999</v>
      </c>
      <c r="AE138" s="454"/>
      <c r="AF138" s="516">
        <f t="shared" si="58"/>
        <v>-9.233156974840398E-2</v>
      </c>
      <c r="AG138" s="503">
        <v>0.24295955109926401</v>
      </c>
      <c r="AH138" s="454"/>
      <c r="AI138" s="516">
        <f t="shared" si="59"/>
        <v>-3.0291120847667996E-2</v>
      </c>
    </row>
    <row r="139" spans="1:35" x14ac:dyDescent="0.25">
      <c r="A139" s="11"/>
      <c r="B139" s="11"/>
      <c r="C139" s="204"/>
      <c r="D139" s="11"/>
      <c r="E139" s="11"/>
      <c r="F139" s="11"/>
      <c r="G139" s="11"/>
      <c r="H139" s="181"/>
      <c r="I139" s="118"/>
      <c r="J139" s="118"/>
      <c r="K139" s="11"/>
      <c r="L139" s="86"/>
      <c r="M139" s="86"/>
      <c r="N139" s="488"/>
      <c r="O139" s="513"/>
      <c r="P139" s="514"/>
      <c r="Q139" s="514"/>
      <c r="R139" s="514"/>
      <c r="S139" s="514"/>
      <c r="T139" s="514"/>
      <c r="U139" s="514"/>
      <c r="V139" s="514"/>
      <c r="W139" s="514"/>
      <c r="X139" s="514"/>
      <c r="Y139" s="514"/>
      <c r="Z139" s="514"/>
      <c r="AA139" s="514"/>
      <c r="AB139" s="515"/>
      <c r="AC139" s="136"/>
      <c r="AD139" s="513"/>
      <c r="AE139" s="514"/>
      <c r="AF139" s="514"/>
      <c r="AG139" s="514"/>
      <c r="AH139" s="514"/>
      <c r="AI139" s="515"/>
    </row>
    <row r="140" spans="1:35" x14ac:dyDescent="0.25">
      <c r="A140" s="11"/>
      <c r="B140" s="11"/>
      <c r="C140" s="204"/>
      <c r="D140" s="11"/>
      <c r="E140" s="11"/>
      <c r="F140" s="11"/>
      <c r="G140" s="11"/>
      <c r="H140" s="181" t="s">
        <v>637</v>
      </c>
      <c r="I140" s="118"/>
      <c r="J140" s="118"/>
      <c r="K140" s="11"/>
      <c r="L140" s="86" t="str">
        <f>IF(_epmOfflineCondition_,"",_xll.EVPRO($B$1,H140,"JDEID"))</f>
        <v/>
      </c>
      <c r="M140" s="86" t="str">
        <f>IF(_epmOfflineCondition_,"",IF(AND(I140="N",J140="N"),_xll.EVPRO($B$1,H140,"PSFTID"),""))</f>
        <v/>
      </c>
      <c r="N140" s="86" t="str">
        <f>IF(_epmOfflineCondition_,"Cost of Beverage Sales",IF(_xll.EVDES(H140,$B$1)="#NODATA","",_xll.EVDES(H140,$B$1)))</f>
        <v>Cost of Beverage Sales</v>
      </c>
      <c r="O140" s="134">
        <v>4341.7299999999996</v>
      </c>
      <c r="P140" s="134">
        <v>8867.07</v>
      </c>
      <c r="Q140" s="134">
        <v>5953.13</v>
      </c>
      <c r="R140" s="134">
        <v>6458.71</v>
      </c>
      <c r="S140" s="134">
        <v>4378.3500000000004</v>
      </c>
      <c r="T140" s="134">
        <v>5040.47</v>
      </c>
      <c r="U140" s="134">
        <v>6702.79</v>
      </c>
      <c r="V140" s="134">
        <v>4162.51</v>
      </c>
      <c r="W140" s="134">
        <v>6578.19</v>
      </c>
      <c r="X140" s="134">
        <v>-724.37</v>
      </c>
      <c r="Y140" s="134">
        <v>16533.93</v>
      </c>
      <c r="Z140" s="134">
        <v>10741.98</v>
      </c>
      <c r="AA140" s="134">
        <f>SUM(O140:Z140)</f>
        <v>79034.490000000005</v>
      </c>
      <c r="AB140" s="454">
        <f>IF(_epmOfflineCondition_,0.235713784029188,IF(AA140=0,"",IFERROR(AA140/_xll.EVGTS($B$1,1,_xll.EVPRO($B$1,$H140,"COSBASIS"),$B$3,$B$5,$B$6,$B$7,$B$9,AA$16,AA$17,AA$11),"")))</f>
        <v>0.23571378402918799</v>
      </c>
      <c r="AC140" s="136"/>
      <c r="AD140" s="134">
        <v>230584.71195999999</v>
      </c>
      <c r="AE140" s="454">
        <f>IF(_epmOfflineCondition_,0.219185513981671,IF(AD140=0,"",IFERROR(AD140/_xll.EVGTS($B$1,1,_xll.EVPRO($B$1,$H140,"COSBASIS"),$B$3,$B$5,$B$6,$B$7,$B$9,AD$16,AD$17,AD$18),"")))</f>
        <v>0.21918551398167099</v>
      </c>
      <c r="AF140" s="137">
        <f t="shared" ref="AF140:AF149" si="60">IF(AND($AA140="",AD140=""),"",$AA140-AD140)</f>
        <v>-151550.22196</v>
      </c>
      <c r="AG140" s="134">
        <v>30381.13</v>
      </c>
      <c r="AH140" s="454">
        <f>IF(_epmOfflineCondition_,0.290942505655356,IF(AG140=0,"",IFERROR(AG140/_xll.EVGTS($B$1,1,_xll.EVPRO($B$1,$H140,"COSBASIS"),$B$3,$B$5,$B$6,$B$7,$B$9,AG$16,AG$17,AG$18),"")))</f>
        <v>0.29094250565535601</v>
      </c>
      <c r="AI140" s="137">
        <f t="shared" ref="AI140:AI149" si="61">IF(AND($AA140="",AG140=""),"",$AA140-AG140)</f>
        <v>48653.36</v>
      </c>
    </row>
    <row r="141" spans="1:35" x14ac:dyDescent="0.25">
      <c r="A141" s="11"/>
      <c r="B141" s="11"/>
      <c r="C141" s="204"/>
      <c r="D141" s="11"/>
      <c r="E141" s="11"/>
      <c r="F141" s="11"/>
      <c r="G141" s="11"/>
      <c r="H141" s="181" t="s">
        <v>758</v>
      </c>
      <c r="I141" s="118"/>
      <c r="J141" s="118"/>
      <c r="K141" s="11"/>
      <c r="L141" s="86" t="str">
        <f>IF(_epmOfflineCondition_,"",_xll.EVPRO($B$1,H141,"JDEID"))</f>
        <v/>
      </c>
      <c r="M141" s="86" t="str">
        <f>IF(_epmOfflineCondition_,"",IF(AND(I141="N",J141="N"),_xll.EVPRO($B$1,H141,"PSFTID"),""))</f>
        <v/>
      </c>
      <c r="N141" s="488" t="str">
        <f>IF(_epmOfflineCondition_,"Beverage Cost %",IF(_xll.EVDES(H141,$B$1)="#NODATA","",_xll.EVDES(H141,$B$1)))</f>
        <v>Beverage Cost %</v>
      </c>
      <c r="O141" s="503">
        <v>0.154583350245277</v>
      </c>
      <c r="P141" s="503">
        <v>0.27881763640480001</v>
      </c>
      <c r="Q141" s="503">
        <v>0.186580652764157</v>
      </c>
      <c r="R141" s="503">
        <v>0.25207623902068699</v>
      </c>
      <c r="S141" s="503">
        <v>0.17933730782070201</v>
      </c>
      <c r="T141" s="503">
        <v>0.242028218627137</v>
      </c>
      <c r="U141" s="503">
        <v>0.31314278506323301</v>
      </c>
      <c r="V141" s="503">
        <v>0.19442795346445299</v>
      </c>
      <c r="W141" s="503">
        <v>0.36987292662355897</v>
      </c>
      <c r="X141" s="503">
        <v>-3.12101589741756E-2</v>
      </c>
      <c r="Y141" s="503">
        <v>0.43866387099290399</v>
      </c>
      <c r="Z141" s="503">
        <v>0.21004613710512399</v>
      </c>
      <c r="AA141" s="503">
        <v>0.23571378402918799</v>
      </c>
      <c r="AB141" s="454"/>
      <c r="AC141" s="136"/>
      <c r="AD141" s="503">
        <v>0.21918551398167099</v>
      </c>
      <c r="AE141" s="454"/>
      <c r="AF141" s="516">
        <f t="shared" si="60"/>
        <v>1.6528270047517002E-2</v>
      </c>
      <c r="AG141" s="503">
        <v>0.29094250565535601</v>
      </c>
      <c r="AH141" s="454"/>
      <c r="AI141" s="516">
        <f t="shared" si="61"/>
        <v>-5.5228721626168015E-2</v>
      </c>
    </row>
    <row r="142" spans="1:35" x14ac:dyDescent="0.25">
      <c r="A142" s="11"/>
      <c r="B142" s="11"/>
      <c r="C142" s="204"/>
      <c r="D142" s="11"/>
      <c r="E142" s="11"/>
      <c r="F142" s="11"/>
      <c r="G142" s="11"/>
      <c r="H142" s="181" t="s">
        <v>756</v>
      </c>
      <c r="I142" s="118"/>
      <c r="J142" s="118"/>
      <c r="K142" s="11"/>
      <c r="L142" s="86" t="str">
        <f>IF(_epmOfflineCondition_,"561300",_xll.EVPRO($B$1,H142,"JDEID"))</f>
        <v>561300</v>
      </c>
      <c r="M142" s="86" t="str">
        <f>IF(_epmOfflineCondition_,"",IF(AND(I142="N",J142="N"),_xll.EVPRO($B$1,H142,"PSFTID"),""))</f>
        <v/>
      </c>
      <c r="N142" s="86" t="str">
        <f>IF(_epmOfflineCondition_,"Liquor Cost of Sales",IF(_xll.EVDES(H142,$B$1)="#NODATA","",_xll.EVDES(H142,$B$1)))</f>
        <v>Liquor Cost of Sales</v>
      </c>
      <c r="O142" s="134">
        <v>1262.1099999999999</v>
      </c>
      <c r="P142" s="134">
        <v>5103.95</v>
      </c>
      <c r="Q142" s="134">
        <v>2691.76</v>
      </c>
      <c r="R142" s="134">
        <v>3675.47</v>
      </c>
      <c r="S142" s="134">
        <v>2827.93</v>
      </c>
      <c r="T142" s="134">
        <v>1574.63</v>
      </c>
      <c r="U142" s="134">
        <v>3243.8</v>
      </c>
      <c r="V142" s="134">
        <v>2303.29</v>
      </c>
      <c r="W142" s="134">
        <v>3791.96</v>
      </c>
      <c r="X142" s="134">
        <v>-1205.4100000000001</v>
      </c>
      <c r="Y142" s="134">
        <v>8803.42</v>
      </c>
      <c r="Z142" s="134">
        <v>5294.39</v>
      </c>
      <c r="AA142" s="134">
        <f>SUM(O142:Z142)</f>
        <v>39367.299999999996</v>
      </c>
      <c r="AB142" s="454">
        <f>IF(_epmOfflineCondition_,0.211292272087112,IF(AA142=0,"",IFERROR(AA142/_xll.EVGTS($B$1,1,_xll.EVPRO($B$1,$H142,"COSBASIS"),$B$3,$B$5,$B$6,$B$7,$B$9,AA$16,AA$17,AA$11),"")))</f>
        <v>0.21129227208711199</v>
      </c>
      <c r="AC142" s="136"/>
      <c r="AD142" s="134">
        <v>89586.35</v>
      </c>
      <c r="AE142" s="454">
        <f>IF(_epmOfflineCondition_,0.192933639480303,IF(AD142=0,"",IFERROR(AD142/_xll.EVGTS($B$1,1,_xll.EVPRO($B$1,$H142,"COSBASIS"),$B$3,$B$5,$B$6,$B$7,$B$9,AD$16,AD$17,AD$18),"")))</f>
        <v>0.19293363948030301</v>
      </c>
      <c r="AF142" s="137">
        <f t="shared" si="60"/>
        <v>-50219.05000000001</v>
      </c>
      <c r="AG142" s="134">
        <v>19425.189999999999</v>
      </c>
      <c r="AH142" s="454">
        <f>IF(_epmOfflineCondition_,0.316091375142687,IF(AG142=0,"",IFERROR(AG142/_xll.EVGTS($B$1,1,_xll.EVPRO($B$1,$H142,"COSBASIS"),$B$3,$B$5,$B$6,$B$7,$B$9,AG$16,AG$17,AG$18),"")))</f>
        <v>0.31609137514268698</v>
      </c>
      <c r="AI142" s="137">
        <f t="shared" si="61"/>
        <v>19942.109999999997</v>
      </c>
    </row>
    <row r="143" spans="1:35" x14ac:dyDescent="0.25">
      <c r="A143" s="11"/>
      <c r="B143" s="11"/>
      <c r="C143" s="204"/>
      <c r="D143" s="11"/>
      <c r="E143" s="11"/>
      <c r="F143" s="11"/>
      <c r="G143" s="11"/>
      <c r="H143" s="181" t="s">
        <v>759</v>
      </c>
      <c r="I143" s="118"/>
      <c r="J143" s="118"/>
      <c r="K143" s="11"/>
      <c r="L143" s="86" t="str">
        <f>IF(_epmOfflineCondition_,"",_xll.EVPRO($B$1,H143,"JDEID"))</f>
        <v/>
      </c>
      <c r="M143" s="86" t="str">
        <f>IF(_epmOfflineCondition_,"",IF(AND(I143="N",J143="N"),_xll.EVPRO($B$1,H143,"PSFTID"),""))</f>
        <v/>
      </c>
      <c r="N143" s="488" t="str">
        <f>IF(_epmOfflineCondition_,"Liquor Cost %",IF(_xll.EVDES(H143,$B$1)="#NODATA","",_xll.EVDES(H143,$B$1)))</f>
        <v>Liquor Cost %</v>
      </c>
      <c r="O143" s="503">
        <v>7.5936214326025597E-2</v>
      </c>
      <c r="P143" s="503">
        <v>0.30134377970514797</v>
      </c>
      <c r="Q143" s="503">
        <v>0.15319838683423601</v>
      </c>
      <c r="R143" s="503">
        <v>0.25044426879624998</v>
      </c>
      <c r="S143" s="503">
        <v>0.20857248220673399</v>
      </c>
      <c r="T143" s="503">
        <v>0.11538143072886201</v>
      </c>
      <c r="U143" s="503">
        <v>0.25101371219859497</v>
      </c>
      <c r="V143" s="503">
        <v>0.18512633301504899</v>
      </c>
      <c r="W143" s="503">
        <v>0.34621551047239901</v>
      </c>
      <c r="X143" s="503">
        <v>-0.101737988450547</v>
      </c>
      <c r="Y143" s="503">
        <v>0.46057926733564197</v>
      </c>
      <c r="Z143" s="503">
        <v>0.203412498535223</v>
      </c>
      <c r="AA143" s="503">
        <v>0.21129227208711199</v>
      </c>
      <c r="AB143" s="454"/>
      <c r="AC143" s="136"/>
      <c r="AD143" s="503">
        <v>0.19293363948030301</v>
      </c>
      <c r="AE143" s="454"/>
      <c r="AF143" s="516">
        <f t="shared" si="60"/>
        <v>1.8358632606808978E-2</v>
      </c>
      <c r="AG143" s="503">
        <v>0.31609137514268698</v>
      </c>
      <c r="AH143" s="454"/>
      <c r="AI143" s="516">
        <f t="shared" si="61"/>
        <v>-0.10479910305557499</v>
      </c>
    </row>
    <row r="144" spans="1:35" x14ac:dyDescent="0.25">
      <c r="A144" s="11"/>
      <c r="B144" s="11"/>
      <c r="C144" s="204"/>
      <c r="D144" s="11"/>
      <c r="E144" s="11"/>
      <c r="F144" s="11"/>
      <c r="G144" s="11"/>
      <c r="H144" s="181">
        <v>561400</v>
      </c>
      <c r="I144" s="118"/>
      <c r="J144" s="118"/>
      <c r="K144" s="11"/>
      <c r="L144" s="86" t="str">
        <f>IF(_epmOfflineCondition_,"561400",_xll.EVPRO($B$1,H144,"JDEID"))</f>
        <v>561400</v>
      </c>
      <c r="M144" s="86" t="str">
        <f>IF(_epmOfflineCondition_,"",IF(AND(I144="N",J144="N"),_xll.EVPRO($B$1,H144,"PSFTID"),""))</f>
        <v/>
      </c>
      <c r="N144" s="86" t="str">
        <f>IF(_epmOfflineCondition_,"Beer Cost of Sales",IF(_xll.EVDES(H144,$B$1)="#NODATA","",_xll.EVDES(H144,$B$1)))</f>
        <v>Beer Cost of Sales</v>
      </c>
      <c r="O144" s="134">
        <v>661.69</v>
      </c>
      <c r="P144" s="134">
        <v>640.63</v>
      </c>
      <c r="Q144" s="134">
        <v>1240.8900000000001</v>
      </c>
      <c r="R144" s="134">
        <v>99.04</v>
      </c>
      <c r="S144" s="134">
        <v>-1478.79</v>
      </c>
      <c r="T144" s="134">
        <v>2269.75</v>
      </c>
      <c r="U144" s="134">
        <v>493.03</v>
      </c>
      <c r="V144" s="134">
        <v>516.07000000000005</v>
      </c>
      <c r="W144" s="134">
        <v>287.79000000000002</v>
      </c>
      <c r="X144" s="134">
        <v>725.22</v>
      </c>
      <c r="Y144" s="134">
        <v>1224.74</v>
      </c>
      <c r="Z144" s="134">
        <v>880.89</v>
      </c>
      <c r="AA144" s="134">
        <f>SUM(O144:Z144)</f>
        <v>7560.95</v>
      </c>
      <c r="AB144" s="454">
        <f>IF(_epmOfflineCondition_,0.195998961024956,IF(AA144=0,"",IFERROR(AA144/_xll.EVGTS($B$1,1,_xll.EVPRO($B$1,$H144,"COSBASIS"),$B$3,$B$5,$B$6,$B$7,$B$9,AA$16,AA$17,AA$11),"")))</f>
        <v>0.19599896102495601</v>
      </c>
      <c r="AC144" s="136"/>
      <c r="AD144" s="134">
        <v>22545.3</v>
      </c>
      <c r="AE144" s="454">
        <f>IF(_epmOfflineCondition_,0.210203964161957,IF(AD144=0,"",IFERROR(AD144/_xll.EVGTS($B$1,1,_xll.EVPRO($B$1,$H144,"COSBASIS"),$B$3,$B$5,$B$6,$B$7,$B$9,AD$16,AD$17,AD$18),"")))</f>
        <v>0.210203964161957</v>
      </c>
      <c r="AF144" s="137">
        <f t="shared" si="60"/>
        <v>-14984.349999999999</v>
      </c>
      <c r="AG144" s="134">
        <v>2252.2399999999998</v>
      </c>
      <c r="AH144" s="454">
        <f>IF(_epmOfflineCondition_,0.162880154820905,IF(AG144=0,"",IFERROR(AG144/_xll.EVGTS($B$1,1,_xll.EVPRO($B$1,$H144,"COSBASIS"),$B$3,$B$5,$B$6,$B$7,$B$9,AG$16,AG$17,AG$18),"")))</f>
        <v>0.16288015482090501</v>
      </c>
      <c r="AI144" s="137">
        <f t="shared" si="61"/>
        <v>5308.71</v>
      </c>
    </row>
    <row r="145" spans="1:35" x14ac:dyDescent="0.25">
      <c r="A145" s="11"/>
      <c r="B145" s="11"/>
      <c r="C145" s="204"/>
      <c r="D145" s="11"/>
      <c r="E145" s="11"/>
      <c r="F145" s="11"/>
      <c r="G145" s="11"/>
      <c r="H145" s="181" t="s">
        <v>760</v>
      </c>
      <c r="I145" s="118"/>
      <c r="J145" s="118"/>
      <c r="K145" s="11"/>
      <c r="L145" s="86" t="str">
        <f>IF(_epmOfflineCondition_,"",_xll.EVPRO($B$1,H145,"JDEID"))</f>
        <v/>
      </c>
      <c r="M145" s="86" t="str">
        <f>IF(_epmOfflineCondition_,"",IF(AND(I145="N",J145="N"),_xll.EVPRO($B$1,H145,"PSFTID"),""))</f>
        <v/>
      </c>
      <c r="N145" s="488" t="str">
        <f>IF(_epmOfflineCondition_,"Beer Cost %",IF(_xll.EVDES(H145,$B$1)="#NODATA","",_xll.EVDES(H145,$B$1)))</f>
        <v>Beer Cost %</v>
      </c>
      <c r="O145" s="503">
        <v>0.23983747204511899</v>
      </c>
      <c r="P145" s="503">
        <v>0.186422034366861</v>
      </c>
      <c r="Q145" s="503">
        <v>0.31417879649486202</v>
      </c>
      <c r="R145" s="503">
        <v>2.8765193650978099E-2</v>
      </c>
      <c r="S145" s="503">
        <v>-0.59304605883178596</v>
      </c>
      <c r="T145" s="503">
        <v>0.99481499662514605</v>
      </c>
      <c r="U145" s="503">
        <v>0.192631229365684</v>
      </c>
      <c r="V145" s="503">
        <v>0.152185901122071</v>
      </c>
      <c r="W145" s="503">
        <v>0.15693641618497101</v>
      </c>
      <c r="X145" s="503">
        <v>0.18161556261206699</v>
      </c>
      <c r="Y145" s="503">
        <v>0.31461268736272902</v>
      </c>
      <c r="Z145" s="503">
        <v>0.19390050627338801</v>
      </c>
      <c r="AA145" s="503">
        <v>0.19599896102495601</v>
      </c>
      <c r="AB145" s="454"/>
      <c r="AC145" s="136"/>
      <c r="AD145" s="503">
        <v>0.210203964161957</v>
      </c>
      <c r="AE145" s="454"/>
      <c r="AF145" s="516">
        <f t="shared" si="60"/>
        <v>-1.4205003137000988E-2</v>
      </c>
      <c r="AG145" s="503">
        <v>0.16288015482090501</v>
      </c>
      <c r="AH145" s="454"/>
      <c r="AI145" s="516">
        <f t="shared" si="61"/>
        <v>3.3118806204050999E-2</v>
      </c>
    </row>
    <row r="146" spans="1:35" x14ac:dyDescent="0.25">
      <c r="A146" s="11"/>
      <c r="B146" s="11"/>
      <c r="C146" s="204"/>
      <c r="D146" s="11"/>
      <c r="E146" s="11"/>
      <c r="F146" s="11"/>
      <c r="G146" s="11"/>
      <c r="H146" s="181">
        <v>561500</v>
      </c>
      <c r="I146" s="118"/>
      <c r="J146" s="118"/>
      <c r="K146" s="11"/>
      <c r="L146" s="86" t="str">
        <f>IF(_epmOfflineCondition_,"561500",_xll.EVPRO($B$1,H146,"JDEID"))</f>
        <v>561500</v>
      </c>
      <c r="M146" s="86" t="str">
        <f>IF(_epmOfflineCondition_,"",IF(AND(I146="N",J146="N"),_xll.EVPRO($B$1,H146,"PSFTID"),""))</f>
        <v/>
      </c>
      <c r="N146" s="86" t="str">
        <f>IF(_epmOfflineCondition_,"Wine Cost of Sales",IF(_xll.EVDES(H146,$B$1)="#NODATA","",_xll.EVDES(H146,$B$1)))</f>
        <v>Wine Cost of Sales</v>
      </c>
      <c r="O146" s="134">
        <v>1192.92</v>
      </c>
      <c r="P146" s="134">
        <v>2109.17</v>
      </c>
      <c r="Q146" s="134">
        <v>1171.05</v>
      </c>
      <c r="R146" s="134">
        <v>1985.51</v>
      </c>
      <c r="S146" s="134">
        <v>1705.41</v>
      </c>
      <c r="T146" s="134">
        <v>545.61</v>
      </c>
      <c r="U146" s="134">
        <v>875.72</v>
      </c>
      <c r="V146" s="134">
        <v>387.24</v>
      </c>
      <c r="W146" s="134">
        <v>1622.29</v>
      </c>
      <c r="X146" s="134">
        <v>-61.339999999999897</v>
      </c>
      <c r="Y146" s="134">
        <v>5546.5</v>
      </c>
      <c r="Z146" s="134">
        <v>3462.51</v>
      </c>
      <c r="AA146" s="134">
        <f>SUM(O146:Z146)</f>
        <v>20542.589999999997</v>
      </c>
      <c r="AB146" s="454">
        <f>IF(_epmOfflineCondition_,0.290115688464073,IF(AA146=0,"",IFERROR(AA146/_xll.EVGTS($B$1,1,_xll.EVPRO($B$1,$H146,"COSBASIS"),$B$3,$B$5,$B$6,$B$7,$B$9,AA$16,AA$17,AA$11),"")))</f>
        <v>0.29011568846407298</v>
      </c>
      <c r="AC146" s="136"/>
      <c r="AD146" s="134">
        <v>107505.97</v>
      </c>
      <c r="AE146" s="454">
        <f>IF(_epmOfflineCondition_,0.241718573398694,IF(AD146=0,"",IFERROR(AD146/_xll.EVGTS($B$1,1,_xll.EVPRO($B$1,$H146,"COSBASIS"),$B$3,$B$5,$B$6,$B$7,$B$9,AD$16,AD$17,AD$18),"")))</f>
        <v>0.24171857339869399</v>
      </c>
      <c r="AF146" s="137">
        <f t="shared" si="60"/>
        <v>-86963.38</v>
      </c>
      <c r="AG146" s="134">
        <v>1311.66</v>
      </c>
      <c r="AH146" s="454">
        <f>IF(_epmOfflineCondition_,0.0816206394444375,IF(AG146=0,"",IFERROR(AG146/_xll.EVGTS($B$1,1,_xll.EVPRO($B$1,$H146,"COSBASIS"),$B$3,$B$5,$B$6,$B$7,$B$9,AG$16,AG$17,AG$18),"")))</f>
        <v>8.1620639444437496E-2</v>
      </c>
      <c r="AI146" s="137">
        <f t="shared" si="61"/>
        <v>19230.929999999997</v>
      </c>
    </row>
    <row r="147" spans="1:35" x14ac:dyDescent="0.25">
      <c r="A147" s="11"/>
      <c r="B147" s="11"/>
      <c r="C147" s="204"/>
      <c r="D147" s="11"/>
      <c r="E147" s="11"/>
      <c r="F147" s="11"/>
      <c r="G147" s="11"/>
      <c r="H147" s="181" t="s">
        <v>761</v>
      </c>
      <c r="I147" s="118"/>
      <c r="J147" s="118"/>
      <c r="K147" s="11"/>
      <c r="L147" s="86" t="str">
        <f>IF(_epmOfflineCondition_,"",_xll.EVPRO($B$1,H147,"JDEID"))</f>
        <v/>
      </c>
      <c r="M147" s="86" t="str">
        <f>IF(_epmOfflineCondition_,"",IF(AND(I147="N",J147="N"),_xll.EVPRO($B$1,H147,"PSFTID"),""))</f>
        <v/>
      </c>
      <c r="N147" s="488" t="str">
        <f>IF(_epmOfflineCondition_,"Wine Cost %",IF(_xll.EVDES(H147,$B$1)="#NODATA","",_xll.EVDES(H147,$B$1)))</f>
        <v>Wine Cost %</v>
      </c>
      <c r="O147" s="503">
        <v>0.246110552929696</v>
      </c>
      <c r="P147" s="503">
        <v>0.25245462107927902</v>
      </c>
      <c r="Q147" s="503">
        <v>0.17005207350118101</v>
      </c>
      <c r="R147" s="503">
        <v>0.48650151916103102</v>
      </c>
      <c r="S147" s="503">
        <v>0.398181181414896</v>
      </c>
      <c r="T147" s="503">
        <v>0.203874135437802</v>
      </c>
      <c r="U147" s="503">
        <v>0.32438279036171402</v>
      </c>
      <c r="V147" s="503">
        <v>0.16214450808963901</v>
      </c>
      <c r="W147" s="503">
        <v>0.72210896465770502</v>
      </c>
      <c r="X147" s="503">
        <v>-1.30842197995345E-2</v>
      </c>
      <c r="Y147" s="503">
        <v>0.46437852899215698</v>
      </c>
      <c r="Z147" s="503">
        <v>0.220356770104116</v>
      </c>
      <c r="AA147" s="503">
        <v>0.29011568846407298</v>
      </c>
      <c r="AB147" s="454"/>
      <c r="AC147" s="136"/>
      <c r="AD147" s="503">
        <v>0.24171857339869399</v>
      </c>
      <c r="AE147" s="454"/>
      <c r="AF147" s="516">
        <f t="shared" si="60"/>
        <v>4.8397115065378998E-2</v>
      </c>
      <c r="AG147" s="503">
        <v>8.1620639444437607E-2</v>
      </c>
      <c r="AH147" s="454"/>
      <c r="AI147" s="516">
        <f t="shared" si="61"/>
        <v>0.20849504901963539</v>
      </c>
    </row>
    <row r="148" spans="1:35" x14ac:dyDescent="0.25">
      <c r="A148" s="11"/>
      <c r="B148" s="11"/>
      <c r="C148" s="204"/>
      <c r="D148" s="11"/>
      <c r="E148" s="11"/>
      <c r="F148" s="11"/>
      <c r="G148" s="11"/>
      <c r="H148" s="181">
        <v>567200</v>
      </c>
      <c r="I148" s="118"/>
      <c r="J148" s="118"/>
      <c r="K148" s="11"/>
      <c r="L148" s="86" t="str">
        <f>IF(_epmOfflineCondition_,"567200",_xll.EVPRO($B$1,H148,"JDEID"))</f>
        <v>567200</v>
      </c>
      <c r="M148" s="86" t="str">
        <f>IF(_epmOfflineCondition_,"",IF(AND(I148="N",J148="N"),_xll.EVPRO($B$1,H148,"PSFTID"),""))</f>
        <v/>
      </c>
      <c r="N148" s="86" t="str">
        <f>IF(_epmOfflineCondition_,"Mini Bar Cost of Beverage",IF(_xll.EVDES(H148,$B$1)="#NODATA","",_xll.EVDES(H148,$B$1)))</f>
        <v>Mini Bar Cost of Beverage</v>
      </c>
      <c r="O148" s="134">
        <v>1225.01</v>
      </c>
      <c r="P148" s="134">
        <v>1013.32</v>
      </c>
      <c r="Q148" s="134">
        <v>849.43</v>
      </c>
      <c r="R148" s="134">
        <v>698.69</v>
      </c>
      <c r="S148" s="134">
        <v>1323.8</v>
      </c>
      <c r="T148" s="134">
        <v>650.48</v>
      </c>
      <c r="U148" s="134">
        <v>2090.2399999999998</v>
      </c>
      <c r="V148" s="134">
        <v>955.91</v>
      </c>
      <c r="W148" s="134">
        <v>876.15</v>
      </c>
      <c r="X148" s="134">
        <v>-182.84</v>
      </c>
      <c r="Y148" s="134">
        <v>959.27</v>
      </c>
      <c r="Z148" s="134">
        <v>1104.19</v>
      </c>
      <c r="AA148" s="134">
        <f>SUM(O148:Z148)</f>
        <v>11563.65</v>
      </c>
      <c r="AB148" s="454">
        <f>IF(_epmOfflineCondition_,0.292033487385408,IF(AA148=0,"",IFERROR(AA148/_xll.EVGTS($B$1,1,_xll.EVPRO($B$1,$H148,"COSBASIS"),$B$3,$B$5,$B$6,$B$7,$B$9,AA$16,AA$17,AA$11),"")))</f>
        <v>0.29203348738540802</v>
      </c>
      <c r="AC148" s="136"/>
      <c r="AD148" s="134">
        <v>10947.09196</v>
      </c>
      <c r="AE148" s="454">
        <f>IF(_epmOfflineCondition_,0.307,IF(AD148=0,"",IFERROR(AD148/_xll.EVGTS($B$1,1,_xll.EVPRO($B$1,$H148,"COSBASIS"),$B$3,$B$5,$B$6,$B$7,$B$9,AD$16,AD$17,AD$18),"")))</f>
        <v>0.307</v>
      </c>
      <c r="AF148" s="137">
        <f t="shared" si="60"/>
        <v>616.55803999999989</v>
      </c>
      <c r="AG148" s="134">
        <v>7392.04</v>
      </c>
      <c r="AH148" s="454">
        <f>IF(_epmOfflineCondition_,0.565529798791217,IF(AG148=0,"",IFERROR(AG148/_xll.EVGTS($B$1,1,_xll.EVPRO($B$1,$H148,"COSBASIS"),$B$3,$B$5,$B$6,$B$7,$B$9,AG$16,AG$17,AG$18),"")))</f>
        <v>0.56552979879121701</v>
      </c>
      <c r="AI148" s="137">
        <f t="shared" si="61"/>
        <v>4171.6099999999997</v>
      </c>
    </row>
    <row r="149" spans="1:35" x14ac:dyDescent="0.25">
      <c r="A149" s="11"/>
      <c r="B149" s="11"/>
      <c r="C149" s="204"/>
      <c r="D149" s="11"/>
      <c r="E149" s="11"/>
      <c r="F149" s="11"/>
      <c r="G149" s="11"/>
      <c r="H149" s="181"/>
      <c r="I149" s="118"/>
      <c r="J149" s="118"/>
      <c r="K149" s="11"/>
      <c r="L149" s="86"/>
      <c r="M149" s="86"/>
      <c r="N149" s="488" t="s">
        <v>762</v>
      </c>
      <c r="O149" s="503">
        <f t="shared" ref="O149:AA149" si="62">IFERROR(O148/O81,"")</f>
        <v>0.317360103626943</v>
      </c>
      <c r="P149" s="503">
        <f t="shared" si="62"/>
        <v>0.32964216005204944</v>
      </c>
      <c r="Q149" s="503">
        <f t="shared" si="62"/>
        <v>0.2426942857142857</v>
      </c>
      <c r="R149" s="503">
        <f t="shared" si="62"/>
        <v>0.20417592051431913</v>
      </c>
      <c r="S149" s="503">
        <f t="shared" si="62"/>
        <v>0.32454032851189013</v>
      </c>
      <c r="T149" s="503">
        <f t="shared" si="62"/>
        <v>0.29287708239531746</v>
      </c>
      <c r="U149" s="503">
        <f t="shared" si="62"/>
        <v>0.64853862860688793</v>
      </c>
      <c r="V149" s="503">
        <f t="shared" si="62"/>
        <v>0.29984629861982431</v>
      </c>
      <c r="W149" s="503">
        <f t="shared" si="62"/>
        <v>0.31836845930232555</v>
      </c>
      <c r="X149" s="503">
        <f t="shared" si="62"/>
        <v>-6.8223880597014924E-2</v>
      </c>
      <c r="Y149" s="503">
        <f t="shared" si="62"/>
        <v>0.34997081357168913</v>
      </c>
      <c r="Z149" s="503">
        <f t="shared" si="62"/>
        <v>0.22733992176240478</v>
      </c>
      <c r="AA149" s="503">
        <f t="shared" si="62"/>
        <v>0.29203348738540796</v>
      </c>
      <c r="AB149" s="454"/>
      <c r="AC149" s="136"/>
      <c r="AD149" s="503">
        <f>IFERROR(AD148/AD81,"")</f>
        <v>0.307</v>
      </c>
      <c r="AE149" s="454"/>
      <c r="AF149" s="516">
        <f t="shared" si="60"/>
        <v>-1.4966512614592031E-2</v>
      </c>
      <c r="AG149" s="503">
        <f>IFERROR(AG148/AG81,"")</f>
        <v>0.56552979879121723</v>
      </c>
      <c r="AH149" s="454"/>
      <c r="AI149" s="516">
        <f t="shared" si="61"/>
        <v>-0.27349631140580927</v>
      </c>
    </row>
    <row r="150" spans="1:35" x14ac:dyDescent="0.25">
      <c r="A150" s="11"/>
      <c r="B150" s="11"/>
      <c r="C150" s="204"/>
      <c r="D150" s="11"/>
      <c r="E150" s="11"/>
      <c r="F150" s="11"/>
      <c r="G150" s="11"/>
      <c r="H150" s="181"/>
      <c r="I150" s="118"/>
      <c r="J150" s="118"/>
      <c r="K150" s="11"/>
      <c r="L150" s="86"/>
      <c r="M150" s="86"/>
      <c r="N150" s="488"/>
      <c r="O150" s="513"/>
      <c r="P150" s="514"/>
      <c r="Q150" s="514"/>
      <c r="R150" s="514"/>
      <c r="S150" s="514"/>
      <c r="T150" s="514"/>
      <c r="U150" s="514"/>
      <c r="V150" s="514"/>
      <c r="W150" s="514"/>
      <c r="X150" s="514"/>
      <c r="Y150" s="514"/>
      <c r="Z150" s="514"/>
      <c r="AA150" s="514"/>
      <c r="AB150" s="515"/>
      <c r="AC150" s="136"/>
      <c r="AD150" s="513"/>
      <c r="AE150" s="514"/>
      <c r="AF150" s="514"/>
      <c r="AG150" s="514"/>
      <c r="AH150" s="514"/>
      <c r="AI150" s="515"/>
    </row>
    <row r="151" spans="1:35" x14ac:dyDescent="0.25">
      <c r="A151" s="11"/>
      <c r="B151" s="11"/>
      <c r="C151" s="204"/>
      <c r="D151" s="11"/>
      <c r="E151" s="11"/>
      <c r="F151" s="11"/>
      <c r="G151" s="11"/>
      <c r="H151" s="181" t="s">
        <v>286</v>
      </c>
      <c r="I151" s="118"/>
      <c r="J151" s="118"/>
      <c r="K151" s="11"/>
      <c r="L151" s="86" t="str">
        <f>IF(_epmOfflineCondition_,"",_xll.EVPRO($B$1,H151,"JDEID"))</f>
        <v/>
      </c>
      <c r="M151" s="86" t="str">
        <f>IF(_epmOfflineCondition_,"",IF(AND(I151="N",J151="N"),_xll.EVPRO($B$1,H151,"PSFTID"),""))</f>
        <v/>
      </c>
      <c r="N151" s="86" t="str">
        <f>IF(_epmOfflineCondition_,"Total Cost of Food &amp; Beverage Sales",IF(_xll.EVDES(H151,$B$1)="#NODATA","",_xll.EVDES(H151,$B$1)))</f>
        <v>Total Cost of Food &amp; Beverage Sales</v>
      </c>
      <c r="O151" s="134">
        <v>20550.39</v>
      </c>
      <c r="P151" s="134">
        <v>27776.74</v>
      </c>
      <c r="Q151" s="134">
        <v>26324.639999999999</v>
      </c>
      <c r="R151" s="134">
        <v>18775.54</v>
      </c>
      <c r="S151" s="134">
        <v>16902.71</v>
      </c>
      <c r="T151" s="134">
        <v>18743.439999999999</v>
      </c>
      <c r="U151" s="134">
        <v>16568.87</v>
      </c>
      <c r="V151" s="134">
        <v>15123.5</v>
      </c>
      <c r="W151" s="134">
        <v>15779.16</v>
      </c>
      <c r="X151" s="134">
        <v>30350.63</v>
      </c>
      <c r="Y151" s="134">
        <v>58208.01</v>
      </c>
      <c r="Z151" s="134">
        <v>52194.47</v>
      </c>
      <c r="AA151" s="134">
        <f>SUM(O151:Z151)</f>
        <v>317298.09999999998</v>
      </c>
      <c r="AB151" s="454">
        <f>IF(_epmOfflineCondition_,0.39324266009667,IF(AA151=0,"",IFERROR(AA151/_xll.EVGTS($B$1,1,_xll.EVPRO($B$1,$H151,"COSBASIS"),$B$3,$B$5,$B$6,$B$7,$B$9,AA$16,AA$17,AA$11),"")))</f>
        <v>0.39324266009667003</v>
      </c>
      <c r="AC151" s="136"/>
      <c r="AD151" s="134">
        <v>614218.37095999997</v>
      </c>
      <c r="AE151" s="454">
        <f>IF(_epmOfflineCondition_,0.251389989795621,IF(AD151=0,"",IFERROR(AD151/_xll.EVGTS($B$1,1,_xll.EVPRO($B$1,$H151,"COSBASIS"),$B$3,$B$5,$B$6,$B$7,$B$9,AD$16,AD$17,AD$18),"")))</f>
        <v>0.25138998979562099</v>
      </c>
      <c r="AF151" s="137">
        <f>IF(AND($AA151="",AD151=""),"",$AA151-AD151)</f>
        <v>-296920.27095999999</v>
      </c>
      <c r="AG151" s="134">
        <v>97920.82</v>
      </c>
      <c r="AH151" s="454">
        <f>IF(_epmOfflineCondition_,0.42601230587497,IF(AG151=0,"",IFERROR(AG151/_xll.EVGTS($B$1,1,_xll.EVPRO($B$1,$H151,"COSBASIS"),$B$3,$B$5,$B$6,$B$7,$B$9,AG$16,AG$17,AG$18),"")))</f>
        <v>0.42601230587497002</v>
      </c>
      <c r="AI151" s="137">
        <f>IF(AND($AA151="",AG151=""),"",$AA151-AG151)</f>
        <v>219377.27999999997</v>
      </c>
    </row>
    <row r="152" spans="1:35" x14ac:dyDescent="0.25">
      <c r="A152" s="11"/>
      <c r="B152" s="11"/>
      <c r="C152" s="204"/>
      <c r="D152" s="11"/>
      <c r="E152" s="11"/>
      <c r="F152" s="11"/>
      <c r="G152" s="11"/>
      <c r="H152" s="181"/>
      <c r="I152" s="118"/>
      <c r="J152" s="118"/>
      <c r="K152" s="11"/>
      <c r="L152" s="86"/>
      <c r="M152" s="86"/>
      <c r="N152" s="488" t="s">
        <v>763</v>
      </c>
      <c r="O152" s="503">
        <f t="shared" ref="O152:AA152" si="63">IFERROR(O151/O87,"")</f>
        <v>0.28824932883364329</v>
      </c>
      <c r="P152" s="503">
        <f t="shared" si="63"/>
        <v>0.37454019727559468</v>
      </c>
      <c r="Q152" s="503">
        <f t="shared" si="63"/>
        <v>0.34728260998620347</v>
      </c>
      <c r="R152" s="503">
        <f t="shared" si="63"/>
        <v>0.34734713049571997</v>
      </c>
      <c r="S152" s="503">
        <f t="shared" si="63"/>
        <v>0.34320453314712562</v>
      </c>
      <c r="T152" s="503">
        <f t="shared" si="63"/>
        <v>0.42781687046626443</v>
      </c>
      <c r="U152" s="503">
        <f t="shared" si="63"/>
        <v>0.35954057259167876</v>
      </c>
      <c r="V152" s="503">
        <f t="shared" si="63"/>
        <v>0.3191150405131668</v>
      </c>
      <c r="W152" s="503">
        <f t="shared" si="63"/>
        <v>0.50234471850961859</v>
      </c>
      <c r="X152" s="503">
        <f t="shared" si="63"/>
        <v>0.49807543380485142</v>
      </c>
      <c r="Y152" s="503">
        <f t="shared" si="63"/>
        <v>0.53861235906398719</v>
      </c>
      <c r="Z152" s="503">
        <f t="shared" si="63"/>
        <v>0.3609324966741595</v>
      </c>
      <c r="AA152" s="503">
        <f t="shared" si="63"/>
        <v>0.3932426600966698</v>
      </c>
      <c r="AB152" s="454"/>
      <c r="AC152" s="136"/>
      <c r="AD152" s="503">
        <f>IFERROR(AD151/AD87,"")</f>
        <v>0.25138998979562055</v>
      </c>
      <c r="AE152" s="454"/>
      <c r="AF152" s="516">
        <f>IF(AND($AA152="",AD152=""),"",$AA152-AD152)</f>
        <v>0.14185267030104926</v>
      </c>
      <c r="AG152" s="503">
        <f>IFERROR(AG151/AG87,"")</f>
        <v>0.4260123058749703</v>
      </c>
      <c r="AH152" s="454"/>
      <c r="AI152" s="516">
        <f>IF(AND($AA152="",AG152=""),"",$AA152-AG152)</f>
        <v>-3.2769645778300494E-2</v>
      </c>
    </row>
    <row r="153" spans="1:35" x14ac:dyDescent="0.25">
      <c r="A153" s="11"/>
      <c r="B153" s="11"/>
      <c r="C153" s="11"/>
      <c r="D153" s="11"/>
      <c r="E153" s="11"/>
      <c r="F153" s="11"/>
      <c r="G153" s="11"/>
      <c r="H153" s="11"/>
      <c r="I153" s="55"/>
      <c r="J153" s="55"/>
      <c r="K153" s="11"/>
      <c r="L153" s="11"/>
      <c r="M153" s="11"/>
      <c r="N153" s="11"/>
      <c r="O153" s="136"/>
      <c r="P153" s="136"/>
      <c r="Q153" s="136"/>
      <c r="R153" s="136"/>
      <c r="S153" s="136"/>
      <c r="T153" s="136"/>
      <c r="U153" s="136"/>
      <c r="V153" s="136"/>
      <c r="W153" s="136"/>
      <c r="X153" s="136"/>
      <c r="Y153" s="136"/>
      <c r="Z153" s="136"/>
      <c r="AA153" s="136"/>
      <c r="AB153" s="136"/>
      <c r="AC153" s="136"/>
      <c r="AD153" s="136"/>
      <c r="AE153" s="136"/>
      <c r="AF153" s="136"/>
      <c r="AG153" s="136"/>
      <c r="AH153" s="136"/>
      <c r="AI153" s="136"/>
    </row>
    <row r="154" spans="1:35" x14ac:dyDescent="0.25">
      <c r="A154" s="11"/>
      <c r="B154" s="11"/>
      <c r="C154" s="204"/>
      <c r="D154" s="11"/>
      <c r="E154" s="11"/>
      <c r="F154" s="11"/>
      <c r="G154" s="11"/>
      <c r="H154" s="181"/>
      <c r="I154" s="118"/>
      <c r="J154" s="118"/>
      <c r="K154" s="11"/>
      <c r="L154" s="11"/>
      <c r="M154" s="11"/>
      <c r="N154" s="100" t="str">
        <f>N87&amp;" - Check"</f>
        <v>Total Food &amp; Beverage Revenue - Check</v>
      </c>
      <c r="O154" s="506">
        <f t="shared" ref="O154:AA154" si="64">O39+O48+O57+O66+O75+O82+O84-O87</f>
        <v>0</v>
      </c>
      <c r="P154" s="506">
        <f t="shared" si="64"/>
        <v>0</v>
      </c>
      <c r="Q154" s="506">
        <f t="shared" si="64"/>
        <v>0</v>
      </c>
      <c r="R154" s="506">
        <f t="shared" si="64"/>
        <v>0</v>
      </c>
      <c r="S154" s="506">
        <f t="shared" si="64"/>
        <v>0</v>
      </c>
      <c r="T154" s="506">
        <f t="shared" si="64"/>
        <v>0</v>
      </c>
      <c r="U154" s="506">
        <f t="shared" si="64"/>
        <v>0</v>
      </c>
      <c r="V154" s="506">
        <f t="shared" si="64"/>
        <v>0</v>
      </c>
      <c r="W154" s="506">
        <f t="shared" si="64"/>
        <v>0</v>
      </c>
      <c r="X154" s="506">
        <f t="shared" si="64"/>
        <v>0</v>
      </c>
      <c r="Y154" s="506">
        <f t="shared" si="64"/>
        <v>0</v>
      </c>
      <c r="Z154" s="506">
        <f t="shared" si="64"/>
        <v>-8273</v>
      </c>
      <c r="AA154" s="506">
        <f t="shared" si="64"/>
        <v>-8273</v>
      </c>
      <c r="AB154" s="138"/>
      <c r="AC154" s="136"/>
      <c r="AD154" s="506">
        <f>AD39+AD48+AD57+AD66+AD75+AD82+AD84-AD87</f>
        <v>0</v>
      </c>
      <c r="AE154" s="138"/>
      <c r="AF154" s="134"/>
      <c r="AG154" s="506">
        <f>AG39+AG48+AG57+AG66+AG75+AG82+AG84-AG87</f>
        <v>0</v>
      </c>
      <c r="AH154" s="138"/>
      <c r="AI154" s="134"/>
    </row>
    <row r="155" spans="1:35" x14ac:dyDescent="0.25">
      <c r="A155" s="11"/>
      <c r="B155" s="11"/>
      <c r="C155" s="204"/>
      <c r="D155" s="11"/>
      <c r="E155" s="11"/>
      <c r="F155" s="11"/>
      <c r="G155" s="11"/>
      <c r="H155" s="181"/>
      <c r="I155" s="118"/>
      <c r="J155" s="118"/>
      <c r="K155" s="11"/>
      <c r="L155" s="11"/>
      <c r="M155" s="11"/>
      <c r="N155" s="100" t="str">
        <f>N89&amp;" - Check"</f>
        <v>Total Customers (excl Mini Bar) - Check</v>
      </c>
      <c r="O155" s="506">
        <f t="shared" ref="O155:AA155" si="65">O40+O49+O58+O67+O76-O89</f>
        <v>0</v>
      </c>
      <c r="P155" s="506">
        <f t="shared" si="65"/>
        <v>0</v>
      </c>
      <c r="Q155" s="506">
        <f t="shared" si="65"/>
        <v>0</v>
      </c>
      <c r="R155" s="506">
        <f t="shared" si="65"/>
        <v>0</v>
      </c>
      <c r="S155" s="506">
        <f t="shared" si="65"/>
        <v>0</v>
      </c>
      <c r="T155" s="506">
        <f t="shared" si="65"/>
        <v>0</v>
      </c>
      <c r="U155" s="506">
        <f t="shared" si="65"/>
        <v>0</v>
      </c>
      <c r="V155" s="506">
        <f t="shared" si="65"/>
        <v>0</v>
      </c>
      <c r="W155" s="506">
        <f t="shared" si="65"/>
        <v>0</v>
      </c>
      <c r="X155" s="506">
        <f t="shared" si="65"/>
        <v>0</v>
      </c>
      <c r="Y155" s="506">
        <f t="shared" si="65"/>
        <v>0</v>
      </c>
      <c r="Z155" s="506">
        <f t="shared" si="65"/>
        <v>-146</v>
      </c>
      <c r="AA155" s="506">
        <f t="shared" si="65"/>
        <v>-146</v>
      </c>
      <c r="AB155" s="138"/>
      <c r="AC155" s="136"/>
      <c r="AD155" s="506">
        <f>AD40+AD49+AD58+AD67+AD76-AD89</f>
        <v>0</v>
      </c>
      <c r="AE155" s="138"/>
      <c r="AF155" s="134"/>
      <c r="AG155" s="506">
        <f>AG40+AG49+AG58+AG67+AG76-AG89</f>
        <v>0</v>
      </c>
      <c r="AH155" s="138"/>
      <c r="AI155" s="134"/>
    </row>
    <row r="156" spans="1:35" x14ac:dyDescent="0.25">
      <c r="A156" s="11"/>
      <c r="B156" s="11"/>
      <c r="C156" s="11"/>
      <c r="D156" s="11"/>
      <c r="E156" s="11"/>
      <c r="F156" s="11"/>
      <c r="G156" s="11"/>
      <c r="H156" s="181"/>
      <c r="I156" s="118"/>
      <c r="J156" s="118"/>
      <c r="K156" s="11"/>
      <c r="L156" s="11"/>
      <c r="M156" s="11"/>
      <c r="N156" s="100" t="s">
        <v>769</v>
      </c>
      <c r="O156" s="506">
        <f t="shared" ref="O156:AA156" si="66">(O133+O140)-O151</f>
        <v>0</v>
      </c>
      <c r="P156" s="506">
        <f t="shared" si="66"/>
        <v>0</v>
      </c>
      <c r="Q156" s="506">
        <f t="shared" si="66"/>
        <v>0</v>
      </c>
      <c r="R156" s="506">
        <f t="shared" si="66"/>
        <v>0</v>
      </c>
      <c r="S156" s="506">
        <f t="shared" si="66"/>
        <v>0</v>
      </c>
      <c r="T156" s="506">
        <f t="shared" si="66"/>
        <v>0</v>
      </c>
      <c r="U156" s="506">
        <f t="shared" si="66"/>
        <v>0</v>
      </c>
      <c r="V156" s="506">
        <f t="shared" si="66"/>
        <v>0</v>
      </c>
      <c r="W156" s="506">
        <f t="shared" si="66"/>
        <v>0</v>
      </c>
      <c r="X156" s="506">
        <f t="shared" si="66"/>
        <v>0</v>
      </c>
      <c r="Y156" s="506">
        <f t="shared" si="66"/>
        <v>0</v>
      </c>
      <c r="Z156" s="506">
        <f t="shared" si="66"/>
        <v>0</v>
      </c>
      <c r="AA156" s="506">
        <f t="shared" si="66"/>
        <v>0</v>
      </c>
      <c r="AB156" s="138"/>
      <c r="AC156" s="136"/>
      <c r="AD156" s="506">
        <f>(AD133+AD140)-AD151</f>
        <v>0</v>
      </c>
      <c r="AE156" s="138"/>
      <c r="AF156" s="134"/>
      <c r="AG156" s="506">
        <f>(AG133+AG140)-AG151</f>
        <v>0</v>
      </c>
      <c r="AH156" s="138"/>
      <c r="AI156" s="134"/>
    </row>
    <row r="157" spans="1:35" x14ac:dyDescent="0.25">
      <c r="A157" s="11"/>
      <c r="B157" s="11"/>
      <c r="C157" s="11"/>
      <c r="D157" s="11"/>
      <c r="E157" s="11"/>
      <c r="F157" s="11"/>
      <c r="G157" s="11"/>
      <c r="H157" s="11"/>
      <c r="I157" s="55"/>
      <c r="J157" s="55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</row>
    <row r="158" spans="1:35" x14ac:dyDescent="0.25">
      <c r="A158" s="11"/>
      <c r="B158" s="11"/>
      <c r="C158" s="11"/>
      <c r="D158" s="11"/>
      <c r="E158" s="11"/>
      <c r="F158" s="11"/>
      <c r="G158" s="11"/>
      <c r="H158" s="11"/>
      <c r="I158" s="55"/>
      <c r="J158" s="55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</row>
    <row r="159" spans="1:35" x14ac:dyDescent="0.25">
      <c r="A159" s="11"/>
      <c r="B159" s="11"/>
      <c r="C159" s="11"/>
      <c r="D159" s="11"/>
      <c r="E159" s="11"/>
      <c r="F159" s="11"/>
      <c r="G159" s="11"/>
      <c r="H159" s="11"/>
      <c r="I159" s="55"/>
      <c r="J159" s="55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</row>
    <row r="160" spans="1:35" x14ac:dyDescent="0.25">
      <c r="A160" s="11"/>
      <c r="B160" s="11"/>
      <c r="C160" s="11"/>
      <c r="D160" s="11"/>
      <c r="E160" s="11"/>
      <c r="F160" s="11"/>
      <c r="G160" s="11"/>
      <c r="H160" s="11"/>
      <c r="I160" s="55"/>
      <c r="J160" s="55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</row>
    <row r="161" spans="1:35" x14ac:dyDescent="0.25">
      <c r="A161" s="11"/>
      <c r="B161" s="11"/>
      <c r="C161" s="11"/>
      <c r="D161" s="11"/>
      <c r="E161" s="11"/>
      <c r="F161" s="11"/>
      <c r="G161" s="11"/>
      <c r="H161" s="11"/>
      <c r="I161" s="55"/>
      <c r="J161" s="55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</row>
    <row r="162" spans="1:35" x14ac:dyDescent="0.25">
      <c r="A162" s="11"/>
      <c r="B162" s="11"/>
      <c r="C162" s="11"/>
      <c r="D162" s="11"/>
      <c r="E162" s="11"/>
      <c r="F162" s="11"/>
      <c r="G162" s="11"/>
      <c r="H162" s="11"/>
      <c r="I162" s="55"/>
      <c r="J162" s="55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</row>
    <row r="163" spans="1:35" x14ac:dyDescent="0.25">
      <c r="A163" s="11"/>
      <c r="B163" s="11"/>
      <c r="C163" s="11"/>
      <c r="D163" s="11"/>
      <c r="E163" s="11"/>
      <c r="F163" s="11"/>
      <c r="G163" s="11"/>
      <c r="H163" s="11"/>
      <c r="I163" s="55"/>
      <c r="J163" s="55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</row>
    <row r="164" spans="1:35" x14ac:dyDescent="0.25">
      <c r="A164" s="11"/>
      <c r="B164" s="11"/>
      <c r="C164" s="11"/>
      <c r="D164" s="11"/>
      <c r="E164" s="11"/>
      <c r="F164" s="11"/>
      <c r="G164" s="11"/>
      <c r="H164" s="11"/>
      <c r="I164" s="55"/>
      <c r="J164" s="55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</row>
    <row r="165" spans="1:35" x14ac:dyDescent="0.25">
      <c r="A165" s="11"/>
      <c r="B165" s="11"/>
      <c r="C165" s="11"/>
      <c r="D165" s="11"/>
      <c r="E165" s="11"/>
      <c r="F165" s="11"/>
      <c r="G165" s="11"/>
      <c r="H165" s="11"/>
      <c r="I165" s="55"/>
      <c r="J165" s="55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</row>
    <row r="166" spans="1:35" x14ac:dyDescent="0.25">
      <c r="A166" s="11"/>
      <c r="B166" s="11"/>
      <c r="C166" s="11"/>
      <c r="D166" s="11"/>
      <c r="E166" s="11"/>
      <c r="F166" s="11"/>
      <c r="G166" s="11"/>
      <c r="H166" s="11"/>
      <c r="I166" s="263"/>
      <c r="J166" s="11"/>
      <c r="K166" s="263"/>
      <c r="L166" s="263"/>
      <c r="M166" s="263"/>
      <c r="N166" s="11"/>
      <c r="O166" s="263"/>
      <c r="P166" s="263"/>
      <c r="Q166" s="263"/>
      <c r="R166" s="263"/>
      <c r="S166" s="263"/>
      <c r="T166" s="263"/>
      <c r="U166" s="263"/>
      <c r="V166" s="263"/>
      <c r="W166" s="263"/>
      <c r="X166" s="263"/>
      <c r="Y166" s="263"/>
      <c r="Z166" s="263"/>
      <c r="AA166" s="263"/>
      <c r="AB166" s="11"/>
      <c r="AC166" s="11"/>
      <c r="AD166" s="263"/>
      <c r="AE166" s="11"/>
      <c r="AF166" s="263"/>
      <c r="AG166" s="11"/>
      <c r="AH166" s="263"/>
      <c r="AI166" s="11"/>
    </row>
    <row r="167" spans="1:35" x14ac:dyDescent="0.25">
      <c r="A167" s="11"/>
      <c r="B167" s="11"/>
      <c r="C167" s="11"/>
      <c r="D167" s="11"/>
      <c r="E167" s="11"/>
      <c r="F167" s="11"/>
      <c r="G167" s="11"/>
      <c r="H167" s="11"/>
      <c r="I167" s="55"/>
      <c r="J167" s="55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</row>
    <row r="168" spans="1:35" x14ac:dyDescent="0.25">
      <c r="A168" s="11"/>
      <c r="B168" s="11"/>
      <c r="C168" s="11"/>
      <c r="D168" s="11"/>
      <c r="E168" s="11"/>
      <c r="F168" s="11"/>
      <c r="G168" s="11"/>
      <c r="H168" s="11"/>
      <c r="I168" s="55"/>
      <c r="J168" s="55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</row>
    <row r="169" spans="1:35" x14ac:dyDescent="0.25">
      <c r="A169" s="11"/>
      <c r="B169" s="11"/>
      <c r="C169" s="11"/>
      <c r="D169" s="11"/>
      <c r="E169" s="11"/>
      <c r="F169" s="11"/>
      <c r="G169" s="11"/>
      <c r="H169" s="11"/>
      <c r="I169" s="55"/>
      <c r="J169" s="55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</row>
    <row r="170" spans="1:35" x14ac:dyDescent="0.25">
      <c r="A170" s="11"/>
      <c r="B170" s="11"/>
      <c r="C170" s="11"/>
      <c r="D170" s="11"/>
      <c r="E170" s="11"/>
      <c r="F170" s="11"/>
      <c r="G170" s="11"/>
      <c r="H170" s="11"/>
      <c r="I170" s="263"/>
      <c r="J170" s="11"/>
      <c r="K170" s="263"/>
      <c r="L170" s="263"/>
      <c r="M170" s="263"/>
      <c r="N170" s="11"/>
      <c r="O170" s="263"/>
      <c r="P170" s="263"/>
      <c r="Q170" s="263"/>
      <c r="R170" s="263"/>
      <c r="S170" s="263"/>
      <c r="T170" s="263"/>
      <c r="U170" s="263"/>
      <c r="V170" s="263"/>
      <c r="W170" s="263"/>
      <c r="X170" s="263"/>
      <c r="Y170" s="263"/>
      <c r="Z170" s="263"/>
      <c r="AA170" s="263"/>
      <c r="AB170" s="11"/>
      <c r="AC170" s="11"/>
      <c r="AD170" s="263"/>
      <c r="AE170" s="11"/>
      <c r="AF170" s="263"/>
      <c r="AG170" s="11"/>
      <c r="AH170" s="263"/>
      <c r="AI170" s="11"/>
    </row>
    <row r="171" spans="1:35" x14ac:dyDescent="0.25">
      <c r="A171" s="11"/>
      <c r="B171" s="11"/>
      <c r="C171" s="11"/>
      <c r="D171" s="11"/>
      <c r="E171" s="11"/>
      <c r="F171" s="11"/>
      <c r="G171" s="11"/>
      <c r="H171" s="11"/>
      <c r="I171" s="55"/>
      <c r="J171" s="55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</row>
    <row r="172" spans="1:35" x14ac:dyDescent="0.25">
      <c r="A172" s="11"/>
      <c r="B172" s="11"/>
      <c r="C172" s="11"/>
      <c r="D172" s="11"/>
      <c r="E172" s="11"/>
      <c r="F172" s="11"/>
      <c r="G172" s="11"/>
      <c r="H172" s="11"/>
      <c r="I172" s="55"/>
      <c r="J172" s="55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</row>
    <row r="173" spans="1:35" x14ac:dyDescent="0.25">
      <c r="A173" s="11"/>
      <c r="B173" s="11"/>
      <c r="C173" s="11"/>
      <c r="D173" s="11"/>
      <c r="E173" s="11"/>
      <c r="F173" s="11"/>
      <c r="G173" s="11"/>
      <c r="H173" s="11"/>
      <c r="I173" s="55"/>
      <c r="J173" s="55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</row>
    <row r="174" spans="1:35" x14ac:dyDescent="0.25">
      <c r="A174" s="11"/>
      <c r="B174" s="11"/>
      <c r="C174" s="11"/>
      <c r="D174" s="11"/>
      <c r="E174" s="11"/>
      <c r="F174" s="11"/>
      <c r="G174" s="11"/>
      <c r="H174" s="11"/>
      <c r="I174" s="55"/>
      <c r="J174" s="55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</row>
    <row r="175" spans="1:35" x14ac:dyDescent="0.25">
      <c r="A175" s="11"/>
      <c r="B175" s="11"/>
      <c r="C175" s="11"/>
      <c r="D175" s="11"/>
      <c r="E175" s="11"/>
      <c r="F175" s="11"/>
      <c r="G175" s="11"/>
      <c r="H175" s="11"/>
      <c r="I175" s="55"/>
      <c r="J175" s="55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</row>
    <row r="176" spans="1:35" x14ac:dyDescent="0.25">
      <c r="A176" s="11"/>
      <c r="B176" s="11"/>
      <c r="C176" s="11"/>
      <c r="D176" s="11"/>
      <c r="E176" s="11"/>
      <c r="F176" s="11"/>
      <c r="G176" s="11"/>
      <c r="H176" s="11"/>
      <c r="I176" s="55"/>
      <c r="J176" s="55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</row>
    <row r="177" spans="1:35" x14ac:dyDescent="0.25">
      <c r="A177" s="11"/>
      <c r="B177" s="11"/>
      <c r="C177" s="11"/>
      <c r="D177" s="11"/>
      <c r="E177" s="11"/>
      <c r="F177" s="11"/>
      <c r="G177" s="11"/>
      <c r="H177" s="11"/>
      <c r="I177" s="55"/>
      <c r="J177" s="55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</row>
    <row r="178" spans="1:35" x14ac:dyDescent="0.25">
      <c r="A178" s="11"/>
      <c r="B178" s="11"/>
      <c r="C178" s="11"/>
      <c r="D178" s="11"/>
      <c r="E178" s="11"/>
      <c r="F178" s="11"/>
      <c r="G178" s="11"/>
      <c r="H178" s="11"/>
      <c r="I178" s="55"/>
      <c r="J178" s="55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</row>
    <row r="179" spans="1:35" x14ac:dyDescent="0.25">
      <c r="A179" s="11"/>
      <c r="B179" s="11"/>
      <c r="C179" s="11"/>
      <c r="D179" s="11"/>
      <c r="E179" s="11"/>
      <c r="F179" s="11"/>
      <c r="G179" s="11"/>
      <c r="H179" s="11"/>
      <c r="I179" s="55"/>
      <c r="J179" s="55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</row>
    <row r="180" spans="1:35" x14ac:dyDescent="0.25">
      <c r="A180" s="11"/>
      <c r="B180" s="11"/>
      <c r="C180" s="11"/>
      <c r="D180" s="11"/>
      <c r="E180" s="11"/>
      <c r="F180" s="11"/>
      <c r="G180" s="11"/>
      <c r="H180" s="11"/>
      <c r="I180" s="55"/>
      <c r="J180" s="55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</row>
    <row r="181" spans="1:35" x14ac:dyDescent="0.25">
      <c r="A181" s="11"/>
      <c r="B181" s="11"/>
      <c r="C181" s="11"/>
      <c r="D181" s="11"/>
      <c r="E181" s="11"/>
      <c r="F181" s="11"/>
      <c r="G181" s="11"/>
      <c r="H181" s="11"/>
      <c r="I181" s="55"/>
      <c r="J181" s="55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</row>
    <row r="182" spans="1:35" x14ac:dyDescent="0.25">
      <c r="A182" s="11"/>
      <c r="B182" s="11"/>
      <c r="C182" s="11"/>
      <c r="D182" s="11"/>
      <c r="E182" s="11"/>
      <c r="F182" s="11"/>
      <c r="G182" s="11"/>
      <c r="H182" s="11"/>
      <c r="I182" s="55"/>
      <c r="J182" s="55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</row>
    <row r="183" spans="1:35" x14ac:dyDescent="0.25">
      <c r="A183" s="11"/>
      <c r="B183" s="11"/>
      <c r="C183" s="11"/>
      <c r="D183" s="11"/>
      <c r="E183" s="11"/>
      <c r="F183" s="11"/>
      <c r="G183" s="11"/>
      <c r="H183" s="11"/>
      <c r="I183" s="55"/>
      <c r="J183" s="55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</row>
    <row r="184" spans="1:35" x14ac:dyDescent="0.25">
      <c r="A184" s="11"/>
      <c r="B184" s="11"/>
      <c r="C184" s="11"/>
      <c r="D184" s="11"/>
      <c r="E184" s="11"/>
      <c r="F184" s="11"/>
      <c r="G184" s="11"/>
      <c r="H184" s="11"/>
      <c r="I184" s="55"/>
      <c r="J184" s="55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</row>
    <row r="185" spans="1:35" x14ac:dyDescent="0.25">
      <c r="A185" s="11"/>
      <c r="B185" s="11"/>
      <c r="C185" s="11"/>
      <c r="D185" s="11"/>
      <c r="E185" s="11"/>
      <c r="F185" s="11"/>
      <c r="G185" s="11"/>
      <c r="H185" s="11"/>
      <c r="I185" s="55"/>
      <c r="J185" s="55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</row>
    <row r="186" spans="1:35" x14ac:dyDescent="0.25">
      <c r="A186" s="11"/>
      <c r="B186" s="11"/>
      <c r="C186" s="11"/>
      <c r="D186" s="11"/>
      <c r="E186" s="11"/>
      <c r="F186" s="11"/>
      <c r="G186" s="11"/>
      <c r="H186" s="11"/>
      <c r="I186" s="55"/>
      <c r="J186" s="55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</row>
    <row r="187" spans="1:35" x14ac:dyDescent="0.25">
      <c r="A187" s="11"/>
      <c r="B187" s="11"/>
      <c r="C187" s="11"/>
      <c r="D187" s="11"/>
      <c r="E187" s="11"/>
      <c r="F187" s="11"/>
      <c r="G187" s="11"/>
      <c r="H187" s="11"/>
      <c r="I187" s="55"/>
      <c r="J187" s="55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</row>
    <row r="188" spans="1:35" x14ac:dyDescent="0.25">
      <c r="A188" s="11"/>
      <c r="B188" s="11"/>
      <c r="C188" s="11"/>
      <c r="D188" s="11"/>
      <c r="E188" s="11"/>
      <c r="F188" s="11"/>
      <c r="G188" s="11"/>
      <c r="H188" s="11"/>
      <c r="I188" s="55"/>
      <c r="J188" s="55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</row>
    <row r="189" spans="1:35" x14ac:dyDescent="0.25">
      <c r="A189" s="11"/>
      <c r="B189" s="11"/>
      <c r="C189" s="11"/>
      <c r="D189" s="11"/>
      <c r="E189" s="11"/>
      <c r="F189" s="11"/>
      <c r="G189" s="11"/>
      <c r="H189" s="11"/>
      <c r="I189" s="55"/>
      <c r="J189" s="55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</row>
    <row r="190" spans="1:35" x14ac:dyDescent="0.25">
      <c r="A190" s="11"/>
      <c r="B190" s="11"/>
      <c r="C190" s="11"/>
      <c r="D190" s="11"/>
      <c r="E190" s="11"/>
      <c r="F190" s="11"/>
      <c r="G190" s="11"/>
      <c r="H190" s="11"/>
      <c r="I190" s="55"/>
      <c r="J190" s="55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</row>
    <row r="191" spans="1:35" x14ac:dyDescent="0.25">
      <c r="A191" s="11"/>
      <c r="B191" s="11"/>
      <c r="C191" s="11"/>
      <c r="D191" s="11"/>
      <c r="E191" s="11"/>
      <c r="F191" s="11"/>
      <c r="G191" s="11"/>
      <c r="H191" s="11"/>
      <c r="I191" s="55"/>
      <c r="J191" s="55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</row>
    <row r="192" spans="1:35" x14ac:dyDescent="0.25">
      <c r="A192" s="11"/>
      <c r="B192" s="11"/>
      <c r="C192" s="11"/>
      <c r="D192" s="11"/>
      <c r="E192" s="11"/>
      <c r="F192" s="11"/>
      <c r="G192" s="11"/>
      <c r="H192" s="11"/>
      <c r="I192" s="55"/>
      <c r="J192" s="55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</row>
    <row r="193" spans="1:35" x14ac:dyDescent="0.25">
      <c r="A193" s="11"/>
      <c r="B193" s="11"/>
      <c r="C193" s="11"/>
      <c r="D193" s="11"/>
      <c r="E193" s="11"/>
      <c r="F193" s="11"/>
      <c r="G193" s="11"/>
      <c r="H193" s="11"/>
      <c r="I193" s="55"/>
      <c r="J193" s="55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</row>
    <row r="194" spans="1:35" x14ac:dyDescent="0.25">
      <c r="A194" s="11"/>
      <c r="B194" s="11"/>
      <c r="C194" s="11"/>
      <c r="D194" s="11"/>
      <c r="E194" s="11"/>
      <c r="F194" s="11"/>
      <c r="G194" s="11"/>
      <c r="H194" s="11"/>
      <c r="I194" s="55"/>
      <c r="J194" s="55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</row>
    <row r="195" spans="1:35" x14ac:dyDescent="0.25">
      <c r="A195" s="11"/>
      <c r="B195" s="11"/>
      <c r="C195" s="11"/>
      <c r="D195" s="11"/>
      <c r="E195" s="11"/>
      <c r="F195" s="11"/>
      <c r="G195" s="11"/>
      <c r="H195" s="11"/>
      <c r="I195" s="55"/>
      <c r="J195" s="55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</row>
    <row r="196" spans="1:35" x14ac:dyDescent="0.25">
      <c r="A196" s="11"/>
      <c r="B196" s="11"/>
      <c r="C196" s="11"/>
      <c r="D196" s="11"/>
      <c r="E196" s="11"/>
      <c r="F196" s="11"/>
      <c r="G196" s="11"/>
      <c r="H196" s="11"/>
      <c r="I196" s="55"/>
      <c r="J196" s="55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</row>
    <row r="197" spans="1:35" x14ac:dyDescent="0.25">
      <c r="A197" s="11"/>
      <c r="B197" s="11"/>
      <c r="C197" s="11"/>
      <c r="D197" s="11"/>
      <c r="E197" s="11"/>
      <c r="F197" s="11"/>
      <c r="G197" s="11"/>
      <c r="H197" s="11"/>
      <c r="I197" s="55"/>
      <c r="J197" s="55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</row>
    <row r="198" spans="1:35" x14ac:dyDescent="0.25">
      <c r="A198" s="11"/>
      <c r="B198" s="11"/>
      <c r="C198" s="11"/>
      <c r="D198" s="11"/>
      <c r="E198" s="11"/>
      <c r="F198" s="11"/>
      <c r="G198" s="11"/>
      <c r="H198" s="11"/>
      <c r="I198" s="55"/>
      <c r="J198" s="55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</row>
    <row r="199" spans="1:35" x14ac:dyDescent="0.25">
      <c r="A199" s="11"/>
      <c r="B199" s="11"/>
      <c r="C199" s="11"/>
      <c r="D199" s="11"/>
      <c r="E199" s="11"/>
      <c r="F199" s="11"/>
      <c r="G199" s="11"/>
      <c r="H199" s="11"/>
      <c r="I199" s="55"/>
      <c r="J199" s="55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</row>
    <row r="200" spans="1:35" x14ac:dyDescent="0.25">
      <c r="A200" s="11"/>
      <c r="B200" s="11"/>
      <c r="C200" s="11"/>
      <c r="D200" s="11"/>
      <c r="E200" s="11"/>
      <c r="F200" s="11"/>
      <c r="G200" s="11"/>
      <c r="H200" s="11"/>
      <c r="I200" s="55"/>
      <c r="J200" s="55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</row>
    <row r="201" spans="1:35" x14ac:dyDescent="0.25">
      <c r="A201" s="11"/>
      <c r="B201" s="11"/>
      <c r="C201" s="11"/>
      <c r="D201" s="11"/>
      <c r="E201" s="11"/>
      <c r="F201" s="11"/>
      <c r="G201" s="11"/>
      <c r="H201" s="11"/>
      <c r="I201" s="55"/>
      <c r="J201" s="55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</row>
    <row r="202" spans="1:35" x14ac:dyDescent="0.25">
      <c r="A202" s="11"/>
      <c r="B202" s="11"/>
      <c r="C202" s="11"/>
      <c r="D202" s="11"/>
      <c r="E202" s="11"/>
      <c r="F202" s="11"/>
      <c r="G202" s="11"/>
      <c r="H202" s="11"/>
      <c r="I202" s="55"/>
      <c r="J202" s="55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</row>
    <row r="203" spans="1:35" x14ac:dyDescent="0.25">
      <c r="A203" s="11"/>
      <c r="B203" s="11"/>
      <c r="C203" s="11"/>
      <c r="D203" s="11"/>
      <c r="E203" s="11"/>
      <c r="F203" s="11"/>
      <c r="G203" s="11"/>
      <c r="H203" s="11"/>
      <c r="I203" s="55"/>
      <c r="J203" s="55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</row>
    <row r="204" spans="1:35" x14ac:dyDescent="0.25">
      <c r="A204" s="11"/>
      <c r="B204" s="11"/>
      <c r="C204" s="11"/>
      <c r="D204" s="11"/>
      <c r="E204" s="11"/>
      <c r="F204" s="11"/>
      <c r="G204" s="11"/>
      <c r="H204" s="11"/>
      <c r="I204" s="55"/>
      <c r="J204" s="55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</row>
    <row r="205" spans="1:35" x14ac:dyDescent="0.25">
      <c r="A205" s="11"/>
      <c r="B205" s="11"/>
      <c r="C205" s="11"/>
      <c r="D205" s="11"/>
      <c r="E205" s="11"/>
      <c r="F205" s="11"/>
      <c r="G205" s="11"/>
      <c r="H205" s="11"/>
      <c r="I205" s="55"/>
      <c r="J205" s="55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</row>
    <row r="206" spans="1:35" x14ac:dyDescent="0.25">
      <c r="A206" s="11"/>
      <c r="B206" s="11"/>
      <c r="C206" s="11"/>
      <c r="D206" s="11"/>
      <c r="E206" s="11"/>
      <c r="F206" s="11"/>
      <c r="G206" s="11"/>
      <c r="H206" s="11"/>
      <c r="I206" s="55"/>
      <c r="J206" s="55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</row>
    <row r="207" spans="1:35" x14ac:dyDescent="0.25">
      <c r="A207" s="11"/>
      <c r="B207" s="11"/>
      <c r="C207" s="11"/>
      <c r="D207" s="11"/>
      <c r="E207" s="263"/>
      <c r="F207" s="11"/>
      <c r="G207" s="11"/>
      <c r="H207" s="11"/>
      <c r="I207" s="55"/>
      <c r="J207" s="55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</row>
    <row r="208" spans="1:35" x14ac:dyDescent="0.25">
      <c r="A208" s="11"/>
      <c r="B208" s="11"/>
      <c r="C208" s="11"/>
      <c r="D208" s="11"/>
      <c r="E208" s="11"/>
      <c r="F208" s="11"/>
      <c r="G208" s="11"/>
      <c r="H208" s="11"/>
      <c r="I208" s="55"/>
      <c r="J208" s="55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</row>
    <row r="209" spans="1:35" x14ac:dyDescent="0.25">
      <c r="A209" s="11"/>
      <c r="B209" s="11"/>
      <c r="C209" s="11"/>
      <c r="D209" s="11"/>
      <c r="E209" s="11"/>
      <c r="F209" s="11"/>
      <c r="G209" s="11"/>
      <c r="H209" s="11"/>
      <c r="I209" s="55"/>
      <c r="J209" s="55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</row>
    <row r="210" spans="1:35" x14ac:dyDescent="0.25">
      <c r="A210" s="11"/>
      <c r="B210" s="11"/>
      <c r="C210" s="11"/>
      <c r="D210" s="11"/>
      <c r="E210" s="11"/>
      <c r="F210" s="11"/>
      <c r="G210" s="11"/>
      <c r="H210" s="11"/>
      <c r="I210" s="55"/>
      <c r="J210" s="55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</row>
    <row r="211" spans="1:35" x14ac:dyDescent="0.25">
      <c r="A211" s="11"/>
      <c r="B211" s="11"/>
      <c r="C211" s="11"/>
      <c r="D211" s="11"/>
      <c r="E211" s="263"/>
      <c r="F211" s="11"/>
      <c r="G211" s="11"/>
      <c r="H211" s="11"/>
      <c r="I211" s="55"/>
      <c r="J211" s="55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</row>
  </sheetData>
  <sheetProtection algorithmName="SHA-512" hashValue="t7OQ5elzeUKy1fMPJ8edw2Qq9N7cPCm7GSYaVSEwqZ1ud8NUMhYsYyyRb7wIqTEUH+XttP665AcaRtd59pCD0w==" saltValue="aG+U+vqsL5cOEp4OwlWoyA==" spinCount="100000" sheet="1" scenarios="1"/>
  <mergeCells count="2">
    <mergeCell ref="AD31:AE31"/>
    <mergeCell ref="AG31:AH31"/>
  </mergeCells>
  <conditionalFormatting sqref="AD42 AF42:AG42 O42:AA42">
    <cfRule type="expression" dxfId="119" priority="9">
      <formula>ROUND(O41,2)&lt;&gt;ROUND(O42,2)</formula>
    </cfRule>
  </conditionalFormatting>
  <conditionalFormatting sqref="N42">
    <cfRule type="expression" dxfId="118" priority="7">
      <formula>$G42&lt;&gt;0</formula>
    </cfRule>
  </conditionalFormatting>
  <conditionalFormatting sqref="O51:AA51 AD51 AF51:AG51">
    <cfRule type="expression" dxfId="117" priority="14">
      <formula>ROUND(O50,2)&lt;&gt;ROUND(O51,2)</formula>
    </cfRule>
  </conditionalFormatting>
  <conditionalFormatting sqref="N51">
    <cfRule type="expression" dxfId="116" priority="11">
      <formula>$G51&lt;&gt;0</formula>
    </cfRule>
  </conditionalFormatting>
  <conditionalFormatting sqref="O60:AA60 AD60 AF60:AG60">
    <cfRule type="expression" dxfId="115" priority="16">
      <formula>ROUND(O59,2)&lt;&gt;ROUND(O60,2)</formula>
    </cfRule>
  </conditionalFormatting>
  <conditionalFormatting sqref="N60">
    <cfRule type="expression" dxfId="114" priority="15">
      <formula>$G60&lt;&gt;0</formula>
    </cfRule>
  </conditionalFormatting>
  <conditionalFormatting sqref="O69:AA69 AD69 AF69:AG69">
    <cfRule type="expression" dxfId="113" priority="19">
      <formula>ROUND(O68,2)&lt;&gt;ROUND(O69,2)</formula>
    </cfRule>
  </conditionalFormatting>
  <conditionalFormatting sqref="N69">
    <cfRule type="expression" dxfId="112" priority="18">
      <formula>$G69&lt;&gt;0</formula>
    </cfRule>
  </conditionalFormatting>
  <conditionalFormatting sqref="N78">
    <cfRule type="expression" dxfId="111" priority="20">
      <formula>$G78&lt;&gt;0</formula>
    </cfRule>
  </conditionalFormatting>
  <conditionalFormatting sqref="O78:AA78 AD78 AF78:AG78">
    <cfRule type="expression" dxfId="110" priority="21">
      <formula>ROUND(O77,2)&lt;&gt;ROUND(O78,2)</formula>
    </cfRule>
  </conditionalFormatting>
  <conditionalFormatting sqref="AI42">
    <cfRule type="expression" dxfId="109" priority="5">
      <formula>ROUND(AI41,2)&lt;&gt;ROUND(AI42,2)</formula>
    </cfRule>
  </conditionalFormatting>
  <conditionalFormatting sqref="AI51">
    <cfRule type="expression" dxfId="108" priority="4">
      <formula>ROUND(AI50,2)&lt;&gt;ROUND(AI51,2)</formula>
    </cfRule>
  </conditionalFormatting>
  <conditionalFormatting sqref="AI60">
    <cfRule type="expression" dxfId="107" priority="3">
      <formula>ROUND(AI59,2)&lt;&gt;ROUND(AI60,2)</formula>
    </cfRule>
  </conditionalFormatting>
  <conditionalFormatting sqref="AI69">
    <cfRule type="expression" dxfId="106" priority="2">
      <formula>ROUND(AI68,2)&lt;&gt;ROUND(AI69,2)</formula>
    </cfRule>
  </conditionalFormatting>
  <conditionalFormatting sqref="AI78">
    <cfRule type="expression" dxfId="105" priority="1">
      <formula>ROUND(AI77,2)&lt;&gt;ROUND(AI78,2)</formula>
    </cfRule>
  </conditionalFormatting>
  <dataValidations disablePrompts="1" count="2">
    <dataValidation type="list" allowBlank="1" sqref="B28" xr:uid="{00000000-0002-0000-0600-000000000000}">
      <formula1>"ACCOUNT,BUSINESSUNIT,CATEGORY,DATASRC,DEPARTMENT,INTCO,MEASURES,RPTCURRENCY,TIME"</formula1>
    </dataValidation>
    <dataValidation type="list" allowBlank="1" sqref="B29" xr:uid="{00000000-0002-0000-0600-000001000000}">
      <formula1>"SELF,ALL,BAS,DEP,BASMEMBERS,MEMBERS,NOEXPAND,GDEP"</formula1>
    </dataValidation>
  </dataValidations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customProperties>
    <customPr name="EpmWorksheetKeyString_GUID" r:id="rId2"/>
    <customPr name="FPMExcelClientCellBasedFunctionStatus" r:id="rId3"/>
    <customPr name="FPMExcelClientRefreshTime" r:id="rId4"/>
  </customProperties>
  <legacyDrawing r:id="rId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6" tint="0.39997558519241921"/>
    <pageSetUpPr fitToPage="1"/>
  </sheetPr>
  <dimension ref="A1:AO197"/>
  <sheetViews>
    <sheetView topLeftCell="K1" zoomScale="85" zoomScaleNormal="85" workbookViewId="0">
      <pane xSplit="4" ySplit="32" topLeftCell="O33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3" width="9.7109375" style="1" hidden="1" customWidth="1" outlineLevel="1"/>
    <col min="14" max="14" width="36.7109375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40" width="9.140625" style="1" hidden="1" customWidth="1" outlineLevel="1"/>
    <col min="41" max="41" width="9.140625" style="1" collapsed="1"/>
    <col min="42" max="16384" width="9.140625" style="1"/>
  </cols>
  <sheetData>
    <row r="1" spans="1:41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517" t="s">
        <v>22</v>
      </c>
      <c r="H1" s="54" t="s">
        <v>729</v>
      </c>
      <c r="I1" s="11"/>
      <c r="J1" s="11"/>
      <c r="K1" s="11"/>
      <c r="L1" s="11"/>
      <c r="M1" s="11"/>
      <c r="N1" s="63" t="str">
        <f>IF(_epmOfflineCondition_,"Seawell Restaurant",IF(OR(_xll.EVCGT($B$1,$B$6,$H$1,$H$2,$H$3,$H$4,$H$5,$H$6,$H$7,$H$8)="#RFR",_xll.EVCGT($B$1,$B$6,$H$1,$H$2,$H$3,$H$4,$H$5,$H$6,$H$7,$H$8)="#NODATA"),"",_xll.EVCGT($B$1,$B$6,$H$1,$H$2,$H$3,$H$4,$H$5,$H$6,$H$7,$H$8)))</f>
        <v>Seawell Restaurant</v>
      </c>
      <c r="O1" s="11" t="s">
        <v>732</v>
      </c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</row>
    <row r="2" spans="1:41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517" t="s">
        <v>50</v>
      </c>
      <c r="H2" s="54" t="str">
        <f>"BU"&amp;RIGHT(B3,4)</f>
        <v>BU1334</v>
      </c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</row>
    <row r="3" spans="1:41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517" t="s">
        <v>19</v>
      </c>
      <c r="H3" s="54" t="s">
        <v>684</v>
      </c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517" t="s">
        <v>51</v>
      </c>
      <c r="H4" s="54" t="s">
        <v>731</v>
      </c>
      <c r="I4" s="55"/>
      <c r="J4" s="55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517" t="s">
        <v>53</v>
      </c>
      <c r="H5" s="54" t="s">
        <v>730</v>
      </c>
      <c r="I5" s="55"/>
      <c r="J5" s="55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idden="1" outlineLevel="1" x14ac:dyDescent="0.25">
      <c r="A6" s="49" t="s">
        <v>52</v>
      </c>
      <c r="B6" s="52" t="s">
        <v>726</v>
      </c>
      <c r="C6" s="11" t="str">
        <f>IF(_epmOfflineCondition_,"Venue 1",_xll.EVDES(B6,$B$1))</f>
        <v>Venue 1</v>
      </c>
      <c r="D6" s="11"/>
      <c r="E6" s="54" t="str">
        <f>IF(_epmOfflineCondition_,"D_VENUES",_xll.EVPRO($B$1,$B$6,$F$6))</f>
        <v>D_VENUES</v>
      </c>
      <c r="F6" s="11" t="s">
        <v>278</v>
      </c>
      <c r="G6" s="517" t="s">
        <v>20</v>
      </c>
      <c r="H6" s="54" t="s">
        <v>55</v>
      </c>
      <c r="I6" s="55"/>
      <c r="J6" s="55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517" t="s">
        <v>54</v>
      </c>
      <c r="H7" s="54" t="s">
        <v>62</v>
      </c>
      <c r="I7" s="55"/>
      <c r="J7" s="55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517" t="s">
        <v>18</v>
      </c>
      <c r="H8" s="54" t="s">
        <v>728</v>
      </c>
      <c r="I8" s="55"/>
      <c r="J8" s="55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59" t="str">
        <f>IF(SetUp!$O$1=TRUE,"TRAILING12",IF(AA17="CURRENT","ROLLINGFORECAST","PERIODIC"))</f>
        <v>PERIODIC</v>
      </c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11"/>
      <c r="M12" s="11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  <c r="AJ12" s="11"/>
      <c r="AK12" s="11"/>
      <c r="AL12" s="11"/>
      <c r="AM12" s="11"/>
      <c r="AN12" s="11"/>
      <c r="AO12" s="11"/>
    </row>
    <row r="13" spans="1:41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11"/>
      <c r="M13" s="11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  <c r="AJ13" s="11"/>
      <c r="AK13" s="11"/>
      <c r="AL13" s="11"/>
      <c r="AM13" s="11"/>
      <c r="AN13" s="11"/>
      <c r="AO13" s="11"/>
    </row>
    <row r="14" spans="1:41" hidden="1" outlineLevel="1" x14ac:dyDescent="0.25">
      <c r="A14" s="56" t="str">
        <f>IF(_epmOfflineCondition_,"Evdre:Ok",_xll.EVDRE($B$1,A17:B24,A27:B33))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11"/>
      <c r="M14" s="11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  <c r="AJ14" s="11"/>
      <c r="AK14" s="11"/>
      <c r="AL14" s="11"/>
      <c r="AM14" s="11"/>
      <c r="AN14" s="11"/>
      <c r="AO14" s="11"/>
    </row>
    <row r="15" spans="1:41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11"/>
      <c r="M15" s="11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  <c r="AJ15" s="11"/>
      <c r="AK15" s="11"/>
      <c r="AL15" s="11"/>
      <c r="AM15" s="11"/>
      <c r="AN15" s="11"/>
      <c r="AO15" s="11"/>
    </row>
    <row r="16" spans="1:41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11"/>
      <c r="M16" s="11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  <c r="AJ16" s="11"/>
      <c r="AK16" s="11"/>
      <c r="AL16" s="11"/>
      <c r="AM16" s="11"/>
      <c r="AN16" s="11"/>
      <c r="AO16" s="11"/>
    </row>
    <row r="17" spans="1:41" hidden="1" outlineLevel="1" x14ac:dyDescent="0.25">
      <c r="A17" s="61" t="s">
        <v>2</v>
      </c>
      <c r="B17" s="62" t="str">
        <f>IF(_epmOfflineCondition_,"'Venue1'!$B$2:$B$10",_xll.EVRNG($B$2:$B$10))</f>
        <v>'Venue1'!$B$2:$B$10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11"/>
      <c r="M17" s="11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 t="str">
        <f>Z17</f>
        <v>ACTUAL_CON</v>
      </c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  <c r="AJ17" s="11"/>
      <c r="AK17" s="11"/>
      <c r="AL17" s="11"/>
      <c r="AM17" s="11"/>
      <c r="AN17" s="11"/>
      <c r="AO17" s="11"/>
    </row>
    <row r="18" spans="1:41" hidden="1" outlineLevel="1" x14ac:dyDescent="0.25">
      <c r="A18" s="61" t="s">
        <v>3</v>
      </c>
      <c r="B18" s="62" t="str">
        <f>IF(_epmOfflineCondition_,"'Venue1'!$O$16:$AN$18",_xll.EVRNG($O$16:$AN$18))</f>
        <v>'Venue1'!$O$16:$AN$18</v>
      </c>
      <c r="C18" s="11"/>
      <c r="D18" s="11"/>
      <c r="E18" s="11"/>
      <c r="F18" s="11"/>
      <c r="G18" s="11"/>
      <c r="H18" s="11"/>
      <c r="I18" s="55"/>
      <c r="J18" s="55"/>
      <c r="K18" s="11"/>
      <c r="L18" s="11"/>
      <c r="M18" s="11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11"/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  <c r="AJ18" s="11"/>
      <c r="AK18" s="11"/>
      <c r="AL18" s="11"/>
      <c r="AM18" s="11"/>
      <c r="AN18" s="11"/>
      <c r="AO18" s="11"/>
    </row>
    <row r="19" spans="1:41" hidden="1" outlineLevel="1" x14ac:dyDescent="0.25">
      <c r="A19" s="61" t="s">
        <v>4</v>
      </c>
      <c r="B19" s="62" t="str">
        <f>IF(_epmOfflineCondition_,"'Venue1'!$H$35:$H$58",_xll.EVRNG(H35:H58))</f>
        <v>'Venue1'!$H$35:$H$58</v>
      </c>
      <c r="C19" s="11"/>
      <c r="D19" s="11"/>
      <c r="E19" s="11"/>
      <c r="F19" s="11"/>
      <c r="G19" s="63" t="str">
        <f>$B$6</f>
        <v>D2140</v>
      </c>
      <c r="H19" s="63">
        <v>400000</v>
      </c>
      <c r="I19" s="64"/>
      <c r="J19" s="64"/>
      <c r="K19" s="63"/>
      <c r="L19" s="63"/>
      <c r="M19" s="63"/>
      <c r="N19" s="63" t="str">
        <f>IF(_epmOfflineCondition_,"Total Revenue",_xll.EVDES(H19))</f>
        <v>Total Revenue</v>
      </c>
      <c r="O19" s="65">
        <f>IF(_epmOfflineCondition_,0,_xll.EVGTS($B$1,1,$B$3,$B$5,$B$7,$B$9,O$16,O$17,O$18,$G$19,$H$19))</f>
        <v>0</v>
      </c>
      <c r="P19" s="65">
        <f>IF(_epmOfflineCondition_,0,_xll.EVGTS($B$1,1,$B$3,$B$5,$B$7,$B$9,P$16,P$17,P$18,$G$19,$H$19))</f>
        <v>0</v>
      </c>
      <c r="Q19" s="65">
        <f>IF(_epmOfflineCondition_,0,_xll.EVGTS($B$1,1,$B$3,$B$5,$B$7,$B$9,Q$16,Q$17,Q$18,$G$19,$H$19))</f>
        <v>0</v>
      </c>
      <c r="R19" s="65">
        <f>IF(_epmOfflineCondition_,0,_xll.EVGTS($B$1,1,$B$3,$B$5,$B$7,$B$9,R$16,R$17,R$18,$G$19,$H$19))</f>
        <v>0</v>
      </c>
      <c r="S19" s="65">
        <f>IF(_epmOfflineCondition_,0,_xll.EVGTS($B$1,1,$B$3,$B$5,$B$7,$B$9,S$16,S$17,S$18,$G$19,$H$19))</f>
        <v>0</v>
      </c>
      <c r="T19" s="65">
        <f>IF(_epmOfflineCondition_,0,_xll.EVGTS($B$1,1,$B$3,$B$5,$B$7,$B$9,T$16,T$17,T$18,$G$19,$H$19))</f>
        <v>0</v>
      </c>
      <c r="U19" s="65">
        <f>IF(_epmOfflineCondition_,0,_xll.EVGTS($B$1,1,$B$3,$B$5,$B$7,$B$9,U$16,U$17,U$18,$G$19,$H$19))</f>
        <v>0</v>
      </c>
      <c r="V19" s="65">
        <f>IF(_epmOfflineCondition_,0,_xll.EVGTS($B$1,1,$B$3,$B$5,$B$7,$B$9,V$16,V$17,V$18,$G$19,$H$19))</f>
        <v>0</v>
      </c>
      <c r="W19" s="65">
        <f>IF(_epmOfflineCondition_,0,_xll.EVGTS($B$1,1,$B$3,$B$5,$B$7,$B$9,W$16,W$17,W$18,$G$19,$H$19))</f>
        <v>0</v>
      </c>
      <c r="X19" s="65">
        <f>IF(_epmOfflineCondition_,18264.7,_xll.EVGTS($B$1,1,$B$3,$B$5,$B$7,$B$9,X$16,X$17,X$18,$G$19,$H$19))</f>
        <v>18264.7</v>
      </c>
      <c r="Y19" s="65">
        <f>IF(_epmOfflineCondition_,69216.87,_xll.EVGTS($B$1,1,$B$3,$B$5,$B$7,$B$9,Y$16,Y$17,Y$18,$G$19,$H$19))</f>
        <v>69216.87</v>
      </c>
      <c r="Z19" s="65">
        <f>IF(_epmOfflineCondition_,94823.5,_xll.EVGTS($B$1,1,$B$3,$B$5,$B$7,$B$9,Z$16,Z$17,Z$18,$G$19,$H$19))</f>
        <v>94823.5</v>
      </c>
      <c r="AA19" s="65">
        <f>SUM(O19:Z19)</f>
        <v>182305.07</v>
      </c>
      <c r="AB19" s="63"/>
      <c r="AC19" s="63"/>
      <c r="AD19" s="65">
        <f>IF(_epmOfflineCondition_,1544125.504,_xll.EVGTS($B$1,1,$B$3,$B$5,$B$7,$B$9,AD$16,AD$17,AD$18,$G$19,$H$19))</f>
        <v>1544125.504</v>
      </c>
      <c r="AE19" s="63"/>
      <c r="AF19" s="63"/>
      <c r="AG19" s="65">
        <f>IF(_epmOfflineCondition_,0,_xll.EVGTS($B$1,1,$B$3,$B$5,$B$7,$B$9,AG$16,AG$17,AG$18,$G$19,$H$19))</f>
        <v>0</v>
      </c>
      <c r="AH19" s="63"/>
      <c r="AI19" s="63"/>
      <c r="AJ19" s="11"/>
      <c r="AK19" s="11"/>
      <c r="AL19" s="11"/>
      <c r="AM19" s="11"/>
      <c r="AN19" s="11"/>
      <c r="AO19" s="11"/>
    </row>
    <row r="20" spans="1:41" hidden="1" outlineLevel="1" x14ac:dyDescent="0.25">
      <c r="A20" s="61" t="s">
        <v>5</v>
      </c>
      <c r="B20" s="62"/>
      <c r="C20" s="11"/>
      <c r="D20" s="11"/>
      <c r="E20" s="11"/>
      <c r="F20" s="11"/>
      <c r="G20" s="63" t="str">
        <f>$B$6</f>
        <v>D2140</v>
      </c>
      <c r="H20" s="63">
        <v>946000</v>
      </c>
      <c r="I20" s="64"/>
      <c r="J20" s="64"/>
      <c r="K20" s="63"/>
      <c r="L20" s="64"/>
      <c r="M20" s="64"/>
      <c r="N20" s="63" t="str">
        <f>IF(_epmOfflineCondition_,"Total Customers",_xll.EVDES(H20))</f>
        <v>Total Customers</v>
      </c>
      <c r="O20" s="65">
        <f>IF(_epmOfflineCondition_,0,_xll.EVGTS($B$1,1,$B$3,$B$5,$B$7,$B$9,O$16,O$17,O$18,$G$20,$H$20))</f>
        <v>0</v>
      </c>
      <c r="P20" s="65">
        <f>IF(_epmOfflineCondition_,0,_xll.EVGTS($B$1,1,$B$3,$B$5,$B$7,$B$9,P$16,P$17,P$18,$G$20,$H$20))</f>
        <v>0</v>
      </c>
      <c r="Q20" s="65">
        <f>IF(_epmOfflineCondition_,0,_xll.EVGTS($B$1,1,$B$3,$B$5,$B$7,$B$9,Q$16,Q$17,Q$18,$G$20,$H$20))</f>
        <v>0</v>
      </c>
      <c r="R20" s="65">
        <f>IF(_epmOfflineCondition_,0,_xll.EVGTS($B$1,1,$B$3,$B$5,$B$7,$B$9,R$16,R$17,R$18,$G$20,$H$20))</f>
        <v>0</v>
      </c>
      <c r="S20" s="65">
        <f>IF(_epmOfflineCondition_,0,_xll.EVGTS($B$1,1,$B$3,$B$5,$B$7,$B$9,S$16,S$17,S$18,$G$20,$H$20))</f>
        <v>0</v>
      </c>
      <c r="T20" s="65">
        <f>IF(_epmOfflineCondition_,0,_xll.EVGTS($B$1,1,$B$3,$B$5,$B$7,$B$9,T$16,T$17,T$18,$G$20,$H$20))</f>
        <v>0</v>
      </c>
      <c r="U20" s="65">
        <f>IF(_epmOfflineCondition_,0,_xll.EVGTS($B$1,1,$B$3,$B$5,$B$7,$B$9,U$16,U$17,U$18,$G$20,$H$20))</f>
        <v>0</v>
      </c>
      <c r="V20" s="65">
        <f>IF(_epmOfflineCondition_,0,_xll.EVGTS($B$1,1,$B$3,$B$5,$B$7,$B$9,V$16,V$17,V$18,$G$20,$H$20))</f>
        <v>0</v>
      </c>
      <c r="W20" s="65">
        <f>IF(_epmOfflineCondition_,0,_xll.EVGTS($B$1,1,$B$3,$B$5,$B$7,$B$9,W$16,W$17,W$18,$G$20,$H$20))</f>
        <v>0</v>
      </c>
      <c r="X20" s="65">
        <f>IF(_epmOfflineCondition_,969,_xll.EVGTS($B$1,1,$B$3,$B$5,$B$7,$B$9,X$16,X$17,X$18,$G$20,$H$20))</f>
        <v>969</v>
      </c>
      <c r="Y20" s="65">
        <f>IF(_epmOfflineCondition_,2033,_xll.EVGTS($B$1,1,$B$3,$B$5,$B$7,$B$9,Y$16,Y$17,Y$18,$G$20,$H$20))</f>
        <v>2033</v>
      </c>
      <c r="Z20" s="65">
        <f>IF(_epmOfflineCondition_,2650,_xll.EVGTS($B$1,1,$B$3,$B$5,$B$7,$B$9,Z$16,Z$17,Z$18,$G$20,$H$20))</f>
        <v>2650</v>
      </c>
      <c r="AA20" s="65">
        <f>SUM(O20:Z20)</f>
        <v>5652</v>
      </c>
      <c r="AB20" s="63"/>
      <c r="AC20" s="63"/>
      <c r="AD20" s="65">
        <f>IF(_epmOfflineCondition_,34139,_xll.EVGTS($B$1,1,$B$3,$B$5,$B$7,$B$9,AD$16,AD$17,AD$18,$G$20,$H$20))</f>
        <v>34139</v>
      </c>
      <c r="AE20" s="63"/>
      <c r="AF20" s="63"/>
      <c r="AG20" s="65">
        <f>IF(_epmOfflineCondition_,0,_xll.EVGTS($B$1,1,$B$3,$B$5,$B$7,$B$9,AG$16,AG$17,AG$18,$G$20,$H$20))</f>
        <v>0</v>
      </c>
      <c r="AH20" s="63"/>
      <c r="AI20" s="63"/>
      <c r="AJ20" s="11"/>
      <c r="AK20" s="11"/>
      <c r="AL20" s="11"/>
      <c r="AM20" s="11"/>
      <c r="AN20" s="11"/>
      <c r="AO20" s="11"/>
    </row>
    <row r="21" spans="1:41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idden="1" outlineLevel="1" x14ac:dyDescent="0.25">
      <c r="A22" s="61" t="s">
        <v>7</v>
      </c>
      <c r="B22" s="62" t="str">
        <f>IF(_epmOfflineCondition_,"'Venue1'!$A$36:$F$44",_xll.EVRNG(A36:F44))</f>
        <v>'Venue1'!$A$36:$F$44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idden="1" outlineLevel="1" x14ac:dyDescent="0.25">
      <c r="A23" s="61" t="s">
        <v>47</v>
      </c>
      <c r="B23" s="62" t="str">
        <f>IF(_epmOfflineCondition_,"'Venue1'!$A$125:$B$146",_xll.EVRNG($A$125:$B$146))</f>
        <v>'Venue1'!$A$125:$B$146</v>
      </c>
      <c r="C23" s="11"/>
      <c r="D23" s="11"/>
      <c r="E23" s="11"/>
      <c r="F23" s="11"/>
      <c r="G23" s="11"/>
      <c r="H23" s="11"/>
      <c r="I23" s="55"/>
      <c r="J23" s="55"/>
      <c r="K23" s="6"/>
      <c r="L23" s="6"/>
      <c r="M23" s="6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380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22.5" x14ac:dyDescent="0.3">
      <c r="A26" s="57" t="s">
        <v>9</v>
      </c>
      <c r="B26" s="58" t="s">
        <v>10</v>
      </c>
      <c r="C26" s="11"/>
      <c r="D26" s="11"/>
      <c r="E26" s="11"/>
      <c r="F26" s="11"/>
      <c r="G26" s="11"/>
      <c r="H26" s="11"/>
      <c r="I26" s="55"/>
      <c r="J26" s="55"/>
      <c r="K26" s="11"/>
      <c r="L26" s="11"/>
      <c r="M26" s="11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8" x14ac:dyDescent="0.25">
      <c r="A27" s="61" t="s">
        <v>11</v>
      </c>
      <c r="B27" s="62" t="s">
        <v>21</v>
      </c>
      <c r="C27" s="11"/>
      <c r="D27" s="11"/>
      <c r="E27" s="11"/>
      <c r="F27" s="11"/>
      <c r="G27" s="11"/>
      <c r="H27" s="11"/>
      <c r="I27" s="55"/>
      <c r="J27" s="55"/>
      <c r="K27" s="11"/>
      <c r="L27" s="11"/>
      <c r="M27" s="11"/>
      <c r="N27" s="67" t="str">
        <f>IF(_epmOfflineCondition_,"Seawell Restaurant",IF($N$1="",IF(_xll.EVDES(B6,$B$1)="#NODATA","",_xll.EVDES(B6,$B$1)&amp;" Department"),$N$1))</f>
        <v>Seawell Restaurant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x14ac:dyDescent="0.25">
      <c r="A28" s="61" t="s">
        <v>12</v>
      </c>
      <c r="B28" s="62" t="s">
        <v>22</v>
      </c>
      <c r="C28" s="11"/>
      <c r="D28" s="11"/>
      <c r="E28" s="11"/>
      <c r="F28" s="11"/>
      <c r="G28" s="11"/>
      <c r="H28" s="11"/>
      <c r="I28" s="55"/>
      <c r="J28" s="55"/>
      <c r="K28" s="11"/>
      <c r="L28" s="11"/>
      <c r="M28" s="11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" customHeight="1" x14ac:dyDescent="0.25">
      <c r="A29" s="61" t="s">
        <v>13</v>
      </c>
      <c r="B29" s="62" t="str">
        <f>"DEP(REV_F) AND "&amp;$E$6&amp;"=Y,REV_F,BEV,DEP(REV_BEV) AND "&amp;$E$6&amp;"=Y,REV_BEV,ALLOW_FB,REV_FB,OTHR_REV,DEP(REV_OTHR) AND "&amp;$E$6&amp;"=Y,REV_OTHR,400000"</f>
        <v>DEP(REV_F) AND D_VENUES=Y,REV_F,BEV,DEP(REV_BEV) AND D_VENUES=Y,REV_BEV,ALLOW_FB,REV_FB,OTHR_REV,DEP(REV_OTHR) AND D_VENUES=Y,REV_OTHR,400000</v>
      </c>
      <c r="C29" s="11"/>
      <c r="D29" s="11"/>
      <c r="E29" s="11"/>
      <c r="F29" s="11"/>
      <c r="G29" s="11"/>
      <c r="H29" s="11"/>
      <c r="I29" s="55"/>
      <c r="J29" s="55"/>
      <c r="K29" s="11"/>
      <c r="L29" s="11"/>
      <c r="M29" s="11"/>
      <c r="N29" s="68" t="str">
        <f>IF(_epmOfflineCondition_,"Local Currency",_xll.EVDES(B9,B1))</f>
        <v>Local Currency</v>
      </c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x14ac:dyDescent="0.25">
      <c r="A30" s="61" t="s">
        <v>14</v>
      </c>
      <c r="B30" s="62"/>
      <c r="C30" s="11"/>
      <c r="D30" s="11"/>
      <c r="E30" s="11"/>
      <c r="F30" s="11"/>
      <c r="G30" s="11"/>
      <c r="H30" s="11"/>
      <c r="I30" s="55"/>
      <c r="J30" s="55"/>
      <c r="K30" s="11"/>
      <c r="L30" s="11"/>
      <c r="M30" s="11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  <c r="AJ30" s="69" t="s">
        <v>752</v>
      </c>
      <c r="AK30" s="70"/>
      <c r="AL30" s="71"/>
      <c r="AM30" s="70" t="s">
        <v>751</v>
      </c>
      <c r="AN30" s="70"/>
      <c r="AO30" s="11"/>
    </row>
    <row r="31" spans="1:41" x14ac:dyDescent="0.25">
      <c r="A31" s="61" t="s">
        <v>15</v>
      </c>
      <c r="B31" s="62"/>
      <c r="C31" s="11"/>
      <c r="D31" s="11"/>
      <c r="E31" s="11"/>
      <c r="F31" s="11"/>
      <c r="G31" s="72"/>
      <c r="H31" s="11"/>
      <c r="I31" s="55"/>
      <c r="J31" s="55"/>
      <c r="K31" s="55"/>
      <c r="L31" s="55"/>
      <c r="M31" s="55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  <c r="AJ31" s="73" t="str">
        <f>IF(_epmOfflineCondition_,"2019",_xll.EVPRO($B$1,AA$16,"YEAR"))</f>
        <v>2019</v>
      </c>
      <c r="AK31" s="76" t="str">
        <f>IF(_epmOfflineCondition_,"2019",_xll.EVPRO($B$1,AD$16,"YEAR"))</f>
        <v>2019</v>
      </c>
      <c r="AL31" s="76" t="str">
        <f>IF(_epmOfflineCondition_,"2018",_xll.EVPRO($B$1,AG$16,"YEAR"))</f>
        <v>2018</v>
      </c>
      <c r="AM31" s="73" t="str">
        <f>"vs "&amp;AK31</f>
        <v>vs 2019</v>
      </c>
      <c r="AN31" s="73" t="str">
        <f>"vs "&amp;AL31</f>
        <v>vs 2018</v>
      </c>
      <c r="AO31" s="11"/>
    </row>
    <row r="32" spans="1:41" s="8" customFormat="1" ht="30" customHeight="1" x14ac:dyDescent="0.25">
      <c r="A32" s="77" t="s">
        <v>16</v>
      </c>
      <c r="B32" s="78"/>
      <c r="C32" s="79"/>
      <c r="D32" s="79"/>
      <c r="E32" s="79"/>
      <c r="F32" s="79"/>
      <c r="G32" s="359"/>
      <c r="H32" s="80"/>
      <c r="I32" s="81"/>
      <c r="J32" s="81"/>
      <c r="K32" s="174" t="s">
        <v>117</v>
      </c>
      <c r="L32" s="174"/>
      <c r="M32" s="174"/>
      <c r="N32" s="82" t="s">
        <v>120</v>
      </c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  <c r="AJ32" s="83" t="str">
        <f>Z32</f>
        <v>Actual</v>
      </c>
      <c r="AK32" s="76" t="str">
        <f>AD32</f>
        <v>Budget</v>
      </c>
      <c r="AL32" s="83" t="str">
        <f>AG32</f>
        <v>Actual</v>
      </c>
      <c r="AM32" s="73" t="s">
        <v>748</v>
      </c>
      <c r="AN32" s="73" t="s">
        <v>748</v>
      </c>
      <c r="AO32" s="79"/>
    </row>
    <row r="33" spans="1:41" x14ac:dyDescent="0.25">
      <c r="A33" s="61" t="s">
        <v>17</v>
      </c>
      <c r="B33" s="62"/>
      <c r="C33" s="11"/>
      <c r="D33" s="11"/>
      <c r="E33" s="11"/>
      <c r="F33" s="11"/>
      <c r="G33" s="11"/>
      <c r="H33" s="11" t="s">
        <v>69</v>
      </c>
      <c r="I33" s="55" t="str">
        <f>IF(_epmOfflineCondition_,"B1",_xll.EVPRO($B$1,$H33,"STYLE"))</f>
        <v>B1</v>
      </c>
      <c r="J33" s="55" t="str">
        <f>IF(_epmOfflineCondition_,"Y",_xll.EVPRO($B$1,$H33,"CALC"))</f>
        <v>Y</v>
      </c>
      <c r="K33" s="11"/>
      <c r="L33" s="11"/>
      <c r="M33" s="11"/>
      <c r="N33" s="101" t="str">
        <f>IF(_epmOfflineCondition_,"Revenues",IF(_xll.EVDES(H33,$B$1)="#NODATA","",_xll.EVDES(H33,$B$1)))</f>
        <v>Revenues</v>
      </c>
      <c r="O33" s="125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7"/>
      <c r="AC33" s="11"/>
      <c r="AD33" s="125"/>
      <c r="AE33" s="126"/>
      <c r="AF33" s="127"/>
      <c r="AG33" s="125"/>
      <c r="AH33" s="126"/>
      <c r="AI33" s="127"/>
      <c r="AJ33" s="11"/>
      <c r="AK33" s="11"/>
      <c r="AL33" s="11"/>
      <c r="AM33" s="11"/>
      <c r="AN33" s="11"/>
      <c r="AO33" s="11"/>
    </row>
    <row r="34" spans="1:41" x14ac:dyDescent="0.25">
      <c r="A34" s="11"/>
      <c r="B34" s="11"/>
      <c r="C34" s="11"/>
      <c r="D34" s="11"/>
      <c r="E34" s="11"/>
      <c r="F34" s="11"/>
      <c r="G34" s="11"/>
      <c r="H34" s="11" t="s">
        <v>259</v>
      </c>
      <c r="I34" s="55" t="str">
        <f>IF(_epmOfflineCondition_,"B1",_xll.EVPRO($B$1,$H34,"STYLE"))</f>
        <v>B1</v>
      </c>
      <c r="J34" s="55" t="str">
        <f>IF(_epmOfflineCondition_,"Y",_xll.EVPRO($B$1,$H34,"CALC"))</f>
        <v>Y</v>
      </c>
      <c r="K34" s="11"/>
      <c r="L34" s="129" t="s">
        <v>364</v>
      </c>
      <c r="M34" s="129" t="s">
        <v>783</v>
      </c>
      <c r="N34" s="49" t="str">
        <f>IF(_epmOfflineCondition_,"Food Revenue",IF(_xll.EVDES(H34,$B$1)="#NODATA","",_xll.EVDES(H34,$B$1)))</f>
        <v>Food Revenue</v>
      </c>
      <c r="O34" s="199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114"/>
      <c r="AC34" s="11"/>
      <c r="AD34" s="199"/>
      <c r="AE34" s="200"/>
      <c r="AF34" s="114"/>
      <c r="AG34" s="199"/>
      <c r="AH34" s="200"/>
      <c r="AI34" s="114"/>
      <c r="AJ34" s="11"/>
      <c r="AK34" s="11"/>
      <c r="AL34" s="11"/>
      <c r="AM34" s="11"/>
      <c r="AN34" s="11"/>
      <c r="AO34" s="11"/>
    </row>
    <row r="35" spans="1:41" x14ac:dyDescent="0.25">
      <c r="A35" s="93" t="s">
        <v>92</v>
      </c>
      <c r="B35" s="94" t="s">
        <v>93</v>
      </c>
      <c r="C35" s="94" t="s">
        <v>94</v>
      </c>
      <c r="D35" s="94" t="s">
        <v>95</v>
      </c>
      <c r="E35" s="94" t="s">
        <v>96</v>
      </c>
      <c r="F35" s="95" t="s">
        <v>97</v>
      </c>
      <c r="G35" s="11"/>
      <c r="H35" s="84" t="s">
        <v>260</v>
      </c>
      <c r="I35" s="118" t="str">
        <f>IF(_epmOfflineCondition_,"T5",_xll.EVPRO($B$1,$H35,"STYLE"))</f>
        <v>T5</v>
      </c>
      <c r="J35" s="118" t="str">
        <f>IF(_epmOfflineCondition_,"Y",_xll.EVPRO($B$1,$H35,"CALC"))</f>
        <v>Y</v>
      </c>
      <c r="K35" s="175" t="str">
        <f t="shared" ref="K35:K58" si="0">IF(AND(I35&gt;="T5"),"&gt;","")</f>
        <v>&gt;</v>
      </c>
      <c r="L35" s="86" t="str">
        <f>IF(_epmOfflineCondition_,"461100",_xll.EVPRO($B$1,H35,"JDEID"))</f>
        <v>461100</v>
      </c>
      <c r="M35" s="86" t="str">
        <f>IF(_epmOfflineCondition_,"",IF(AND(I35="N",J35="N"),_xll.EVPRO($B$1,H35,"PSFTID"),""))</f>
        <v/>
      </c>
      <c r="N35" s="86" t="str">
        <f>IF(_epmOfflineCondition_,"Breakfast Food",IF(_xll.EVDES(H35,$B$1)="#NODATA","",_xll.EVDES(H35,$B$1)))</f>
        <v>Breakfast Food</v>
      </c>
      <c r="O35" s="453"/>
      <c r="P35" s="223"/>
      <c r="Q35" s="223"/>
      <c r="R35" s="223"/>
      <c r="S35" s="223"/>
      <c r="T35" s="223"/>
      <c r="U35" s="223"/>
      <c r="V35" s="223"/>
      <c r="W35" s="223"/>
      <c r="X35" s="223">
        <v>13903</v>
      </c>
      <c r="Y35" s="223">
        <v>19319.8</v>
      </c>
      <c r="Z35" s="223">
        <v>24001.3</v>
      </c>
      <c r="AA35" s="223">
        <f t="shared" ref="AA35:AA58" si="1">IF($I35="B1","",SUM(O35:Z35))</f>
        <v>57224.100000000006</v>
      </c>
      <c r="AB35" s="454">
        <f t="shared" ref="AB35:AB58" si="2">IF(AA35=0,"",IFERROR(AA35/AA$19,""))</f>
        <v>0.31389198336612362</v>
      </c>
      <c r="AC35" s="528"/>
      <c r="AD35" s="223">
        <v>171981.53112500001</v>
      </c>
      <c r="AE35" s="454">
        <f t="shared" ref="AE35:AE58" si="3">IF(AD35=0,"",IFERROR(AD35/AD$19,""))</f>
        <v>0.11137794867029151</v>
      </c>
      <c r="AF35" s="456">
        <f t="shared" ref="AF35:AF58" si="4">IF(AND($AA35="",AD35=""),"",$AA35-AD35)</f>
        <v>-114757.431125</v>
      </c>
      <c r="AG35" s="223"/>
      <c r="AH35" s="454" t="str">
        <f t="shared" ref="AH35:AH58" si="5">IF(AG35=0,"",IFERROR(AG35/AG$19,""))</f>
        <v/>
      </c>
      <c r="AI35" s="457">
        <f t="shared" ref="AI35:AI58" si="6">IF(AND($AA35="",AG35=""),"",$AA35-AG35)</f>
        <v>57224.100000000006</v>
      </c>
      <c r="AJ35" s="458">
        <f t="shared" ref="AJ35:AJ58" si="7">IFERROR(AA35/AA$20,0)</f>
        <v>10.124575371549895</v>
      </c>
      <c r="AK35" s="459">
        <f t="shared" ref="AK35:AK58" si="8">IFERROR(AD35/AD$20,0)</f>
        <v>5.0376850852397554</v>
      </c>
      <c r="AL35" s="460">
        <f t="shared" ref="AL35:AL58" si="9">IFERROR(AG35/AG$20,0)</f>
        <v>0</v>
      </c>
      <c r="AM35" s="461" t="str">
        <f t="shared" ref="AM35:AM58" si="10">+IFERROR(ROUND(($AB35-AE35)*100,2)&amp;" pts.",0)</f>
        <v>20.25 pts.</v>
      </c>
      <c r="AN35" s="462">
        <f t="shared" ref="AN35:AN58" si="11">+IFERROR(ROUND(($AB35-AH35)*100,2)&amp;" pts.",0)</f>
        <v>0</v>
      </c>
      <c r="AO35" s="11"/>
    </row>
    <row r="36" spans="1:41" x14ac:dyDescent="0.25">
      <c r="A36" s="11"/>
      <c r="B36" s="11"/>
      <c r="C36" s="11"/>
      <c r="D36" s="11"/>
      <c r="E36" s="11"/>
      <c r="F36" s="11"/>
      <c r="G36" s="11"/>
      <c r="H36" s="84" t="s">
        <v>261</v>
      </c>
      <c r="I36" s="118" t="str">
        <f>IF(_epmOfflineCondition_,"T5",_xll.EVPRO($B$1,$H36,"STYLE"))</f>
        <v>T5</v>
      </c>
      <c r="J36" s="118" t="str">
        <f>IF(_epmOfflineCondition_,"Y",_xll.EVPRO($B$1,$H36,"CALC"))</f>
        <v>Y</v>
      </c>
      <c r="K36" s="175" t="str">
        <f t="shared" si="0"/>
        <v>&gt;</v>
      </c>
      <c r="L36" s="86" t="str">
        <f>IF(_epmOfflineCondition_,"462100",_xll.EVPRO($B$1,H36,"JDEID"))</f>
        <v>462100</v>
      </c>
      <c r="M36" s="86" t="str">
        <f>IF(_epmOfflineCondition_,"",IF(AND(I36="N",J36="N"),_xll.EVPRO($B$1,H36,"PSFTID"),""))</f>
        <v/>
      </c>
      <c r="N36" s="86" t="str">
        <f>IF(_epmOfflineCondition_,"Lunch Food",IF(_xll.EVDES(H36,$B$1)="#NODATA","",_xll.EVDES(H36,$B$1)))</f>
        <v>Lunch Food</v>
      </c>
      <c r="O36" s="453"/>
      <c r="P36" s="223"/>
      <c r="Q36" s="223"/>
      <c r="R36" s="223"/>
      <c r="S36" s="223"/>
      <c r="T36" s="223"/>
      <c r="U36" s="223"/>
      <c r="V36" s="223"/>
      <c r="W36" s="223"/>
      <c r="X36" s="223"/>
      <c r="Y36" s="223">
        <v>1969.7</v>
      </c>
      <c r="Z36" s="223">
        <v>3848.4</v>
      </c>
      <c r="AA36" s="223">
        <f t="shared" si="1"/>
        <v>5818.1</v>
      </c>
      <c r="AB36" s="454">
        <f t="shared" si="2"/>
        <v>3.191408774314395E-2</v>
      </c>
      <c r="AC36" s="528"/>
      <c r="AD36" s="223">
        <v>134786.875195</v>
      </c>
      <c r="AE36" s="454">
        <f t="shared" si="3"/>
        <v>8.7290103586683584E-2</v>
      </c>
      <c r="AF36" s="456">
        <f t="shared" si="4"/>
        <v>-128968.77519499999</v>
      </c>
      <c r="AG36" s="223"/>
      <c r="AH36" s="454" t="str">
        <f t="shared" si="5"/>
        <v/>
      </c>
      <c r="AI36" s="457">
        <f t="shared" si="6"/>
        <v>5818.1</v>
      </c>
      <c r="AJ36" s="458">
        <f t="shared" si="7"/>
        <v>1.0293878273177637</v>
      </c>
      <c r="AK36" s="459">
        <f t="shared" si="8"/>
        <v>3.9481787748615953</v>
      </c>
      <c r="AL36" s="460">
        <f t="shared" si="9"/>
        <v>0</v>
      </c>
      <c r="AM36" s="461" t="str">
        <f t="shared" si="10"/>
        <v>-5.54 pts.</v>
      </c>
      <c r="AN36" s="462">
        <f t="shared" si="11"/>
        <v>0</v>
      </c>
      <c r="AO36" s="11"/>
    </row>
    <row r="37" spans="1:41" x14ac:dyDescent="0.25">
      <c r="A37" s="11" t="s">
        <v>209</v>
      </c>
      <c r="B37" s="11" t="s">
        <v>21</v>
      </c>
      <c r="C37" s="391"/>
      <c r="D37" s="11" t="s">
        <v>590</v>
      </c>
      <c r="E37" s="11"/>
      <c r="F37" s="11" t="s">
        <v>99</v>
      </c>
      <c r="G37" s="11"/>
      <c r="H37" s="84" t="s">
        <v>262</v>
      </c>
      <c r="I37" s="118" t="str">
        <f>IF(_epmOfflineCondition_,"T5",_xll.EVPRO($B$1,$H37,"STYLE"))</f>
        <v>T5</v>
      </c>
      <c r="J37" s="118" t="str">
        <f>IF(_epmOfflineCondition_,"Y",_xll.EVPRO($B$1,$H37,"CALC"))</f>
        <v>Y</v>
      </c>
      <c r="K37" s="175" t="str">
        <f t="shared" si="0"/>
        <v>&gt;</v>
      </c>
      <c r="L37" s="86" t="str">
        <f>IF(_epmOfflineCondition_,"463100",_xll.EVPRO($B$1,H37,"JDEID"))</f>
        <v>463100</v>
      </c>
      <c r="M37" s="86" t="str">
        <f>IF(_epmOfflineCondition_,"",IF(AND(I37="N",J37="N"),_xll.EVPRO($B$1,H37,"PSFTID"),""))</f>
        <v/>
      </c>
      <c r="N37" s="86" t="str">
        <f>IF(_epmOfflineCondition_,"Dinner Food",IF(_xll.EVDES(H37,$B$1)="#NODATA","",_xll.EVDES(H37,$B$1)))</f>
        <v>Dinner Food</v>
      </c>
      <c r="O37" s="453"/>
      <c r="P37" s="223"/>
      <c r="Q37" s="223"/>
      <c r="R37" s="223"/>
      <c r="S37" s="223"/>
      <c r="T37" s="223"/>
      <c r="U37" s="223"/>
      <c r="V37" s="223"/>
      <c r="W37" s="223"/>
      <c r="X37" s="223">
        <v>1045.7</v>
      </c>
      <c r="Y37" s="223">
        <v>22405.98</v>
      </c>
      <c r="Z37" s="223">
        <v>30076.65</v>
      </c>
      <c r="AA37" s="223">
        <f t="shared" si="1"/>
        <v>53528.33</v>
      </c>
      <c r="AB37" s="454">
        <f t="shared" si="2"/>
        <v>0.2936195356497765</v>
      </c>
      <c r="AC37" s="528"/>
      <c r="AD37" s="223">
        <v>519207.31134000001</v>
      </c>
      <c r="AE37" s="454">
        <f t="shared" si="3"/>
        <v>0.33624683356049279</v>
      </c>
      <c r="AF37" s="456">
        <f t="shared" si="4"/>
        <v>-465678.98134</v>
      </c>
      <c r="AG37" s="223"/>
      <c r="AH37" s="454" t="str">
        <f t="shared" si="5"/>
        <v/>
      </c>
      <c r="AI37" s="457">
        <f t="shared" si="6"/>
        <v>53528.33</v>
      </c>
      <c r="AJ37" s="458">
        <f t="shared" si="7"/>
        <v>9.4706882519462141</v>
      </c>
      <c r="AK37" s="459">
        <f t="shared" si="8"/>
        <v>15.208626829725535</v>
      </c>
      <c r="AL37" s="460">
        <f t="shared" si="9"/>
        <v>0</v>
      </c>
      <c r="AM37" s="461" t="str">
        <f t="shared" si="10"/>
        <v>-4.26 pts.</v>
      </c>
      <c r="AN37" s="462">
        <f t="shared" si="11"/>
        <v>0</v>
      </c>
      <c r="AO37" s="11"/>
    </row>
    <row r="38" spans="1:41" x14ac:dyDescent="0.25">
      <c r="A38" s="11" t="s">
        <v>105</v>
      </c>
      <c r="B38" s="11"/>
      <c r="C38" s="100" t="s">
        <v>101</v>
      </c>
      <c r="D38" s="11" t="s">
        <v>106</v>
      </c>
      <c r="E38" s="11"/>
      <c r="F38" s="11" t="s">
        <v>98</v>
      </c>
      <c r="G38" s="11"/>
      <c r="H38" s="84" t="s">
        <v>263</v>
      </c>
      <c r="I38" s="118" t="str">
        <f>IF(_epmOfflineCondition_,"T5",_xll.EVPRO($B$1,$H38,"STYLE"))</f>
        <v>T5</v>
      </c>
      <c r="J38" s="118" t="str">
        <f>IF(_epmOfflineCondition_,"Y",_xll.EVPRO($B$1,$H38,"CALC"))</f>
        <v>Y</v>
      </c>
      <c r="K38" s="175" t="str">
        <f t="shared" si="0"/>
        <v>&gt;</v>
      </c>
      <c r="L38" s="86" t="str">
        <f>IF(_epmOfflineCondition_,"464100",_xll.EVPRO($B$1,H38,"JDEID"))</f>
        <v>464100</v>
      </c>
      <c r="M38" s="86" t="str">
        <f>IF(_epmOfflineCondition_,"",IF(AND(I38="N",J38="N"),_xll.EVPRO($B$1,H38,"PSFTID"),""))</f>
        <v/>
      </c>
      <c r="N38" s="86" t="str">
        <f>IF(_epmOfflineCondition_,"Bar Food",IF(_xll.EVDES(H38,$B$1)="#NODATA","",_xll.EVDES(H38,$B$1)))</f>
        <v>Bar Food</v>
      </c>
      <c r="O38" s="453"/>
      <c r="P38" s="223"/>
      <c r="Q38" s="223"/>
      <c r="R38" s="223"/>
      <c r="S38" s="223"/>
      <c r="T38" s="223"/>
      <c r="U38" s="223"/>
      <c r="V38" s="223"/>
      <c r="W38" s="223"/>
      <c r="X38" s="223"/>
      <c r="Y38" s="223">
        <v>1862.9</v>
      </c>
      <c r="Z38" s="223">
        <v>3725.95</v>
      </c>
      <c r="AA38" s="223">
        <f t="shared" si="1"/>
        <v>5588.85</v>
      </c>
      <c r="AB38" s="454">
        <f t="shared" si="2"/>
        <v>3.0656580203721161E-2</v>
      </c>
      <c r="AC38" s="528"/>
      <c r="AD38" s="223">
        <v>7345.1970719999999</v>
      </c>
      <c r="AE38" s="454">
        <f t="shared" si="3"/>
        <v>4.7568653279623568E-3</v>
      </c>
      <c r="AF38" s="456">
        <f t="shared" si="4"/>
        <v>-1756.3470719999996</v>
      </c>
      <c r="AG38" s="223"/>
      <c r="AH38" s="454" t="str">
        <f t="shared" si="5"/>
        <v/>
      </c>
      <c r="AI38" s="457">
        <f t="shared" si="6"/>
        <v>5588.85</v>
      </c>
      <c r="AJ38" s="458">
        <f t="shared" si="7"/>
        <v>0.98882696390658176</v>
      </c>
      <c r="AK38" s="459">
        <f t="shared" si="8"/>
        <v>0.21515560127713174</v>
      </c>
      <c r="AL38" s="460">
        <f t="shared" si="9"/>
        <v>0</v>
      </c>
      <c r="AM38" s="461" t="str">
        <f t="shared" si="10"/>
        <v>2.59 pts.</v>
      </c>
      <c r="AN38" s="462">
        <f t="shared" si="11"/>
        <v>0</v>
      </c>
      <c r="AO38" s="11"/>
    </row>
    <row r="39" spans="1:41" x14ac:dyDescent="0.25">
      <c r="A39" s="11" t="s">
        <v>104</v>
      </c>
      <c r="B39" s="11"/>
      <c r="C39" s="100" t="s">
        <v>101</v>
      </c>
      <c r="D39" s="11" t="s">
        <v>106</v>
      </c>
      <c r="E39" s="11"/>
      <c r="F39" s="11" t="s">
        <v>98</v>
      </c>
      <c r="G39" s="11"/>
      <c r="H39" s="84" t="s">
        <v>264</v>
      </c>
      <c r="I39" s="118" t="str">
        <f>IF(_epmOfflineCondition_,"T5",_xll.EVPRO($B$1,$H39,"STYLE"))</f>
        <v>T5</v>
      </c>
      <c r="J39" s="118" t="str">
        <f>IF(_epmOfflineCondition_,"Y",_xll.EVPRO($B$1,$H39,"CALC"))</f>
        <v>Y</v>
      </c>
      <c r="K39" s="175" t="str">
        <f t="shared" si="0"/>
        <v>&gt;</v>
      </c>
      <c r="L39" s="86" t="str">
        <f>IF(_epmOfflineCondition_,"465100",_xll.EVPRO($B$1,H39,"JDEID"))</f>
        <v>465100</v>
      </c>
      <c r="M39" s="86" t="str">
        <f>IF(_epmOfflineCondition_,"",IF(AND(I39="N",J39="N"),_xll.EVPRO($B$1,H39,"PSFTID"),""))</f>
        <v/>
      </c>
      <c r="N39" s="86" t="str">
        <f>IF(_epmOfflineCondition_,"Private Dining Food",IF(_xll.EVDES(H39,$B$1)="#NODATA","",_xll.EVDES(H39,$B$1)))</f>
        <v>Private Dining Food</v>
      </c>
      <c r="O39" s="463"/>
      <c r="P39" s="229"/>
      <c r="Q39" s="229"/>
      <c r="R39" s="229"/>
      <c r="S39" s="229"/>
      <c r="T39" s="229"/>
      <c r="U39" s="229"/>
      <c r="V39" s="229"/>
      <c r="W39" s="229"/>
      <c r="X39" s="229"/>
      <c r="Y39" s="229"/>
      <c r="Z39" s="229">
        <v>104</v>
      </c>
      <c r="AA39" s="229">
        <f t="shared" si="1"/>
        <v>104</v>
      </c>
      <c r="AB39" s="464">
        <f t="shared" si="2"/>
        <v>5.7047234067598887E-4</v>
      </c>
      <c r="AC39" s="455"/>
      <c r="AD39" s="229">
        <v>23890.722300000001</v>
      </c>
      <c r="AE39" s="464">
        <f t="shared" si="3"/>
        <v>1.547200809656467E-2</v>
      </c>
      <c r="AF39" s="465">
        <f t="shared" si="4"/>
        <v>-23786.722300000001</v>
      </c>
      <c r="AG39" s="229"/>
      <c r="AH39" s="464" t="str">
        <f t="shared" si="5"/>
        <v/>
      </c>
      <c r="AI39" s="466">
        <f t="shared" si="6"/>
        <v>104</v>
      </c>
      <c r="AJ39" s="467">
        <f t="shared" si="7"/>
        <v>1.840056617126681E-2</v>
      </c>
      <c r="AK39" s="468">
        <f t="shared" si="8"/>
        <v>0.69980732593221828</v>
      </c>
      <c r="AL39" s="469">
        <f t="shared" si="9"/>
        <v>0</v>
      </c>
      <c r="AM39" s="470" t="str">
        <f t="shared" si="10"/>
        <v>-1.49 pts.</v>
      </c>
      <c r="AN39" s="471">
        <f t="shared" si="11"/>
        <v>0</v>
      </c>
      <c r="AO39" s="11"/>
    </row>
    <row r="40" spans="1:41" x14ac:dyDescent="0.25">
      <c r="A40" s="11" t="s">
        <v>100</v>
      </c>
      <c r="B40" s="11"/>
      <c r="C40" s="49" t="s">
        <v>101</v>
      </c>
      <c r="D40" s="11" t="s">
        <v>106</v>
      </c>
      <c r="E40" s="11"/>
      <c r="F40" s="11" t="s">
        <v>98</v>
      </c>
      <c r="G40" s="11"/>
      <c r="H40" s="84" t="s">
        <v>265</v>
      </c>
      <c r="I40" s="184" t="str">
        <f>IF(_epmOfflineCondition_,"T4",_xll.EVPRO($B$1,$H40,"STYLE"))</f>
        <v>T4</v>
      </c>
      <c r="J40" s="184" t="str">
        <f>IF(_epmOfflineCondition_,"Y",_xll.EVPRO($B$1,$H40,"CALC"))</f>
        <v>Y</v>
      </c>
      <c r="K40" s="185" t="str">
        <f t="shared" si="0"/>
        <v/>
      </c>
      <c r="L40" s="186" t="str">
        <f>IF(_epmOfflineCondition_,"",_xll.EVPRO($B$1,H40,"JDEID"))</f>
        <v/>
      </c>
      <c r="M40" s="186" t="str">
        <f>IF(_epmOfflineCondition_,"",IF(AND(I40="N",J40="N"),_xll.EVPRO($B$1,H40,"PSFTID"),""))</f>
        <v/>
      </c>
      <c r="N40" s="186" t="str">
        <f>IF(_epmOfflineCondition_,"Total Food Revenue",IF(_xll.EVDES(H40,$B$1)="#NODATA","",_xll.EVDES(H40,$B$1)))</f>
        <v>Total Food Revenue</v>
      </c>
      <c r="O40" s="472"/>
      <c r="P40" s="236"/>
      <c r="Q40" s="236"/>
      <c r="R40" s="236"/>
      <c r="S40" s="236"/>
      <c r="T40" s="236"/>
      <c r="U40" s="236"/>
      <c r="V40" s="236"/>
      <c r="W40" s="236"/>
      <c r="X40" s="236">
        <v>14948.7</v>
      </c>
      <c r="Y40" s="236">
        <v>45558.38</v>
      </c>
      <c r="Z40" s="236">
        <v>61756.3</v>
      </c>
      <c r="AA40" s="236">
        <f t="shared" si="1"/>
        <v>122263.38</v>
      </c>
      <c r="AB40" s="237">
        <f t="shared" si="2"/>
        <v>0.6706526593034412</v>
      </c>
      <c r="AC40" s="238"/>
      <c r="AD40" s="236">
        <v>857211.637032</v>
      </c>
      <c r="AE40" s="237">
        <f t="shared" si="3"/>
        <v>0.55514375924199488</v>
      </c>
      <c r="AF40" s="239">
        <f t="shared" si="4"/>
        <v>-734948.25703199999</v>
      </c>
      <c r="AG40" s="236"/>
      <c r="AH40" s="237" t="str">
        <f t="shared" si="5"/>
        <v/>
      </c>
      <c r="AI40" s="473">
        <f t="shared" si="6"/>
        <v>122263.38</v>
      </c>
      <c r="AJ40" s="215">
        <f t="shared" si="7"/>
        <v>21.63187898089172</v>
      </c>
      <c r="AK40" s="216">
        <f t="shared" si="8"/>
        <v>25.109453617036234</v>
      </c>
      <c r="AL40" s="218">
        <f t="shared" si="9"/>
        <v>0</v>
      </c>
      <c r="AM40" s="423" t="str">
        <f t="shared" si="10"/>
        <v>11.55 pts.</v>
      </c>
      <c r="AN40" s="474">
        <f t="shared" si="11"/>
        <v>0</v>
      </c>
      <c r="AO40" s="11"/>
    </row>
    <row r="41" spans="1:41" x14ac:dyDescent="0.25">
      <c r="A41" s="11" t="s">
        <v>102</v>
      </c>
      <c r="B41" s="11"/>
      <c r="C41" s="102" t="s">
        <v>101</v>
      </c>
      <c r="D41" s="11" t="s">
        <v>106</v>
      </c>
      <c r="E41" s="11"/>
      <c r="F41" s="11" t="s">
        <v>98</v>
      </c>
      <c r="G41" s="11"/>
      <c r="H41" s="84" t="s">
        <v>266</v>
      </c>
      <c r="I41" s="184" t="str">
        <f>IF(_epmOfflineCondition_,"B1",_xll.EVPRO($B$1,$H41,"STYLE"))</f>
        <v>B1</v>
      </c>
      <c r="J41" s="184" t="str">
        <f>IF(_epmOfflineCondition_,"Y",_xll.EVPRO($B$1,$H41,"CALC"))</f>
        <v>Y</v>
      </c>
      <c r="K41" s="185" t="str">
        <f t="shared" si="0"/>
        <v/>
      </c>
      <c r="L41" s="186" t="str">
        <f>IF(_epmOfflineCondition_,"",_xll.EVPRO($B$1,H41,"JDEID"))</f>
        <v/>
      </c>
      <c r="M41" s="186" t="str">
        <f>IF(_epmOfflineCondition_,"",IF(AND(I41="N",J41="N"),_xll.EVPRO($B$1,H41,"PSFTID"),""))</f>
        <v/>
      </c>
      <c r="N41" s="186" t="str">
        <f>IF(_epmOfflineCondition_,"Beverage Revenue",IF(_xll.EVDES(H41,$B$1)="#NODATA","",_xll.EVDES(H41,$B$1)))</f>
        <v>Beverage Revenue</v>
      </c>
      <c r="O41" s="475"/>
      <c r="P41" s="241"/>
      <c r="Q41" s="241"/>
      <c r="R41" s="241"/>
      <c r="S41" s="241"/>
      <c r="T41" s="241"/>
      <c r="U41" s="241"/>
      <c r="V41" s="241"/>
      <c r="W41" s="241"/>
      <c r="X41" s="241"/>
      <c r="Y41" s="241"/>
      <c r="Z41" s="241"/>
      <c r="AA41" s="241" t="str">
        <f t="shared" si="1"/>
        <v/>
      </c>
      <c r="AB41" s="476" t="str">
        <f t="shared" si="2"/>
        <v/>
      </c>
      <c r="AC41" s="529"/>
      <c r="AD41" s="241"/>
      <c r="AE41" s="476" t="str">
        <f t="shared" si="3"/>
        <v/>
      </c>
      <c r="AF41" s="478" t="str">
        <f t="shared" si="4"/>
        <v/>
      </c>
      <c r="AG41" s="241"/>
      <c r="AH41" s="476" t="str">
        <f t="shared" si="5"/>
        <v/>
      </c>
      <c r="AI41" s="479" t="str">
        <f t="shared" si="6"/>
        <v/>
      </c>
      <c r="AJ41" s="244">
        <f t="shared" si="7"/>
        <v>0</v>
      </c>
      <c r="AK41" s="245">
        <f t="shared" si="8"/>
        <v>0</v>
      </c>
      <c r="AL41" s="247">
        <f t="shared" si="9"/>
        <v>0</v>
      </c>
      <c r="AM41" s="425">
        <f t="shared" si="10"/>
        <v>0</v>
      </c>
      <c r="AN41" s="480">
        <f t="shared" si="11"/>
        <v>0</v>
      </c>
      <c r="AO41" s="11"/>
    </row>
    <row r="42" spans="1:41" x14ac:dyDescent="0.25">
      <c r="A42" s="11" t="s">
        <v>102</v>
      </c>
      <c r="B42" s="11"/>
      <c r="C42" s="192" t="s">
        <v>101</v>
      </c>
      <c r="D42" s="11" t="s">
        <v>107</v>
      </c>
      <c r="E42" s="11"/>
      <c r="F42" s="11" t="s">
        <v>99</v>
      </c>
      <c r="G42" s="11"/>
      <c r="H42" s="84" t="s">
        <v>267</v>
      </c>
      <c r="I42" s="118" t="str">
        <f>IF(_epmOfflineCondition_,"T5",_xll.EVPRO($B$1,$H42,"STYLE"))</f>
        <v>T5</v>
      </c>
      <c r="J42" s="118" t="str">
        <f>IF(_epmOfflineCondition_,"Y",_xll.EVPRO($B$1,$H42,"CALC"))</f>
        <v>Y</v>
      </c>
      <c r="K42" s="175" t="str">
        <f t="shared" si="0"/>
        <v>&gt;</v>
      </c>
      <c r="L42" s="86" t="str">
        <f>IF(_epmOfflineCondition_,"",_xll.EVPRO($B$1,H42,"JDEID"))</f>
        <v/>
      </c>
      <c r="M42" s="86" t="str">
        <f>IF(_epmOfflineCondition_,"",IF(AND(I42="N",J42="N"),_xll.EVPRO($B$1,H42,"PSFTID"),""))</f>
        <v/>
      </c>
      <c r="N42" s="86" t="str">
        <f>IF(_epmOfflineCondition_,"Breakfast  Beverage Revenue",IF(_xll.EVDES(H42,$B$1)="#NODATA","",_xll.EVDES(H42,$B$1)))</f>
        <v>Breakfast  Beverage Revenue</v>
      </c>
      <c r="O42" s="453"/>
      <c r="P42" s="223"/>
      <c r="Q42" s="223"/>
      <c r="R42" s="223"/>
      <c r="S42" s="223"/>
      <c r="T42" s="223"/>
      <c r="U42" s="223"/>
      <c r="V42" s="223"/>
      <c r="W42" s="223"/>
      <c r="X42" s="223"/>
      <c r="Y42" s="223">
        <v>392.6</v>
      </c>
      <c r="Z42" s="223">
        <v>292.2</v>
      </c>
      <c r="AA42" s="223">
        <f t="shared" si="1"/>
        <v>684.8</v>
      </c>
      <c r="AB42" s="454">
        <f t="shared" si="2"/>
        <v>3.756340950912665E-3</v>
      </c>
      <c r="AC42" s="528"/>
      <c r="AD42" s="223">
        <v>12746.718875</v>
      </c>
      <c r="AE42" s="454">
        <f t="shared" si="3"/>
        <v>8.2549759342618826E-3</v>
      </c>
      <c r="AF42" s="456">
        <f t="shared" si="4"/>
        <v>-12061.918875000001</v>
      </c>
      <c r="AG42" s="223"/>
      <c r="AH42" s="454" t="str">
        <f t="shared" si="5"/>
        <v/>
      </c>
      <c r="AI42" s="457">
        <f t="shared" si="6"/>
        <v>684.8</v>
      </c>
      <c r="AJ42" s="458">
        <f t="shared" si="7"/>
        <v>0.12116065109695683</v>
      </c>
      <c r="AK42" s="459">
        <f t="shared" si="8"/>
        <v>0.37337704311784176</v>
      </c>
      <c r="AL42" s="460">
        <f t="shared" si="9"/>
        <v>0</v>
      </c>
      <c r="AM42" s="461" t="str">
        <f t="shared" si="10"/>
        <v>-0.45 pts.</v>
      </c>
      <c r="AN42" s="462">
        <f t="shared" si="11"/>
        <v>0</v>
      </c>
      <c r="AO42" s="11"/>
    </row>
    <row r="43" spans="1:41" x14ac:dyDescent="0.25">
      <c r="A43" s="11" t="s">
        <v>108</v>
      </c>
      <c r="B43" s="11"/>
      <c r="C43" s="102" t="s">
        <v>101</v>
      </c>
      <c r="D43" s="11" t="s">
        <v>106</v>
      </c>
      <c r="E43" s="11"/>
      <c r="F43" s="11" t="s">
        <v>98</v>
      </c>
      <c r="G43" s="11"/>
      <c r="H43" s="84" t="s">
        <v>268</v>
      </c>
      <c r="I43" s="118" t="str">
        <f>IF(_epmOfflineCondition_,"T5",_xll.EVPRO($B$1,$H43,"STYLE"))</f>
        <v>T5</v>
      </c>
      <c r="J43" s="118" t="str">
        <f>IF(_epmOfflineCondition_,"Y",_xll.EVPRO($B$1,$H43,"CALC"))</f>
        <v>Y</v>
      </c>
      <c r="K43" s="175" t="str">
        <f t="shared" si="0"/>
        <v>&gt;</v>
      </c>
      <c r="L43" s="86" t="str">
        <f>IF(_epmOfflineCondition_,"",_xll.EVPRO($B$1,H43,"JDEID"))</f>
        <v/>
      </c>
      <c r="M43" s="86" t="str">
        <f>IF(_epmOfflineCondition_,"",IF(AND(I43="N",J43="N"),_xll.EVPRO($B$1,H43,"PSFTID"),""))</f>
        <v/>
      </c>
      <c r="N43" s="86" t="str">
        <f>IF(_epmOfflineCondition_,"Lunch Beverage Revenue",IF(_xll.EVDES(H43,$B$1)="#NODATA","",_xll.EVDES(H43,$B$1)))</f>
        <v>Lunch Beverage Revenue</v>
      </c>
      <c r="O43" s="453"/>
      <c r="P43" s="223"/>
      <c r="Q43" s="223"/>
      <c r="R43" s="223"/>
      <c r="S43" s="223"/>
      <c r="T43" s="223"/>
      <c r="U43" s="223"/>
      <c r="V43" s="223"/>
      <c r="W43" s="223"/>
      <c r="X43" s="223"/>
      <c r="Y43" s="223">
        <v>873</v>
      </c>
      <c r="Z43" s="223">
        <v>1687</v>
      </c>
      <c r="AA43" s="223">
        <f t="shared" si="1"/>
        <v>2560</v>
      </c>
      <c r="AB43" s="454">
        <f t="shared" si="2"/>
        <v>1.4042396078178187E-2</v>
      </c>
      <c r="AC43" s="528"/>
      <c r="AD43" s="223">
        <v>98283.774804999994</v>
      </c>
      <c r="AE43" s="454">
        <f t="shared" si="3"/>
        <v>6.3650120764406459E-2</v>
      </c>
      <c r="AF43" s="456">
        <f t="shared" si="4"/>
        <v>-95723.774804999994</v>
      </c>
      <c r="AG43" s="223"/>
      <c r="AH43" s="454" t="str">
        <f t="shared" si="5"/>
        <v/>
      </c>
      <c r="AI43" s="457">
        <f t="shared" si="6"/>
        <v>2560</v>
      </c>
      <c r="AJ43" s="458">
        <f t="shared" si="7"/>
        <v>0.45293701344656756</v>
      </c>
      <c r="AK43" s="459">
        <f t="shared" si="8"/>
        <v>2.8789295177070211</v>
      </c>
      <c r="AL43" s="460">
        <f t="shared" si="9"/>
        <v>0</v>
      </c>
      <c r="AM43" s="461" t="str">
        <f t="shared" si="10"/>
        <v>-4.96 pts.</v>
      </c>
      <c r="AN43" s="462">
        <f t="shared" si="11"/>
        <v>0</v>
      </c>
      <c r="AO43" s="11"/>
    </row>
    <row r="44" spans="1:41" x14ac:dyDescent="0.25">
      <c r="A44" s="11" t="s">
        <v>108</v>
      </c>
      <c r="B44" s="11"/>
      <c r="C44" s="192" t="s">
        <v>101</v>
      </c>
      <c r="D44" s="11" t="s">
        <v>107</v>
      </c>
      <c r="E44" s="11"/>
      <c r="F44" s="11" t="s">
        <v>99</v>
      </c>
      <c r="G44" s="11"/>
      <c r="H44" s="84" t="s">
        <v>269</v>
      </c>
      <c r="I44" s="118" t="str">
        <f>IF(_epmOfflineCondition_,"T5",_xll.EVPRO($B$1,$H44,"STYLE"))</f>
        <v>T5</v>
      </c>
      <c r="J44" s="118" t="str">
        <f>IF(_epmOfflineCondition_,"Y",_xll.EVPRO($B$1,$H44,"CALC"))</f>
        <v>Y</v>
      </c>
      <c r="K44" s="175" t="str">
        <f t="shared" si="0"/>
        <v>&gt;</v>
      </c>
      <c r="L44" s="86" t="str">
        <f>IF(_epmOfflineCondition_,"",_xll.EVPRO($B$1,H44,"JDEID"))</f>
        <v/>
      </c>
      <c r="M44" s="86" t="str">
        <f>IF(_epmOfflineCondition_,"",IF(AND(I44="N",J44="N"),_xll.EVPRO($B$1,H44,"PSFTID"),""))</f>
        <v/>
      </c>
      <c r="N44" s="86" t="str">
        <f>IF(_epmOfflineCondition_,"Dinner Beverage Revenue",IF(_xll.EVDES(H44,$B$1)="#NODATA","",_xll.EVDES(H44,$B$1)))</f>
        <v>Dinner Beverage Revenue</v>
      </c>
      <c r="O44" s="453"/>
      <c r="P44" s="223"/>
      <c r="Q44" s="223"/>
      <c r="R44" s="223"/>
      <c r="S44" s="223"/>
      <c r="T44" s="223"/>
      <c r="U44" s="223"/>
      <c r="V44" s="223"/>
      <c r="W44" s="223"/>
      <c r="X44" s="223">
        <v>382.53</v>
      </c>
      <c r="Y44" s="223">
        <v>9313.7199999999993</v>
      </c>
      <c r="Z44" s="223">
        <v>11462.25</v>
      </c>
      <c r="AA44" s="223">
        <f t="shared" si="1"/>
        <v>21158.5</v>
      </c>
      <c r="AB44" s="454">
        <f t="shared" si="2"/>
        <v>0.11606095211723952</v>
      </c>
      <c r="AC44" s="528"/>
      <c r="AD44" s="223">
        <v>304601.06865999999</v>
      </c>
      <c r="AE44" s="454">
        <f t="shared" si="3"/>
        <v>0.19726445024769179</v>
      </c>
      <c r="AF44" s="456">
        <f t="shared" si="4"/>
        <v>-283442.56865999999</v>
      </c>
      <c r="AG44" s="223"/>
      <c r="AH44" s="454" t="str">
        <f t="shared" si="5"/>
        <v/>
      </c>
      <c r="AI44" s="457">
        <f t="shared" si="6"/>
        <v>21158.5</v>
      </c>
      <c r="AJ44" s="458">
        <f t="shared" si="7"/>
        <v>3.743542108987969</v>
      </c>
      <c r="AK44" s="459">
        <f t="shared" si="8"/>
        <v>8.922378179208529</v>
      </c>
      <c r="AL44" s="460">
        <f t="shared" si="9"/>
        <v>0</v>
      </c>
      <c r="AM44" s="461" t="str">
        <f t="shared" si="10"/>
        <v>-8.12 pts.</v>
      </c>
      <c r="AN44" s="462">
        <f t="shared" si="11"/>
        <v>0</v>
      </c>
      <c r="AO44" s="11"/>
    </row>
    <row r="45" spans="1:41" x14ac:dyDescent="0.25">
      <c r="A45" s="11"/>
      <c r="B45" s="11"/>
      <c r="C45" s="11"/>
      <c r="D45" s="11"/>
      <c r="E45" s="11"/>
      <c r="F45" s="11"/>
      <c r="G45" s="11"/>
      <c r="H45" s="84" t="s">
        <v>270</v>
      </c>
      <c r="I45" s="118" t="str">
        <f>IF(_epmOfflineCondition_,"T5",_xll.EVPRO($B$1,$H45,"STYLE"))</f>
        <v>T5</v>
      </c>
      <c r="J45" s="118" t="str">
        <f>IF(_epmOfflineCondition_,"Y",_xll.EVPRO($B$1,$H45,"CALC"))</f>
        <v>Y</v>
      </c>
      <c r="K45" s="175" t="str">
        <f t="shared" si="0"/>
        <v>&gt;</v>
      </c>
      <c r="L45" s="86" t="str">
        <f>IF(_epmOfflineCondition_,"",_xll.EVPRO($B$1,H45,"JDEID"))</f>
        <v/>
      </c>
      <c r="M45" s="86" t="str">
        <f>IF(_epmOfflineCondition_,"",IF(AND(I45="N",J45="N"),_xll.EVPRO($B$1,H45,"PSFTID"),""))</f>
        <v/>
      </c>
      <c r="N45" s="86" t="str">
        <f>IF(_epmOfflineCondition_,"Bar Beverage Revenue",IF(_xll.EVDES(H45,$B$1)="#NODATA","",_xll.EVDES(H45,$B$1)))</f>
        <v>Bar Beverage Revenue</v>
      </c>
      <c r="O45" s="453"/>
      <c r="P45" s="223"/>
      <c r="Q45" s="223"/>
      <c r="R45" s="223"/>
      <c r="S45" s="223"/>
      <c r="T45" s="223"/>
      <c r="U45" s="223"/>
      <c r="V45" s="223"/>
      <c r="W45" s="223"/>
      <c r="X45" s="223"/>
      <c r="Y45" s="223">
        <v>1889</v>
      </c>
      <c r="Z45" s="223">
        <v>3921.2</v>
      </c>
      <c r="AA45" s="223">
        <f t="shared" si="1"/>
        <v>5810.2</v>
      </c>
      <c r="AB45" s="454">
        <f t="shared" si="2"/>
        <v>3.1870753786496446E-2</v>
      </c>
      <c r="AC45" s="528"/>
      <c r="AD45" s="223">
        <v>17089.922928</v>
      </c>
      <c r="AE45" s="454">
        <f t="shared" si="3"/>
        <v>1.1067703294666909E-2</v>
      </c>
      <c r="AF45" s="456">
        <f t="shared" si="4"/>
        <v>-11279.722927999999</v>
      </c>
      <c r="AG45" s="223"/>
      <c r="AH45" s="454" t="str">
        <f t="shared" si="5"/>
        <v/>
      </c>
      <c r="AI45" s="457">
        <f t="shared" si="6"/>
        <v>5810.2</v>
      </c>
      <c r="AJ45" s="458">
        <f t="shared" si="7"/>
        <v>1.0279900920028309</v>
      </c>
      <c r="AK45" s="459">
        <f t="shared" si="8"/>
        <v>0.50059822865344616</v>
      </c>
      <c r="AL45" s="460">
        <f t="shared" si="9"/>
        <v>0</v>
      </c>
      <c r="AM45" s="461" t="str">
        <f t="shared" si="10"/>
        <v>2.08 pts.</v>
      </c>
      <c r="AN45" s="462">
        <f t="shared" si="11"/>
        <v>0</v>
      </c>
      <c r="AO45" s="11"/>
    </row>
    <row r="46" spans="1:41" x14ac:dyDescent="0.25">
      <c r="A46" s="11"/>
      <c r="B46" s="11"/>
      <c r="C46" s="11"/>
      <c r="D46" s="11"/>
      <c r="E46" s="11"/>
      <c r="F46" s="11"/>
      <c r="G46" s="11"/>
      <c r="H46" s="84" t="s">
        <v>271</v>
      </c>
      <c r="I46" s="118" t="str">
        <f>IF(_epmOfflineCondition_,"T5",_xll.EVPRO($B$1,$H46,"STYLE"))</f>
        <v>T5</v>
      </c>
      <c r="J46" s="118" t="str">
        <f>IF(_epmOfflineCondition_,"Y",_xll.EVPRO($B$1,$H46,"CALC"))</f>
        <v>Y</v>
      </c>
      <c r="K46" s="175" t="str">
        <f t="shared" si="0"/>
        <v>&gt;</v>
      </c>
      <c r="L46" s="86" t="str">
        <f>IF(_epmOfflineCondition_,"",_xll.EVPRO($B$1,H46,"JDEID"))</f>
        <v/>
      </c>
      <c r="M46" s="86" t="str">
        <f>IF(_epmOfflineCondition_,"",IF(AND(I46="N",J46="N"),_xll.EVPRO($B$1,H46,"PSFTID"),""))</f>
        <v/>
      </c>
      <c r="N46" s="86" t="str">
        <f>IF(_epmOfflineCondition_,"Private Dining Beverage Revenue",IF(_xll.EVDES(H46,$B$1)="#NODATA","",_xll.EVDES(H46,$B$1)))</f>
        <v>Private Dining Beverage Revenue</v>
      </c>
      <c r="O46" s="463"/>
      <c r="P46" s="229"/>
      <c r="Q46" s="229"/>
      <c r="R46" s="229"/>
      <c r="S46" s="229"/>
      <c r="T46" s="229"/>
      <c r="U46" s="229"/>
      <c r="V46" s="229"/>
      <c r="W46" s="229"/>
      <c r="X46" s="229"/>
      <c r="Y46" s="229"/>
      <c r="Z46" s="229">
        <v>140</v>
      </c>
      <c r="AA46" s="229">
        <f t="shared" si="1"/>
        <v>140</v>
      </c>
      <c r="AB46" s="464">
        <f t="shared" si="2"/>
        <v>7.6794353552536959E-4</v>
      </c>
      <c r="AC46" s="455"/>
      <c r="AD46" s="229">
        <v>16359.6777</v>
      </c>
      <c r="AE46" s="464">
        <f t="shared" si="3"/>
        <v>1.0594784981933697E-2</v>
      </c>
      <c r="AF46" s="465">
        <f t="shared" si="4"/>
        <v>-16219.6777</v>
      </c>
      <c r="AG46" s="229"/>
      <c r="AH46" s="464" t="str">
        <f t="shared" si="5"/>
        <v/>
      </c>
      <c r="AI46" s="466">
        <f t="shared" si="6"/>
        <v>140</v>
      </c>
      <c r="AJ46" s="467">
        <f t="shared" si="7"/>
        <v>2.4769992922859165E-2</v>
      </c>
      <c r="AK46" s="468">
        <f t="shared" si="8"/>
        <v>0.47920787662204517</v>
      </c>
      <c r="AL46" s="469">
        <f t="shared" si="9"/>
        <v>0</v>
      </c>
      <c r="AM46" s="470" t="str">
        <f t="shared" si="10"/>
        <v>-0.98 pts.</v>
      </c>
      <c r="AN46" s="471">
        <f t="shared" si="11"/>
        <v>0</v>
      </c>
      <c r="AO46" s="11"/>
    </row>
    <row r="47" spans="1:41" x14ac:dyDescent="0.25">
      <c r="A47" s="56" t="str">
        <f>IF(_epmOfflineCondition_,"Evdre:Ok",_xll.EVDRE($B$1,A50:B57,A60:B66))</f>
        <v>Evdre:Ok</v>
      </c>
      <c r="B47" s="11"/>
      <c r="C47" s="11"/>
      <c r="D47" s="11"/>
      <c r="E47" s="11"/>
      <c r="F47" s="11"/>
      <c r="G47" s="11"/>
      <c r="H47" s="84" t="s">
        <v>272</v>
      </c>
      <c r="I47" s="184" t="str">
        <f>IF(_epmOfflineCondition_,"T4",_xll.EVPRO($B$1,$H47,"STYLE"))</f>
        <v>T4</v>
      </c>
      <c r="J47" s="184" t="str">
        <f>IF(_epmOfflineCondition_,"Y",_xll.EVPRO($B$1,$H47,"CALC"))</f>
        <v>Y</v>
      </c>
      <c r="K47" s="185" t="str">
        <f t="shared" si="0"/>
        <v/>
      </c>
      <c r="L47" s="186" t="str">
        <f>IF(_epmOfflineCondition_,"",_xll.EVPRO($B$1,H47,"JDEID"))</f>
        <v/>
      </c>
      <c r="M47" s="186" t="str">
        <f>IF(_epmOfflineCondition_,"",IF(AND(I47="N",J47="N"),_xll.EVPRO($B$1,H47,"PSFTID"),""))</f>
        <v/>
      </c>
      <c r="N47" s="186" t="str">
        <f>IF(_epmOfflineCondition_,"Total Beverage Revenue",IF(_xll.EVDES(H47,$B$1)="#NODATA","",_xll.EVDES(H47,$B$1)))</f>
        <v>Total Beverage Revenue</v>
      </c>
      <c r="O47" s="472"/>
      <c r="P47" s="236"/>
      <c r="Q47" s="236"/>
      <c r="R47" s="236"/>
      <c r="S47" s="236"/>
      <c r="T47" s="236"/>
      <c r="U47" s="236"/>
      <c r="V47" s="236"/>
      <c r="W47" s="236"/>
      <c r="X47" s="236">
        <v>382.53</v>
      </c>
      <c r="Y47" s="236">
        <v>12468.32</v>
      </c>
      <c r="Z47" s="236">
        <v>17502.650000000001</v>
      </c>
      <c r="AA47" s="236">
        <f t="shared" si="1"/>
        <v>30353.5</v>
      </c>
      <c r="AB47" s="237">
        <f t="shared" si="2"/>
        <v>0.16649838646835219</v>
      </c>
      <c r="AC47" s="238"/>
      <c r="AD47" s="236">
        <v>449081.16296799999</v>
      </c>
      <c r="AE47" s="237">
        <f t="shared" si="3"/>
        <v>0.29083203522296075</v>
      </c>
      <c r="AF47" s="239">
        <f t="shared" si="4"/>
        <v>-418727.66296799999</v>
      </c>
      <c r="AG47" s="236"/>
      <c r="AH47" s="237" t="str">
        <f t="shared" si="5"/>
        <v/>
      </c>
      <c r="AI47" s="473">
        <f t="shared" si="6"/>
        <v>30353.5</v>
      </c>
      <c r="AJ47" s="215">
        <f t="shared" si="7"/>
        <v>5.3703998584571835</v>
      </c>
      <c r="AK47" s="216">
        <f t="shared" si="8"/>
        <v>13.154490845308883</v>
      </c>
      <c r="AL47" s="218">
        <f t="shared" si="9"/>
        <v>0</v>
      </c>
      <c r="AM47" s="423" t="str">
        <f t="shared" si="10"/>
        <v>-12.43 pts.</v>
      </c>
      <c r="AN47" s="474">
        <f t="shared" si="11"/>
        <v>0</v>
      </c>
      <c r="AO47" s="11"/>
    </row>
    <row r="48" spans="1:41" x14ac:dyDescent="0.25">
      <c r="A48" s="11"/>
      <c r="B48" s="11"/>
      <c r="C48" s="11"/>
      <c r="D48" s="11"/>
      <c r="E48" s="11"/>
      <c r="F48" s="11"/>
      <c r="G48" s="11"/>
      <c r="H48" s="84" t="s">
        <v>486</v>
      </c>
      <c r="I48" s="118" t="str">
        <f>IF(_epmOfflineCondition_,"T5",_xll.EVPRO($B$1,$H48,"STYLE"))</f>
        <v>T5</v>
      </c>
      <c r="J48" s="118" t="str">
        <f>IF(_epmOfflineCondition_,"Y",_xll.EVPRO($B$1,$H48,"CALC"))</f>
        <v>Y</v>
      </c>
      <c r="K48" s="175" t="str">
        <f t="shared" si="0"/>
        <v>&gt;</v>
      </c>
      <c r="L48" s="86" t="str">
        <f>IF(_epmOfflineCondition_,"",_xll.EVPRO($B$1,H48,"JDEID"))</f>
        <v/>
      </c>
      <c r="M48" s="86" t="str">
        <f>IF(_epmOfflineCondition_,"",IF(AND(I48="N",J48="N"),_xll.EVPRO($B$1,H48,"PSFTID"),""))</f>
        <v/>
      </c>
      <c r="N48" s="86" t="str">
        <f>IF(_epmOfflineCondition_,"Food &amp; Beverage: Allowances",IF(_xll.EVDES(H48,$B$1)="#NODATA","",_xll.EVDES(H48,$B$1)))</f>
        <v>Food &amp; Beverage: Allowances</v>
      </c>
      <c r="O48" s="530"/>
      <c r="P48" s="248"/>
      <c r="Q48" s="248"/>
      <c r="R48" s="248"/>
      <c r="S48" s="248"/>
      <c r="T48" s="248"/>
      <c r="U48" s="248"/>
      <c r="V48" s="248"/>
      <c r="W48" s="248"/>
      <c r="X48" s="248"/>
      <c r="Y48" s="248"/>
      <c r="Z48" s="248"/>
      <c r="AA48" s="248">
        <f t="shared" si="1"/>
        <v>0</v>
      </c>
      <c r="AB48" s="249" t="str">
        <f t="shared" si="2"/>
        <v/>
      </c>
      <c r="AC48" s="477"/>
      <c r="AD48" s="248"/>
      <c r="AE48" s="249" t="str">
        <f t="shared" si="3"/>
        <v/>
      </c>
      <c r="AF48" s="250">
        <f t="shared" si="4"/>
        <v>0</v>
      </c>
      <c r="AG48" s="248"/>
      <c r="AH48" s="249" t="str">
        <f t="shared" si="5"/>
        <v/>
      </c>
      <c r="AI48" s="531">
        <f t="shared" si="6"/>
        <v>0</v>
      </c>
      <c r="AJ48" s="532">
        <f t="shared" si="7"/>
        <v>0</v>
      </c>
      <c r="AK48" s="533">
        <f t="shared" si="8"/>
        <v>0</v>
      </c>
      <c r="AL48" s="534">
        <f t="shared" si="9"/>
        <v>0</v>
      </c>
      <c r="AM48" s="535">
        <f t="shared" si="10"/>
        <v>0</v>
      </c>
      <c r="AN48" s="536">
        <f t="shared" si="11"/>
        <v>0</v>
      </c>
      <c r="AO48" s="11"/>
    </row>
    <row r="49" spans="1:41" x14ac:dyDescent="0.25">
      <c r="A49" s="57" t="s">
        <v>0</v>
      </c>
      <c r="B49" s="58" t="s">
        <v>1</v>
      </c>
      <c r="C49" s="11"/>
      <c r="D49" s="11"/>
      <c r="E49" s="11"/>
      <c r="F49" s="11"/>
      <c r="G49" s="11"/>
      <c r="H49" s="84" t="s">
        <v>273</v>
      </c>
      <c r="I49" s="184" t="str">
        <f>IF(_epmOfflineCondition_,"T4",_xll.EVPRO($B$1,$H49,"STYLE"))</f>
        <v>T4</v>
      </c>
      <c r="J49" s="184" t="str">
        <f>IF(_epmOfflineCondition_,"Y",_xll.EVPRO($B$1,$H49,"CALC"))</f>
        <v>Y</v>
      </c>
      <c r="K49" s="185" t="str">
        <f t="shared" si="0"/>
        <v/>
      </c>
      <c r="L49" s="186" t="str">
        <f>IF(_epmOfflineCondition_,"",_xll.EVPRO($B$1,H49,"JDEID"))</f>
        <v/>
      </c>
      <c r="M49" s="186" t="str">
        <f>IF(_epmOfflineCondition_,"",IF(AND(I49="N",J49="N"),_xll.EVPRO($B$1,H49,"PSFTID"),""))</f>
        <v/>
      </c>
      <c r="N49" s="186" t="str">
        <f>IF(_epmOfflineCondition_,"Total Food &amp; Beverage Revenue",IF(_xll.EVDES(H49,$B$1)="#NODATA","",_xll.EVDES(H49,$B$1)))</f>
        <v>Total Food &amp; Beverage Revenue</v>
      </c>
      <c r="O49" s="472"/>
      <c r="P49" s="236"/>
      <c r="Q49" s="236"/>
      <c r="R49" s="236"/>
      <c r="S49" s="236"/>
      <c r="T49" s="236"/>
      <c r="U49" s="236"/>
      <c r="V49" s="236"/>
      <c r="W49" s="236"/>
      <c r="X49" s="236">
        <v>15331.23</v>
      </c>
      <c r="Y49" s="236">
        <v>58026.7</v>
      </c>
      <c r="Z49" s="236">
        <v>79258.95</v>
      </c>
      <c r="AA49" s="236">
        <f t="shared" si="1"/>
        <v>152616.88</v>
      </c>
      <c r="AB49" s="237">
        <f t="shared" si="2"/>
        <v>0.83715104577179345</v>
      </c>
      <c r="AC49" s="238"/>
      <c r="AD49" s="236">
        <v>1306292.8</v>
      </c>
      <c r="AE49" s="237">
        <f t="shared" si="3"/>
        <v>0.84597579446495563</v>
      </c>
      <c r="AF49" s="239">
        <f t="shared" si="4"/>
        <v>-1153675.92</v>
      </c>
      <c r="AG49" s="236"/>
      <c r="AH49" s="237" t="str">
        <f t="shared" si="5"/>
        <v/>
      </c>
      <c r="AI49" s="473">
        <f t="shared" si="6"/>
        <v>152616.88</v>
      </c>
      <c r="AJ49" s="215">
        <f t="shared" si="7"/>
        <v>27.002278839348904</v>
      </c>
      <c r="AK49" s="216">
        <f t="shared" si="8"/>
        <v>38.263944462345123</v>
      </c>
      <c r="AL49" s="218">
        <f t="shared" si="9"/>
        <v>0</v>
      </c>
      <c r="AM49" s="423" t="str">
        <f t="shared" si="10"/>
        <v>-0.88 pts.</v>
      </c>
      <c r="AN49" s="474">
        <f t="shared" si="11"/>
        <v>0</v>
      </c>
      <c r="AO49" s="11"/>
    </row>
    <row r="50" spans="1:41" x14ac:dyDescent="0.25">
      <c r="A50" s="61" t="s">
        <v>2</v>
      </c>
      <c r="B50" s="62" t="str">
        <f>IF(_epmOfflineCondition_,"'Venue1'!$B$2:$B$10",_xll.EVRNG($B$2:$B$10))</f>
        <v>'Venue1'!$B$2:$B$10</v>
      </c>
      <c r="C50" s="11"/>
      <c r="D50" s="11"/>
      <c r="E50" s="11"/>
      <c r="F50" s="11"/>
      <c r="G50" s="11"/>
      <c r="H50" s="84" t="s">
        <v>279</v>
      </c>
      <c r="I50" s="184" t="str">
        <f>IF(_epmOfflineCondition_,"B1",_xll.EVPRO($B$1,$H50,"STYLE"))</f>
        <v>B1</v>
      </c>
      <c r="J50" s="184" t="str">
        <f>IF(_epmOfflineCondition_,"Y",_xll.EVPRO($B$1,$H50,"CALC"))</f>
        <v>Y</v>
      </c>
      <c r="K50" s="185" t="str">
        <f t="shared" si="0"/>
        <v/>
      </c>
      <c r="L50" s="186" t="str">
        <f>IF(_epmOfflineCondition_,"",_xll.EVPRO($B$1,H50,"JDEID"))</f>
        <v/>
      </c>
      <c r="M50" s="186" t="str">
        <f>IF(_epmOfflineCondition_,"",IF(AND(I50="N",J50="N"),_xll.EVPRO($B$1,H50,"PSFTID"),""))</f>
        <v/>
      </c>
      <c r="N50" s="186" t="str">
        <f>IF(_epmOfflineCondition_,"Other Revenue",IF(_xll.EVDES(H50,$B$1)="#NODATA","",_xll.EVDES(H50,$B$1)))</f>
        <v>Other Revenue</v>
      </c>
      <c r="O50" s="475"/>
      <c r="P50" s="241"/>
      <c r="Q50" s="241"/>
      <c r="R50" s="241"/>
      <c r="S50" s="241"/>
      <c r="T50" s="241"/>
      <c r="U50" s="241"/>
      <c r="V50" s="241"/>
      <c r="W50" s="241"/>
      <c r="X50" s="241"/>
      <c r="Y50" s="241"/>
      <c r="Z50" s="241"/>
      <c r="AA50" s="241" t="str">
        <f t="shared" si="1"/>
        <v/>
      </c>
      <c r="AB50" s="476" t="str">
        <f t="shared" si="2"/>
        <v/>
      </c>
      <c r="AC50" s="529"/>
      <c r="AD50" s="241"/>
      <c r="AE50" s="476" t="str">
        <f t="shared" si="3"/>
        <v/>
      </c>
      <c r="AF50" s="478" t="str">
        <f t="shared" si="4"/>
        <v/>
      </c>
      <c r="AG50" s="241"/>
      <c r="AH50" s="476" t="str">
        <f t="shared" si="5"/>
        <v/>
      </c>
      <c r="AI50" s="479" t="str">
        <f t="shared" si="6"/>
        <v/>
      </c>
      <c r="AJ50" s="244">
        <f t="shared" si="7"/>
        <v>0</v>
      </c>
      <c r="AK50" s="245">
        <f t="shared" si="8"/>
        <v>0</v>
      </c>
      <c r="AL50" s="247">
        <f t="shared" si="9"/>
        <v>0</v>
      </c>
      <c r="AM50" s="425">
        <f t="shared" si="10"/>
        <v>0</v>
      </c>
      <c r="AN50" s="480">
        <f t="shared" si="11"/>
        <v>0</v>
      </c>
      <c r="AO50" s="11"/>
    </row>
    <row r="51" spans="1:41" x14ac:dyDescent="0.25">
      <c r="A51" s="61" t="s">
        <v>3</v>
      </c>
      <c r="B51" s="62" t="str">
        <f>IF(_epmOfflineCondition_,"'Venue1'!$O$16:$AN$18",_xll.EVRNG($O$16:$AN$18))</f>
        <v>'Venue1'!$O$16:$AN$18</v>
      </c>
      <c r="C51" s="11"/>
      <c r="D51" s="11"/>
      <c r="E51" s="11"/>
      <c r="F51" s="11"/>
      <c r="G51" s="11"/>
      <c r="H51" s="84" t="s">
        <v>274</v>
      </c>
      <c r="I51" s="118" t="str">
        <f>IF(_epmOfflineCondition_,"T5",_xll.EVPRO($B$1,$H51,"STYLE"))</f>
        <v>T5</v>
      </c>
      <c r="J51" s="118" t="str">
        <f>IF(_epmOfflineCondition_,"Y",_xll.EVPRO($B$1,$H51,"CALC"))</f>
        <v>Y</v>
      </c>
      <c r="K51" s="175" t="str">
        <f t="shared" si="0"/>
        <v>&gt;</v>
      </c>
      <c r="L51" s="86" t="str">
        <f>IF(_epmOfflineCondition_,"468300",_xll.EVPRO($B$1,H51,"JDEID"))</f>
        <v>468300</v>
      </c>
      <c r="M51" s="86" t="str">
        <f>IF(_epmOfflineCondition_,"",IF(AND(I51="N",J51="N"),_xll.EVPRO($B$1,H51,"PSFTID"),""))</f>
        <v/>
      </c>
      <c r="N51" s="86" t="str">
        <f>IF(_epmOfflineCondition_,"Audio/Visual Rentals",IF(_xll.EVDES(H51,$B$1)="#NODATA","",_xll.EVDES(H51,$B$1)))</f>
        <v>Audio/Visual Rentals</v>
      </c>
      <c r="O51" s="453"/>
      <c r="P51" s="223"/>
      <c r="Q51" s="223"/>
      <c r="R51" s="223"/>
      <c r="S51" s="223"/>
      <c r="T51" s="223"/>
      <c r="U51" s="223"/>
      <c r="V51" s="223"/>
      <c r="W51" s="223"/>
      <c r="X51" s="223"/>
      <c r="Y51" s="223"/>
      <c r="Z51" s="223"/>
      <c r="AA51" s="223">
        <f t="shared" si="1"/>
        <v>0</v>
      </c>
      <c r="AB51" s="454" t="str">
        <f t="shared" si="2"/>
        <v/>
      </c>
      <c r="AC51" s="528"/>
      <c r="AD51" s="223"/>
      <c r="AE51" s="454" t="str">
        <f t="shared" si="3"/>
        <v/>
      </c>
      <c r="AF51" s="456">
        <f t="shared" si="4"/>
        <v>0</v>
      </c>
      <c r="AG51" s="223"/>
      <c r="AH51" s="454" t="str">
        <f t="shared" si="5"/>
        <v/>
      </c>
      <c r="AI51" s="457">
        <f t="shared" si="6"/>
        <v>0</v>
      </c>
      <c r="AJ51" s="458">
        <f t="shared" si="7"/>
        <v>0</v>
      </c>
      <c r="AK51" s="459">
        <f t="shared" si="8"/>
        <v>0</v>
      </c>
      <c r="AL51" s="460">
        <f t="shared" si="9"/>
        <v>0</v>
      </c>
      <c r="AM51" s="461">
        <f t="shared" si="10"/>
        <v>0</v>
      </c>
      <c r="AN51" s="462">
        <f t="shared" si="11"/>
        <v>0</v>
      </c>
      <c r="AO51" s="11"/>
    </row>
    <row r="52" spans="1:41" x14ac:dyDescent="0.25">
      <c r="A52" s="61" t="s">
        <v>4</v>
      </c>
      <c r="B52" s="62" t="str">
        <f>IF(_epmOfflineCondition_,"'Venue1'!$H$62:$H$70",_xll.EVRNG(H62:H70))</f>
        <v>'Venue1'!$H$62:$H$70</v>
      </c>
      <c r="C52" s="11"/>
      <c r="D52" s="11"/>
      <c r="E52" s="11"/>
      <c r="F52" s="11"/>
      <c r="G52" s="11"/>
      <c r="H52" s="84" t="s">
        <v>275</v>
      </c>
      <c r="I52" s="118" t="str">
        <f>IF(_epmOfflineCondition_,"T5",_xll.EVPRO($B$1,$H52,"STYLE"))</f>
        <v>T5</v>
      </c>
      <c r="J52" s="118" t="str">
        <f>IF(_epmOfflineCondition_,"Y",_xll.EVPRO($B$1,$H52,"CALC"))</f>
        <v>Y</v>
      </c>
      <c r="K52" s="175" t="str">
        <f t="shared" si="0"/>
        <v>&gt;</v>
      </c>
      <c r="L52" s="86" t="str">
        <f>IF(_epmOfflineCondition_,"468350",_xll.EVPRO($B$1,H52,"JDEID"))</f>
        <v>468350</v>
      </c>
      <c r="M52" s="86" t="str">
        <f>IF(_epmOfflineCondition_,"",IF(AND(I52="N",J52="N"),_xll.EVPRO($B$1,H52,"PSFTID"),""))</f>
        <v/>
      </c>
      <c r="N52" s="86" t="str">
        <f>IF(_epmOfflineCondition_,"Public Room Rental",IF(_xll.EVDES(H52,$B$1)="#NODATA","",_xll.EVDES(H52,$B$1)))</f>
        <v>Public Room Rental</v>
      </c>
      <c r="O52" s="453"/>
      <c r="P52" s="223"/>
      <c r="Q52" s="223"/>
      <c r="R52" s="223"/>
      <c r="S52" s="223"/>
      <c r="T52" s="223"/>
      <c r="U52" s="223"/>
      <c r="V52" s="223"/>
      <c r="W52" s="223"/>
      <c r="X52" s="223"/>
      <c r="Y52" s="223"/>
      <c r="Z52" s="223"/>
      <c r="AA52" s="223">
        <f t="shared" si="1"/>
        <v>0</v>
      </c>
      <c r="AB52" s="454" t="str">
        <f t="shared" si="2"/>
        <v/>
      </c>
      <c r="AC52" s="528"/>
      <c r="AD52" s="223">
        <v>2700</v>
      </c>
      <c r="AE52" s="454">
        <f t="shared" si="3"/>
        <v>1.7485625313523739E-3</v>
      </c>
      <c r="AF52" s="456">
        <f t="shared" si="4"/>
        <v>-2700</v>
      </c>
      <c r="AG52" s="223"/>
      <c r="AH52" s="454" t="str">
        <f t="shared" si="5"/>
        <v/>
      </c>
      <c r="AI52" s="457">
        <f t="shared" si="6"/>
        <v>0</v>
      </c>
      <c r="AJ52" s="458">
        <f t="shared" si="7"/>
        <v>0</v>
      </c>
      <c r="AK52" s="459">
        <f t="shared" si="8"/>
        <v>7.9088432584434223E-2</v>
      </c>
      <c r="AL52" s="460">
        <f t="shared" si="9"/>
        <v>0</v>
      </c>
      <c r="AM52" s="461">
        <f t="shared" si="10"/>
        <v>0</v>
      </c>
      <c r="AN52" s="462">
        <f t="shared" si="11"/>
        <v>0</v>
      </c>
      <c r="AO52" s="11"/>
    </row>
    <row r="53" spans="1:41" x14ac:dyDescent="0.25">
      <c r="A53" s="61" t="s">
        <v>5</v>
      </c>
      <c r="B53" s="62"/>
      <c r="C53" s="11"/>
      <c r="D53" s="11"/>
      <c r="E53" s="11"/>
      <c r="F53" s="380"/>
      <c r="G53" s="11"/>
      <c r="H53" s="84" t="s">
        <v>276</v>
      </c>
      <c r="I53" s="118" t="str">
        <f>IF(_epmOfflineCondition_,"T5",_xll.EVPRO($B$1,$H53,"STYLE"))</f>
        <v>T5</v>
      </c>
      <c r="J53" s="118" t="str">
        <f>IF(_epmOfflineCondition_,"Y",_xll.EVPRO($B$1,$H53,"CALC"))</f>
        <v>Y</v>
      </c>
      <c r="K53" s="175" t="str">
        <f t="shared" si="0"/>
        <v>&gt;</v>
      </c>
      <c r="L53" s="86" t="str">
        <f>IF(_epmOfflineCondition_,"468550",_xll.EVPRO($B$1,H53,"JDEID"))</f>
        <v>468550</v>
      </c>
      <c r="M53" s="86" t="str">
        <f>IF(_epmOfflineCondition_,"",IF(AND(I53="N",J53="N"),_xll.EVPRO($B$1,H53,"PSFTID"),""))</f>
        <v/>
      </c>
      <c r="N53" s="86" t="str">
        <f>IF(_epmOfflineCondition_,"Cover Charge",IF(_xll.EVDES(H53,$B$1)="#NODATA","",_xll.EVDES(H53,$B$1)))</f>
        <v>Cover Charge</v>
      </c>
      <c r="O53" s="453"/>
      <c r="P53" s="223"/>
      <c r="Q53" s="223"/>
      <c r="R53" s="223"/>
      <c r="S53" s="223"/>
      <c r="T53" s="223"/>
      <c r="U53" s="223"/>
      <c r="V53" s="223"/>
      <c r="W53" s="223"/>
      <c r="X53" s="223"/>
      <c r="Y53" s="223"/>
      <c r="Z53" s="223"/>
      <c r="AA53" s="223">
        <f t="shared" si="1"/>
        <v>0</v>
      </c>
      <c r="AB53" s="454" t="str">
        <f t="shared" si="2"/>
        <v/>
      </c>
      <c r="AC53" s="528"/>
      <c r="AD53" s="223"/>
      <c r="AE53" s="454" t="str">
        <f t="shared" si="3"/>
        <v/>
      </c>
      <c r="AF53" s="456">
        <f t="shared" si="4"/>
        <v>0</v>
      </c>
      <c r="AG53" s="223"/>
      <c r="AH53" s="454" t="str">
        <f t="shared" si="5"/>
        <v/>
      </c>
      <c r="AI53" s="457">
        <f t="shared" si="6"/>
        <v>0</v>
      </c>
      <c r="AJ53" s="458">
        <f t="shared" si="7"/>
        <v>0</v>
      </c>
      <c r="AK53" s="459">
        <f t="shared" si="8"/>
        <v>0</v>
      </c>
      <c r="AL53" s="460">
        <f t="shared" si="9"/>
        <v>0</v>
      </c>
      <c r="AM53" s="461">
        <f t="shared" si="10"/>
        <v>0</v>
      </c>
      <c r="AN53" s="462">
        <f t="shared" si="11"/>
        <v>0</v>
      </c>
      <c r="AO53" s="11"/>
    </row>
    <row r="54" spans="1:41" x14ac:dyDescent="0.25">
      <c r="A54" s="61" t="s">
        <v>6</v>
      </c>
      <c r="B54" s="62"/>
      <c r="C54" s="11"/>
      <c r="D54" s="11"/>
      <c r="E54" s="11"/>
      <c r="F54" s="380"/>
      <c r="G54" s="11"/>
      <c r="H54" s="84" t="s">
        <v>282</v>
      </c>
      <c r="I54" s="118" t="str">
        <f>IF(_epmOfflineCondition_,"T5",_xll.EVPRO($B$1,$H54,"STYLE"))</f>
        <v>T5</v>
      </c>
      <c r="J54" s="118" t="str">
        <f>IF(_epmOfflineCondition_,"Y",_xll.EVPRO($B$1,$H54,"CALC"))</f>
        <v>Y</v>
      </c>
      <c r="K54" s="175" t="str">
        <f t="shared" si="0"/>
        <v>&gt;</v>
      </c>
      <c r="L54" s="86" t="str">
        <f>IF(_epmOfflineCondition_,"",_xll.EVPRO($B$1,H54,"JDEID"))</f>
        <v/>
      </c>
      <c r="M54" s="86" t="str">
        <f>IF(_epmOfflineCondition_,"",IF(AND(I54="N",J54="N"),_xll.EVPRO($B$1,H54,"PSFTID"),""))</f>
        <v/>
      </c>
      <c r="N54" s="86" t="str">
        <f>IF(_epmOfflineCondition_,"Surcharges &amp; Services Charges",IF(_xll.EVDES(H54,$B$1)="#NODATA","",_xll.EVDES(H54,$B$1)))</f>
        <v>Surcharges &amp; Services Charges</v>
      </c>
      <c r="O54" s="453"/>
      <c r="P54" s="223"/>
      <c r="Q54" s="223"/>
      <c r="R54" s="223"/>
      <c r="S54" s="223"/>
      <c r="T54" s="223"/>
      <c r="U54" s="223"/>
      <c r="V54" s="223"/>
      <c r="W54" s="223"/>
      <c r="X54" s="223">
        <v>2933.47</v>
      </c>
      <c r="Y54" s="223">
        <v>11190.17</v>
      </c>
      <c r="Z54" s="223">
        <v>15564.55</v>
      </c>
      <c r="AA54" s="223">
        <f t="shared" si="1"/>
        <v>29688.19</v>
      </c>
      <c r="AB54" s="454">
        <f t="shared" si="2"/>
        <v>0.16284895422820658</v>
      </c>
      <c r="AC54" s="528"/>
      <c r="AD54" s="223">
        <v>235132.704</v>
      </c>
      <c r="AE54" s="454">
        <f t="shared" si="3"/>
        <v>0.15227564300369201</v>
      </c>
      <c r="AF54" s="456">
        <f t="shared" si="4"/>
        <v>-205444.514</v>
      </c>
      <c r="AG54" s="223"/>
      <c r="AH54" s="454" t="str">
        <f t="shared" si="5"/>
        <v/>
      </c>
      <c r="AI54" s="457">
        <f t="shared" si="6"/>
        <v>29688.19</v>
      </c>
      <c r="AJ54" s="458">
        <f t="shared" si="7"/>
        <v>5.2526875442321304</v>
      </c>
      <c r="AK54" s="459">
        <f t="shared" si="8"/>
        <v>6.887510003222121</v>
      </c>
      <c r="AL54" s="460">
        <f t="shared" si="9"/>
        <v>0</v>
      </c>
      <c r="AM54" s="461" t="str">
        <f t="shared" si="10"/>
        <v>1.06 pts.</v>
      </c>
      <c r="AN54" s="462">
        <f t="shared" si="11"/>
        <v>0</v>
      </c>
      <c r="AO54" s="11"/>
    </row>
    <row r="55" spans="1:41" x14ac:dyDescent="0.25">
      <c r="A55" s="61" t="s">
        <v>7</v>
      </c>
      <c r="B55" s="62" t="str">
        <f>IF(_epmOfflineCondition_,"'Venue1'!$A$69:$F$77",_xll.EVRNG(A69:F77))</f>
        <v>'Venue1'!$A$69:$F$77</v>
      </c>
      <c r="C55" s="11"/>
      <c r="D55" s="11"/>
      <c r="E55" s="11"/>
      <c r="F55" s="380"/>
      <c r="G55" s="11"/>
      <c r="H55" s="84" t="s">
        <v>283</v>
      </c>
      <c r="I55" s="118" t="str">
        <f>IF(_epmOfflineCondition_,"T5",_xll.EVPRO($B$1,$H55,"STYLE"))</f>
        <v>T5</v>
      </c>
      <c r="J55" s="118" t="str">
        <f>IF(_epmOfflineCondition_,"Y",_xll.EVPRO($B$1,$H55,"CALC"))</f>
        <v>Y</v>
      </c>
      <c r="K55" s="175" t="str">
        <f t="shared" si="0"/>
        <v>&gt;</v>
      </c>
      <c r="L55" s="86" t="str">
        <f>IF(_epmOfflineCondition_,"",_xll.EVPRO($B$1,H55,"JDEID"))</f>
        <v/>
      </c>
      <c r="M55" s="86" t="str">
        <f>IF(_epmOfflineCondition_,"",IF(AND(I55="N",J55="N"),_xll.EVPRO($B$1,H55,"PSFTID"),""))</f>
        <v/>
      </c>
      <c r="N55" s="86" t="str">
        <f>IF(_epmOfflineCondition_,"Miscellaneous Other Revenue",IF(_xll.EVDES(H55,$B$1)="#NODATA","",_xll.EVDES(H55,$B$1)))</f>
        <v>Miscellaneous Other Revenue</v>
      </c>
      <c r="O55" s="453"/>
      <c r="P55" s="223"/>
      <c r="Q55" s="223"/>
      <c r="R55" s="223"/>
      <c r="S55" s="223"/>
      <c r="T55" s="223"/>
      <c r="U55" s="223"/>
      <c r="V55" s="223"/>
      <c r="W55" s="223"/>
      <c r="X55" s="223"/>
      <c r="Y55" s="223"/>
      <c r="Z55" s="223"/>
      <c r="AA55" s="223">
        <f t="shared" si="1"/>
        <v>0</v>
      </c>
      <c r="AB55" s="454" t="str">
        <f t="shared" si="2"/>
        <v/>
      </c>
      <c r="AC55" s="528"/>
      <c r="AD55" s="223"/>
      <c r="AE55" s="454" t="str">
        <f t="shared" si="3"/>
        <v/>
      </c>
      <c r="AF55" s="456">
        <f t="shared" si="4"/>
        <v>0</v>
      </c>
      <c r="AG55" s="223"/>
      <c r="AH55" s="454" t="str">
        <f t="shared" si="5"/>
        <v/>
      </c>
      <c r="AI55" s="457">
        <f t="shared" si="6"/>
        <v>0</v>
      </c>
      <c r="AJ55" s="458">
        <f t="shared" si="7"/>
        <v>0</v>
      </c>
      <c r="AK55" s="459">
        <f t="shared" si="8"/>
        <v>0</v>
      </c>
      <c r="AL55" s="460">
        <f t="shared" si="9"/>
        <v>0</v>
      </c>
      <c r="AM55" s="461">
        <f t="shared" si="10"/>
        <v>0</v>
      </c>
      <c r="AN55" s="462">
        <f t="shared" si="11"/>
        <v>0</v>
      </c>
      <c r="AO55" s="11"/>
    </row>
    <row r="56" spans="1:41" x14ac:dyDescent="0.25">
      <c r="A56" s="61" t="s">
        <v>47</v>
      </c>
      <c r="B56" s="62" t="str">
        <f>IF(_epmOfflineCondition_,"'Venue1'!$A$125:$B$146",_xll.EVRNG($A$125:$B$146))</f>
        <v>'Venue1'!$A$125:$B$146</v>
      </c>
      <c r="C56" s="11"/>
      <c r="D56" s="11"/>
      <c r="E56" s="11"/>
      <c r="F56" s="11"/>
      <c r="G56" s="11"/>
      <c r="H56" s="84" t="s">
        <v>473</v>
      </c>
      <c r="I56" s="118" t="str">
        <f>IF(_epmOfflineCondition_,"N",_xll.EVPRO($B$1,$H56,"STYLE"))</f>
        <v>N</v>
      </c>
      <c r="J56" s="118" t="str">
        <f>IF(_epmOfflineCondition_,"N",_xll.EVPRO($B$1,$H56,"CALC"))</f>
        <v>N</v>
      </c>
      <c r="K56" s="175" t="str">
        <f t="shared" si="0"/>
        <v/>
      </c>
      <c r="L56" s="86" t="str">
        <f>IF(_epmOfflineCondition_,"468990",_xll.EVPRO($B$1,H56,"JDEID"))</f>
        <v>468990</v>
      </c>
      <c r="M56" s="86" t="str">
        <f>IF(_epmOfflineCondition_,"206022",IF(AND(I56="N",J56="N"),_xll.EVPRO($B$1,H56,"PSFTID"),""))</f>
        <v>206022</v>
      </c>
      <c r="N56" s="86" t="str">
        <f>IF(_epmOfflineCondition_,"Other Revenue: Allowances",IF(_xll.EVDES(H56,$B$1)="#NODATA","",_xll.EVDES(H56,$B$1)))</f>
        <v>Other Revenue: Allowances</v>
      </c>
      <c r="O56" s="463"/>
      <c r="P56" s="229"/>
      <c r="Q56" s="229"/>
      <c r="R56" s="229"/>
      <c r="S56" s="229"/>
      <c r="T56" s="229"/>
      <c r="U56" s="229"/>
      <c r="V56" s="229"/>
      <c r="W56" s="229"/>
      <c r="X56" s="229"/>
      <c r="Y56" s="229"/>
      <c r="Z56" s="229"/>
      <c r="AA56" s="229">
        <f t="shared" si="1"/>
        <v>0</v>
      </c>
      <c r="AB56" s="464" t="str">
        <f t="shared" si="2"/>
        <v/>
      </c>
      <c r="AC56" s="455"/>
      <c r="AD56" s="229"/>
      <c r="AE56" s="464" t="str">
        <f t="shared" si="3"/>
        <v/>
      </c>
      <c r="AF56" s="465">
        <f t="shared" si="4"/>
        <v>0</v>
      </c>
      <c r="AG56" s="229"/>
      <c r="AH56" s="464" t="str">
        <f t="shared" si="5"/>
        <v/>
      </c>
      <c r="AI56" s="466">
        <f t="shared" si="6"/>
        <v>0</v>
      </c>
      <c r="AJ56" s="467">
        <f t="shared" si="7"/>
        <v>0</v>
      </c>
      <c r="AK56" s="468">
        <f t="shared" si="8"/>
        <v>0</v>
      </c>
      <c r="AL56" s="469">
        <f t="shared" si="9"/>
        <v>0</v>
      </c>
      <c r="AM56" s="470">
        <f t="shared" si="10"/>
        <v>0</v>
      </c>
      <c r="AN56" s="471">
        <f t="shared" si="11"/>
        <v>0</v>
      </c>
      <c r="AO56" s="11"/>
    </row>
    <row r="57" spans="1:41" x14ac:dyDescent="0.25">
      <c r="A57" s="61" t="s">
        <v>8</v>
      </c>
      <c r="B57" s="62"/>
      <c r="C57" s="11"/>
      <c r="D57" s="11"/>
      <c r="E57" s="11"/>
      <c r="F57" s="11"/>
      <c r="G57" s="11"/>
      <c r="H57" s="84" t="s">
        <v>277</v>
      </c>
      <c r="I57" s="184" t="str">
        <f>IF(_epmOfflineCondition_,"T4",_xll.EVPRO($B$1,$H57,"STYLE"))</f>
        <v>T4</v>
      </c>
      <c r="J57" s="184" t="str">
        <f>IF(_epmOfflineCondition_,"Y",_xll.EVPRO($B$1,$H57,"CALC"))</f>
        <v>Y</v>
      </c>
      <c r="K57" s="185" t="str">
        <f t="shared" si="0"/>
        <v/>
      </c>
      <c r="L57" s="186" t="str">
        <f>IF(_epmOfflineCondition_,"",_xll.EVPRO($B$1,H57,"JDEID"))</f>
        <v/>
      </c>
      <c r="M57" s="186" t="str">
        <f>IF(_epmOfflineCondition_,"",IF(AND(I57="N",J57="N"),_xll.EVPRO($B$1,H57,"PSFTID"),""))</f>
        <v/>
      </c>
      <c r="N57" s="186" t="str">
        <f>IF(_epmOfflineCondition_,"Total Other Revenue",IF(_xll.EVDES(H57,$B$1)="#NODATA","",_xll.EVDES(H57,$B$1)))</f>
        <v>Total Other Revenue</v>
      </c>
      <c r="O57" s="481"/>
      <c r="P57" s="210"/>
      <c r="Q57" s="210"/>
      <c r="R57" s="210"/>
      <c r="S57" s="210"/>
      <c r="T57" s="210"/>
      <c r="U57" s="210"/>
      <c r="V57" s="210"/>
      <c r="W57" s="210"/>
      <c r="X57" s="210">
        <v>2933.47</v>
      </c>
      <c r="Y57" s="210">
        <v>11190.17</v>
      </c>
      <c r="Z57" s="210">
        <v>15564.55</v>
      </c>
      <c r="AA57" s="210">
        <f t="shared" si="1"/>
        <v>29688.19</v>
      </c>
      <c r="AB57" s="211">
        <f t="shared" si="2"/>
        <v>0.16284895422820658</v>
      </c>
      <c r="AC57" s="251"/>
      <c r="AD57" s="210">
        <v>237832.704</v>
      </c>
      <c r="AE57" s="211">
        <f t="shared" si="3"/>
        <v>0.1540242055350444</v>
      </c>
      <c r="AF57" s="252">
        <f t="shared" si="4"/>
        <v>-208144.514</v>
      </c>
      <c r="AG57" s="210"/>
      <c r="AH57" s="211" t="str">
        <f t="shared" si="5"/>
        <v/>
      </c>
      <c r="AI57" s="482">
        <f t="shared" si="6"/>
        <v>29688.19</v>
      </c>
      <c r="AJ57" s="253">
        <f t="shared" si="7"/>
        <v>5.2526875442321304</v>
      </c>
      <c r="AK57" s="254">
        <f t="shared" si="8"/>
        <v>6.9665984358065556</v>
      </c>
      <c r="AL57" s="256">
        <f t="shared" si="9"/>
        <v>0</v>
      </c>
      <c r="AM57" s="427" t="str">
        <f t="shared" si="10"/>
        <v>0.88 pts.</v>
      </c>
      <c r="AN57" s="483">
        <f t="shared" si="11"/>
        <v>0</v>
      </c>
      <c r="AO57" s="11"/>
    </row>
    <row r="58" spans="1:41" x14ac:dyDescent="0.25">
      <c r="A58" s="11"/>
      <c r="B58" s="11"/>
      <c r="C58" s="11"/>
      <c r="D58" s="11"/>
      <c r="E58" s="11"/>
      <c r="F58" s="11"/>
      <c r="G58" s="72"/>
      <c r="H58" s="84" t="s">
        <v>280</v>
      </c>
      <c r="I58" s="184" t="str">
        <f>IF(_epmOfflineCondition_,"T3",_xll.EVPRO($B$1,$H58,"STYLE"))</f>
        <v>T3</v>
      </c>
      <c r="J58" s="184" t="str">
        <f>IF(_epmOfflineCondition_,"Y",_xll.EVPRO($B$1,$H58,"CALC"))</f>
        <v>Y</v>
      </c>
      <c r="K58" s="185" t="str">
        <f t="shared" si="0"/>
        <v/>
      </c>
      <c r="L58" s="186" t="str">
        <f>IF(_epmOfflineCondition_,"400000",_xll.EVPRO($B$1,H58,"JDEID"))</f>
        <v>400000</v>
      </c>
      <c r="M58" s="186" t="str">
        <f>IF(_epmOfflineCondition_,"",IF(AND(I58="N",J58="N"),_xll.EVPRO($B$1,H58,"PSFTID"),""))</f>
        <v/>
      </c>
      <c r="N58" s="186" t="str">
        <f>IF(_epmOfflineCondition_,"Total Revenue",IF(_xll.EVDES(H58,$B$1)="#NODATA","",_xll.EVDES(H58,$B$1)))</f>
        <v>Total Revenue</v>
      </c>
      <c r="O58" s="472"/>
      <c r="P58" s="236"/>
      <c r="Q58" s="236"/>
      <c r="R58" s="236"/>
      <c r="S58" s="236"/>
      <c r="T58" s="236"/>
      <c r="U58" s="236"/>
      <c r="V58" s="236"/>
      <c r="W58" s="236"/>
      <c r="X58" s="236">
        <v>18264.7</v>
      </c>
      <c r="Y58" s="236">
        <v>69216.87</v>
      </c>
      <c r="Z58" s="236">
        <v>94823.5</v>
      </c>
      <c r="AA58" s="236">
        <f t="shared" si="1"/>
        <v>182305.07</v>
      </c>
      <c r="AB58" s="237">
        <f t="shared" si="2"/>
        <v>1</v>
      </c>
      <c r="AC58" s="238"/>
      <c r="AD58" s="236">
        <v>1544125.504</v>
      </c>
      <c r="AE58" s="237">
        <f t="shared" si="3"/>
        <v>1</v>
      </c>
      <c r="AF58" s="239">
        <f t="shared" si="4"/>
        <v>-1361820.4339999999</v>
      </c>
      <c r="AG58" s="236"/>
      <c r="AH58" s="237" t="str">
        <f t="shared" si="5"/>
        <v/>
      </c>
      <c r="AI58" s="473">
        <f t="shared" si="6"/>
        <v>182305.07</v>
      </c>
      <c r="AJ58" s="215">
        <f t="shared" si="7"/>
        <v>32.254966383581035</v>
      </c>
      <c r="AK58" s="216">
        <f t="shared" si="8"/>
        <v>45.230542898151676</v>
      </c>
      <c r="AL58" s="218">
        <f t="shared" si="9"/>
        <v>0</v>
      </c>
      <c r="AM58" s="423" t="str">
        <f t="shared" si="10"/>
        <v>0 pts.</v>
      </c>
      <c r="AN58" s="474">
        <f t="shared" si="11"/>
        <v>0</v>
      </c>
      <c r="AO58" s="11"/>
    </row>
    <row r="59" spans="1:41" x14ac:dyDescent="0.25">
      <c r="A59" s="57" t="s">
        <v>9</v>
      </c>
      <c r="B59" s="58" t="s">
        <v>10</v>
      </c>
      <c r="C59" s="11"/>
      <c r="D59" s="11"/>
      <c r="E59" s="11"/>
      <c r="F59" s="11"/>
      <c r="G59" s="11"/>
      <c r="H59" s="11"/>
      <c r="I59" s="55"/>
      <c r="J59" s="55"/>
      <c r="K59" s="11"/>
      <c r="L59" s="11"/>
      <c r="M59" s="11"/>
      <c r="N59" s="11"/>
      <c r="O59" s="199"/>
      <c r="P59" s="200"/>
      <c r="Q59" s="200"/>
      <c r="R59" s="200"/>
      <c r="S59" s="200"/>
      <c r="T59" s="200"/>
      <c r="U59" s="200"/>
      <c r="V59" s="200"/>
      <c r="W59" s="200"/>
      <c r="X59" s="200"/>
      <c r="Y59" s="200"/>
      <c r="Z59" s="200"/>
      <c r="AA59" s="200"/>
      <c r="AB59" s="114"/>
      <c r="AC59" s="11"/>
      <c r="AD59" s="199"/>
      <c r="AE59" s="200"/>
      <c r="AF59" s="114"/>
      <c r="AG59" s="199"/>
      <c r="AH59" s="200"/>
      <c r="AI59" s="114"/>
      <c r="AJ59" s="11"/>
      <c r="AK59" s="11"/>
      <c r="AL59" s="11"/>
      <c r="AM59" s="11"/>
      <c r="AN59" s="11"/>
      <c r="AO59" s="11"/>
    </row>
    <row r="60" spans="1:41" x14ac:dyDescent="0.25">
      <c r="A60" s="61" t="s">
        <v>11</v>
      </c>
      <c r="B60" s="62" t="s">
        <v>21</v>
      </c>
      <c r="C60" s="11"/>
      <c r="D60" s="11"/>
      <c r="E60" s="11"/>
      <c r="F60" s="11"/>
      <c r="G60" s="11"/>
      <c r="H60" s="11" t="s">
        <v>281</v>
      </c>
      <c r="I60" s="55" t="str">
        <f>IF(_epmOfflineCondition_,"B1",_xll.EVPRO($B$1,$H60,"STYLE"))</f>
        <v>B1</v>
      </c>
      <c r="J60" s="55" t="str">
        <f>IF(_epmOfflineCondition_,"Y",_xll.EVPRO($B$1,$H60,"CALC"))</f>
        <v>Y</v>
      </c>
      <c r="K60" s="11"/>
      <c r="L60" s="11"/>
      <c r="M60" s="11"/>
      <c r="N60" s="101" t="str">
        <f>IF(_epmOfflineCondition_,"Cost of Sales",IF(_xll.EVDES(H60,$B$1)="#NODATA","",_xll.EVDES(H60,$B$1)))</f>
        <v>Cost of Sales</v>
      </c>
      <c r="O60" s="199"/>
      <c r="P60" s="200"/>
      <c r="Q60" s="200"/>
      <c r="R60" s="200"/>
      <c r="S60" s="200"/>
      <c r="T60" s="200"/>
      <c r="U60" s="200"/>
      <c r="V60" s="200"/>
      <c r="W60" s="200"/>
      <c r="X60" s="200"/>
      <c r="Y60" s="200"/>
      <c r="Z60" s="200"/>
      <c r="AA60" s="200"/>
      <c r="AB60" s="114"/>
      <c r="AC60" s="11"/>
      <c r="AD60" s="199"/>
      <c r="AE60" s="200"/>
      <c r="AF60" s="114"/>
      <c r="AG60" s="199"/>
      <c r="AH60" s="200"/>
      <c r="AI60" s="114"/>
      <c r="AJ60" s="11"/>
      <c r="AK60" s="11"/>
      <c r="AL60" s="11"/>
      <c r="AM60" s="11"/>
      <c r="AN60" s="11"/>
      <c r="AO60" s="11"/>
    </row>
    <row r="61" spans="1:41" x14ac:dyDescent="0.25">
      <c r="A61" s="61" t="s">
        <v>12</v>
      </c>
      <c r="B61" s="62" t="s">
        <v>22</v>
      </c>
      <c r="C61" s="11"/>
      <c r="D61" s="11"/>
      <c r="E61" s="11"/>
      <c r="F61" s="11"/>
      <c r="G61" s="11"/>
      <c r="H61" s="11" t="s">
        <v>284</v>
      </c>
      <c r="I61" s="55" t="str">
        <f>IF(_epmOfflineCondition_,"B1",_xll.EVPRO($B$1,$H61,"STYLE"))</f>
        <v>B1</v>
      </c>
      <c r="J61" s="55" t="str">
        <f>IF(_epmOfflineCondition_,"Y",_xll.EVPRO($B$1,$H61,"CALC"))</f>
        <v>Y</v>
      </c>
      <c r="K61" s="11"/>
      <c r="L61" s="11"/>
      <c r="M61" s="11"/>
      <c r="N61" s="49" t="str">
        <f>IF(_epmOfflineCondition_,"Cost of Food &amp; Beverage Sales",IF(_xll.EVDES(H61,$B$1)="#NODATA","",_xll.EVDES(H61,$B$1)))</f>
        <v>Cost of Food &amp; Beverage Sales</v>
      </c>
      <c r="O61" s="199"/>
      <c r="P61" s="200"/>
      <c r="Q61" s="200"/>
      <c r="R61" s="200"/>
      <c r="S61" s="200"/>
      <c r="T61" s="200"/>
      <c r="U61" s="200"/>
      <c r="V61" s="200"/>
      <c r="W61" s="200"/>
      <c r="X61" s="200"/>
      <c r="Y61" s="200"/>
      <c r="Z61" s="200"/>
      <c r="AA61" s="200"/>
      <c r="AB61" s="114"/>
      <c r="AC61" s="11"/>
      <c r="AD61" s="199"/>
      <c r="AE61" s="200"/>
      <c r="AF61" s="114"/>
      <c r="AG61" s="199"/>
      <c r="AH61" s="200"/>
      <c r="AI61" s="114"/>
      <c r="AJ61" s="11"/>
      <c r="AK61" s="11"/>
      <c r="AL61" s="11"/>
      <c r="AM61" s="11"/>
      <c r="AN61" s="11"/>
      <c r="AO61" s="11"/>
    </row>
    <row r="62" spans="1:41" x14ac:dyDescent="0.25">
      <c r="A62" s="61" t="s">
        <v>13</v>
      </c>
      <c r="B62" s="62" t="str">
        <f>"DEP(COS_FB) AND "&amp;$E$6&amp;"=Y,COS_FB,COSOTH,DEP(COS_OTHR) AND "&amp;$E$6&amp;"=Y,COS_OTHR,500001"</f>
        <v>DEP(COS_FB) AND D_VENUES=Y,COS_FB,COSOTH,DEP(COS_OTHR) AND D_VENUES=Y,COS_OTHR,500001</v>
      </c>
      <c r="C62" s="11"/>
      <c r="D62" s="11"/>
      <c r="E62" s="11"/>
      <c r="F62" s="11"/>
      <c r="G62" s="11"/>
      <c r="H62" s="84" t="s">
        <v>285</v>
      </c>
      <c r="I62" s="118" t="str">
        <f>IF(_epmOfflineCondition_,"T5",_xll.EVPRO($B$1,$H62,"STYLE"))</f>
        <v>T5</v>
      </c>
      <c r="J62" s="118" t="str">
        <f>IF(_epmOfflineCondition_,"Y",_xll.EVPRO($B$1,$H62,"CALC"))</f>
        <v>Y</v>
      </c>
      <c r="K62" s="175" t="str">
        <f t="shared" ref="K62:K72" si="12">IF(AND(I62&gt;="T5"),"&gt;","")</f>
        <v>&gt;</v>
      </c>
      <c r="L62" s="86" t="str">
        <f>IF(_epmOfflineCondition_,"561100",_xll.EVPRO($B$1,H62,"JDEID"))</f>
        <v>561100</v>
      </c>
      <c r="M62" s="86" t="str">
        <f>IF(_epmOfflineCondition_,"",IF(AND(I62="N",J62="N"),_xll.EVPRO($B$1,H62,"PSFTID"),""))</f>
        <v/>
      </c>
      <c r="N62" s="86" t="str">
        <f>IF(_epmOfflineCondition_,"Cost of Food Sales",IF(_xll.EVDES(H62,$B$1)="#NODATA","",_xll.EVDES(H62,$B$1)))</f>
        <v>Cost of Food Sales</v>
      </c>
      <c r="O62" s="453"/>
      <c r="P62" s="223"/>
      <c r="Q62" s="223"/>
      <c r="R62" s="223"/>
      <c r="S62" s="223"/>
      <c r="T62" s="223"/>
      <c r="U62" s="223"/>
      <c r="V62" s="223"/>
      <c r="W62" s="223"/>
      <c r="X62" s="223">
        <v>26170.09</v>
      </c>
      <c r="Y62" s="223">
        <v>36192.870000000003</v>
      </c>
      <c r="Z62" s="223">
        <v>35183.519999999997</v>
      </c>
      <c r="AA62" s="223">
        <f t="shared" ref="AA62:AA70" si="13">IF($I62="B1","",SUM(O62:Z62))</f>
        <v>97546.48000000001</v>
      </c>
      <c r="AB62" s="454">
        <f>IF(_epmOfflineCondition_,0.797838895015008,IF(AA62=0,"",IFERROR(AA62/_xll.EVGTS($B$1,1,_xll.EVPRO($B$1,$H62,"COSBASIS"),$B$3,$B$5,$B$6,$B$7,$B$9,AA$16,AA$17,AA$11),"")))</f>
        <v>0.79783889501500804</v>
      </c>
      <c r="AC62" s="528"/>
      <c r="AD62" s="223">
        <v>238304.84</v>
      </c>
      <c r="AE62" s="454">
        <f>IF(_epmOfflineCondition_,0.278000005722162,IF(AD62=0,"",IFERROR(AD62/_xll.EVGTS($B$1,1,_xll.EVPRO($B$1,$H62,"COSBASIS"),$B$3,$B$5,$B$6,$B$7,$B$9,AD$16,AD$17,AD$18),"")))</f>
        <v>0.27800000572216199</v>
      </c>
      <c r="AF62" s="456">
        <f t="shared" ref="AF62:AF72" si="14">IF(AND($AA62="",AD62=""),"",$AA62-AD62)</f>
        <v>-140758.35999999999</v>
      </c>
      <c r="AG62" s="223">
        <v>4010.72</v>
      </c>
      <c r="AH62" s="454" t="str">
        <f>IF(_epmOfflineCondition_,"",IF(AG62=0,"",IFERROR(AG62/_xll.EVGTS($B$1,1,_xll.EVPRO($B$1,$H62,"COSBASIS"),$B$3,$B$5,$B$6,$B$7,$B$9,AG$16,AG$17,AG$18),"")))</f>
        <v/>
      </c>
      <c r="AI62" s="457">
        <f t="shared" ref="AI62:AI72" si="15">IF(AND($AA62="",AG62=""),"",$AA62-AG62)</f>
        <v>93535.760000000009</v>
      </c>
      <c r="AJ62" s="458">
        <f t="shared" ref="AJ62:AJ70" si="16">IFERROR(AA62/AA$20,0)</f>
        <v>17.258754423213023</v>
      </c>
      <c r="AK62" s="459">
        <f t="shared" ref="AK62:AK70" si="17">IFERROR(AD62/AD$20,0)</f>
        <v>6.9804282492164385</v>
      </c>
      <c r="AL62" s="460">
        <f t="shared" ref="AL62:AL70" si="18">IFERROR(AG62/AG$20,0)</f>
        <v>0</v>
      </c>
      <c r="AM62" s="461" t="str">
        <f t="shared" ref="AM62:AM70" si="19">+IFERROR(ROUND(($AB62-AE62)*100,2)&amp;" pts.",0)</f>
        <v>51.98 pts.</v>
      </c>
      <c r="AN62" s="462">
        <f t="shared" ref="AN62:AN70" si="20">+IFERROR(ROUND(($AB62-AH62)*100,2)&amp;" pts.",0)</f>
        <v>0</v>
      </c>
      <c r="AO62" s="11"/>
    </row>
    <row r="63" spans="1:41" x14ac:dyDescent="0.25">
      <c r="A63" s="61" t="s">
        <v>14</v>
      </c>
      <c r="B63" s="62"/>
      <c r="C63" s="11"/>
      <c r="D63" s="11"/>
      <c r="E63" s="11"/>
      <c r="F63" s="11"/>
      <c r="G63" s="11"/>
      <c r="H63" s="84" t="s">
        <v>637</v>
      </c>
      <c r="I63" s="118" t="str">
        <f>IF(_epmOfflineCondition_,"T5",_xll.EVPRO($B$1,$H63,"STYLE"))</f>
        <v>T5</v>
      </c>
      <c r="J63" s="118" t="str">
        <f>IF(_epmOfflineCondition_,"Y",_xll.EVPRO($B$1,$H63,"CALC"))</f>
        <v>Y</v>
      </c>
      <c r="K63" s="175" t="str">
        <f t="shared" si="12"/>
        <v>&gt;</v>
      </c>
      <c r="L63" s="86" t="str">
        <f>IF(_epmOfflineCondition_,"",_xll.EVPRO($B$1,H63,"JDEID"))</f>
        <v/>
      </c>
      <c r="M63" s="86" t="str">
        <f>IF(_epmOfflineCondition_,"",IF(AND(I63="N",J63="N"),_xll.EVPRO($B$1,H63,"PSFTID"),""))</f>
        <v/>
      </c>
      <c r="N63" s="86" t="str">
        <f>IF(_epmOfflineCondition_,"Cost of Beverage Sales",IF(_xll.EVDES(H63,$B$1)="#NODATA","",_xll.EVDES(H63,$B$1)))</f>
        <v>Cost of Beverage Sales</v>
      </c>
      <c r="O63" s="463"/>
      <c r="P63" s="229"/>
      <c r="Q63" s="229"/>
      <c r="R63" s="229"/>
      <c r="S63" s="229"/>
      <c r="T63" s="229"/>
      <c r="U63" s="229"/>
      <c r="V63" s="229"/>
      <c r="W63" s="229"/>
      <c r="X63" s="229">
        <v>-4662.8900000000003</v>
      </c>
      <c r="Y63" s="229">
        <v>10996.65</v>
      </c>
      <c r="Z63" s="229">
        <v>3976.95</v>
      </c>
      <c r="AA63" s="229">
        <f t="shared" si="13"/>
        <v>10310.709999999999</v>
      </c>
      <c r="AB63" s="464">
        <f>IF(_epmOfflineCondition_,0.339687680168679,IF(AA63=0,"",IFERROR(AA63/_xll.EVGTS($B$1,1,_xll.EVPRO($B$1,$H63,"COSBASIS"),$B$3,$B$5,$B$6,$B$7,$B$9,AA$16,AA$17,AA$11),"")))</f>
        <v>0.33968768016867901</v>
      </c>
      <c r="AC63" s="455"/>
      <c r="AD63" s="229">
        <v>98887.62</v>
      </c>
      <c r="AE63" s="464">
        <f>IF(_epmOfflineCondition_,0.220199884017505,IF(AD63=0,"",IFERROR(AD63/_xll.EVGTS($B$1,1,_xll.EVPRO($B$1,$H63,"COSBASIS"),$B$3,$B$5,$B$6,$B$7,$B$9,AD$16,AD$17,AD$18),"")))</f>
        <v>0.22019988401750501</v>
      </c>
      <c r="AF63" s="465">
        <f t="shared" si="14"/>
        <v>-88576.91</v>
      </c>
      <c r="AG63" s="229">
        <v>-2382.39</v>
      </c>
      <c r="AH63" s="464" t="str">
        <f>IF(_epmOfflineCondition_,"",IF(AG63=0,"",IFERROR(AG63/_xll.EVGTS($B$1,1,_xll.EVPRO($B$1,$H63,"COSBASIS"),$B$3,$B$5,$B$6,$B$7,$B$9,AG$16,AG$17,AG$18),"")))</f>
        <v/>
      </c>
      <c r="AI63" s="466">
        <f t="shared" si="15"/>
        <v>12693.099999999999</v>
      </c>
      <c r="AJ63" s="467">
        <f t="shared" si="16"/>
        <v>1.8242586694975229</v>
      </c>
      <c r="AK63" s="468">
        <f t="shared" si="17"/>
        <v>2.8966173584463517</v>
      </c>
      <c r="AL63" s="469">
        <f t="shared" si="18"/>
        <v>0</v>
      </c>
      <c r="AM63" s="470" t="str">
        <f t="shared" si="19"/>
        <v>11.95 pts.</v>
      </c>
      <c r="AN63" s="471">
        <f t="shared" si="20"/>
        <v>0</v>
      </c>
      <c r="AO63" s="11"/>
    </row>
    <row r="64" spans="1:41" x14ac:dyDescent="0.25">
      <c r="A64" s="61" t="s">
        <v>15</v>
      </c>
      <c r="B64" s="62"/>
      <c r="C64" s="11"/>
      <c r="D64" s="11"/>
      <c r="E64" s="11"/>
      <c r="F64" s="11"/>
      <c r="G64" s="11"/>
      <c r="H64" s="84" t="s">
        <v>286</v>
      </c>
      <c r="I64" s="184" t="str">
        <f>IF(_epmOfflineCondition_,"T4",_xll.EVPRO($B$1,$H64,"STYLE"))</f>
        <v>T4</v>
      </c>
      <c r="J64" s="184" t="str">
        <f>IF(_epmOfflineCondition_,"Y",_xll.EVPRO($B$1,$H64,"CALC"))</f>
        <v>Y</v>
      </c>
      <c r="K64" s="185" t="str">
        <f t="shared" si="12"/>
        <v/>
      </c>
      <c r="L64" s="186" t="str">
        <f>IF(_epmOfflineCondition_,"",_xll.EVPRO($B$1,H64,"JDEID"))</f>
        <v/>
      </c>
      <c r="M64" s="186" t="str">
        <f>IF(_epmOfflineCondition_,"",IF(AND(I64="N",J64="N"),_xll.EVPRO($B$1,H64,"PSFTID"),""))</f>
        <v/>
      </c>
      <c r="N64" s="186" t="str">
        <f>IF(_epmOfflineCondition_,"Total Cost of Food &amp; Beverage Sales",IF(_xll.EVDES(H64,$B$1)="#NODATA","",_xll.EVDES(H64,$B$1)))</f>
        <v>Total Cost of Food &amp; Beverage Sales</v>
      </c>
      <c r="O64" s="472"/>
      <c r="P64" s="236"/>
      <c r="Q64" s="236"/>
      <c r="R64" s="236"/>
      <c r="S64" s="236"/>
      <c r="T64" s="236"/>
      <c r="U64" s="236"/>
      <c r="V64" s="236"/>
      <c r="W64" s="236"/>
      <c r="X64" s="236">
        <v>21507.200000000001</v>
      </c>
      <c r="Y64" s="236">
        <v>47189.52</v>
      </c>
      <c r="Z64" s="236">
        <v>39160.47</v>
      </c>
      <c r="AA64" s="236">
        <f t="shared" si="13"/>
        <v>107857.19</v>
      </c>
      <c r="AB64" s="237">
        <f>IF(_epmOfflineCondition_,0.706718614611962,IF(AA64=0,"",IFERROR(AA64/_xll.EVGTS($B$1,1,_xll.EVPRO($B$1,$H64,"COSBASIS"),$B$3,$B$5,$B$6,$B$7,$B$9,AA$16,AA$17,AA$11),"")))</f>
        <v>0.70671861461196195</v>
      </c>
      <c r="AC64" s="238"/>
      <c r="AD64" s="236">
        <v>337192.46</v>
      </c>
      <c r="AE64" s="237">
        <f>IF(_epmOfflineCondition_,0.258129310672156,IF(AD64=0,"",IFERROR(AD64/_xll.EVGTS($B$1,1,_xll.EVPRO($B$1,$H64,"COSBASIS"),$B$3,$B$5,$B$6,$B$7,$B$9,AD$16,AD$17,AD$18),"")))</f>
        <v>0.258129310672156</v>
      </c>
      <c r="AF64" s="239">
        <f t="shared" si="14"/>
        <v>-229335.27000000002</v>
      </c>
      <c r="AG64" s="236">
        <v>1628.33</v>
      </c>
      <c r="AH64" s="237" t="str">
        <f>IF(_epmOfflineCondition_,"",IF(AG64=0,"",IFERROR(AG64/_xll.EVGTS($B$1,1,_xll.EVPRO($B$1,$H64,"COSBASIS"),$B$3,$B$5,$B$6,$B$7,$B$9,AG$16,AG$17,AG$18),"")))</f>
        <v/>
      </c>
      <c r="AI64" s="473">
        <f t="shared" si="15"/>
        <v>106228.86</v>
      </c>
      <c r="AJ64" s="215">
        <f t="shared" si="16"/>
        <v>19.083013092710544</v>
      </c>
      <c r="AK64" s="216">
        <f t="shared" si="17"/>
        <v>9.8770456076627902</v>
      </c>
      <c r="AL64" s="218">
        <f t="shared" si="18"/>
        <v>0</v>
      </c>
      <c r="AM64" s="423" t="str">
        <f t="shared" si="19"/>
        <v>44.86 pts.</v>
      </c>
      <c r="AN64" s="474">
        <f t="shared" si="20"/>
        <v>0</v>
      </c>
      <c r="AO64" s="11"/>
    </row>
    <row r="65" spans="1:41" x14ac:dyDescent="0.25">
      <c r="A65" s="61" t="s">
        <v>16</v>
      </c>
      <c r="B65" s="62"/>
      <c r="C65" s="11"/>
      <c r="D65" s="11"/>
      <c r="E65" s="11"/>
      <c r="F65" s="11"/>
      <c r="G65" s="11"/>
      <c r="H65" s="84" t="s">
        <v>287</v>
      </c>
      <c r="I65" s="184" t="str">
        <f>IF(_epmOfflineCondition_,"B1",_xll.EVPRO($B$1,$H65,"STYLE"))</f>
        <v>B1</v>
      </c>
      <c r="J65" s="184" t="str">
        <f>IF(_epmOfflineCondition_,"Y",_xll.EVPRO($B$1,$H65,"CALC"))</f>
        <v>Y</v>
      </c>
      <c r="K65" s="185" t="str">
        <f t="shared" si="12"/>
        <v/>
      </c>
      <c r="L65" s="186" t="str">
        <f>IF(_epmOfflineCondition_,"",_xll.EVPRO($B$1,H65,"JDEID"))</f>
        <v/>
      </c>
      <c r="M65" s="186" t="str">
        <f>IF(_epmOfflineCondition_,"",IF(AND(I65="N",J65="N"),_xll.EVPRO($B$1,H65,"PSFTID"),""))</f>
        <v/>
      </c>
      <c r="N65" s="186" t="str">
        <f>IF(_epmOfflineCondition_,"Cost of Other Revenue",IF(_xll.EVDES(H65,$B$1)="#NODATA","",_xll.EVDES(H65,$B$1)))</f>
        <v>Cost of Other Revenue</v>
      </c>
      <c r="O65" s="475"/>
      <c r="P65" s="241"/>
      <c r="Q65" s="241"/>
      <c r="R65" s="241"/>
      <c r="S65" s="241"/>
      <c r="T65" s="241"/>
      <c r="U65" s="241"/>
      <c r="V65" s="241"/>
      <c r="W65" s="241"/>
      <c r="X65" s="241"/>
      <c r="Y65" s="241"/>
      <c r="Z65" s="241"/>
      <c r="AA65" s="241" t="str">
        <f t="shared" si="13"/>
        <v/>
      </c>
      <c r="AB65" s="476" t="str">
        <f>IF(_epmOfflineCondition_,"",IF(AA65=0,"",IFERROR(AA65/_xll.EVGTS($B$1,1,_xll.EVPRO($B$1,$H65,"COSBASIS"),$B$3,$B$5,$B$6,$B$7,$B$9,AA$16,AA$17,AA$11),"")))</f>
        <v/>
      </c>
      <c r="AC65" s="529"/>
      <c r="AD65" s="241"/>
      <c r="AE65" s="476" t="str">
        <f>IF(_epmOfflineCondition_,"",IF(AD65=0,"",IFERROR(AD65/_xll.EVGTS($B$1,1,_xll.EVPRO($B$1,$H65,"COSBASIS"),$B$3,$B$5,$B$6,$B$7,$B$9,AD$16,AD$17,AD$18),"")))</f>
        <v/>
      </c>
      <c r="AF65" s="478" t="str">
        <f t="shared" si="14"/>
        <v/>
      </c>
      <c r="AG65" s="241"/>
      <c r="AH65" s="476" t="str">
        <f>IF(_epmOfflineCondition_,"",IF(AG65=0,"",IFERROR(AG65/_xll.EVGTS($B$1,1,_xll.EVPRO($B$1,$H65,"COSBASIS"),$B$3,$B$5,$B$6,$B$7,$B$9,AG$16,AG$17,AG$18),"")))</f>
        <v/>
      </c>
      <c r="AI65" s="479" t="str">
        <f t="shared" si="15"/>
        <v/>
      </c>
      <c r="AJ65" s="244">
        <f t="shared" si="16"/>
        <v>0</v>
      </c>
      <c r="AK65" s="245">
        <f t="shared" si="17"/>
        <v>0</v>
      </c>
      <c r="AL65" s="247">
        <f t="shared" si="18"/>
        <v>0</v>
      </c>
      <c r="AM65" s="425">
        <f t="shared" si="19"/>
        <v>0</v>
      </c>
      <c r="AN65" s="480">
        <f t="shared" si="20"/>
        <v>0</v>
      </c>
      <c r="AO65" s="11"/>
    </row>
    <row r="66" spans="1:41" x14ac:dyDescent="0.25">
      <c r="A66" s="61" t="s">
        <v>17</v>
      </c>
      <c r="B66" s="62"/>
      <c r="C66" s="11"/>
      <c r="D66" s="11"/>
      <c r="E66" s="11"/>
      <c r="F66" s="11"/>
      <c r="G66" s="11"/>
      <c r="H66" s="84" t="s">
        <v>638</v>
      </c>
      <c r="I66" s="118" t="str">
        <f>IF(_epmOfflineCondition_,"N",_xll.EVPRO($B$1,$H66,"STYLE"))</f>
        <v>N</v>
      </c>
      <c r="J66" s="118" t="str">
        <f>IF(_epmOfflineCondition_,"N",_xll.EVPRO($B$1,$H66,"CALC"))</f>
        <v>N</v>
      </c>
      <c r="K66" s="175" t="str">
        <f t="shared" si="12"/>
        <v/>
      </c>
      <c r="L66" s="86" t="str">
        <f>IF(_epmOfflineCondition_,"568300",_xll.EVPRO($B$1,H66,"JDEID"))</f>
        <v>568300</v>
      </c>
      <c r="M66" s="86" t="str">
        <f>IF(_epmOfflineCondition_,"306005",IF(AND(I66="N",J66="N"),_xll.EVPRO($B$1,H66,"PSFTID"),""))</f>
        <v>306005</v>
      </c>
      <c r="N66" s="86" t="str">
        <f>IF(_epmOfflineCondition_,"A/V Cost of Sales",IF(_xll.EVDES(H66,$B$1)="#NODATA","",_xll.EVDES(H66,$B$1)))</f>
        <v>A/V Cost of Sales</v>
      </c>
      <c r="O66" s="453"/>
      <c r="P66" s="223"/>
      <c r="Q66" s="223"/>
      <c r="R66" s="223"/>
      <c r="S66" s="223"/>
      <c r="T66" s="223"/>
      <c r="U66" s="223"/>
      <c r="V66" s="223"/>
      <c r="W66" s="223"/>
      <c r="X66" s="223"/>
      <c r="Y66" s="223"/>
      <c r="Z66" s="223"/>
      <c r="AA66" s="223">
        <f t="shared" si="13"/>
        <v>0</v>
      </c>
      <c r="AB66" s="454" t="str">
        <f>IF(_epmOfflineCondition_,"",IF(AA66=0,"",IFERROR(AA66/_xll.EVGTS($B$1,1,_xll.EVPRO($B$1,$H66,"COSBASIS"),$B$3,$B$5,$B$6,$B$7,$B$9,AA$16,AA$17,AA$11),"")))</f>
        <v/>
      </c>
      <c r="AC66" s="528"/>
      <c r="AD66" s="223"/>
      <c r="AE66" s="454" t="str">
        <f>IF(_epmOfflineCondition_,"",IF(AD66=0,"",IFERROR(AD66/_xll.EVGTS($B$1,1,_xll.EVPRO($B$1,$H66,"COSBASIS"),$B$3,$B$5,$B$6,$B$7,$B$9,AD$16,AD$17,AD$18),"")))</f>
        <v/>
      </c>
      <c r="AF66" s="456">
        <f t="shared" si="14"/>
        <v>0</v>
      </c>
      <c r="AG66" s="223"/>
      <c r="AH66" s="454" t="str">
        <f>IF(_epmOfflineCondition_,"",IF(AG66=0,"",IFERROR(AG66/_xll.EVGTS($B$1,1,_xll.EVPRO($B$1,$H66,"COSBASIS"),$B$3,$B$5,$B$6,$B$7,$B$9,AG$16,AG$17,AG$18),"")))</f>
        <v/>
      </c>
      <c r="AI66" s="457">
        <f t="shared" si="15"/>
        <v>0</v>
      </c>
      <c r="AJ66" s="458">
        <f t="shared" si="16"/>
        <v>0</v>
      </c>
      <c r="AK66" s="459">
        <f t="shared" si="17"/>
        <v>0</v>
      </c>
      <c r="AL66" s="460">
        <f t="shared" si="18"/>
        <v>0</v>
      </c>
      <c r="AM66" s="461">
        <f t="shared" si="19"/>
        <v>0</v>
      </c>
      <c r="AN66" s="462">
        <f t="shared" si="20"/>
        <v>0</v>
      </c>
      <c r="AO66" s="11"/>
    </row>
    <row r="67" spans="1:41" x14ac:dyDescent="0.25">
      <c r="A67" s="11"/>
      <c r="B67" s="11"/>
      <c r="C67" s="11"/>
      <c r="D67" s="11"/>
      <c r="E67" s="11"/>
      <c r="F67" s="11"/>
      <c r="G67" s="11"/>
      <c r="H67" s="84" t="s">
        <v>639</v>
      </c>
      <c r="I67" s="118" t="str">
        <f>IF(_epmOfflineCondition_,"N",_xll.EVPRO($B$1,$H67,"STYLE"))</f>
        <v>N</v>
      </c>
      <c r="J67" s="118" t="str">
        <f>IF(_epmOfflineCondition_,"N",_xll.EVPRO($B$1,$H67,"CALC"))</f>
        <v>N</v>
      </c>
      <c r="K67" s="175" t="str">
        <f t="shared" si="12"/>
        <v/>
      </c>
      <c r="L67" s="86" t="str">
        <f>IF(_epmOfflineCondition_,"568350",_xll.EVPRO($B$1,H67,"JDEID"))</f>
        <v>568350</v>
      </c>
      <c r="M67" s="86" t="str">
        <f>IF(_epmOfflineCondition_,"306099",IF(AND(I67="N",J67="N"),_xll.EVPRO($B$1,H67,"PSFTID"),""))</f>
        <v>306099</v>
      </c>
      <c r="N67" s="86" t="str">
        <f>IF(_epmOfflineCondition_,"Public Room Rental",IF(_xll.EVDES(H67,$B$1)="#NODATA","",_xll.EVDES(H67,$B$1)))</f>
        <v>Public Room Rental</v>
      </c>
      <c r="O67" s="453"/>
      <c r="P67" s="223"/>
      <c r="Q67" s="223"/>
      <c r="R67" s="223"/>
      <c r="S67" s="223"/>
      <c r="T67" s="223"/>
      <c r="U67" s="223"/>
      <c r="V67" s="223"/>
      <c r="W67" s="223"/>
      <c r="X67" s="223"/>
      <c r="Y67" s="223"/>
      <c r="Z67" s="223"/>
      <c r="AA67" s="223">
        <f t="shared" si="13"/>
        <v>0</v>
      </c>
      <c r="AB67" s="454" t="str">
        <f>IF(_epmOfflineCondition_,"",IF(AA67=0,"",IFERROR(AA67/_xll.EVGTS($B$1,1,_xll.EVPRO($B$1,$H67,"COSBASIS"),$B$3,$B$5,$B$6,$B$7,$B$9,AA$16,AA$17,AA$11),"")))</f>
        <v/>
      </c>
      <c r="AC67" s="528"/>
      <c r="AD67" s="223"/>
      <c r="AE67" s="454" t="str">
        <f>IF(_epmOfflineCondition_,"",IF(AD67=0,"",IFERROR(AD67/_xll.EVGTS($B$1,1,_xll.EVPRO($B$1,$H67,"COSBASIS"),$B$3,$B$5,$B$6,$B$7,$B$9,AD$16,AD$17,AD$18),"")))</f>
        <v/>
      </c>
      <c r="AF67" s="456">
        <f t="shared" si="14"/>
        <v>0</v>
      </c>
      <c r="AG67" s="223"/>
      <c r="AH67" s="454" t="str">
        <f>IF(_epmOfflineCondition_,"",IF(AG67=0,"",IFERROR(AG67/_xll.EVGTS($B$1,1,_xll.EVPRO($B$1,$H67,"COSBASIS"),$B$3,$B$5,$B$6,$B$7,$B$9,AG$16,AG$17,AG$18),"")))</f>
        <v/>
      </c>
      <c r="AI67" s="457">
        <f t="shared" si="15"/>
        <v>0</v>
      </c>
      <c r="AJ67" s="458">
        <f t="shared" si="16"/>
        <v>0</v>
      </c>
      <c r="AK67" s="459">
        <f t="shared" si="17"/>
        <v>0</v>
      </c>
      <c r="AL67" s="460">
        <f t="shared" si="18"/>
        <v>0</v>
      </c>
      <c r="AM67" s="461">
        <f t="shared" si="19"/>
        <v>0</v>
      </c>
      <c r="AN67" s="462">
        <f t="shared" si="20"/>
        <v>0</v>
      </c>
      <c r="AO67" s="11"/>
    </row>
    <row r="68" spans="1:41" x14ac:dyDescent="0.25">
      <c r="A68" s="93" t="s">
        <v>92</v>
      </c>
      <c r="B68" s="94" t="s">
        <v>93</v>
      </c>
      <c r="C68" s="94" t="s">
        <v>94</v>
      </c>
      <c r="D68" s="94" t="s">
        <v>95</v>
      </c>
      <c r="E68" s="94" t="s">
        <v>96</v>
      </c>
      <c r="F68" s="95" t="s">
        <v>97</v>
      </c>
      <c r="G68" s="11"/>
      <c r="H68" s="84" t="s">
        <v>640</v>
      </c>
      <c r="I68" s="118" t="str">
        <f>IF(_epmOfflineCondition_,"T5",_xll.EVPRO($B$1,$H68,"STYLE"))</f>
        <v>T5</v>
      </c>
      <c r="J68" s="118" t="str">
        <f>IF(_epmOfflineCondition_,"Y",_xll.EVPRO($B$1,$H68,"CALC"))</f>
        <v>Y</v>
      </c>
      <c r="K68" s="175" t="str">
        <f t="shared" si="12"/>
        <v>&gt;</v>
      </c>
      <c r="L68" s="86" t="str">
        <f>IF(_epmOfflineCondition_,"",_xll.EVPRO($B$1,H68,"JDEID"))</f>
        <v/>
      </c>
      <c r="M68" s="86" t="str">
        <f>IF(_epmOfflineCondition_,"",IF(AND(I68="N",J68="N"),_xll.EVPRO($B$1,H68,"PSFTID"),""))</f>
        <v/>
      </c>
      <c r="N68" s="86" t="str">
        <f>IF(_epmOfflineCondition_,"Miscellaneous Cost",IF(_xll.EVDES(H68,$B$1)="#NODATA","",_xll.EVDES(H68,$B$1)))</f>
        <v>Miscellaneous Cost</v>
      </c>
      <c r="O68" s="463"/>
      <c r="P68" s="229"/>
      <c r="Q68" s="229"/>
      <c r="R68" s="229"/>
      <c r="S68" s="229"/>
      <c r="T68" s="229"/>
      <c r="U68" s="229"/>
      <c r="V68" s="229"/>
      <c r="W68" s="229"/>
      <c r="X68" s="229"/>
      <c r="Y68" s="229"/>
      <c r="Z68" s="229"/>
      <c r="AA68" s="229">
        <f t="shared" si="13"/>
        <v>0</v>
      </c>
      <c r="AB68" s="464" t="str">
        <f>IF(_epmOfflineCondition_,"",IF(AA68=0,"",IFERROR(AA68/_xll.EVGTS($B$1,1,_xll.EVPRO($B$1,$H68,"COSBASIS"),$B$3,$B$5,$B$6,$B$7,$B$9,AA$16,AA$17,AA$11),"")))</f>
        <v/>
      </c>
      <c r="AC68" s="455"/>
      <c r="AD68" s="229"/>
      <c r="AE68" s="464" t="str">
        <f>IF(_epmOfflineCondition_,"",IF(AD68=0,"",IFERROR(AD68/_xll.EVGTS($B$1,1,_xll.EVPRO($B$1,$H68,"COSBASIS"),$B$3,$B$5,$B$6,$B$7,$B$9,AD$16,AD$17,AD$18),"")))</f>
        <v/>
      </c>
      <c r="AF68" s="465">
        <f t="shared" si="14"/>
        <v>0</v>
      </c>
      <c r="AG68" s="229"/>
      <c r="AH68" s="464" t="str">
        <f>IF(_epmOfflineCondition_,"",IF(AG68=0,"",IFERROR(AG68/_xll.EVGTS($B$1,1,_xll.EVPRO($B$1,$H68,"COSBASIS"),$B$3,$B$5,$B$6,$B$7,$B$9,AG$16,AG$17,AG$18),"")))</f>
        <v/>
      </c>
      <c r="AI68" s="466">
        <f t="shared" si="15"/>
        <v>0</v>
      </c>
      <c r="AJ68" s="467">
        <f t="shared" si="16"/>
        <v>0</v>
      </c>
      <c r="AK68" s="468">
        <f t="shared" si="17"/>
        <v>0</v>
      </c>
      <c r="AL68" s="469">
        <f t="shared" si="18"/>
        <v>0</v>
      </c>
      <c r="AM68" s="470">
        <f t="shared" si="19"/>
        <v>0</v>
      </c>
      <c r="AN68" s="471">
        <f t="shared" si="20"/>
        <v>0</v>
      </c>
      <c r="AO68" s="11"/>
    </row>
    <row r="69" spans="1:41" x14ac:dyDescent="0.25">
      <c r="A69" s="11"/>
      <c r="B69" s="11"/>
      <c r="C69" s="11"/>
      <c r="D69" s="11"/>
      <c r="E69" s="11"/>
      <c r="F69" s="11"/>
      <c r="G69" s="11"/>
      <c r="H69" s="84" t="s">
        <v>288</v>
      </c>
      <c r="I69" s="184" t="str">
        <f>IF(_epmOfflineCondition_,"T4",_xll.EVPRO($B$1,$H69,"STYLE"))</f>
        <v>T4</v>
      </c>
      <c r="J69" s="184" t="str">
        <f>IF(_epmOfflineCondition_,"Y",_xll.EVPRO($B$1,$H69,"CALC"))</f>
        <v>Y</v>
      </c>
      <c r="K69" s="185" t="str">
        <f t="shared" si="12"/>
        <v/>
      </c>
      <c r="L69" s="186" t="str">
        <f>IF(_epmOfflineCondition_,"",_xll.EVPRO($B$1,H69,"JDEID"))</f>
        <v/>
      </c>
      <c r="M69" s="186" t="str">
        <f>IF(_epmOfflineCondition_,"",IF(AND(I69="N",J69="N"),_xll.EVPRO($B$1,H69,"PSFTID"),""))</f>
        <v/>
      </c>
      <c r="N69" s="186" t="str">
        <f>IF(_epmOfflineCondition_,"Total Cost of Other Revenue",IF(_xll.EVDES(H69,$B$1)="#NODATA","",_xll.EVDES(H69,$B$1)))</f>
        <v>Total Cost of Other Revenue</v>
      </c>
      <c r="O69" s="481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>
        <f t="shared" si="13"/>
        <v>0</v>
      </c>
      <c r="AB69" s="211" t="str">
        <f>IF(_epmOfflineCondition_,"",IF(AA69=0,"",IFERROR(AA69/_xll.EVGTS($B$1,1,_xll.EVPRO($B$1,$H69,"COSBASIS"),$B$3,$B$5,$B$6,$B$7,$B$9,AA$16,AA$17,AA$11),"")))</f>
        <v/>
      </c>
      <c r="AC69" s="251"/>
      <c r="AD69" s="210"/>
      <c r="AE69" s="211" t="str">
        <f>IF(_epmOfflineCondition_,"",IF(AD69=0,"",IFERROR(AD69/_xll.EVGTS($B$1,1,_xll.EVPRO($B$1,$H69,"COSBASIS"),$B$3,$B$5,$B$6,$B$7,$B$9,AD$16,AD$17,AD$18),"")))</f>
        <v/>
      </c>
      <c r="AF69" s="252">
        <f t="shared" si="14"/>
        <v>0</v>
      </c>
      <c r="AG69" s="210"/>
      <c r="AH69" s="211" t="str">
        <f>IF(_epmOfflineCondition_,"",IF(AG69=0,"",IFERROR(AG69/_xll.EVGTS($B$1,1,_xll.EVPRO($B$1,$H69,"COSBASIS"),$B$3,$B$5,$B$6,$B$7,$B$9,AG$16,AG$17,AG$18),"")))</f>
        <v/>
      </c>
      <c r="AI69" s="482">
        <f t="shared" si="15"/>
        <v>0</v>
      </c>
      <c r="AJ69" s="253">
        <f t="shared" si="16"/>
        <v>0</v>
      </c>
      <c r="AK69" s="254">
        <f t="shared" si="17"/>
        <v>0</v>
      </c>
      <c r="AL69" s="256">
        <f t="shared" si="18"/>
        <v>0</v>
      </c>
      <c r="AM69" s="427">
        <f t="shared" si="19"/>
        <v>0</v>
      </c>
      <c r="AN69" s="483">
        <f t="shared" si="20"/>
        <v>0</v>
      </c>
      <c r="AO69" s="11"/>
    </row>
    <row r="70" spans="1:41" x14ac:dyDescent="0.25">
      <c r="A70" s="11" t="s">
        <v>209</v>
      </c>
      <c r="B70" s="11" t="s">
        <v>21</v>
      </c>
      <c r="C70" s="391"/>
      <c r="D70" s="11" t="s">
        <v>590</v>
      </c>
      <c r="E70" s="11"/>
      <c r="F70" s="11" t="s">
        <v>99</v>
      </c>
      <c r="G70" s="11"/>
      <c r="H70" s="84" t="s">
        <v>289</v>
      </c>
      <c r="I70" s="184" t="str">
        <f>IF(_epmOfflineCondition_,"T3",_xll.EVPRO($B$1,$H70,"STYLE"))</f>
        <v>T3</v>
      </c>
      <c r="J70" s="184" t="str">
        <f>IF(_epmOfflineCondition_,"Y",_xll.EVPRO($B$1,$H70,"CALC"))</f>
        <v>Y</v>
      </c>
      <c r="K70" s="185" t="str">
        <f t="shared" si="12"/>
        <v/>
      </c>
      <c r="L70" s="186" t="str">
        <f>IF(_epmOfflineCondition_,"500001",_xll.EVPRO($B$1,H70,"JDEID"))</f>
        <v>500001</v>
      </c>
      <c r="M70" s="186" t="str">
        <f>IF(_epmOfflineCondition_,"",IF(AND(I70="N",J70="N"),_xll.EVPRO($B$1,H70,"PSFTID"),""))</f>
        <v/>
      </c>
      <c r="N70" s="186" t="str">
        <f>IF(_epmOfflineCondition_,"Total Cost of Sales",IF(_xll.EVDES(H70,$B$1)="#NODATA","",_xll.EVDES(H70,$B$1)))</f>
        <v>Total Cost of Sales</v>
      </c>
      <c r="O70" s="472"/>
      <c r="P70" s="236"/>
      <c r="Q70" s="236"/>
      <c r="R70" s="236"/>
      <c r="S70" s="236"/>
      <c r="T70" s="236"/>
      <c r="U70" s="236"/>
      <c r="V70" s="236"/>
      <c r="W70" s="236"/>
      <c r="X70" s="236">
        <v>21507.200000000001</v>
      </c>
      <c r="Y70" s="236">
        <v>47189.52</v>
      </c>
      <c r="Z70" s="236">
        <v>39160.47</v>
      </c>
      <c r="AA70" s="236">
        <f t="shared" si="13"/>
        <v>107857.19</v>
      </c>
      <c r="AB70" s="237">
        <f>IF(_epmOfflineCondition_,0.591630227288797,IF(AA70=0,"",IFERROR(AA70/_xll.EVGTS($B$1,1,_xll.EVPRO($B$1,$H70,"COSBASIS"),$B$3,$B$5,$B$6,$B$7,$B$9,AA$16,AA$17,AA$11),"")))</f>
        <v>0.59163022728879699</v>
      </c>
      <c r="AC70" s="238"/>
      <c r="AD70" s="236">
        <v>337192.46</v>
      </c>
      <c r="AE70" s="237">
        <f>IF(_epmOfflineCondition_,0.218371148670568,IF(AD70=0,"",IFERROR(AD70/_xll.EVGTS($B$1,1,_xll.EVPRO($B$1,$H70,"COSBASIS"),$B$3,$B$5,$B$6,$B$7,$B$9,AD$16,AD$17,AD$18),"")))</f>
        <v>0.218371148670568</v>
      </c>
      <c r="AF70" s="239">
        <f t="shared" si="14"/>
        <v>-229335.27000000002</v>
      </c>
      <c r="AG70" s="236">
        <v>1628.33</v>
      </c>
      <c r="AH70" s="237" t="str">
        <f>IF(_epmOfflineCondition_,"",IF(AG70=0,"",IFERROR(AG70/_xll.EVGTS($B$1,1,_xll.EVPRO($B$1,$H70,"COSBASIS"),$B$3,$B$5,$B$6,$B$7,$B$9,AG$16,AG$17,AG$18),"")))</f>
        <v/>
      </c>
      <c r="AI70" s="473">
        <f t="shared" si="15"/>
        <v>106228.86</v>
      </c>
      <c r="AJ70" s="215">
        <f t="shared" si="16"/>
        <v>19.083013092710544</v>
      </c>
      <c r="AK70" s="216">
        <f t="shared" si="17"/>
        <v>9.8770456076627902</v>
      </c>
      <c r="AL70" s="218">
        <f t="shared" si="18"/>
        <v>0</v>
      </c>
      <c r="AM70" s="423" t="str">
        <f t="shared" si="19"/>
        <v>37.33 pts.</v>
      </c>
      <c r="AN70" s="474">
        <f t="shared" si="20"/>
        <v>0</v>
      </c>
      <c r="AO70" s="11"/>
    </row>
    <row r="71" spans="1:41" x14ac:dyDescent="0.25">
      <c r="A71" s="11" t="s">
        <v>105</v>
      </c>
      <c r="B71" s="11"/>
      <c r="C71" s="100" t="s">
        <v>101</v>
      </c>
      <c r="D71" s="11" t="s">
        <v>106</v>
      </c>
      <c r="E71" s="11"/>
      <c r="F71" s="11" t="s">
        <v>98</v>
      </c>
      <c r="G71" s="11"/>
      <c r="H71" s="181" t="s">
        <v>175</v>
      </c>
      <c r="I71" s="85" t="str">
        <f>IF(_epmOfflineCondition_,"B1",_xll.EVPRO($B$1,$H71,"STYLE"))</f>
        <v>B1</v>
      </c>
      <c r="J71" s="85" t="str">
        <f>IF(_epmOfflineCondition_,"Y",_xll.EVPRO($B$1,$H71,"CALC"))</f>
        <v>Y</v>
      </c>
      <c r="K71" s="261" t="str">
        <f t="shared" si="12"/>
        <v/>
      </c>
      <c r="L71" s="261"/>
      <c r="M71" s="261"/>
      <c r="N71" s="102" t="str">
        <f>IF(_epmOfflineCondition_,"BLANKROW",IF(_xll.EVDES(H71,$B$1)="#NODATA","",_xll.EVDES(H71,$B$1)))</f>
        <v>BLANKROW</v>
      </c>
      <c r="O71" s="201"/>
      <c r="P71" s="201"/>
      <c r="Q71" s="201"/>
      <c r="R71" s="201"/>
      <c r="S71" s="201"/>
      <c r="T71" s="201"/>
      <c r="U71" s="201"/>
      <c r="V71" s="201"/>
      <c r="W71" s="201"/>
      <c r="X71" s="201"/>
      <c r="Y71" s="201"/>
      <c r="Z71" s="201"/>
      <c r="AA71" s="201"/>
      <c r="AB71" s="202" t="str">
        <f>IF(_epmOfflineCondition_,"",IF(O71=0,"",IFERROR(O71/_xll.EVGTS($B$1,1,INDEX($C$152:$C$175,MATCH($H71,$A$152:$A$175,0)),$B$3,$B$5,$B$6,$B$7,$B$9,O$16,O$17,O$18),"")))</f>
        <v/>
      </c>
      <c r="AC71" s="11"/>
      <c r="AD71" s="201"/>
      <c r="AE71" s="202" t="str">
        <f>IF(_epmOfflineCondition_,"",IF(AD71=0,"",IFERROR(AD71/_xll.EVGTS($B$1,1,INDEX($C$152:$C$175,MATCH($H71,$A$152:$A$175,0)),$B$3,$B$5,$B$6,$B$7,$B$9,AD$16,AD$17,AD$18),"")))</f>
        <v/>
      </c>
      <c r="AF71" s="203" t="str">
        <f t="shared" si="14"/>
        <v/>
      </c>
      <c r="AG71" s="201"/>
      <c r="AH71" s="202" t="str">
        <f>IF(_epmOfflineCondition_,"",IF(AG71=0,"",IFERROR(AG71/_xll.EVGTS($B$1,1,INDEX($C$152:$C$175,MATCH($H71,$A$152:$A$175,0)),$B$3,$B$5,$B$6,$B$7,$B$9,AG$16,AG$17,AG$18),"")))</f>
        <v/>
      </c>
      <c r="AI71" s="203" t="str">
        <f t="shared" si="15"/>
        <v/>
      </c>
      <c r="AJ71" s="11"/>
      <c r="AK71" s="11"/>
      <c r="AL71" s="11"/>
      <c r="AM71" s="11"/>
      <c r="AN71" s="11"/>
      <c r="AO71" s="11"/>
    </row>
    <row r="72" spans="1:41" x14ac:dyDescent="0.25">
      <c r="A72" s="11" t="s">
        <v>104</v>
      </c>
      <c r="B72" s="11"/>
      <c r="C72" s="100" t="s">
        <v>101</v>
      </c>
      <c r="D72" s="11" t="s">
        <v>106</v>
      </c>
      <c r="E72" s="11"/>
      <c r="F72" s="11" t="s">
        <v>98</v>
      </c>
      <c r="G72" s="11"/>
      <c r="H72" s="181" t="s">
        <v>292</v>
      </c>
      <c r="I72" s="85" t="str">
        <f>IF(_epmOfflineCondition_,"T3",_xll.EVPRO($B$1,$H72,"STYLE"))</f>
        <v>T3</v>
      </c>
      <c r="J72" s="85" t="str">
        <f>IF(_epmOfflineCondition_,"Y",_xll.EVPRO($B$1,$H72,"CALC"))</f>
        <v>Y</v>
      </c>
      <c r="K72" s="261" t="str">
        <f t="shared" si="12"/>
        <v/>
      </c>
      <c r="L72" s="261"/>
      <c r="M72" s="261"/>
      <c r="N72" s="102" t="str">
        <f>IF(_epmOfflineCondition_,"Gross Profit",IF(_xll.EVDES(H72,$B$1)="#NODATA","",_xll.EVDES(H72,$B$1)))</f>
        <v>Gross Profit</v>
      </c>
      <c r="O72" s="119">
        <f t="shared" ref="O72:Z72" si="21">SUMIF($H$35:$H$70,"400000",O35:O70)-SUMIF($H$35:$H$70,"500001",O35:O70)</f>
        <v>0</v>
      </c>
      <c r="P72" s="119">
        <f t="shared" si="21"/>
        <v>0</v>
      </c>
      <c r="Q72" s="119">
        <f t="shared" si="21"/>
        <v>0</v>
      </c>
      <c r="R72" s="119">
        <f t="shared" si="21"/>
        <v>0</v>
      </c>
      <c r="S72" s="119">
        <f t="shared" si="21"/>
        <v>0</v>
      </c>
      <c r="T72" s="119">
        <f t="shared" si="21"/>
        <v>0</v>
      </c>
      <c r="U72" s="119">
        <f t="shared" si="21"/>
        <v>0</v>
      </c>
      <c r="V72" s="119">
        <f t="shared" si="21"/>
        <v>0</v>
      </c>
      <c r="W72" s="119">
        <f t="shared" si="21"/>
        <v>0</v>
      </c>
      <c r="X72" s="119">
        <f t="shared" si="21"/>
        <v>-3242.5</v>
      </c>
      <c r="Y72" s="119">
        <f t="shared" si="21"/>
        <v>22027.35</v>
      </c>
      <c r="Z72" s="119">
        <f t="shared" si="21"/>
        <v>55663.03</v>
      </c>
      <c r="AA72" s="187">
        <f>IF($I72="B1","",SUM(O72:Z72))</f>
        <v>74447.88</v>
      </c>
      <c r="AB72" s="188">
        <f>IF(AA72=0,"",IFERROR(AA72/AA$19,""))</f>
        <v>0.40836977271120328</v>
      </c>
      <c r="AC72" s="11"/>
      <c r="AD72" s="119">
        <f>SUMIF($H$35:$H$70,"400000",AD35:AD70)-SUMIF($H$35:$H$70,"500001",AD35:AD70)</f>
        <v>1206933.044</v>
      </c>
      <c r="AE72" s="188">
        <f>IF(AD72=0,"",IFERROR(AD72/AD$19,""))</f>
        <v>0.78162885132943183</v>
      </c>
      <c r="AF72" s="121">
        <f t="shared" si="14"/>
        <v>-1132485.1639999999</v>
      </c>
      <c r="AG72" s="119">
        <f>SUMIF($H$35:$H$70,"400000",AG35:AG70)-SUMIF($H$35:$H$70,"500001",AG35:AG70)</f>
        <v>-1628.33</v>
      </c>
      <c r="AH72" s="188" t="str">
        <f>IF(AG72=0,"",IFERROR(AG72/AG$19,""))</f>
        <v/>
      </c>
      <c r="AI72" s="121">
        <f t="shared" si="15"/>
        <v>76076.210000000006</v>
      </c>
      <c r="AJ72" s="189">
        <f>IFERROR(AA72/AA$20,0)</f>
        <v>13.171953290870489</v>
      </c>
      <c r="AK72" s="190">
        <f>IFERROR(AD72/AD$20,0)</f>
        <v>35.353497290488882</v>
      </c>
      <c r="AL72" s="191">
        <f>IFERROR(AG72/AG$20,0)</f>
        <v>0</v>
      </c>
      <c r="AM72" s="403" t="str">
        <f>+IFERROR(ROUND(($AB72-AE72)*100,2)&amp;" pts.",0)</f>
        <v>-37.33 pts.</v>
      </c>
      <c r="AN72" s="404">
        <f>+IFERROR(ROUND(($AB72-AH72)*100,2)&amp;" pts.",0)</f>
        <v>0</v>
      </c>
      <c r="AO72" s="11"/>
    </row>
    <row r="73" spans="1:41" x14ac:dyDescent="0.25">
      <c r="A73" s="11" t="s">
        <v>100</v>
      </c>
      <c r="B73" s="11"/>
      <c r="C73" s="49" t="s">
        <v>101</v>
      </c>
      <c r="D73" s="11" t="s">
        <v>106</v>
      </c>
      <c r="E73" s="11"/>
      <c r="F73" s="11" t="s">
        <v>98</v>
      </c>
      <c r="G73" s="11"/>
      <c r="H73" s="11"/>
      <c r="I73" s="55"/>
      <c r="J73" s="55"/>
      <c r="K73" s="11"/>
      <c r="L73" s="11"/>
      <c r="M73" s="11"/>
      <c r="N73" s="11"/>
      <c r="O73" s="389"/>
      <c r="P73" s="390"/>
      <c r="Q73" s="390"/>
      <c r="R73" s="390"/>
      <c r="S73" s="390"/>
      <c r="T73" s="390"/>
      <c r="U73" s="390"/>
      <c r="V73" s="390"/>
      <c r="W73" s="390"/>
      <c r="X73" s="390"/>
      <c r="Y73" s="390"/>
      <c r="Z73" s="390"/>
      <c r="AA73" s="390"/>
      <c r="AB73" s="114"/>
      <c r="AC73" s="11"/>
      <c r="AD73" s="199"/>
      <c r="AE73" s="200"/>
      <c r="AF73" s="114"/>
      <c r="AG73" s="200"/>
      <c r="AH73" s="200"/>
      <c r="AI73" s="114"/>
      <c r="AJ73" s="11"/>
      <c r="AK73" s="11"/>
      <c r="AL73" s="11"/>
      <c r="AM73" s="11"/>
      <c r="AN73" s="11"/>
      <c r="AO73" s="11"/>
    </row>
    <row r="74" spans="1:41" x14ac:dyDescent="0.25">
      <c r="A74" s="11" t="s">
        <v>102</v>
      </c>
      <c r="B74" s="11"/>
      <c r="C74" s="102" t="s">
        <v>101</v>
      </c>
      <c r="D74" s="11" t="s">
        <v>106</v>
      </c>
      <c r="E74" s="11"/>
      <c r="F74" s="11" t="s">
        <v>98</v>
      </c>
      <c r="G74" s="11"/>
      <c r="H74" s="11" t="s">
        <v>73</v>
      </c>
      <c r="I74" s="55" t="str">
        <f>IF(_epmOfflineCondition_,"B1",_xll.EVPRO($B$1,$H74,"STYLE"))</f>
        <v>B1</v>
      </c>
      <c r="J74" s="55" t="str">
        <f>IF(_epmOfflineCondition_,"Y",_xll.EVPRO($B$1,$H74,"CALC"))</f>
        <v>Y</v>
      </c>
      <c r="K74" s="11"/>
      <c r="L74" s="11"/>
      <c r="M74" s="11"/>
      <c r="N74" s="101" t="str">
        <f>IF(_epmOfflineCondition_,"Labor &amp; Related Expenses",IF(_xll.EVDES(H74,$B$1)="#NODATA","",_xll.EVDES(H74,$B$1)))</f>
        <v>Labor &amp; Related Expenses</v>
      </c>
      <c r="O74" s="199"/>
      <c r="P74" s="200"/>
      <c r="Q74" s="200"/>
      <c r="R74" s="200"/>
      <c r="S74" s="200"/>
      <c r="T74" s="200"/>
      <c r="U74" s="200"/>
      <c r="V74" s="200"/>
      <c r="W74" s="200"/>
      <c r="X74" s="200"/>
      <c r="Y74" s="200"/>
      <c r="Z74" s="200"/>
      <c r="AA74" s="200"/>
      <c r="AB74" s="406"/>
      <c r="AC74" s="11"/>
      <c r="AD74" s="407"/>
      <c r="AE74" s="408"/>
      <c r="AF74" s="114"/>
      <c r="AG74" s="200"/>
      <c r="AH74" s="408"/>
      <c r="AI74" s="114"/>
      <c r="AJ74" s="11"/>
      <c r="AK74" s="11"/>
      <c r="AL74" s="11"/>
      <c r="AM74" s="11"/>
      <c r="AN74" s="11"/>
      <c r="AO74" s="11"/>
    </row>
    <row r="75" spans="1:41" x14ac:dyDescent="0.25">
      <c r="A75" s="11" t="s">
        <v>102</v>
      </c>
      <c r="B75" s="11"/>
      <c r="C75" s="192" t="s">
        <v>101</v>
      </c>
      <c r="D75" s="11" t="s">
        <v>107</v>
      </c>
      <c r="E75" s="11"/>
      <c r="F75" s="11" t="s">
        <v>99</v>
      </c>
      <c r="G75" s="11"/>
      <c r="H75" s="11" t="s">
        <v>74</v>
      </c>
      <c r="I75" s="55" t="str">
        <f>IF(_epmOfflineCondition_,"B1",_xll.EVPRO($B$1,$H75,"STYLE"))</f>
        <v>B1</v>
      </c>
      <c r="J75" s="55" t="str">
        <f>IF(_epmOfflineCondition_,"Y",_xll.EVPRO($B$1,$H75,"CALC"))</f>
        <v>Y</v>
      </c>
      <c r="K75" s="11"/>
      <c r="L75" s="11"/>
      <c r="M75" s="11"/>
      <c r="N75" s="49" t="str">
        <f>IF(_epmOfflineCondition_,"Salaries &amp; Wages",IF(_xll.EVDES(H75,$B$1)="#NODATA","",_xll.EVDES(H75,$B$1)))</f>
        <v>Salaries &amp; Wages</v>
      </c>
      <c r="O75" s="115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7"/>
      <c r="AC75" s="11"/>
      <c r="AD75" s="115"/>
      <c r="AE75" s="116"/>
      <c r="AF75" s="117"/>
      <c r="AG75" s="116"/>
      <c r="AH75" s="116"/>
      <c r="AI75" s="117"/>
      <c r="AJ75" s="11"/>
      <c r="AK75" s="11"/>
      <c r="AL75" s="11"/>
      <c r="AM75" s="11"/>
      <c r="AN75" s="11"/>
      <c r="AO75" s="11"/>
    </row>
    <row r="76" spans="1:41" x14ac:dyDescent="0.25">
      <c r="A76" s="11" t="s">
        <v>108</v>
      </c>
      <c r="B76" s="11"/>
      <c r="C76" s="102" t="s">
        <v>101</v>
      </c>
      <c r="D76" s="11" t="s">
        <v>106</v>
      </c>
      <c r="E76" s="11"/>
      <c r="F76" s="11" t="s">
        <v>98</v>
      </c>
      <c r="G76" s="11"/>
      <c r="H76" s="84" t="s">
        <v>844</v>
      </c>
      <c r="I76" s="118" t="str">
        <f>IF(_epmOfflineCondition_,"T3",_xll.EVPRO($B$1,$H76,"STYLE"))</f>
        <v>T3</v>
      </c>
      <c r="J76" s="118" t="str">
        <f>IF(_epmOfflineCondition_,"Y",_xll.EVPRO($B$1,$H76,"CALC"))</f>
        <v>Y</v>
      </c>
      <c r="K76" s="175" t="str">
        <f t="shared" ref="K76:K90" si="22">IF(AND(I76&gt;="T3"),"&gt;","")</f>
        <v>&gt;</v>
      </c>
      <c r="L76" s="86" t="str">
        <f>IF(_epmOfflineCondition_,"",_xll.EVPRO($B$1,H76,"JDEID"))</f>
        <v/>
      </c>
      <c r="M76" s="86" t="str">
        <f>IF(_epmOfflineCondition_,"",IF(AND(I76="N",J76="N"),_xll.EVPRO($B$1,H76,"PSFTID"),""))</f>
        <v/>
      </c>
      <c r="N76" s="86" t="str">
        <f>IF(_epmOfflineCondition_,"Management - F&amp;B Service",IF(_xll.EVDES(H76,$B$1)="#NODATA","",_xll.EVDES(H76,$B$1)))</f>
        <v>Management - F&amp;B Service</v>
      </c>
      <c r="O76" s="240">
        <v>14415.38</v>
      </c>
      <c r="P76" s="240">
        <v>12630.72</v>
      </c>
      <c r="Q76" s="240">
        <v>11630.92</v>
      </c>
      <c r="R76" s="240">
        <v>10342.6</v>
      </c>
      <c r="S76" s="240">
        <v>12991.02</v>
      </c>
      <c r="T76" s="240">
        <v>11047.9</v>
      </c>
      <c r="U76" s="240">
        <v>7981.34</v>
      </c>
      <c r="V76" s="240">
        <v>7257.07</v>
      </c>
      <c r="W76" s="240">
        <v>12324.31</v>
      </c>
      <c r="X76" s="240">
        <v>12963.02</v>
      </c>
      <c r="Y76" s="240">
        <v>12365.35</v>
      </c>
      <c r="Z76" s="240">
        <v>12116.04</v>
      </c>
      <c r="AA76" s="223">
        <f t="shared" ref="AA76:AA90" si="23">IF($I76="B1","",SUM(O76:Z76))</f>
        <v>138065.66999999998</v>
      </c>
      <c r="AB76" s="242">
        <f t="shared" ref="AB76:AB90" si="24">IF(AA76=0,"",IFERROR(AA76/AA$19,""))</f>
        <v>0.7573331339605639</v>
      </c>
      <c r="AC76" s="136"/>
      <c r="AD76" s="240">
        <v>136894.54294710699</v>
      </c>
      <c r="AE76" s="242">
        <f t="shared" ref="AE76:AE90" si="25">IF(AD76=0,"",IFERROR(AD76/AD$19,""))</f>
        <v>8.865506242367395E-2</v>
      </c>
      <c r="AF76" s="243">
        <f t="shared" ref="AF76:AF90" si="26">IF(AND($AA76="",AD76=""),"",$AA76-AD76)</f>
        <v>1171.127052892989</v>
      </c>
      <c r="AG76" s="240">
        <v>93571.66</v>
      </c>
      <c r="AH76" s="242" t="str">
        <f t="shared" ref="AH76:AH90" si="27">IF(AG76=0,"",IFERROR(AG76/AG$19,""))</f>
        <v/>
      </c>
      <c r="AI76" s="243">
        <f t="shared" ref="AI76:AI90" si="28">IF(AND($AA76="",AG76=""),"",$AA76-AG76)</f>
        <v>44494.00999999998</v>
      </c>
      <c r="AJ76" s="224">
        <f t="shared" ref="AJ76:AJ90" si="29">IFERROR(AA76/AA$20,0)</f>
        <v>24.42775477707006</v>
      </c>
      <c r="AK76" s="225">
        <f t="shared" ref="AK76:AK90" si="30">IFERROR(AD76/AD$20,0)</f>
        <v>4.0099166040922993</v>
      </c>
      <c r="AL76" s="227">
        <f t="shared" ref="AL76:AL90" si="31">IFERROR(AG76/AG$20,0)</f>
        <v>0</v>
      </c>
      <c r="AM76" s="419" t="str">
        <f t="shared" ref="AM76:AM90" si="32">+IFERROR(ROUND(($AB76-AE76)*100,2)&amp;" pts.",0)</f>
        <v>66.87 pts.</v>
      </c>
      <c r="AN76" s="420">
        <f t="shared" ref="AN76:AN90" si="33">+IFERROR(ROUND(($AB76-AH76)*100,2)&amp;" pts.",0)</f>
        <v>0</v>
      </c>
      <c r="AO76" s="11"/>
    </row>
    <row r="77" spans="1:41" x14ac:dyDescent="0.25">
      <c r="A77" s="11" t="s">
        <v>108</v>
      </c>
      <c r="B77" s="11"/>
      <c r="C77" s="192" t="s">
        <v>101</v>
      </c>
      <c r="D77" s="11" t="s">
        <v>107</v>
      </c>
      <c r="E77" s="11"/>
      <c r="F77" s="11" t="s">
        <v>99</v>
      </c>
      <c r="G77" s="11"/>
      <c r="H77" s="84" t="s">
        <v>845</v>
      </c>
      <c r="I77" s="118" t="str">
        <f>IF(_epmOfflineCondition_,"T3",_xll.EVPRO($B$1,$H77,"STYLE"))</f>
        <v>T3</v>
      </c>
      <c r="J77" s="118" t="str">
        <f>IF(_epmOfflineCondition_,"Y",_xll.EVPRO($B$1,$H77,"CALC"))</f>
        <v>Y</v>
      </c>
      <c r="K77" s="175" t="str">
        <f t="shared" si="22"/>
        <v>&gt;</v>
      </c>
      <c r="L77" s="86" t="str">
        <f>IF(_epmOfflineCondition_,"",_xll.EVPRO($B$1,H77,"JDEID"))</f>
        <v/>
      </c>
      <c r="M77" s="86" t="str">
        <f>IF(_epmOfflineCondition_,"",IF(AND(I77="N",J77="N"),_xll.EVPRO($B$1,H77,"PSFTID"),""))</f>
        <v/>
      </c>
      <c r="N77" s="86" t="str">
        <f>IF(_epmOfflineCondition_,"Management - F&amp;B Kitchen",IF(_xll.EVDES(H77,$B$1)="#NODATA","",_xll.EVDES(H77,$B$1)))</f>
        <v>Management - F&amp;B Kitchen</v>
      </c>
      <c r="O77" s="240">
        <v>6866.66</v>
      </c>
      <c r="P77" s="240">
        <v>6866.66</v>
      </c>
      <c r="Q77" s="240">
        <v>5282.18</v>
      </c>
      <c r="R77" s="240">
        <v>7693.59</v>
      </c>
      <c r="S77" s="240">
        <v>7072.66</v>
      </c>
      <c r="T77" s="240">
        <v>6093.5</v>
      </c>
      <c r="U77" s="240">
        <v>4787.91</v>
      </c>
      <c r="V77" s="240">
        <v>6746.36</v>
      </c>
      <c r="W77" s="240">
        <v>8829.69</v>
      </c>
      <c r="X77" s="240">
        <v>11239.32</v>
      </c>
      <c r="Y77" s="240">
        <v>11070.38</v>
      </c>
      <c r="Z77" s="240">
        <v>10913.02</v>
      </c>
      <c r="AA77" s="223">
        <f t="shared" si="23"/>
        <v>93461.930000000008</v>
      </c>
      <c r="AB77" s="242">
        <f t="shared" si="24"/>
        <v>0.51266774972303297</v>
      </c>
      <c r="AC77" s="136"/>
      <c r="AD77" s="240">
        <v>128265.761224189</v>
      </c>
      <c r="AE77" s="242">
        <f t="shared" si="25"/>
        <v>8.3066927456298914E-2</v>
      </c>
      <c r="AF77" s="243">
        <f t="shared" si="26"/>
        <v>-34803.831224188994</v>
      </c>
      <c r="AG77" s="240">
        <v>54482.65</v>
      </c>
      <c r="AH77" s="242" t="str">
        <f t="shared" si="27"/>
        <v/>
      </c>
      <c r="AI77" s="243">
        <f t="shared" si="28"/>
        <v>38979.280000000006</v>
      </c>
      <c r="AJ77" s="224">
        <f t="shared" si="29"/>
        <v>16.536081033262562</v>
      </c>
      <c r="AK77" s="225">
        <f t="shared" si="30"/>
        <v>3.7571622257297812</v>
      </c>
      <c r="AL77" s="227">
        <f t="shared" si="31"/>
        <v>0</v>
      </c>
      <c r="AM77" s="419" t="str">
        <f t="shared" si="32"/>
        <v>42.96 pts.</v>
      </c>
      <c r="AN77" s="420">
        <f t="shared" si="33"/>
        <v>0</v>
      </c>
      <c r="AO77" s="11"/>
    </row>
    <row r="78" spans="1:41" x14ac:dyDescent="0.25">
      <c r="A78" s="11"/>
      <c r="B78" s="11"/>
      <c r="C78" s="11"/>
      <c r="D78" s="11"/>
      <c r="E78" s="11"/>
      <c r="F78" s="11"/>
      <c r="G78" s="11"/>
      <c r="H78" s="84" t="s">
        <v>75</v>
      </c>
      <c r="I78" s="85" t="str">
        <f>IF(_epmOfflineCondition_,"B1",_xll.EVPRO($B$1,$H78,"STYLE"))</f>
        <v>B1</v>
      </c>
      <c r="J78" s="85" t="str">
        <f>IF(_epmOfflineCondition_,"Y",_xll.EVPRO($B$1,$H78,"CALC"))</f>
        <v>Y</v>
      </c>
      <c r="K78" s="261" t="str">
        <f t="shared" si="22"/>
        <v/>
      </c>
      <c r="L78" s="102" t="str">
        <f>IF(_epmOfflineCondition_,"",_xll.EVPRO($B$1,H78,"JDEID"))</f>
        <v/>
      </c>
      <c r="M78" s="86" t="str">
        <f>IF(_epmOfflineCondition_,"",IF(AND(I78="N",J78="N"),_xll.EVPRO($B$1,H78,"PSFTID"),""))</f>
        <v/>
      </c>
      <c r="N78" s="102" t="str">
        <f>IF(_epmOfflineCondition_,"Non-Management",IF(_xll.EVDES(H78,$B$1)="#NODATA","",_xll.EVDES(H78,$B$1)))</f>
        <v>Non-Management</v>
      </c>
      <c r="O78" s="193"/>
      <c r="P78" s="193"/>
      <c r="Q78" s="193"/>
      <c r="R78" s="193"/>
      <c r="S78" s="193"/>
      <c r="T78" s="193"/>
      <c r="U78" s="193"/>
      <c r="V78" s="193"/>
      <c r="W78" s="193"/>
      <c r="X78" s="193"/>
      <c r="Y78" s="193"/>
      <c r="Z78" s="193"/>
      <c r="AA78" s="176" t="str">
        <f t="shared" si="23"/>
        <v/>
      </c>
      <c r="AB78" s="194" t="str">
        <f t="shared" si="24"/>
        <v/>
      </c>
      <c r="AC78" s="11"/>
      <c r="AD78" s="193"/>
      <c r="AE78" s="194" t="str">
        <f t="shared" si="25"/>
        <v/>
      </c>
      <c r="AF78" s="195" t="str">
        <f t="shared" si="26"/>
        <v/>
      </c>
      <c r="AG78" s="193"/>
      <c r="AH78" s="194" t="str">
        <f t="shared" si="27"/>
        <v/>
      </c>
      <c r="AI78" s="195" t="str">
        <f t="shared" si="28"/>
        <v/>
      </c>
      <c r="AJ78" s="177">
        <f t="shared" si="29"/>
        <v>0</v>
      </c>
      <c r="AK78" s="178">
        <f t="shared" si="30"/>
        <v>0</v>
      </c>
      <c r="AL78" s="180">
        <f t="shared" si="31"/>
        <v>0</v>
      </c>
      <c r="AM78" s="381">
        <f t="shared" si="32"/>
        <v>0</v>
      </c>
      <c r="AN78" s="382">
        <f t="shared" si="33"/>
        <v>0</v>
      </c>
      <c r="AO78" s="11"/>
    </row>
    <row r="79" spans="1:41" x14ac:dyDescent="0.25">
      <c r="A79" s="11"/>
      <c r="B79" s="11"/>
      <c r="C79" s="204"/>
      <c r="D79" s="11"/>
      <c r="E79" s="11"/>
      <c r="F79" s="11"/>
      <c r="G79" s="11"/>
      <c r="H79" s="84" t="s">
        <v>834</v>
      </c>
      <c r="I79" s="118" t="str">
        <f>IF(_epmOfflineCondition_,"T3",_xll.EVPRO($B$1,$H79,"STYLE"))</f>
        <v>T3</v>
      </c>
      <c r="J79" s="118" t="str">
        <f>IF(_epmOfflineCondition_,"Y",_xll.EVPRO($B$1,$H79,"CALC"))</f>
        <v>Y</v>
      </c>
      <c r="K79" s="175" t="str">
        <f t="shared" si="22"/>
        <v>&gt;</v>
      </c>
      <c r="L79" s="86" t="str">
        <f>IF(_epmOfflineCondition_,"",_xll.EVPRO($B$1,H79,"JDEID"))</f>
        <v/>
      </c>
      <c r="M79" s="86" t="str">
        <f>IF(_epmOfflineCondition_,"",IF(AND(I79="N",J79="N"),_xll.EVPRO($B$1,H79,"PSFTID"),""))</f>
        <v/>
      </c>
      <c r="N79" s="86" t="str">
        <f>IF(_epmOfflineCondition_,"F&amp;B Kitchen",IF(_xll.EVDES(H79,$B$1)="#NODATA","",_xll.EVDES(H79,$B$1)))</f>
        <v>F&amp;B Kitchen</v>
      </c>
      <c r="O79" s="248"/>
      <c r="P79" s="248"/>
      <c r="Q79" s="248"/>
      <c r="R79" s="248"/>
      <c r="S79" s="248"/>
      <c r="T79" s="248"/>
      <c r="U79" s="248"/>
      <c r="V79" s="248"/>
      <c r="W79" s="248">
        <v>832</v>
      </c>
      <c r="X79" s="248">
        <v>11630.41</v>
      </c>
      <c r="Y79" s="248">
        <v>14775.54</v>
      </c>
      <c r="Z79" s="248">
        <v>21665.07</v>
      </c>
      <c r="AA79" s="229">
        <f t="shared" si="23"/>
        <v>48903.020000000004</v>
      </c>
      <c r="AB79" s="249">
        <f t="shared" si="24"/>
        <v>0.26824827197619905</v>
      </c>
      <c r="AC79" s="136"/>
      <c r="AD79" s="248">
        <v>204557.98</v>
      </c>
      <c r="AE79" s="249">
        <f t="shared" si="25"/>
        <v>0.13247497011745493</v>
      </c>
      <c r="AF79" s="250">
        <f t="shared" si="26"/>
        <v>-155654.96000000002</v>
      </c>
      <c r="AG79" s="248"/>
      <c r="AH79" s="249" t="str">
        <f t="shared" si="27"/>
        <v/>
      </c>
      <c r="AI79" s="250">
        <f t="shared" si="28"/>
        <v>48903.020000000004</v>
      </c>
      <c r="AJ79" s="224">
        <f t="shared" si="29"/>
        <v>8.6523389950460015</v>
      </c>
      <c r="AK79" s="225">
        <f t="shared" si="30"/>
        <v>5.9919148188289055</v>
      </c>
      <c r="AL79" s="227">
        <f t="shared" si="31"/>
        <v>0</v>
      </c>
      <c r="AM79" s="419" t="str">
        <f t="shared" si="32"/>
        <v>13.58 pts.</v>
      </c>
      <c r="AN79" s="420">
        <f t="shared" si="33"/>
        <v>0</v>
      </c>
      <c r="AO79" s="11"/>
    </row>
    <row r="80" spans="1:41" x14ac:dyDescent="0.25">
      <c r="A80" s="56" t="str">
        <f>IF(_epmOfflineCondition_,"Evdre:Ok",_xll.EVDRE($B$1,A83:B90,A93:B99))</f>
        <v>Evdre:Ok</v>
      </c>
      <c r="B80" s="11"/>
      <c r="C80" s="11"/>
      <c r="D80" s="11"/>
      <c r="E80" s="11"/>
      <c r="F80" s="11"/>
      <c r="G80" s="11"/>
      <c r="H80" s="84" t="s">
        <v>835</v>
      </c>
      <c r="I80" s="118" t="str">
        <f>IF(_epmOfflineCondition_,"T3",_xll.EVPRO($B$1,$H80,"STYLE"))</f>
        <v>T3</v>
      </c>
      <c r="J80" s="118" t="str">
        <f>IF(_epmOfflineCondition_,"Y",_xll.EVPRO($B$1,$H80,"CALC"))</f>
        <v>Y</v>
      </c>
      <c r="K80" s="175" t="str">
        <f t="shared" si="22"/>
        <v>&gt;</v>
      </c>
      <c r="L80" s="86" t="str">
        <f>IF(_epmOfflineCondition_,"",_xll.EVPRO($B$1,H80,"JDEID"))</f>
        <v/>
      </c>
      <c r="M80" s="86" t="str">
        <f>IF(_epmOfflineCondition_,"",IF(AND(I80="N",J80="N"),_xll.EVPRO($B$1,H80,"PSFTID"),""))</f>
        <v/>
      </c>
      <c r="N80" s="86" t="str">
        <f>IF(_epmOfflineCondition_,"F&amp;B Venues",IF(_xll.EVDES(H80,$B$1)="#NODATA","",_xll.EVDES(H80,$B$1)))</f>
        <v>F&amp;B Venues</v>
      </c>
      <c r="O80" s="248"/>
      <c r="P80" s="248"/>
      <c r="Q80" s="248"/>
      <c r="R80" s="248"/>
      <c r="S80" s="248"/>
      <c r="T80" s="248"/>
      <c r="U80" s="248"/>
      <c r="V80" s="248"/>
      <c r="W80" s="248">
        <v>194.03</v>
      </c>
      <c r="X80" s="248">
        <v>13490.82</v>
      </c>
      <c r="Y80" s="248">
        <v>36855.129999999997</v>
      </c>
      <c r="Z80" s="248">
        <v>19083.82</v>
      </c>
      <c r="AA80" s="229">
        <f t="shared" si="23"/>
        <v>69623.799999999988</v>
      </c>
      <c r="AB80" s="249">
        <f t="shared" si="24"/>
        <v>0.3819081937765087</v>
      </c>
      <c r="AC80" s="136"/>
      <c r="AD80" s="248">
        <v>151046.91</v>
      </c>
      <c r="AE80" s="249">
        <f t="shared" si="25"/>
        <v>9.7820358260205256E-2</v>
      </c>
      <c r="AF80" s="250">
        <f t="shared" si="26"/>
        <v>-81423.110000000015</v>
      </c>
      <c r="AG80" s="248"/>
      <c r="AH80" s="249" t="str">
        <f t="shared" si="27"/>
        <v/>
      </c>
      <c r="AI80" s="250">
        <f t="shared" si="28"/>
        <v>69623.799999999988</v>
      </c>
      <c r="AJ80" s="232">
        <f t="shared" si="29"/>
        <v>12.31843595187544</v>
      </c>
      <c r="AK80" s="233">
        <f t="shared" si="30"/>
        <v>4.4244679106007796</v>
      </c>
      <c r="AL80" s="235">
        <f t="shared" si="31"/>
        <v>0</v>
      </c>
      <c r="AM80" s="421" t="str">
        <f t="shared" si="32"/>
        <v>28.41 pts.</v>
      </c>
      <c r="AN80" s="422">
        <f t="shared" si="33"/>
        <v>0</v>
      </c>
      <c r="AO80" s="11"/>
    </row>
    <row r="81" spans="1:41" x14ac:dyDescent="0.25">
      <c r="A81" s="11"/>
      <c r="B81" s="11"/>
      <c r="C81" s="11"/>
      <c r="D81" s="11"/>
      <c r="E81" s="11"/>
      <c r="F81" s="11"/>
      <c r="G81" s="11"/>
      <c r="H81" s="84" t="s">
        <v>812</v>
      </c>
      <c r="I81" s="184" t="str">
        <f>IF(_epmOfflineCondition_,"T2",_xll.EVPRO($B$1,$H81,"STYLE"))</f>
        <v>T2</v>
      </c>
      <c r="J81" s="184" t="str">
        <f>IF(_epmOfflineCondition_,"Y",_xll.EVPRO($B$1,$H81,"CALC"))</f>
        <v>Y</v>
      </c>
      <c r="K81" s="185" t="str">
        <f t="shared" si="22"/>
        <v/>
      </c>
      <c r="L81" s="186" t="str">
        <f>IF(_epmOfflineCondition_,"",_xll.EVPRO($B$1,H81,"JDEID"))</f>
        <v/>
      </c>
      <c r="M81" s="186" t="str">
        <f>IF(_epmOfflineCondition_,"",IF(AND(I81="N",J81="N"),_xll.EVPRO($B$1,H81,"PSFTID"),""))</f>
        <v/>
      </c>
      <c r="N81" s="186" t="str">
        <f>IF(_epmOfflineCondition_,"Total Salaries and Wages",IF(_xll.EVDES(H81,$B$1)="#NODATA","",_xll.EVDES(H81,$B$1)))</f>
        <v>Total Salaries and Wages</v>
      </c>
      <c r="O81" s="236">
        <v>21282.04</v>
      </c>
      <c r="P81" s="236">
        <v>19497.38</v>
      </c>
      <c r="Q81" s="236">
        <v>16913.099999999999</v>
      </c>
      <c r="R81" s="236">
        <v>18036.189999999999</v>
      </c>
      <c r="S81" s="236">
        <v>20063.68</v>
      </c>
      <c r="T81" s="236">
        <v>17141.400000000001</v>
      </c>
      <c r="U81" s="236">
        <v>12769.25</v>
      </c>
      <c r="V81" s="236">
        <v>14003.43</v>
      </c>
      <c r="W81" s="236">
        <v>22180.03</v>
      </c>
      <c r="X81" s="236">
        <v>49323.57</v>
      </c>
      <c r="Y81" s="236">
        <v>75066.399999999994</v>
      </c>
      <c r="Z81" s="236">
        <v>63777.95</v>
      </c>
      <c r="AA81" s="236">
        <f t="shared" si="23"/>
        <v>350054.42</v>
      </c>
      <c r="AB81" s="237">
        <f t="shared" si="24"/>
        <v>1.9201573494363047</v>
      </c>
      <c r="AC81" s="238"/>
      <c r="AD81" s="236">
        <v>620765.19417129597</v>
      </c>
      <c r="AE81" s="237">
        <f t="shared" si="25"/>
        <v>0.40201731825763304</v>
      </c>
      <c r="AF81" s="239">
        <f t="shared" si="26"/>
        <v>-270710.77417129598</v>
      </c>
      <c r="AG81" s="236">
        <v>148054.31</v>
      </c>
      <c r="AH81" s="237" t="str">
        <f t="shared" si="27"/>
        <v/>
      </c>
      <c r="AI81" s="239">
        <f t="shared" si="28"/>
        <v>202000.11</v>
      </c>
      <c r="AJ81" s="215">
        <f t="shared" si="29"/>
        <v>61.934610757254063</v>
      </c>
      <c r="AK81" s="216">
        <f t="shared" si="30"/>
        <v>18.183461559251764</v>
      </c>
      <c r="AL81" s="218">
        <f t="shared" si="31"/>
        <v>0</v>
      </c>
      <c r="AM81" s="423" t="str">
        <f t="shared" si="32"/>
        <v>151.81 pts.</v>
      </c>
      <c r="AN81" s="424">
        <f t="shared" si="33"/>
        <v>0</v>
      </c>
      <c r="AO81" s="11"/>
    </row>
    <row r="82" spans="1:41" x14ac:dyDescent="0.25">
      <c r="A82" s="57" t="s">
        <v>0</v>
      </c>
      <c r="B82" s="58" t="s">
        <v>1</v>
      </c>
      <c r="C82" s="11"/>
      <c r="D82" s="11"/>
      <c r="E82" s="11"/>
      <c r="F82" s="11"/>
      <c r="G82" s="11"/>
      <c r="H82" s="84" t="s">
        <v>836</v>
      </c>
      <c r="I82" s="118" t="str">
        <f>IF(_epmOfflineCondition_,"T3",_xll.EVPRO($B$1,$H82,"STYLE"))</f>
        <v>T3</v>
      </c>
      <c r="J82" s="118" t="str">
        <f>IF(_epmOfflineCondition_,"Y",_xll.EVPRO($B$1,$H82,"CALC"))</f>
        <v>Y</v>
      </c>
      <c r="K82" s="175" t="str">
        <f t="shared" si="22"/>
        <v>&gt;</v>
      </c>
      <c r="L82" s="86" t="str">
        <f>IF(_epmOfflineCondition_,"",_xll.EVPRO($B$1,H82,"JDEID"))</f>
        <v/>
      </c>
      <c r="M82" s="86" t="str">
        <f>IF(_epmOfflineCondition_,"",IF(AND(I82="N",J82="N"),_xll.EVPRO($B$1,H82,"PSFTID"),""))</f>
        <v/>
      </c>
      <c r="N82" s="86" t="str">
        <f>IF(_epmOfflineCondition_,"Service Charge Distribution",IF(_xll.EVDES(H82,$B$1)="#NODATA","",_xll.EVDES(H82,$B$1)))</f>
        <v>Service Charge Distribution</v>
      </c>
      <c r="O82" s="248"/>
      <c r="P82" s="248"/>
      <c r="Q82" s="248"/>
      <c r="R82" s="248"/>
      <c r="S82" s="248"/>
      <c r="T82" s="248"/>
      <c r="U82" s="248"/>
      <c r="V82" s="248"/>
      <c r="W82" s="248"/>
      <c r="X82" s="248">
        <v>2933.47</v>
      </c>
      <c r="Y82" s="248">
        <v>11190.17</v>
      </c>
      <c r="Z82" s="248">
        <v>15564.55</v>
      </c>
      <c r="AA82" s="248">
        <f t="shared" si="23"/>
        <v>29688.19</v>
      </c>
      <c r="AB82" s="249">
        <f t="shared" si="24"/>
        <v>0.16284895422820658</v>
      </c>
      <c r="AC82" s="136"/>
      <c r="AD82" s="248">
        <v>235132.704</v>
      </c>
      <c r="AE82" s="249">
        <f t="shared" si="25"/>
        <v>0.15227564300369201</v>
      </c>
      <c r="AF82" s="250">
        <f t="shared" si="26"/>
        <v>-205444.514</v>
      </c>
      <c r="AG82" s="248"/>
      <c r="AH82" s="249" t="str">
        <f t="shared" si="27"/>
        <v/>
      </c>
      <c r="AI82" s="250">
        <f t="shared" si="28"/>
        <v>29688.19</v>
      </c>
      <c r="AJ82" s="244">
        <f t="shared" si="29"/>
        <v>5.2526875442321304</v>
      </c>
      <c r="AK82" s="245">
        <f t="shared" si="30"/>
        <v>6.887510003222121</v>
      </c>
      <c r="AL82" s="247">
        <f t="shared" si="31"/>
        <v>0</v>
      </c>
      <c r="AM82" s="425" t="str">
        <f t="shared" si="32"/>
        <v>1.06 pts.</v>
      </c>
      <c r="AN82" s="426">
        <f t="shared" si="33"/>
        <v>0</v>
      </c>
      <c r="AO82" s="11"/>
    </row>
    <row r="83" spans="1:41" x14ac:dyDescent="0.25">
      <c r="A83" s="61" t="s">
        <v>2</v>
      </c>
      <c r="B83" s="62" t="str">
        <f>IF(_epmOfflineCondition_,"'Venue1'!$B$2:$B$10",_xll.EVRNG($B$2:$B$10))</f>
        <v>'Venue1'!$B$2:$B$10</v>
      </c>
      <c r="C83" s="11"/>
      <c r="D83" s="11"/>
      <c r="E83" s="11"/>
      <c r="F83" s="11"/>
      <c r="G83" s="11"/>
      <c r="H83" s="84" t="s">
        <v>904</v>
      </c>
      <c r="I83" s="118" t="str">
        <f>IF(_epmOfflineCondition_,"T3",_xll.EVPRO($B$1,$H83,"STYLE"))</f>
        <v>T3</v>
      </c>
      <c r="J83" s="118" t="str">
        <f>IF(_epmOfflineCondition_,"Y",_xll.EVPRO($B$1,$H83,"CALC"))</f>
        <v>Y</v>
      </c>
      <c r="K83" s="175" t="str">
        <f t="shared" si="22"/>
        <v>&gt;</v>
      </c>
      <c r="L83" s="86" t="str">
        <f>IF(_epmOfflineCondition_,"",_xll.EVPRO($B$1,H83,"JDEID"))</f>
        <v/>
      </c>
      <c r="M83" s="86" t="str">
        <f>IF(_epmOfflineCondition_,"",IF(AND(I83="N",J83="N"),_xll.EVPRO($B$1,H83,"PSFTID"),""))</f>
        <v/>
      </c>
      <c r="N83" s="86" t="str">
        <f>IF(_epmOfflineCondition_,"Contracted &amp; Leased Labor",IF(_xll.EVDES(H83,$B$1)="#NODATA","",_xll.EVDES(H83,$B$1)))</f>
        <v>Contracted &amp; Leased Labor</v>
      </c>
      <c r="O83" s="248"/>
      <c r="P83" s="248"/>
      <c r="Q83" s="248"/>
      <c r="R83" s="248"/>
      <c r="S83" s="248"/>
      <c r="T83" s="248"/>
      <c r="U83" s="248"/>
      <c r="V83" s="248"/>
      <c r="W83" s="248"/>
      <c r="X83" s="248"/>
      <c r="Y83" s="248"/>
      <c r="Z83" s="248"/>
      <c r="AA83" s="229">
        <f t="shared" si="23"/>
        <v>0</v>
      </c>
      <c r="AB83" s="249" t="str">
        <f t="shared" si="24"/>
        <v/>
      </c>
      <c r="AC83" s="136"/>
      <c r="AD83" s="248">
        <v>12000</v>
      </c>
      <c r="AE83" s="249">
        <f t="shared" si="25"/>
        <v>7.771389028232773E-3</v>
      </c>
      <c r="AF83" s="250">
        <f t="shared" si="26"/>
        <v>-12000</v>
      </c>
      <c r="AG83" s="248"/>
      <c r="AH83" s="249" t="str">
        <f t="shared" si="27"/>
        <v/>
      </c>
      <c r="AI83" s="250">
        <f t="shared" si="28"/>
        <v>0</v>
      </c>
      <c r="AJ83" s="224">
        <f t="shared" si="29"/>
        <v>0</v>
      </c>
      <c r="AK83" s="225">
        <f t="shared" si="30"/>
        <v>0.35150414481970765</v>
      </c>
      <c r="AL83" s="227">
        <f t="shared" si="31"/>
        <v>0</v>
      </c>
      <c r="AM83" s="419">
        <f t="shared" si="32"/>
        <v>0</v>
      </c>
      <c r="AN83" s="420">
        <f t="shared" si="33"/>
        <v>0</v>
      </c>
      <c r="AO83" s="11"/>
    </row>
    <row r="84" spans="1:41" x14ac:dyDescent="0.25">
      <c r="A84" s="61" t="s">
        <v>3</v>
      </c>
      <c r="B84" s="62" t="str">
        <f>IF(_epmOfflineCondition_,"'Venue1'!$O$16:$AN$18",_xll.EVRNG($O$16:$AN$18))</f>
        <v>'Venue1'!$O$16:$AN$18</v>
      </c>
      <c r="C84" s="11"/>
      <c r="D84" s="11"/>
      <c r="E84" s="11"/>
      <c r="F84" s="11"/>
      <c r="G84" s="11"/>
      <c r="H84" s="84" t="s">
        <v>813</v>
      </c>
      <c r="I84" s="118" t="str">
        <f>IF(_epmOfflineCondition_,"T3",_xll.EVPRO($B$1,$H84,"STYLE"))</f>
        <v>T3</v>
      </c>
      <c r="J84" s="118" t="str">
        <f>IF(_epmOfflineCondition_,"Y",_xll.EVPRO($B$1,$H84,"CALC"))</f>
        <v>Y</v>
      </c>
      <c r="K84" s="175" t="str">
        <f t="shared" si="22"/>
        <v>&gt;</v>
      </c>
      <c r="L84" s="86" t="str">
        <f>IF(_epmOfflineCondition_,"",_xll.EVPRO($B$1,H84,"JDEID"))</f>
        <v/>
      </c>
      <c r="M84" s="86" t="str">
        <f>IF(_epmOfflineCondition_,"",IF(AND(I84="N",J84="N"),_xll.EVPRO($B$1,H84,"PSFTID"),""))</f>
        <v/>
      </c>
      <c r="N84" s="86" t="str">
        <f>IF(_epmOfflineCondition_,"Bonuses &amp; Incentives",IF(_xll.EVDES(H84,$B$1)="#NODATA","",_xll.EVDES(H84,$B$1)))</f>
        <v>Bonuses &amp; Incentives</v>
      </c>
      <c r="O84" s="248">
        <v>4087.04</v>
      </c>
      <c r="P84" s="248">
        <v>10604.6</v>
      </c>
      <c r="Q84" s="248">
        <v>4087.04</v>
      </c>
      <c r="R84" s="248">
        <v>4087.04</v>
      </c>
      <c r="S84" s="248">
        <v>3856.35</v>
      </c>
      <c r="T84" s="248">
        <v>4209.6099999999997</v>
      </c>
      <c r="U84" s="248">
        <v>4209.6099999999997</v>
      </c>
      <c r="V84" s="248">
        <v>3924.44</v>
      </c>
      <c r="W84" s="248">
        <v>4209.6099999999997</v>
      </c>
      <c r="X84" s="248">
        <v>4317.8900000000003</v>
      </c>
      <c r="Y84" s="248">
        <v>4005.38</v>
      </c>
      <c r="Z84" s="248">
        <v>4740.8599999999997</v>
      </c>
      <c r="AA84" s="229">
        <f t="shared" si="23"/>
        <v>56339.47</v>
      </c>
      <c r="AB84" s="249">
        <f t="shared" si="24"/>
        <v>0.30903951272446784</v>
      </c>
      <c r="AC84" s="136"/>
      <c r="AD84" s="248">
        <v>65437.017551565601</v>
      </c>
      <c r="AE84" s="249">
        <f t="shared" si="25"/>
        <v>4.2378043353376027E-2</v>
      </c>
      <c r="AF84" s="250">
        <f t="shared" si="26"/>
        <v>-9097.5475515655999</v>
      </c>
      <c r="AG84" s="248">
        <v>43363.41</v>
      </c>
      <c r="AH84" s="249" t="str">
        <f t="shared" si="27"/>
        <v/>
      </c>
      <c r="AI84" s="250">
        <f t="shared" si="28"/>
        <v>12976.059999999998</v>
      </c>
      <c r="AJ84" s="232">
        <f t="shared" si="29"/>
        <v>9.968059094125973</v>
      </c>
      <c r="AK84" s="233">
        <f t="shared" si="30"/>
        <v>1.9167819078346056</v>
      </c>
      <c r="AL84" s="235">
        <f t="shared" si="31"/>
        <v>0</v>
      </c>
      <c r="AM84" s="421" t="str">
        <f t="shared" si="32"/>
        <v>26.67 pts.</v>
      </c>
      <c r="AN84" s="422">
        <f t="shared" si="33"/>
        <v>0</v>
      </c>
      <c r="AO84" s="11"/>
    </row>
    <row r="85" spans="1:41" x14ac:dyDescent="0.25">
      <c r="A85" s="61" t="s">
        <v>4</v>
      </c>
      <c r="B85" s="62" t="str">
        <f>IF(_epmOfflineCondition_,"'Venue1'!$H$76:$H$77,'Venue1'!$H$79:$H$90,'Venue1'!$H$93:$H$116",_xll.EVRNG(H76:H77,H79:H90,H93:H116))</f>
        <v>'Venue1'!$H$76:$H$77,'Venue1'!$H$79:$H$90,'Venue1'!$H$93:$H$116</v>
      </c>
      <c r="C85" s="11"/>
      <c r="D85" s="11"/>
      <c r="E85" s="11"/>
      <c r="F85" s="11"/>
      <c r="G85" s="11"/>
      <c r="H85" s="84" t="s">
        <v>814</v>
      </c>
      <c r="I85" s="184" t="str">
        <f>IF(_epmOfflineCondition_,"T2",_xll.EVPRO($B$1,$H85,"STYLE"))</f>
        <v>T2</v>
      </c>
      <c r="J85" s="184" t="str">
        <f>IF(_epmOfflineCondition_,"Y",_xll.EVPRO($B$1,$H85,"CALC"))</f>
        <v>Y</v>
      </c>
      <c r="K85" s="185" t="str">
        <f t="shared" si="22"/>
        <v/>
      </c>
      <c r="L85" s="186" t="str">
        <f>IF(_epmOfflineCondition_,"",_xll.EVPRO($B$1,H85,"JDEID"))</f>
        <v/>
      </c>
      <c r="M85" s="186" t="str">
        <f>IF(_epmOfflineCondition_,"",IF(AND(I85="N",J85="N"),_xll.EVPRO($B$1,H85,"PSFTID"),""))</f>
        <v/>
      </c>
      <c r="N85" s="186" t="str">
        <f>IF(_epmOfflineCondition_,"Total Labor Expense",IF(_xll.EVDES(H85,$B$1)="#NODATA","",_xll.EVDES(H85,$B$1)))</f>
        <v>Total Labor Expense</v>
      </c>
      <c r="O85" s="236">
        <v>25369.08</v>
      </c>
      <c r="P85" s="236">
        <v>30101.98</v>
      </c>
      <c r="Q85" s="236">
        <v>21000.14</v>
      </c>
      <c r="R85" s="236">
        <v>22123.23</v>
      </c>
      <c r="S85" s="236">
        <v>23920.03</v>
      </c>
      <c r="T85" s="236">
        <v>21351.01</v>
      </c>
      <c r="U85" s="236">
        <v>16978.86</v>
      </c>
      <c r="V85" s="236">
        <v>17927.87</v>
      </c>
      <c r="W85" s="236">
        <v>26389.64</v>
      </c>
      <c r="X85" s="236">
        <v>56574.93</v>
      </c>
      <c r="Y85" s="236">
        <v>90261.95</v>
      </c>
      <c r="Z85" s="236">
        <v>84083.36</v>
      </c>
      <c r="AA85" s="236">
        <f t="shared" si="23"/>
        <v>436082.08</v>
      </c>
      <c r="AB85" s="237">
        <f t="shared" si="24"/>
        <v>2.3920458163889791</v>
      </c>
      <c r="AC85" s="238"/>
      <c r="AD85" s="236">
        <v>933334.915722862</v>
      </c>
      <c r="AE85" s="237">
        <f t="shared" si="25"/>
        <v>0.60444239364293406</v>
      </c>
      <c r="AF85" s="239">
        <f t="shared" si="26"/>
        <v>-497252.83572286199</v>
      </c>
      <c r="AG85" s="236">
        <v>191417.72</v>
      </c>
      <c r="AH85" s="237" t="str">
        <f t="shared" si="27"/>
        <v/>
      </c>
      <c r="AI85" s="239">
        <f t="shared" si="28"/>
        <v>244664.36000000002</v>
      </c>
      <c r="AJ85" s="215">
        <f t="shared" si="29"/>
        <v>77.155357395612171</v>
      </c>
      <c r="AK85" s="216">
        <f t="shared" si="30"/>
        <v>27.339257615128211</v>
      </c>
      <c r="AL85" s="218">
        <f t="shared" si="31"/>
        <v>0</v>
      </c>
      <c r="AM85" s="423" t="str">
        <f t="shared" si="32"/>
        <v>178.76 pts.</v>
      </c>
      <c r="AN85" s="424">
        <f t="shared" si="33"/>
        <v>0</v>
      </c>
      <c r="AO85" s="11"/>
    </row>
    <row r="86" spans="1:41" x14ac:dyDescent="0.25">
      <c r="A86" s="61" t="s">
        <v>5</v>
      </c>
      <c r="B86" s="62"/>
      <c r="C86" s="11"/>
      <c r="D86" s="11"/>
      <c r="E86" s="11"/>
      <c r="F86" s="11"/>
      <c r="G86" s="11"/>
      <c r="H86" s="84" t="s">
        <v>815</v>
      </c>
      <c r="I86" s="118" t="str">
        <f>IF(_epmOfflineCondition_,"T3",_xll.EVPRO($B$1,$H86,"STYLE"))</f>
        <v>T3</v>
      </c>
      <c r="J86" s="118" t="str">
        <f>IF(_epmOfflineCondition_,"Y",_xll.EVPRO($B$1,$H86,"CALC"))</f>
        <v>Y</v>
      </c>
      <c r="K86" s="175" t="str">
        <f t="shared" si="22"/>
        <v>&gt;</v>
      </c>
      <c r="L86" s="86" t="str">
        <f>IF(_epmOfflineCondition_,"",_xll.EVPRO($B$1,H86,"JDEID"))</f>
        <v/>
      </c>
      <c r="M86" s="86" t="str">
        <f>IF(_epmOfflineCondition_,"",IF(AND(I86="N",J86="N"),_xll.EVPRO($B$1,H86,"PSFTID"),""))</f>
        <v/>
      </c>
      <c r="N86" s="86" t="str">
        <f>IF(_epmOfflineCondition_,"Payroll Taxes",IF(_xll.EVDES(H86,$B$1)="#NODATA","",_xll.EVDES(H86,$B$1)))</f>
        <v>Payroll Taxes</v>
      </c>
      <c r="O86" s="248">
        <v>2291.66</v>
      </c>
      <c r="P86" s="248">
        <v>3093.84</v>
      </c>
      <c r="Q86" s="248">
        <v>1900.31</v>
      </c>
      <c r="R86" s="248">
        <v>1718.85</v>
      </c>
      <c r="S86" s="248">
        <v>2292.6999999999998</v>
      </c>
      <c r="T86" s="248">
        <v>2040.78</v>
      </c>
      <c r="U86" s="248">
        <v>1507.41</v>
      </c>
      <c r="V86" s="248">
        <v>1683.86</v>
      </c>
      <c r="W86" s="248">
        <v>2029.44</v>
      </c>
      <c r="X86" s="248">
        <v>835.59</v>
      </c>
      <c r="Y86" s="248">
        <v>6434.76</v>
      </c>
      <c r="Z86" s="248">
        <v>7129.8</v>
      </c>
      <c r="AA86" s="248">
        <f t="shared" si="23"/>
        <v>32959</v>
      </c>
      <c r="AB86" s="249">
        <f t="shared" si="24"/>
        <v>0.18079036419557612</v>
      </c>
      <c r="AC86" s="136"/>
      <c r="AD86" s="248">
        <v>86913.886903134495</v>
      </c>
      <c r="AE86" s="249">
        <f t="shared" si="25"/>
        <v>5.6286802256673624E-2</v>
      </c>
      <c r="AF86" s="250">
        <f t="shared" si="26"/>
        <v>-53954.886903134495</v>
      </c>
      <c r="AG86" s="248">
        <v>17873.169999999998</v>
      </c>
      <c r="AH86" s="249" t="str">
        <f t="shared" si="27"/>
        <v/>
      </c>
      <c r="AI86" s="250">
        <f t="shared" si="28"/>
        <v>15085.830000000002</v>
      </c>
      <c r="AJ86" s="244">
        <f t="shared" si="29"/>
        <v>5.8313871196036802</v>
      </c>
      <c r="AK86" s="245">
        <f t="shared" si="30"/>
        <v>2.5458826240702566</v>
      </c>
      <c r="AL86" s="247">
        <f t="shared" si="31"/>
        <v>0</v>
      </c>
      <c r="AM86" s="425" t="str">
        <f t="shared" si="32"/>
        <v>12.45 pts.</v>
      </c>
      <c r="AN86" s="426">
        <f t="shared" si="33"/>
        <v>0</v>
      </c>
      <c r="AO86" s="11"/>
    </row>
    <row r="87" spans="1:41" x14ac:dyDescent="0.25">
      <c r="A87" s="61" t="s">
        <v>6</v>
      </c>
      <c r="B87" s="62"/>
      <c r="C87" s="11"/>
      <c r="D87" s="11"/>
      <c r="E87" s="11"/>
      <c r="F87" s="11"/>
      <c r="G87" s="11"/>
      <c r="H87" s="84" t="s">
        <v>816</v>
      </c>
      <c r="I87" s="118" t="str">
        <f>IF(_epmOfflineCondition_,"T3",_xll.EVPRO($B$1,$H87,"STYLE"))</f>
        <v>T3</v>
      </c>
      <c r="J87" s="118" t="str">
        <f>IF(_epmOfflineCondition_,"Y",_xll.EVPRO($B$1,$H87,"CALC"))</f>
        <v>Y</v>
      </c>
      <c r="K87" s="175" t="str">
        <f t="shared" si="22"/>
        <v>&gt;</v>
      </c>
      <c r="L87" s="86" t="str">
        <f>IF(_epmOfflineCondition_,"",_xll.EVPRO($B$1,H87,"JDEID"))</f>
        <v/>
      </c>
      <c r="M87" s="86" t="str">
        <f>IF(_epmOfflineCondition_,"",IF(AND(I87="N",J87="N"),_xll.EVPRO($B$1,H87,"PSFTID"),""))</f>
        <v/>
      </c>
      <c r="N87" s="86" t="str">
        <f>IF(_epmOfflineCondition_,"Supplemental Pay",IF(_xll.EVDES(H87,$B$1)="#NODATA","",_xll.EVDES(H87,$B$1)))</f>
        <v>Supplemental Pay</v>
      </c>
      <c r="O87" s="248">
        <v>1175.57</v>
      </c>
      <c r="P87" s="248">
        <v>728.63</v>
      </c>
      <c r="Q87" s="248">
        <v>1075.6199999999999</v>
      </c>
      <c r="R87" s="248">
        <v>3107.04</v>
      </c>
      <c r="S87" s="248">
        <v>1137.1199999999999</v>
      </c>
      <c r="T87" s="248">
        <v>-55.32</v>
      </c>
      <c r="U87" s="248">
        <v>2263.37</v>
      </c>
      <c r="V87" s="248">
        <v>1164.8399999999999</v>
      </c>
      <c r="W87" s="248">
        <v>3186.07</v>
      </c>
      <c r="X87" s="248">
        <v>4434.3599999999997</v>
      </c>
      <c r="Y87" s="248">
        <v>2828.97</v>
      </c>
      <c r="Z87" s="248">
        <v>961.37</v>
      </c>
      <c r="AA87" s="229">
        <f t="shared" si="23"/>
        <v>22007.64</v>
      </c>
      <c r="AB87" s="249">
        <f t="shared" si="24"/>
        <v>0.1207187490726396</v>
      </c>
      <c r="AC87" s="136"/>
      <c r="AD87" s="248">
        <v>22019.756016733401</v>
      </c>
      <c r="AE87" s="249">
        <f t="shared" si="25"/>
        <v>1.4260340859400379E-2</v>
      </c>
      <c r="AF87" s="250">
        <f t="shared" si="26"/>
        <v>-12.116016733401921</v>
      </c>
      <c r="AG87" s="248">
        <v>6899.98</v>
      </c>
      <c r="AH87" s="249" t="str">
        <f t="shared" si="27"/>
        <v/>
      </c>
      <c r="AI87" s="250">
        <f t="shared" si="28"/>
        <v>15107.66</v>
      </c>
      <c r="AJ87" s="224">
        <f t="shared" si="29"/>
        <v>3.8937791932059449</v>
      </c>
      <c r="AK87" s="225">
        <f t="shared" si="30"/>
        <v>0.6450029589833739</v>
      </c>
      <c r="AL87" s="227">
        <f t="shared" si="31"/>
        <v>0</v>
      </c>
      <c r="AM87" s="419" t="str">
        <f t="shared" si="32"/>
        <v>10.65 pts.</v>
      </c>
      <c r="AN87" s="420">
        <f t="shared" si="33"/>
        <v>0</v>
      </c>
      <c r="AO87" s="11"/>
    </row>
    <row r="88" spans="1:41" x14ac:dyDescent="0.25">
      <c r="A88" s="61" t="s">
        <v>7</v>
      </c>
      <c r="B88" s="62" t="str">
        <f>IF(_epmOfflineCondition_,"'Venue1'!$A$102:$F$108",_xll.EVRNG(A102:F108))</f>
        <v>'Venue1'!$A$102:$F$108</v>
      </c>
      <c r="C88" s="11"/>
      <c r="D88" s="11"/>
      <c r="E88" s="11"/>
      <c r="F88" s="11"/>
      <c r="G88" s="11"/>
      <c r="H88" s="84" t="s">
        <v>817</v>
      </c>
      <c r="I88" s="118" t="str">
        <f>IF(_epmOfflineCondition_,"T3",_xll.EVPRO($B$1,$H88,"STYLE"))</f>
        <v>T3</v>
      </c>
      <c r="J88" s="118" t="str">
        <f>IF(_epmOfflineCondition_,"Y",_xll.EVPRO($B$1,$H88,"CALC"))</f>
        <v>Y</v>
      </c>
      <c r="K88" s="175" t="str">
        <f t="shared" si="22"/>
        <v>&gt;</v>
      </c>
      <c r="L88" s="86" t="str">
        <f>IF(_epmOfflineCondition_,"",_xll.EVPRO($B$1,H88,"JDEID"))</f>
        <v/>
      </c>
      <c r="M88" s="86" t="str">
        <f>IF(_epmOfflineCondition_,"",IF(AND(I88="N",J88="N"),_xll.EVPRO($B$1,H88,"PSFTID"),""))</f>
        <v/>
      </c>
      <c r="N88" s="86" t="str">
        <f>IF(_epmOfflineCondition_,"Employee Benefits",IF(_xll.EVDES(H88,$B$1)="#NODATA","",_xll.EVDES(H88,$B$1)))</f>
        <v>Employee Benefits</v>
      </c>
      <c r="O88" s="248">
        <v>-6074.98</v>
      </c>
      <c r="P88" s="248">
        <v>3136.46</v>
      </c>
      <c r="Q88" s="248">
        <v>4001.72</v>
      </c>
      <c r="R88" s="248">
        <v>-1703.76</v>
      </c>
      <c r="S88" s="248">
        <v>3737.28</v>
      </c>
      <c r="T88" s="248">
        <v>2810.58</v>
      </c>
      <c r="U88" s="248">
        <v>2790.73</v>
      </c>
      <c r="V88" s="248">
        <v>2882.71</v>
      </c>
      <c r="W88" s="248">
        <v>1996.58</v>
      </c>
      <c r="X88" s="248">
        <v>-153.16999999999999</v>
      </c>
      <c r="Y88" s="248">
        <v>5313.01</v>
      </c>
      <c r="Z88" s="248">
        <v>5261.09</v>
      </c>
      <c r="AA88" s="229">
        <f t="shared" si="23"/>
        <v>23998.250000000004</v>
      </c>
      <c r="AB88" s="249">
        <f t="shared" si="24"/>
        <v>0.13163786393872645</v>
      </c>
      <c r="AC88" s="136"/>
      <c r="AD88" s="248">
        <v>60236.758454272604</v>
      </c>
      <c r="AE88" s="249">
        <f t="shared" si="25"/>
        <v>3.9010273645653487E-2</v>
      </c>
      <c r="AF88" s="250">
        <f t="shared" si="26"/>
        <v>-36238.508454272596</v>
      </c>
      <c r="AG88" s="248">
        <v>31202.85</v>
      </c>
      <c r="AH88" s="249" t="str">
        <f t="shared" si="27"/>
        <v/>
      </c>
      <c r="AI88" s="250">
        <f t="shared" si="28"/>
        <v>-7204.5999999999949</v>
      </c>
      <c r="AJ88" s="232">
        <f t="shared" si="29"/>
        <v>4.2459748761500364</v>
      </c>
      <c r="AK88" s="233">
        <f t="shared" si="30"/>
        <v>1.7644558555983656</v>
      </c>
      <c r="AL88" s="235">
        <f t="shared" si="31"/>
        <v>0</v>
      </c>
      <c r="AM88" s="421" t="str">
        <f t="shared" si="32"/>
        <v>9.26 pts.</v>
      </c>
      <c r="AN88" s="422">
        <f t="shared" si="33"/>
        <v>0</v>
      </c>
      <c r="AO88" s="11"/>
    </row>
    <row r="89" spans="1:41" x14ac:dyDescent="0.25">
      <c r="A89" s="61" t="s">
        <v>47</v>
      </c>
      <c r="B89" s="62" t="str">
        <f>IF(_epmOfflineCondition_,"'Venue1'!$A$125:$B$146",_xll.EVRNG($A$125:$B$146))</f>
        <v>'Venue1'!$A$125:$B$146</v>
      </c>
      <c r="C89" s="11"/>
      <c r="D89" s="11"/>
      <c r="E89" s="11"/>
      <c r="F89" s="11"/>
      <c r="G89" s="11"/>
      <c r="H89" s="84" t="s">
        <v>818</v>
      </c>
      <c r="I89" s="184" t="str">
        <f>IF(_epmOfflineCondition_,"T2",_xll.EVPRO($B$1,$H89,"STYLE"))</f>
        <v>T2</v>
      </c>
      <c r="J89" s="184" t="str">
        <f>IF(_epmOfflineCondition_,"Y",_xll.EVPRO($B$1,$H89,"CALC"))</f>
        <v>Y</v>
      </c>
      <c r="K89" s="185" t="str">
        <f t="shared" si="22"/>
        <v/>
      </c>
      <c r="L89" s="186" t="str">
        <f>IF(_epmOfflineCondition_,"",_xll.EVPRO($B$1,H89,"JDEID"))</f>
        <v/>
      </c>
      <c r="M89" s="186" t="str">
        <f>IF(_epmOfflineCondition_,"",IF(AND(I89="N",J89="N"),_xll.EVPRO($B$1,H89,"PSFTID"),""))</f>
        <v/>
      </c>
      <c r="N89" s="186" t="str">
        <f>IF(_epmOfflineCondition_,"Total Payroll Related",IF(_xll.EVDES(H89,$B$1)="#NODATA","",_xll.EVDES(H89,$B$1)))</f>
        <v>Total Payroll Related</v>
      </c>
      <c r="O89" s="210">
        <v>-2607.75</v>
      </c>
      <c r="P89" s="210">
        <v>6958.93</v>
      </c>
      <c r="Q89" s="210">
        <v>6977.65</v>
      </c>
      <c r="R89" s="210">
        <v>3122.13</v>
      </c>
      <c r="S89" s="210">
        <v>7167.1</v>
      </c>
      <c r="T89" s="210">
        <v>4796.04</v>
      </c>
      <c r="U89" s="210">
        <v>6561.51</v>
      </c>
      <c r="V89" s="210">
        <v>5731.41</v>
      </c>
      <c r="W89" s="210">
        <v>7212.09</v>
      </c>
      <c r="X89" s="210">
        <v>5116.78</v>
      </c>
      <c r="Y89" s="210">
        <v>14576.74</v>
      </c>
      <c r="Z89" s="210">
        <v>13352.26</v>
      </c>
      <c r="AA89" s="210">
        <f t="shared" si="23"/>
        <v>78964.89</v>
      </c>
      <c r="AB89" s="211">
        <f t="shared" si="24"/>
        <v>0.43314697720694217</v>
      </c>
      <c r="AC89" s="251"/>
      <c r="AD89" s="210">
        <v>169170.40137414099</v>
      </c>
      <c r="AE89" s="211">
        <f t="shared" si="25"/>
        <v>0.1095574167617278</v>
      </c>
      <c r="AF89" s="252">
        <f t="shared" si="26"/>
        <v>-90205.511374140988</v>
      </c>
      <c r="AG89" s="210">
        <v>55976</v>
      </c>
      <c r="AH89" s="211" t="str">
        <f t="shared" si="27"/>
        <v/>
      </c>
      <c r="AI89" s="252">
        <f t="shared" si="28"/>
        <v>22988.89</v>
      </c>
      <c r="AJ89" s="253">
        <f t="shared" si="29"/>
        <v>13.97114118895966</v>
      </c>
      <c r="AK89" s="254">
        <f t="shared" si="30"/>
        <v>4.9553414386520105</v>
      </c>
      <c r="AL89" s="256">
        <f t="shared" si="31"/>
        <v>0</v>
      </c>
      <c r="AM89" s="427" t="str">
        <f t="shared" si="32"/>
        <v>32.36 pts.</v>
      </c>
      <c r="AN89" s="428">
        <f t="shared" si="33"/>
        <v>0</v>
      </c>
      <c r="AO89" s="11"/>
    </row>
    <row r="90" spans="1:41" x14ac:dyDescent="0.25">
      <c r="A90" s="61" t="s">
        <v>8</v>
      </c>
      <c r="B90" s="62"/>
      <c r="C90" s="11"/>
      <c r="D90" s="11"/>
      <c r="E90" s="11"/>
      <c r="F90" s="11"/>
      <c r="G90" s="11"/>
      <c r="H90" s="84" t="s">
        <v>76</v>
      </c>
      <c r="I90" s="184" t="str">
        <f>IF(_epmOfflineCondition_,"T1",_xll.EVPRO($B$1,$H90,"STYLE"))</f>
        <v>T1</v>
      </c>
      <c r="J90" s="184" t="str">
        <f>IF(_epmOfflineCondition_,"Y",_xll.EVPRO($B$1,$H90,"CALC"))</f>
        <v>Y</v>
      </c>
      <c r="K90" s="185" t="str">
        <f t="shared" si="22"/>
        <v/>
      </c>
      <c r="L90" s="186" t="str">
        <f>IF(_epmOfflineCondition_,"600000",_xll.EVPRO($B$1,H90,"JDEID"))</f>
        <v>600000</v>
      </c>
      <c r="M90" s="186" t="str">
        <f>IF(_epmOfflineCondition_,"",IF(AND(I90="N",J90="N"),_xll.EVPRO($B$1,H90,"PSFTID"),""))</f>
        <v/>
      </c>
      <c r="N90" s="186" t="str">
        <f>IF(_epmOfflineCondition_,"Total Labor &amp; Related Exp",IF(_xll.EVDES(H90,$B$1)="#NODATA","",_xll.EVDES(H90,$B$1)))</f>
        <v>Total Labor &amp; Related Exp</v>
      </c>
      <c r="O90" s="210">
        <v>22761.33</v>
      </c>
      <c r="P90" s="210">
        <v>37060.910000000003</v>
      </c>
      <c r="Q90" s="210">
        <v>27977.79</v>
      </c>
      <c r="R90" s="210">
        <v>25245.360000000001</v>
      </c>
      <c r="S90" s="210">
        <v>31087.13</v>
      </c>
      <c r="T90" s="210">
        <v>26147.05</v>
      </c>
      <c r="U90" s="210">
        <v>23540.37</v>
      </c>
      <c r="V90" s="210">
        <v>23659.279999999999</v>
      </c>
      <c r="W90" s="210">
        <v>33601.730000000003</v>
      </c>
      <c r="X90" s="210">
        <v>61691.71</v>
      </c>
      <c r="Y90" s="210">
        <v>104838.69</v>
      </c>
      <c r="Z90" s="210">
        <v>97435.62</v>
      </c>
      <c r="AA90" s="210">
        <f t="shared" si="23"/>
        <v>515046.97</v>
      </c>
      <c r="AB90" s="211">
        <f t="shared" si="24"/>
        <v>2.8251927935959209</v>
      </c>
      <c r="AC90" s="251"/>
      <c r="AD90" s="210">
        <v>1102505.3170970001</v>
      </c>
      <c r="AE90" s="211">
        <f t="shared" si="25"/>
        <v>0.71399981040465998</v>
      </c>
      <c r="AF90" s="252">
        <f t="shared" si="26"/>
        <v>-587458.34709700011</v>
      </c>
      <c r="AG90" s="210">
        <v>247393.72</v>
      </c>
      <c r="AH90" s="211" t="str">
        <f t="shared" si="27"/>
        <v/>
      </c>
      <c r="AI90" s="252">
        <f t="shared" si="28"/>
        <v>267653.25</v>
      </c>
      <c r="AJ90" s="206">
        <f t="shared" si="29"/>
        <v>91.126498584571834</v>
      </c>
      <c r="AK90" s="207">
        <f t="shared" si="30"/>
        <v>32.294599053780139</v>
      </c>
      <c r="AL90" s="209">
        <f t="shared" si="31"/>
        <v>0</v>
      </c>
      <c r="AM90" s="429" t="str">
        <f t="shared" si="32"/>
        <v>211.12 pts.</v>
      </c>
      <c r="AN90" s="430">
        <f t="shared" si="33"/>
        <v>0</v>
      </c>
      <c r="AO90" s="11"/>
    </row>
    <row r="91" spans="1:41" x14ac:dyDescent="0.25">
      <c r="A91" s="11"/>
      <c r="B91" s="11"/>
      <c r="C91" s="11"/>
      <c r="D91" s="11"/>
      <c r="E91" s="11"/>
      <c r="F91" s="11"/>
      <c r="G91" s="72"/>
      <c r="H91" s="11"/>
      <c r="I91" s="55"/>
      <c r="J91" s="55"/>
      <c r="K91" s="11"/>
      <c r="L91" s="11"/>
      <c r="M91" s="11"/>
      <c r="N91" s="11"/>
      <c r="O91" s="125"/>
      <c r="P91" s="126"/>
      <c r="Q91" s="126"/>
      <c r="R91" s="126"/>
      <c r="S91" s="126"/>
      <c r="T91" s="126"/>
      <c r="U91" s="126"/>
      <c r="V91" s="126"/>
      <c r="W91" s="126"/>
      <c r="X91" s="126"/>
      <c r="Y91" s="126"/>
      <c r="Z91" s="126"/>
      <c r="AA91" s="126"/>
      <c r="AB91" s="127"/>
      <c r="AC91" s="11"/>
      <c r="AD91" s="125"/>
      <c r="AE91" s="126"/>
      <c r="AF91" s="127"/>
      <c r="AG91" s="125"/>
      <c r="AH91" s="126"/>
      <c r="AI91" s="127"/>
      <c r="AJ91" s="11"/>
      <c r="AK91" s="11"/>
      <c r="AL91" s="11"/>
      <c r="AM91" s="11"/>
      <c r="AN91" s="11"/>
      <c r="AO91" s="11"/>
    </row>
    <row r="92" spans="1:41" x14ac:dyDescent="0.25">
      <c r="A92" s="57" t="s">
        <v>9</v>
      </c>
      <c r="B92" s="58" t="s">
        <v>10</v>
      </c>
      <c r="C92" s="11"/>
      <c r="D92" s="11"/>
      <c r="E92" s="11"/>
      <c r="F92" s="11"/>
      <c r="G92" s="11"/>
      <c r="H92" s="11" t="s">
        <v>82</v>
      </c>
      <c r="I92" s="55" t="str">
        <f>IF(_epmOfflineCondition_,"B1",_xll.EVPRO($B$1,$H92,"STYLE"))</f>
        <v>B1</v>
      </c>
      <c r="J92" s="55" t="str">
        <f>IF(_epmOfflineCondition_,"Y",_xll.EVPRO($B$1,$H92,"CALC"))</f>
        <v>Y</v>
      </c>
      <c r="K92" s="11"/>
      <c r="L92" s="11"/>
      <c r="M92" s="11"/>
      <c r="N92" s="101" t="str">
        <f>IF(_epmOfflineCondition_,"Other Expenses",IF(_xll.EVDES(H92,$B$1)="#NODATA","",_xll.EVDES(H92,$B$1)))</f>
        <v>Other Expenses</v>
      </c>
      <c r="O92" s="115"/>
      <c r="P92" s="116"/>
      <c r="Q92" s="116"/>
      <c r="R92" s="116"/>
      <c r="S92" s="116"/>
      <c r="T92" s="116"/>
      <c r="U92" s="116"/>
      <c r="V92" s="116"/>
      <c r="W92" s="116"/>
      <c r="X92" s="116"/>
      <c r="Y92" s="116"/>
      <c r="Z92" s="116"/>
      <c r="AA92" s="116"/>
      <c r="AB92" s="117"/>
      <c r="AC92" s="11"/>
      <c r="AD92" s="115"/>
      <c r="AE92" s="116"/>
      <c r="AF92" s="117"/>
      <c r="AG92" s="115"/>
      <c r="AH92" s="116"/>
      <c r="AI92" s="117"/>
      <c r="AJ92" s="11"/>
      <c r="AK92" s="11"/>
      <c r="AL92" s="11"/>
      <c r="AM92" s="11"/>
      <c r="AN92" s="11"/>
      <c r="AO92" s="11"/>
    </row>
    <row r="93" spans="1:41" x14ac:dyDescent="0.25">
      <c r="A93" s="61" t="s">
        <v>11</v>
      </c>
      <c r="B93" s="62" t="s">
        <v>21</v>
      </c>
      <c r="C93" s="11"/>
      <c r="D93" s="11"/>
      <c r="E93" s="11"/>
      <c r="F93" s="11"/>
      <c r="G93" s="11"/>
      <c r="H93" s="84" t="s">
        <v>789</v>
      </c>
      <c r="I93" s="118" t="str">
        <f>IF(_epmOfflineCondition_,"N",_xll.EVPRO($B$1,$H93,"STYLE"))</f>
        <v>N</v>
      </c>
      <c r="J93" s="118" t="str">
        <f>IF(_epmOfflineCondition_,"N",_xll.EVPRO($B$1,$H93,"CALC"))</f>
        <v>N</v>
      </c>
      <c r="K93" s="175" t="str">
        <f t="shared" ref="K93:K116" si="34">IF(AND(I93&lt;&gt;"B1",J93="Y"),"&gt;","")</f>
        <v/>
      </c>
      <c r="L93" s="86" t="str">
        <f>IF(_epmOfflineCondition_,"701100",_xll.EVPRO($B$1,H93,"JDEID"))</f>
        <v>701100</v>
      </c>
      <c r="M93" s="86" t="str">
        <f>IF(_epmOfflineCondition_,"690015",IF(AND(I93="N",J93="N"),_xll.EVPRO($B$1,H93,"PSFTID"),""))</f>
        <v>690015</v>
      </c>
      <c r="N93" s="86" t="str">
        <f>IF(_epmOfflineCondition_,"Dues and Subscriptions",IF(_xll.EVDES(H93,$B$1)="#NODATA","",_xll.EVDES(H93,$B$1)))</f>
        <v>Dues and Subscriptions</v>
      </c>
      <c r="O93" s="134"/>
      <c r="P93" s="134"/>
      <c r="Q93" s="134"/>
      <c r="R93" s="134"/>
      <c r="S93" s="134"/>
      <c r="T93" s="134"/>
      <c r="U93" s="134"/>
      <c r="V93" s="134"/>
      <c r="W93" s="134"/>
      <c r="X93" s="134"/>
      <c r="Y93" s="134">
        <v>30</v>
      </c>
      <c r="Z93" s="134">
        <v>30</v>
      </c>
      <c r="AA93" s="223">
        <f t="shared" ref="AA93:AA117" si="35">IF($I93="B1","",SUM(O93:Z93))</f>
        <v>60</v>
      </c>
      <c r="AB93" s="138">
        <f t="shared" ref="AB93:AB117" si="36">IF(AA93=0,"",IFERROR(AA93/AA$19,""))</f>
        <v>3.2911865808230126E-4</v>
      </c>
      <c r="AC93" s="136"/>
      <c r="AD93" s="134"/>
      <c r="AE93" s="138" t="str">
        <f t="shared" ref="AE93:AE117" si="37">IF(AD93=0,"",IFERROR(AD93/AD$19,""))</f>
        <v/>
      </c>
      <c r="AF93" s="137">
        <f t="shared" ref="AF93:AF117" si="38">IF(AND($AA93="",AD93=""),"",$AA93-AD93)</f>
        <v>60</v>
      </c>
      <c r="AG93" s="134">
        <v>0</v>
      </c>
      <c r="AH93" s="138" t="str">
        <f t="shared" ref="AH93:AH117" si="39">IF(AG93=0,"",IFERROR(AG93/AG$19,""))</f>
        <v/>
      </c>
      <c r="AI93" s="137">
        <f t="shared" ref="AI93:AI117" si="40">IF(AND($AA93="",AG93=""),"",$AA93-AG93)</f>
        <v>60</v>
      </c>
      <c r="AJ93" s="224">
        <f t="shared" ref="AJ93:AJ117" si="41">IFERROR(AA93/AA$20,0)</f>
        <v>1.0615711252653927E-2</v>
      </c>
      <c r="AK93" s="225">
        <f t="shared" ref="AK93:AK117" si="42">IFERROR(AD93/AD$20,0)</f>
        <v>0</v>
      </c>
      <c r="AL93" s="227">
        <f t="shared" ref="AL93:AL117" si="43">IFERROR(AG93/AG$20,0)</f>
        <v>0</v>
      </c>
      <c r="AM93" s="419">
        <f t="shared" ref="AM93:AM117" si="44">+IFERROR(ROUND(($AB93-AE93)*100,2)&amp;" pts.",0)</f>
        <v>0</v>
      </c>
      <c r="AN93" s="420">
        <f t="shared" ref="AN93:AN117" si="45">+IFERROR(ROUND(($AB93-AH93)*100,2)&amp;" pts.",0)</f>
        <v>0</v>
      </c>
      <c r="AO93" s="11"/>
    </row>
    <row r="94" spans="1:41" x14ac:dyDescent="0.25">
      <c r="A94" s="61" t="s">
        <v>12</v>
      </c>
      <c r="B94" s="62" t="s">
        <v>22</v>
      </c>
      <c r="C94" s="11"/>
      <c r="D94" s="11"/>
      <c r="E94" s="11"/>
      <c r="F94" s="11"/>
      <c r="G94" s="11"/>
      <c r="H94" s="84" t="s">
        <v>823</v>
      </c>
      <c r="I94" s="118" t="str">
        <f>IF(_epmOfflineCondition_,"N",_xll.EVPRO($B$1,$H94,"STYLE"))</f>
        <v>N</v>
      </c>
      <c r="J94" s="118" t="str">
        <f>IF(_epmOfflineCondition_,"N",_xll.EVPRO($B$1,$H94,"CALC"))</f>
        <v>N</v>
      </c>
      <c r="K94" s="175" t="str">
        <f t="shared" si="34"/>
        <v/>
      </c>
      <c r="L94" s="86" t="str">
        <f>IF(_epmOfflineCondition_,"701300",_xll.EVPRO($B$1,H94,"JDEID"))</f>
        <v>701300</v>
      </c>
      <c r="M94" s="86" t="str">
        <f>IF(_epmOfflineCondition_,"690205",IF(AND(I94="N",J94="N"),_xll.EVPRO($B$1,H94,"PSFTID"),""))</f>
        <v>690205</v>
      </c>
      <c r="N94" s="86" t="str">
        <f>IF(_epmOfflineCondition_,"Printing &amp; Stationery",IF(_xll.EVDES(H94,$B$1)="#NODATA","",_xll.EVDES(H94,$B$1)))</f>
        <v>Printing &amp; Stationery</v>
      </c>
      <c r="O94" s="134"/>
      <c r="P94" s="134"/>
      <c r="Q94" s="134"/>
      <c r="R94" s="134"/>
      <c r="S94" s="134"/>
      <c r="T94" s="134"/>
      <c r="U94" s="134"/>
      <c r="V94" s="134"/>
      <c r="W94" s="134"/>
      <c r="X94" s="134"/>
      <c r="Y94" s="134">
        <v>1153.4100000000001</v>
      </c>
      <c r="Z94" s="134"/>
      <c r="AA94" s="223">
        <f t="shared" si="35"/>
        <v>1153.4100000000001</v>
      </c>
      <c r="AB94" s="138">
        <f t="shared" si="36"/>
        <v>6.3268125236451188E-3</v>
      </c>
      <c r="AC94" s="136"/>
      <c r="AD94" s="134">
        <v>5184.0071500000004</v>
      </c>
      <c r="AE94" s="138">
        <f t="shared" si="37"/>
        <v>3.3572446906491873E-3</v>
      </c>
      <c r="AF94" s="137">
        <f t="shared" si="38"/>
        <v>-4030.5971500000005</v>
      </c>
      <c r="AG94" s="134">
        <v>0</v>
      </c>
      <c r="AH94" s="138" t="str">
        <f t="shared" si="39"/>
        <v/>
      </c>
      <c r="AI94" s="137">
        <f t="shared" si="40"/>
        <v>1153.4100000000001</v>
      </c>
      <c r="AJ94" s="224">
        <f t="shared" si="41"/>
        <v>0.20407112526539278</v>
      </c>
      <c r="AK94" s="225">
        <f t="shared" si="42"/>
        <v>0.15185000000000001</v>
      </c>
      <c r="AL94" s="227">
        <f t="shared" si="43"/>
        <v>0</v>
      </c>
      <c r="AM94" s="419" t="str">
        <f t="shared" si="44"/>
        <v>0.3 pts.</v>
      </c>
      <c r="AN94" s="420">
        <f t="shared" si="45"/>
        <v>0</v>
      </c>
      <c r="AO94" s="11"/>
    </row>
    <row r="95" spans="1:41" x14ac:dyDescent="0.25">
      <c r="A95" s="61" t="s">
        <v>13</v>
      </c>
      <c r="B95" s="62" t="s">
        <v>738</v>
      </c>
      <c r="C95" s="11"/>
      <c r="D95" s="11"/>
      <c r="E95" s="11"/>
      <c r="F95" s="11"/>
      <c r="G95" s="11"/>
      <c r="H95" s="84" t="s">
        <v>792</v>
      </c>
      <c r="I95" s="118" t="str">
        <f>IF(_epmOfflineCondition_,"T4",_xll.EVPRO($B$1,$H95,"STYLE"))</f>
        <v>T4</v>
      </c>
      <c r="J95" s="118" t="str">
        <f>IF(_epmOfflineCondition_,"Y",_xll.EVPRO($B$1,$H95,"CALC"))</f>
        <v>Y</v>
      </c>
      <c r="K95" s="175" t="str">
        <f t="shared" si="34"/>
        <v>&gt;</v>
      </c>
      <c r="L95" s="86" t="str">
        <f>IF(_epmOfflineCondition_,"701500",_xll.EVPRO($B$1,H95,"JDEID"))</f>
        <v>701500</v>
      </c>
      <c r="M95" s="86" t="str">
        <f>IF(_epmOfflineCondition_,"",IF(AND(I95="N",J95="N"),_xll.EVPRO($B$1,H95,"PSFTID"),""))</f>
        <v/>
      </c>
      <c r="N95" s="86" t="str">
        <f>IF(_epmOfflineCondition_,"Operating Supplies",IF(_xll.EVDES(H95,$B$1)="#NODATA","",_xll.EVDES(H95,$B$1)))</f>
        <v>Operating Supplies</v>
      </c>
      <c r="O95" s="134"/>
      <c r="P95" s="134"/>
      <c r="Q95" s="134"/>
      <c r="R95" s="134"/>
      <c r="S95" s="134"/>
      <c r="T95" s="134"/>
      <c r="U95" s="134"/>
      <c r="V95" s="134"/>
      <c r="W95" s="134"/>
      <c r="X95" s="134">
        <v>6001.21</v>
      </c>
      <c r="Y95" s="134">
        <v>1768.93</v>
      </c>
      <c r="Z95" s="134">
        <v>379.9</v>
      </c>
      <c r="AA95" s="223">
        <f t="shared" si="35"/>
        <v>8150.04</v>
      </c>
      <c r="AB95" s="138">
        <f t="shared" si="36"/>
        <v>4.4705503801951312E-2</v>
      </c>
      <c r="AC95" s="136"/>
      <c r="AD95" s="134">
        <v>13858.12347248</v>
      </c>
      <c r="AE95" s="138">
        <f t="shared" si="37"/>
        <v>8.9747390588271764E-3</v>
      </c>
      <c r="AF95" s="137">
        <f t="shared" si="38"/>
        <v>-5708.0834724799997</v>
      </c>
      <c r="AG95" s="134">
        <v>0</v>
      </c>
      <c r="AH95" s="138" t="str">
        <f t="shared" si="39"/>
        <v/>
      </c>
      <c r="AI95" s="137">
        <f t="shared" si="40"/>
        <v>8150.04</v>
      </c>
      <c r="AJ95" s="224">
        <f t="shared" si="41"/>
        <v>1.4419745222929936</v>
      </c>
      <c r="AK95" s="225">
        <f t="shared" si="42"/>
        <v>0.40593232000000001</v>
      </c>
      <c r="AL95" s="227">
        <f t="shared" si="43"/>
        <v>0</v>
      </c>
      <c r="AM95" s="419" t="str">
        <f t="shared" si="44"/>
        <v>3.57 pts.</v>
      </c>
      <c r="AN95" s="420">
        <f t="shared" si="45"/>
        <v>0</v>
      </c>
      <c r="AO95" s="11"/>
    </row>
    <row r="96" spans="1:41" x14ac:dyDescent="0.25">
      <c r="A96" s="61" t="s">
        <v>14</v>
      </c>
      <c r="B96" s="62"/>
      <c r="C96" s="11"/>
      <c r="D96" s="11"/>
      <c r="E96" s="11"/>
      <c r="F96" s="11"/>
      <c r="G96" s="11"/>
      <c r="H96" s="84" t="s">
        <v>824</v>
      </c>
      <c r="I96" s="118" t="str">
        <f>IF(_epmOfflineCondition_,"N",_xll.EVPRO($B$1,$H96,"STYLE"))</f>
        <v>N</v>
      </c>
      <c r="J96" s="118" t="str">
        <f>IF(_epmOfflineCondition_,"N",_xll.EVPRO($B$1,$H96,"CALC"))</f>
        <v>N</v>
      </c>
      <c r="K96" s="175" t="str">
        <f t="shared" si="34"/>
        <v/>
      </c>
      <c r="L96" s="86" t="str">
        <f>IF(_epmOfflineCondition_,"701600",_xll.EVPRO($B$1,H96,"JDEID"))</f>
        <v>701600</v>
      </c>
      <c r="M96" s="86" t="str">
        <f>IF(_epmOfflineCondition_,"590015",IF(AND(I96="N",J96="N"),_xll.EVPRO($B$1,H96,"PSFTID"),""))</f>
        <v>590015</v>
      </c>
      <c r="N96" s="86" t="str">
        <f>IF(_epmOfflineCondition_,"Cleaning Supplies",IF(_xll.EVDES(H96,$B$1)="#NODATA","",_xll.EVDES(H96,$B$1)))</f>
        <v>Cleaning Supplies</v>
      </c>
      <c r="O96" s="134"/>
      <c r="P96" s="134"/>
      <c r="Q96" s="134"/>
      <c r="R96" s="134"/>
      <c r="S96" s="134"/>
      <c r="T96" s="134"/>
      <c r="U96" s="134"/>
      <c r="V96" s="134"/>
      <c r="W96" s="134"/>
      <c r="X96" s="134">
        <v>569.20000000000005</v>
      </c>
      <c r="Y96" s="134">
        <v>989.54</v>
      </c>
      <c r="Z96" s="134">
        <v>1321.95</v>
      </c>
      <c r="AA96" s="223">
        <f t="shared" si="35"/>
        <v>2880.69</v>
      </c>
      <c r="AB96" s="138">
        <f t="shared" si="36"/>
        <v>1.5801480452518408E-2</v>
      </c>
      <c r="AC96" s="136"/>
      <c r="AD96" s="134">
        <v>4306.97624</v>
      </c>
      <c r="AE96" s="138">
        <f t="shared" si="37"/>
        <v>2.7892656580329367E-3</v>
      </c>
      <c r="AF96" s="137">
        <f t="shared" si="38"/>
        <v>-1426.2862399999999</v>
      </c>
      <c r="AG96" s="134"/>
      <c r="AH96" s="138" t="str">
        <f t="shared" si="39"/>
        <v/>
      </c>
      <c r="AI96" s="137">
        <f t="shared" si="40"/>
        <v>2880.69</v>
      </c>
      <c r="AJ96" s="224">
        <f t="shared" si="41"/>
        <v>0.50967622080679409</v>
      </c>
      <c r="AK96" s="225">
        <f t="shared" si="42"/>
        <v>0.12615999999999999</v>
      </c>
      <c r="AL96" s="227">
        <f t="shared" si="43"/>
        <v>0</v>
      </c>
      <c r="AM96" s="419" t="str">
        <f t="shared" si="44"/>
        <v>1.3 pts.</v>
      </c>
      <c r="AN96" s="420">
        <f t="shared" si="45"/>
        <v>0</v>
      </c>
      <c r="AO96" s="11"/>
    </row>
    <row r="97" spans="1:41" x14ac:dyDescent="0.25">
      <c r="A97" s="61" t="s">
        <v>15</v>
      </c>
      <c r="B97" s="62"/>
      <c r="C97" s="11"/>
      <c r="D97" s="11"/>
      <c r="E97" s="11"/>
      <c r="F97" s="11"/>
      <c r="G97" s="11"/>
      <c r="H97" s="84" t="s">
        <v>825</v>
      </c>
      <c r="I97" s="118" t="str">
        <f>IF(_epmOfflineCondition_,"N",_xll.EVPRO($B$1,$H97,"STYLE"))</f>
        <v>N</v>
      </c>
      <c r="J97" s="118" t="str">
        <f>IF(_epmOfflineCondition_,"N",_xll.EVPRO($B$1,$H97,"CALC"))</f>
        <v>N</v>
      </c>
      <c r="K97" s="175" t="str">
        <f t="shared" si="34"/>
        <v/>
      </c>
      <c r="L97" s="86" t="str">
        <f>IF(_epmOfflineCondition_,"701700",_xll.EVPRO($B$1,H97,"JDEID"))</f>
        <v>701700</v>
      </c>
      <c r="M97" s="86" t="str">
        <f>IF(_epmOfflineCondition_,"590026",IF(AND(I97="N",J97="N"),_xll.EVPRO($B$1,H97,"PSFTID"),""))</f>
        <v>590026</v>
      </c>
      <c r="N97" s="86" t="str">
        <f>IF(_epmOfflineCondition_,"Dishwashing Supplies",IF(_xll.EVDES(H97,$B$1)="#NODATA","",_xll.EVDES(H97,$B$1)))</f>
        <v>Dishwashing Supplies</v>
      </c>
      <c r="O97" s="134"/>
      <c r="P97" s="134"/>
      <c r="Q97" s="134"/>
      <c r="R97" s="134"/>
      <c r="S97" s="134"/>
      <c r="T97" s="134"/>
      <c r="U97" s="134"/>
      <c r="V97" s="134"/>
      <c r="W97" s="134"/>
      <c r="X97" s="134">
        <v>1751.77</v>
      </c>
      <c r="Y97" s="134">
        <v>1270.5899999999999</v>
      </c>
      <c r="Z97" s="134"/>
      <c r="AA97" s="223">
        <f t="shared" si="35"/>
        <v>3022.3599999999997</v>
      </c>
      <c r="AB97" s="138">
        <f t="shared" si="36"/>
        <v>1.65785844573604E-2</v>
      </c>
      <c r="AC97" s="136"/>
      <c r="AD97" s="134">
        <v>5120.8500000000004</v>
      </c>
      <c r="AE97" s="138">
        <f t="shared" si="37"/>
        <v>3.316343125435483E-3</v>
      </c>
      <c r="AF97" s="137">
        <f t="shared" si="38"/>
        <v>-2098.4900000000007</v>
      </c>
      <c r="AG97" s="134"/>
      <c r="AH97" s="138" t="str">
        <f t="shared" si="39"/>
        <v/>
      </c>
      <c r="AI97" s="137">
        <f t="shared" si="40"/>
        <v>3022.3599999999997</v>
      </c>
      <c r="AJ97" s="224">
        <f t="shared" si="41"/>
        <v>0.53474168435951874</v>
      </c>
      <c r="AK97" s="225">
        <f t="shared" si="42"/>
        <v>0.15000000000000002</v>
      </c>
      <c r="AL97" s="227">
        <f t="shared" si="43"/>
        <v>0</v>
      </c>
      <c r="AM97" s="419" t="str">
        <f t="shared" si="44"/>
        <v>1.33 pts.</v>
      </c>
      <c r="AN97" s="420">
        <f t="shared" si="45"/>
        <v>0</v>
      </c>
      <c r="AO97" s="11"/>
    </row>
    <row r="98" spans="1:41" x14ac:dyDescent="0.25">
      <c r="A98" s="61" t="s">
        <v>16</v>
      </c>
      <c r="B98" s="62" t="s">
        <v>78</v>
      </c>
      <c r="C98" s="11"/>
      <c r="D98" s="11"/>
      <c r="E98" s="11"/>
      <c r="F98" s="11"/>
      <c r="G98" s="11"/>
      <c r="H98" s="84" t="s">
        <v>826</v>
      </c>
      <c r="I98" s="118" t="str">
        <f>IF(_epmOfflineCondition_,"N",_xll.EVPRO($B$1,$H98,"STYLE"))</f>
        <v>N</v>
      </c>
      <c r="J98" s="118" t="str">
        <f>IF(_epmOfflineCondition_,"N",_xll.EVPRO($B$1,$H98,"CALC"))</f>
        <v>N</v>
      </c>
      <c r="K98" s="175" t="str">
        <f t="shared" si="34"/>
        <v/>
      </c>
      <c r="L98" s="86" t="str">
        <f>IF(_epmOfflineCondition_,"702000",_xll.EVPRO($B$1,H98,"JDEID"))</f>
        <v>702000</v>
      </c>
      <c r="M98" s="86" t="str">
        <f>IF(_epmOfflineCondition_,"590031",IF(AND(I98="N",J98="N"),_xll.EVPRO($B$1,H98,"PSFTID"),""))</f>
        <v>590031</v>
      </c>
      <c r="N98" s="86" t="str">
        <f>IF(_epmOfflineCondition_,"Paper and Plastics",IF(_xll.EVDES(H98,$B$1)="#NODATA","",_xll.EVDES(H98,$B$1)))</f>
        <v>Paper and Plastics</v>
      </c>
      <c r="O98" s="134"/>
      <c r="P98" s="134"/>
      <c r="Q98" s="134"/>
      <c r="R98" s="134"/>
      <c r="S98" s="134"/>
      <c r="T98" s="134"/>
      <c r="U98" s="134"/>
      <c r="V98" s="134"/>
      <c r="W98" s="134"/>
      <c r="X98" s="134">
        <v>1704.89</v>
      </c>
      <c r="Y98" s="134">
        <v>1114.67</v>
      </c>
      <c r="Z98" s="134">
        <v>-218.6</v>
      </c>
      <c r="AA98" s="223">
        <f t="shared" si="35"/>
        <v>2600.9600000000005</v>
      </c>
      <c r="AB98" s="138">
        <f t="shared" si="36"/>
        <v>1.4267074415429041E-2</v>
      </c>
      <c r="AC98" s="136"/>
      <c r="AD98" s="134">
        <v>6577.56113</v>
      </c>
      <c r="AE98" s="138">
        <f t="shared" si="37"/>
        <v>4.2597321998510303E-3</v>
      </c>
      <c r="AF98" s="137">
        <f t="shared" si="38"/>
        <v>-3976.6011299999996</v>
      </c>
      <c r="AG98" s="134"/>
      <c r="AH98" s="138" t="str">
        <f t="shared" si="39"/>
        <v/>
      </c>
      <c r="AI98" s="137">
        <f t="shared" si="40"/>
        <v>2600.9600000000005</v>
      </c>
      <c r="AJ98" s="224">
        <f t="shared" si="41"/>
        <v>0.46018400566171275</v>
      </c>
      <c r="AK98" s="225">
        <f t="shared" si="42"/>
        <v>0.19267000000000001</v>
      </c>
      <c r="AL98" s="227">
        <f t="shared" si="43"/>
        <v>0</v>
      </c>
      <c r="AM98" s="419" t="str">
        <f t="shared" si="44"/>
        <v>1 pts.</v>
      </c>
      <c r="AN98" s="420">
        <f t="shared" si="45"/>
        <v>0</v>
      </c>
      <c r="AO98" s="11"/>
    </row>
    <row r="99" spans="1:41" x14ac:dyDescent="0.25">
      <c r="A99" s="61" t="s">
        <v>17</v>
      </c>
      <c r="B99" s="62"/>
      <c r="C99" s="11"/>
      <c r="D99" s="11"/>
      <c r="E99" s="11"/>
      <c r="F99" s="11"/>
      <c r="G99" s="11"/>
      <c r="H99" s="84" t="s">
        <v>793</v>
      </c>
      <c r="I99" s="118" t="str">
        <f>IF(_epmOfflineCondition_,"N",_xll.EVPRO($B$1,$H99,"STYLE"))</f>
        <v>N</v>
      </c>
      <c r="J99" s="118" t="str">
        <f>IF(_epmOfflineCondition_,"N",_xll.EVPRO($B$1,$H99,"CALC"))</f>
        <v>N</v>
      </c>
      <c r="K99" s="175" t="str">
        <f t="shared" si="34"/>
        <v/>
      </c>
      <c r="L99" s="86" t="str">
        <f>IF(_epmOfflineCondition_,"702300",_xll.EVPRO($B$1,H99,"JDEID"))</f>
        <v>702300</v>
      </c>
      <c r="M99" s="86" t="str">
        <f>IF(_epmOfflineCondition_,"590040",IF(AND(I99="N",J99="N"),_xll.EVPRO($B$1,H99,"PSFTID"),""))</f>
        <v>590040</v>
      </c>
      <c r="N99" s="86" t="str">
        <f>IF(_epmOfflineCondition_,"Decorations",IF(_xll.EVDES(H99,$B$1)="#NODATA","",_xll.EVDES(H99,$B$1)))</f>
        <v>Decorations</v>
      </c>
      <c r="O99" s="134"/>
      <c r="P99" s="134"/>
      <c r="Q99" s="134"/>
      <c r="R99" s="134"/>
      <c r="S99" s="134"/>
      <c r="T99" s="134"/>
      <c r="U99" s="134"/>
      <c r="V99" s="134"/>
      <c r="W99" s="134"/>
      <c r="X99" s="134">
        <v>70.08</v>
      </c>
      <c r="Y99" s="134">
        <v>340.32</v>
      </c>
      <c r="Z99" s="134"/>
      <c r="AA99" s="223">
        <f t="shared" si="35"/>
        <v>410.4</v>
      </c>
      <c r="AB99" s="138">
        <f t="shared" si="36"/>
        <v>2.2511716212829406E-3</v>
      </c>
      <c r="AC99" s="136"/>
      <c r="AD99" s="134">
        <v>4700</v>
      </c>
      <c r="AE99" s="138">
        <f t="shared" si="37"/>
        <v>3.0437940360578358E-3</v>
      </c>
      <c r="AF99" s="137">
        <f t="shared" si="38"/>
        <v>-4289.6000000000004</v>
      </c>
      <c r="AG99" s="134"/>
      <c r="AH99" s="138" t="str">
        <f t="shared" si="39"/>
        <v/>
      </c>
      <c r="AI99" s="137">
        <f t="shared" si="40"/>
        <v>410.4</v>
      </c>
      <c r="AJ99" s="224">
        <f t="shared" si="41"/>
        <v>7.2611464968152864E-2</v>
      </c>
      <c r="AK99" s="225">
        <f t="shared" si="42"/>
        <v>0.13767245672105216</v>
      </c>
      <c r="AL99" s="227">
        <f t="shared" si="43"/>
        <v>0</v>
      </c>
      <c r="AM99" s="419" t="str">
        <f t="shared" si="44"/>
        <v>-0.08 pts.</v>
      </c>
      <c r="AN99" s="420">
        <f t="shared" si="45"/>
        <v>0</v>
      </c>
      <c r="AO99" s="11"/>
    </row>
    <row r="100" spans="1:41" x14ac:dyDescent="0.25">
      <c r="A100" s="11"/>
      <c r="B100" s="11"/>
      <c r="C100" s="11"/>
      <c r="D100" s="11"/>
      <c r="E100" s="11"/>
      <c r="F100" s="11"/>
      <c r="G100" s="11"/>
      <c r="H100" s="84" t="s">
        <v>840</v>
      </c>
      <c r="I100" s="118" t="str">
        <f>IF(_epmOfflineCondition_,"N",_xll.EVPRO($B$1,$H100,"STYLE"))</f>
        <v>N</v>
      </c>
      <c r="J100" s="118" t="str">
        <f>IF(_epmOfflineCondition_,"N",_xll.EVPRO($B$1,$H100,"CALC"))</f>
        <v>N</v>
      </c>
      <c r="K100" s="175" t="str">
        <f t="shared" si="34"/>
        <v/>
      </c>
      <c r="L100" s="86" t="str">
        <f>IF(_epmOfflineCondition_,"702580",_xll.EVPRO($B$1,H100,"JDEID"))</f>
        <v>702580</v>
      </c>
      <c r="M100" s="86" t="str">
        <f>IF(_epmOfflineCondition_,"590166",IF(AND(I100="N",J100="N"),_xll.EVPRO($B$1,H100,"PSFTID"),""))</f>
        <v>590166</v>
      </c>
      <c r="N100" s="86" t="str">
        <f>IF(_epmOfflineCondition_,"Reservations",IF(_xll.EVDES(H100,$B$1)="#NODATA","",_xll.EVDES(H100,$B$1)))</f>
        <v>Reservations</v>
      </c>
      <c r="O100" s="134"/>
      <c r="P100" s="134"/>
      <c r="Q100" s="134"/>
      <c r="R100" s="134"/>
      <c r="S100" s="134"/>
      <c r="T100" s="134"/>
      <c r="U100" s="134"/>
      <c r="V100" s="134"/>
      <c r="W100" s="134"/>
      <c r="X100" s="134">
        <v>169.32</v>
      </c>
      <c r="Y100" s="134">
        <v>102.6</v>
      </c>
      <c r="Z100" s="134">
        <v>226.1</v>
      </c>
      <c r="AA100" s="223">
        <f t="shared" si="35"/>
        <v>498.02</v>
      </c>
      <c r="AB100" s="138">
        <f t="shared" si="36"/>
        <v>2.7317945683024611E-3</v>
      </c>
      <c r="AC100" s="136"/>
      <c r="AD100" s="134">
        <v>1860</v>
      </c>
      <c r="AE100" s="138">
        <f t="shared" si="37"/>
        <v>1.2045652993760798E-3</v>
      </c>
      <c r="AF100" s="137">
        <f t="shared" si="38"/>
        <v>-1361.98</v>
      </c>
      <c r="AG100" s="134">
        <v>287.97000000000003</v>
      </c>
      <c r="AH100" s="138" t="str">
        <f t="shared" si="39"/>
        <v/>
      </c>
      <c r="AI100" s="137">
        <f t="shared" si="40"/>
        <v>210.04999999999995</v>
      </c>
      <c r="AJ100" s="224">
        <f t="shared" si="41"/>
        <v>8.8113941967445153E-2</v>
      </c>
      <c r="AK100" s="225">
        <f t="shared" si="42"/>
        <v>5.448314244705469E-2</v>
      </c>
      <c r="AL100" s="227">
        <f t="shared" si="43"/>
        <v>0</v>
      </c>
      <c r="AM100" s="419" t="str">
        <f t="shared" si="44"/>
        <v>0.15 pts.</v>
      </c>
      <c r="AN100" s="420">
        <f t="shared" si="45"/>
        <v>0</v>
      </c>
      <c r="AO100" s="11"/>
    </row>
    <row r="101" spans="1:41" x14ac:dyDescent="0.25">
      <c r="A101" s="93" t="s">
        <v>92</v>
      </c>
      <c r="B101" s="94" t="s">
        <v>93</v>
      </c>
      <c r="C101" s="94" t="s">
        <v>94</v>
      </c>
      <c r="D101" s="94" t="s">
        <v>95</v>
      </c>
      <c r="E101" s="94" t="s">
        <v>96</v>
      </c>
      <c r="F101" s="95" t="s">
        <v>97</v>
      </c>
      <c r="G101" s="11"/>
      <c r="H101" s="84" t="s">
        <v>794</v>
      </c>
      <c r="I101" s="118" t="str">
        <f>IF(_epmOfflineCondition_,"T4",_xll.EVPRO($B$1,$H101,"STYLE"))</f>
        <v>T4</v>
      </c>
      <c r="J101" s="118" t="str">
        <f>IF(_epmOfflineCondition_,"Y",_xll.EVPRO($B$1,$H101,"CALC"))</f>
        <v>Y</v>
      </c>
      <c r="K101" s="175" t="str">
        <f t="shared" si="34"/>
        <v>&gt;</v>
      </c>
      <c r="L101" s="86" t="str">
        <f>IF(_epmOfflineCondition_,"",_xll.EVPRO($B$1,H101,"JDEID"))</f>
        <v/>
      </c>
      <c r="M101" s="86" t="str">
        <f>IF(_epmOfflineCondition_,"",IF(AND(I101="N",J101="N"),_xll.EVPRO($B$1,H101,"PSFTID"),""))</f>
        <v/>
      </c>
      <c r="N101" s="86" t="str">
        <f>IF(_epmOfflineCondition_,"Contract Services",IF(_xll.EVDES(H101,$B$1)="#NODATA","",_xll.EVDES(H101,$B$1)))</f>
        <v>Contract Services</v>
      </c>
      <c r="O101" s="134"/>
      <c r="P101" s="134"/>
      <c r="Q101" s="134"/>
      <c r="R101" s="134"/>
      <c r="S101" s="134"/>
      <c r="T101" s="134"/>
      <c r="U101" s="134"/>
      <c r="V101" s="134"/>
      <c r="W101" s="134"/>
      <c r="X101" s="134">
        <v>2070</v>
      </c>
      <c r="Y101" s="134">
        <v>5099.25</v>
      </c>
      <c r="Z101" s="134">
        <v>5695.01</v>
      </c>
      <c r="AA101" s="223">
        <f t="shared" si="35"/>
        <v>12864.26</v>
      </c>
      <c r="AB101" s="138">
        <f t="shared" si="36"/>
        <v>7.0564466473697088E-2</v>
      </c>
      <c r="AC101" s="136"/>
      <c r="AD101" s="134">
        <v>26118</v>
      </c>
      <c r="AE101" s="138">
        <f t="shared" si="37"/>
        <v>1.6914428219948631E-2</v>
      </c>
      <c r="AF101" s="137">
        <f t="shared" si="38"/>
        <v>-13253.74</v>
      </c>
      <c r="AG101" s="134">
        <v>0</v>
      </c>
      <c r="AH101" s="138" t="str">
        <f t="shared" si="39"/>
        <v/>
      </c>
      <c r="AI101" s="137">
        <f t="shared" si="40"/>
        <v>12864.26</v>
      </c>
      <c r="AJ101" s="224">
        <f t="shared" si="41"/>
        <v>2.2760544939844305</v>
      </c>
      <c r="AK101" s="225">
        <f t="shared" si="42"/>
        <v>0.76504877120009374</v>
      </c>
      <c r="AL101" s="227">
        <f t="shared" si="43"/>
        <v>0</v>
      </c>
      <c r="AM101" s="419" t="str">
        <f t="shared" si="44"/>
        <v>5.37 pts.</v>
      </c>
      <c r="AN101" s="420">
        <f t="shared" si="45"/>
        <v>0</v>
      </c>
      <c r="AO101" s="11"/>
    </row>
    <row r="102" spans="1:41" x14ac:dyDescent="0.25">
      <c r="A102" s="11"/>
      <c r="B102" s="11"/>
      <c r="C102" s="11"/>
      <c r="D102" s="11"/>
      <c r="E102" s="11"/>
      <c r="F102" s="11"/>
      <c r="G102" s="11"/>
      <c r="H102" s="84" t="s">
        <v>795</v>
      </c>
      <c r="I102" s="118" t="str">
        <f>IF(_epmOfflineCondition_,"T4",_xll.EVPRO($B$1,$H102,"STYLE"))</f>
        <v>T4</v>
      </c>
      <c r="J102" s="118" t="str">
        <f>IF(_epmOfflineCondition_,"Y",_xll.EVPRO($B$1,$H102,"CALC"))</f>
        <v>Y</v>
      </c>
      <c r="K102" s="175" t="str">
        <f t="shared" si="34"/>
        <v>&gt;</v>
      </c>
      <c r="L102" s="86" t="str">
        <f>IF(_epmOfflineCondition_,"",_xll.EVPRO($B$1,H102,"JDEID"))</f>
        <v/>
      </c>
      <c r="M102" s="86" t="str">
        <f>IF(_epmOfflineCondition_,"",IF(AND(I102="N",J102="N"),_xll.EVPRO($B$1,H102,"PSFTID"),""))</f>
        <v/>
      </c>
      <c r="N102" s="86" t="str">
        <f>IF(_epmOfflineCondition_,"Travel - Other",IF(_xll.EVDES(H102,$B$1)="#NODATA","",_xll.EVDES(H102,$B$1)))</f>
        <v>Travel - Other</v>
      </c>
      <c r="O102" s="134"/>
      <c r="P102" s="134"/>
      <c r="Q102" s="134">
        <v>1235.29</v>
      </c>
      <c r="R102" s="134"/>
      <c r="S102" s="134"/>
      <c r="T102" s="134"/>
      <c r="U102" s="134"/>
      <c r="V102" s="134">
        <v>12.81</v>
      </c>
      <c r="W102" s="134"/>
      <c r="X102" s="134">
        <v>4697.43</v>
      </c>
      <c r="Y102" s="134">
        <v>-1557.89</v>
      </c>
      <c r="Z102" s="134">
        <v>-947.68</v>
      </c>
      <c r="AA102" s="223">
        <f t="shared" si="35"/>
        <v>3439.9600000000005</v>
      </c>
      <c r="AB102" s="138">
        <f t="shared" si="36"/>
        <v>1.8869250317613221E-2</v>
      </c>
      <c r="AC102" s="136"/>
      <c r="AD102" s="134">
        <v>5650</v>
      </c>
      <c r="AE102" s="138">
        <f t="shared" si="37"/>
        <v>3.6590290007929307E-3</v>
      </c>
      <c r="AF102" s="137">
        <f t="shared" si="38"/>
        <v>-2210.0399999999995</v>
      </c>
      <c r="AG102" s="134">
        <v>1.6375789613221099E-13</v>
      </c>
      <c r="AH102" s="138" t="str">
        <f t="shared" si="39"/>
        <v/>
      </c>
      <c r="AI102" s="137">
        <f t="shared" si="40"/>
        <v>3439.9600000000005</v>
      </c>
      <c r="AJ102" s="224">
        <f t="shared" si="41"/>
        <v>0.60862703467799018</v>
      </c>
      <c r="AK102" s="225">
        <f t="shared" si="42"/>
        <v>0.1654998681859457</v>
      </c>
      <c r="AL102" s="227">
        <f t="shared" si="43"/>
        <v>0</v>
      </c>
      <c r="AM102" s="419" t="str">
        <f t="shared" si="44"/>
        <v>1.52 pts.</v>
      </c>
      <c r="AN102" s="420">
        <f t="shared" si="45"/>
        <v>0</v>
      </c>
      <c r="AO102" s="11"/>
    </row>
    <row r="103" spans="1:41" x14ac:dyDescent="0.25">
      <c r="A103" s="11" t="s">
        <v>108</v>
      </c>
      <c r="B103" s="11"/>
      <c r="C103" s="100" t="s">
        <v>101</v>
      </c>
      <c r="D103" s="11" t="s">
        <v>106</v>
      </c>
      <c r="E103" s="11"/>
      <c r="F103" s="11" t="s">
        <v>98</v>
      </c>
      <c r="G103" s="11"/>
      <c r="H103" s="84" t="s">
        <v>796</v>
      </c>
      <c r="I103" s="118" t="str">
        <f>IF(_epmOfflineCondition_,"T4",_xll.EVPRO($B$1,$H103,"STYLE"))</f>
        <v>T4</v>
      </c>
      <c r="J103" s="118" t="str">
        <f>IF(_epmOfflineCondition_,"Y",_xll.EVPRO($B$1,$H103,"CALC"))</f>
        <v>Y</v>
      </c>
      <c r="K103" s="175" t="str">
        <f t="shared" si="34"/>
        <v>&gt;</v>
      </c>
      <c r="L103" s="86" t="str">
        <f>IF(_epmOfflineCondition_,"702900",_xll.EVPRO($B$1,H103,"JDEID"))</f>
        <v>702900</v>
      </c>
      <c r="M103" s="86" t="str">
        <f>IF(_epmOfflineCondition_,"",IF(AND(I103="N",J103="N"),_xll.EVPRO($B$1,H103,"PSFTID"),""))</f>
        <v/>
      </c>
      <c r="N103" s="86" t="str">
        <f>IF(_epmOfflineCondition_,"Travel - Meals &amp; Entertainment",IF(_xll.EVDES(H103,$B$1)="#NODATA","",_xll.EVDES(H103,$B$1)))</f>
        <v>Travel - Meals &amp; Entertainment</v>
      </c>
      <c r="O103" s="134"/>
      <c r="P103" s="134"/>
      <c r="Q103" s="134"/>
      <c r="R103" s="134">
        <v>54.46</v>
      </c>
      <c r="S103" s="134"/>
      <c r="T103" s="134"/>
      <c r="U103" s="134"/>
      <c r="V103" s="134">
        <v>35.15</v>
      </c>
      <c r="W103" s="134"/>
      <c r="X103" s="134">
        <v>1138.18</v>
      </c>
      <c r="Y103" s="134">
        <v>1576.25</v>
      </c>
      <c r="Z103" s="134">
        <v>57.7</v>
      </c>
      <c r="AA103" s="223">
        <f t="shared" si="35"/>
        <v>2861.74</v>
      </c>
      <c r="AB103" s="138">
        <f t="shared" si="36"/>
        <v>1.5697533809674077E-2</v>
      </c>
      <c r="AC103" s="136"/>
      <c r="AD103" s="134">
        <v>975</v>
      </c>
      <c r="AE103" s="138">
        <f t="shared" si="37"/>
        <v>6.3142535854391279E-4</v>
      </c>
      <c r="AF103" s="137">
        <f t="shared" si="38"/>
        <v>1886.7399999999998</v>
      </c>
      <c r="AG103" s="134">
        <v>195.69</v>
      </c>
      <c r="AH103" s="138" t="str">
        <f t="shared" si="39"/>
        <v/>
      </c>
      <c r="AI103" s="137">
        <f t="shared" si="40"/>
        <v>2666.0499999999997</v>
      </c>
      <c r="AJ103" s="224">
        <f t="shared" si="41"/>
        <v>0.50632342533616415</v>
      </c>
      <c r="AK103" s="225">
        <f t="shared" si="42"/>
        <v>2.8559711766601249E-2</v>
      </c>
      <c r="AL103" s="227">
        <f t="shared" si="43"/>
        <v>0</v>
      </c>
      <c r="AM103" s="419" t="str">
        <f t="shared" si="44"/>
        <v>1.51 pts.</v>
      </c>
      <c r="AN103" s="420">
        <f t="shared" si="45"/>
        <v>0</v>
      </c>
      <c r="AO103" s="11"/>
    </row>
    <row r="104" spans="1:41" x14ac:dyDescent="0.25">
      <c r="A104" s="11" t="s">
        <v>100</v>
      </c>
      <c r="B104" s="11"/>
      <c r="C104" s="49" t="s">
        <v>101</v>
      </c>
      <c r="D104" s="11" t="s">
        <v>106</v>
      </c>
      <c r="E104" s="11"/>
      <c r="F104" s="11" t="s">
        <v>98</v>
      </c>
      <c r="G104" s="11"/>
      <c r="H104" s="84" t="s">
        <v>797</v>
      </c>
      <c r="I104" s="118" t="str">
        <f>IF(_epmOfflineCondition_,"T4",_xll.EVPRO($B$1,$H104,"STYLE"))</f>
        <v>T4</v>
      </c>
      <c r="J104" s="118" t="str">
        <f>IF(_epmOfflineCondition_,"Y",_xll.EVPRO($B$1,$H104,"CALC"))</f>
        <v>Y</v>
      </c>
      <c r="K104" s="175" t="str">
        <f t="shared" si="34"/>
        <v>&gt;</v>
      </c>
      <c r="L104" s="86" t="str">
        <f>IF(_epmOfflineCondition_,"703000",_xll.EVPRO($B$1,H104,"JDEID"))</f>
        <v>703000</v>
      </c>
      <c r="M104" s="86" t="str">
        <f>IF(_epmOfflineCondition_,"",IF(AND(I104="N",J104="N"),_xll.EVPRO($B$1,H104,"PSFTID"),""))</f>
        <v/>
      </c>
      <c r="N104" s="86" t="str">
        <f>IF(_epmOfflineCondition_,"Complimentary Services &amp; Gifts",IF(_xll.EVDES(H104,$B$1)="#NODATA","",_xll.EVDES(H104,$B$1)))</f>
        <v>Complimentary Services &amp; Gifts</v>
      </c>
      <c r="O104" s="134"/>
      <c r="P104" s="134"/>
      <c r="Q104" s="134"/>
      <c r="R104" s="134"/>
      <c r="S104" s="134"/>
      <c r="T104" s="134"/>
      <c r="U104" s="134"/>
      <c r="V104" s="134"/>
      <c r="W104" s="134"/>
      <c r="X104" s="134"/>
      <c r="Y104" s="134"/>
      <c r="Z104" s="134"/>
      <c r="AA104" s="223">
        <f t="shared" si="35"/>
        <v>0</v>
      </c>
      <c r="AB104" s="138" t="str">
        <f t="shared" si="36"/>
        <v/>
      </c>
      <c r="AC104" s="136"/>
      <c r="AD104" s="134">
        <v>646.93404999999996</v>
      </c>
      <c r="AE104" s="138">
        <f t="shared" si="37"/>
        <v>4.189646815133493E-4</v>
      </c>
      <c r="AF104" s="137">
        <f t="shared" si="38"/>
        <v>-646.93404999999996</v>
      </c>
      <c r="AG104" s="134"/>
      <c r="AH104" s="138" t="str">
        <f t="shared" si="39"/>
        <v/>
      </c>
      <c r="AI104" s="137">
        <f t="shared" si="40"/>
        <v>0</v>
      </c>
      <c r="AJ104" s="224">
        <f t="shared" si="41"/>
        <v>0</v>
      </c>
      <c r="AK104" s="225">
        <f t="shared" si="42"/>
        <v>1.8949999999999998E-2</v>
      </c>
      <c r="AL104" s="227">
        <f t="shared" si="43"/>
        <v>0</v>
      </c>
      <c r="AM104" s="419">
        <f t="shared" si="44"/>
        <v>0</v>
      </c>
      <c r="AN104" s="420">
        <f t="shared" si="45"/>
        <v>0</v>
      </c>
      <c r="AO104" s="11"/>
    </row>
    <row r="105" spans="1:41" x14ac:dyDescent="0.25">
      <c r="A105" s="11" t="s">
        <v>109</v>
      </c>
      <c r="B105" s="11"/>
      <c r="C105" s="102" t="s">
        <v>101</v>
      </c>
      <c r="D105" s="11" t="s">
        <v>106</v>
      </c>
      <c r="E105" s="11"/>
      <c r="F105" s="11" t="s">
        <v>98</v>
      </c>
      <c r="G105" s="72"/>
      <c r="H105" s="84" t="s">
        <v>798</v>
      </c>
      <c r="I105" s="118" t="str">
        <f>IF(_epmOfflineCondition_,"N",_xll.EVPRO($B$1,$H105,"STYLE"))</f>
        <v>N</v>
      </c>
      <c r="J105" s="118" t="str">
        <f>IF(_epmOfflineCondition_,"N",_xll.EVPRO($B$1,$H105,"CALC"))</f>
        <v>N</v>
      </c>
      <c r="K105" s="175" t="str">
        <f t="shared" si="34"/>
        <v/>
      </c>
      <c r="L105" s="86" t="str">
        <f>IF(_epmOfflineCondition_,"703100",_xll.EVPRO($B$1,H105,"JDEID"))</f>
        <v>703100</v>
      </c>
      <c r="M105" s="86" t="str">
        <f>IF(_epmOfflineCondition_,"690035",IF(AND(I105="N",J105="N"),_xll.EVPRO($B$1,H105,"PSFTID"),""))</f>
        <v>690035</v>
      </c>
      <c r="N105" s="86" t="str">
        <f>IF(_epmOfflineCondition_,"Training",IF(_xll.EVDES(H105,$B$1)="#NODATA","",_xll.EVDES(H105,$B$1)))</f>
        <v>Training</v>
      </c>
      <c r="O105" s="134"/>
      <c r="P105" s="134"/>
      <c r="Q105" s="134"/>
      <c r="R105" s="134"/>
      <c r="S105" s="134"/>
      <c r="T105" s="134"/>
      <c r="U105" s="134"/>
      <c r="V105" s="134"/>
      <c r="W105" s="134"/>
      <c r="X105" s="134"/>
      <c r="Y105" s="134"/>
      <c r="Z105" s="134"/>
      <c r="AA105" s="223">
        <f t="shared" si="35"/>
        <v>0</v>
      </c>
      <c r="AB105" s="138" t="str">
        <f t="shared" si="36"/>
        <v/>
      </c>
      <c r="AC105" s="136"/>
      <c r="AD105" s="134">
        <v>1200</v>
      </c>
      <c r="AE105" s="138">
        <f t="shared" si="37"/>
        <v>7.7713890282327732E-4</v>
      </c>
      <c r="AF105" s="137">
        <f t="shared" si="38"/>
        <v>-1200</v>
      </c>
      <c r="AG105" s="134"/>
      <c r="AH105" s="138" t="str">
        <f t="shared" si="39"/>
        <v/>
      </c>
      <c r="AI105" s="137">
        <f t="shared" si="40"/>
        <v>0</v>
      </c>
      <c r="AJ105" s="224">
        <f t="shared" si="41"/>
        <v>0</v>
      </c>
      <c r="AK105" s="225">
        <f t="shared" si="42"/>
        <v>3.5150414481970767E-2</v>
      </c>
      <c r="AL105" s="227">
        <f t="shared" si="43"/>
        <v>0</v>
      </c>
      <c r="AM105" s="419">
        <f t="shared" si="44"/>
        <v>0</v>
      </c>
      <c r="AN105" s="420">
        <f t="shared" si="45"/>
        <v>0</v>
      </c>
      <c r="AO105" s="11"/>
    </row>
    <row r="106" spans="1:41" x14ac:dyDescent="0.25">
      <c r="A106" s="11" t="s">
        <v>109</v>
      </c>
      <c r="B106" s="11"/>
      <c r="C106" s="192" t="s">
        <v>101</v>
      </c>
      <c r="D106" s="11" t="s">
        <v>107</v>
      </c>
      <c r="E106" s="11"/>
      <c r="F106" s="11" t="s">
        <v>99</v>
      </c>
      <c r="G106" s="11"/>
      <c r="H106" s="84" t="s">
        <v>799</v>
      </c>
      <c r="I106" s="118" t="str">
        <f>IF(_epmOfflineCondition_,"N",_xll.EVPRO($B$1,$H106,"STYLE"))</f>
        <v>N</v>
      </c>
      <c r="J106" s="118" t="str">
        <f>IF(_epmOfflineCondition_,"N",_xll.EVPRO($B$1,$H106,"CALC"))</f>
        <v>N</v>
      </c>
      <c r="K106" s="175" t="str">
        <f t="shared" si="34"/>
        <v/>
      </c>
      <c r="L106" s="86" t="str">
        <f>IF(_epmOfflineCondition_,"703200",_xll.EVPRO($B$1,H106,"JDEID"))</f>
        <v>703200</v>
      </c>
      <c r="M106" s="86" t="str">
        <f>IF(_epmOfflineCondition_,"590035",IF(AND(I106="N",J106="N"),_xll.EVPRO($B$1,H106,"PSFTID"),""))</f>
        <v>590035</v>
      </c>
      <c r="N106" s="86" t="str">
        <f>IF(_epmOfflineCondition_,"Uniform Costs",IF(_xll.EVDES(H106,$B$1)="#NODATA","",_xll.EVDES(H106,$B$1)))</f>
        <v>Uniform Costs</v>
      </c>
      <c r="O106" s="134"/>
      <c r="P106" s="134"/>
      <c r="Q106" s="134"/>
      <c r="R106" s="134"/>
      <c r="S106" s="134"/>
      <c r="T106" s="134"/>
      <c r="U106" s="134"/>
      <c r="V106" s="134"/>
      <c r="W106" s="134"/>
      <c r="X106" s="134">
        <v>1438.52</v>
      </c>
      <c r="Y106" s="134">
        <v>-544</v>
      </c>
      <c r="Z106" s="134">
        <v>1913.14</v>
      </c>
      <c r="AA106" s="223">
        <f t="shared" si="35"/>
        <v>2807.66</v>
      </c>
      <c r="AB106" s="138">
        <f t="shared" si="36"/>
        <v>1.5400888192522565E-2</v>
      </c>
      <c r="AC106" s="136"/>
      <c r="AD106" s="134">
        <v>1800</v>
      </c>
      <c r="AE106" s="138">
        <f t="shared" si="37"/>
        <v>1.1657083542349158E-3</v>
      </c>
      <c r="AF106" s="137">
        <f t="shared" si="38"/>
        <v>1007.6599999999999</v>
      </c>
      <c r="AG106" s="134">
        <v>1.55</v>
      </c>
      <c r="AH106" s="138" t="str">
        <f t="shared" si="39"/>
        <v/>
      </c>
      <c r="AI106" s="137">
        <f t="shared" si="40"/>
        <v>2806.1099999999997</v>
      </c>
      <c r="AJ106" s="224">
        <f t="shared" si="41"/>
        <v>0.49675513092710544</v>
      </c>
      <c r="AK106" s="225">
        <f t="shared" si="42"/>
        <v>5.2725621722956147E-2</v>
      </c>
      <c r="AL106" s="227">
        <f t="shared" si="43"/>
        <v>0</v>
      </c>
      <c r="AM106" s="419" t="str">
        <f t="shared" si="44"/>
        <v>1.42 pts.</v>
      </c>
      <c r="AN106" s="420">
        <f t="shared" si="45"/>
        <v>0</v>
      </c>
      <c r="AO106" s="11"/>
    </row>
    <row r="107" spans="1:41" x14ac:dyDescent="0.25">
      <c r="A107" s="11" t="s">
        <v>110</v>
      </c>
      <c r="B107" s="11"/>
      <c r="C107" s="102" t="s">
        <v>101</v>
      </c>
      <c r="D107" s="11" t="s">
        <v>106</v>
      </c>
      <c r="E107" s="11"/>
      <c r="F107" s="11" t="s">
        <v>98</v>
      </c>
      <c r="G107" s="11"/>
      <c r="H107" s="84" t="s">
        <v>800</v>
      </c>
      <c r="I107" s="118" t="str">
        <f>IF(_epmOfflineCondition_,"N",_xll.EVPRO($B$1,$H107,"STYLE"))</f>
        <v>N</v>
      </c>
      <c r="J107" s="118" t="str">
        <f>IF(_epmOfflineCondition_,"N",_xll.EVPRO($B$1,$H107,"CALC"))</f>
        <v>N</v>
      </c>
      <c r="K107" s="175" t="str">
        <f t="shared" si="34"/>
        <v/>
      </c>
      <c r="L107" s="86" t="str">
        <f>IF(_epmOfflineCondition_,"703300",_xll.EVPRO($B$1,H107,"JDEID"))</f>
        <v>703300</v>
      </c>
      <c r="M107" s="86" t="str">
        <f>IF(_epmOfflineCondition_,"590115",IF(AND(I107="N",J107="N"),_xll.EVPRO($B$1,H107,"PSFTID"),""))</f>
        <v>590115</v>
      </c>
      <c r="N107" s="86" t="str">
        <f>IF(_epmOfflineCondition_,"Uniforms Laundry",IF(_xll.EVDES(H107,$B$1)="#NODATA","",_xll.EVDES(H107,$B$1)))</f>
        <v>Uniforms Laundry</v>
      </c>
      <c r="O107" s="134"/>
      <c r="P107" s="134"/>
      <c r="Q107" s="134"/>
      <c r="R107" s="134"/>
      <c r="S107" s="134"/>
      <c r="T107" s="134"/>
      <c r="U107" s="134"/>
      <c r="V107" s="134"/>
      <c r="W107" s="134"/>
      <c r="X107" s="134">
        <v>372.4</v>
      </c>
      <c r="Y107" s="134">
        <v>676.5</v>
      </c>
      <c r="Z107" s="134">
        <v>682.2</v>
      </c>
      <c r="AA107" s="223">
        <f t="shared" si="35"/>
        <v>1731.1000000000001</v>
      </c>
      <c r="AB107" s="138">
        <f t="shared" si="36"/>
        <v>9.4956218167711968E-3</v>
      </c>
      <c r="AC107" s="136"/>
      <c r="AD107" s="134">
        <v>3012.8470449279998</v>
      </c>
      <c r="AE107" s="138">
        <f t="shared" si="37"/>
        <v>1.951167205724749E-3</v>
      </c>
      <c r="AF107" s="137">
        <f t="shared" si="38"/>
        <v>-1281.7470449279997</v>
      </c>
      <c r="AG107" s="134">
        <v>0</v>
      </c>
      <c r="AH107" s="138" t="str">
        <f t="shared" si="39"/>
        <v/>
      </c>
      <c r="AI107" s="137">
        <f t="shared" si="40"/>
        <v>1731.1000000000001</v>
      </c>
      <c r="AJ107" s="224">
        <f t="shared" si="41"/>
        <v>0.30628096249115361</v>
      </c>
      <c r="AK107" s="225">
        <f t="shared" si="42"/>
        <v>8.8252351999999992E-2</v>
      </c>
      <c r="AL107" s="227">
        <f t="shared" si="43"/>
        <v>0</v>
      </c>
      <c r="AM107" s="419" t="str">
        <f t="shared" si="44"/>
        <v>0.75 pts.</v>
      </c>
      <c r="AN107" s="420">
        <f t="shared" si="45"/>
        <v>0</v>
      </c>
      <c r="AO107" s="11"/>
    </row>
    <row r="108" spans="1:41" x14ac:dyDescent="0.25">
      <c r="A108" s="11" t="s">
        <v>110</v>
      </c>
      <c r="B108" s="11"/>
      <c r="C108" s="105" t="s">
        <v>101</v>
      </c>
      <c r="D108" s="11" t="s">
        <v>107</v>
      </c>
      <c r="E108" s="11"/>
      <c r="F108" s="11" t="s">
        <v>99</v>
      </c>
      <c r="G108" s="11"/>
      <c r="H108" s="84" t="s">
        <v>827</v>
      </c>
      <c r="I108" s="118" t="str">
        <f>IF(_epmOfflineCondition_,"N",_xll.EVPRO($B$1,$H108,"STYLE"))</f>
        <v>N</v>
      </c>
      <c r="J108" s="118" t="str">
        <f>IF(_epmOfflineCondition_,"N",_xll.EVPRO($B$1,$H108,"CALC"))</f>
        <v>N</v>
      </c>
      <c r="K108" s="175" t="str">
        <f t="shared" si="34"/>
        <v/>
      </c>
      <c r="L108" s="86" t="str">
        <f>IF(_epmOfflineCondition_,"703400",_xll.EVPRO($B$1,H108,"JDEID"))</f>
        <v>703400</v>
      </c>
      <c r="M108" s="86" t="str">
        <f>IF(_epmOfflineCondition_,"590010",IF(AND(I108="N",J108="N"),_xll.EVPRO($B$1,H108,"PSFTID"),""))</f>
        <v>590010</v>
      </c>
      <c r="N108" s="86" t="str">
        <f>IF(_epmOfflineCondition_,"Linen",IF(_xll.EVDES(H108,$B$1)="#NODATA","",_xll.EVDES(H108,$B$1)))</f>
        <v>Linen</v>
      </c>
      <c r="O108" s="134"/>
      <c r="P108" s="134"/>
      <c r="Q108" s="134"/>
      <c r="R108" s="134"/>
      <c r="S108" s="134"/>
      <c r="T108" s="134"/>
      <c r="U108" s="134"/>
      <c r="V108" s="134"/>
      <c r="W108" s="134"/>
      <c r="X108" s="134">
        <v>695.96</v>
      </c>
      <c r="Y108" s="134">
        <v>2149.4699999999998</v>
      </c>
      <c r="Z108" s="134">
        <v>2084.87</v>
      </c>
      <c r="AA108" s="223">
        <f t="shared" si="35"/>
        <v>4930.2999999999993</v>
      </c>
      <c r="AB108" s="138">
        <f t="shared" si="36"/>
        <v>2.7044228665719493E-2</v>
      </c>
      <c r="AC108" s="136"/>
      <c r="AD108" s="134">
        <v>24590.012776189</v>
      </c>
      <c r="AE108" s="138">
        <f t="shared" si="37"/>
        <v>1.5924879624414908E-2</v>
      </c>
      <c r="AF108" s="137">
        <f t="shared" si="38"/>
        <v>-19659.712776189001</v>
      </c>
      <c r="AG108" s="134"/>
      <c r="AH108" s="138" t="str">
        <f t="shared" si="39"/>
        <v/>
      </c>
      <c r="AI108" s="137">
        <f t="shared" si="40"/>
        <v>4930.2999999999993</v>
      </c>
      <c r="AJ108" s="224">
        <f t="shared" si="41"/>
        <v>0.87231068648266086</v>
      </c>
      <c r="AK108" s="225">
        <f t="shared" si="42"/>
        <v>0.72029095099999996</v>
      </c>
      <c r="AL108" s="227">
        <f t="shared" si="43"/>
        <v>0</v>
      </c>
      <c r="AM108" s="419" t="str">
        <f t="shared" si="44"/>
        <v>1.11 pts.</v>
      </c>
      <c r="AN108" s="420">
        <f t="shared" si="45"/>
        <v>0</v>
      </c>
      <c r="AO108" s="11"/>
    </row>
    <row r="109" spans="1:41" x14ac:dyDescent="0.25">
      <c r="A109" s="11"/>
      <c r="B109" s="11"/>
      <c r="C109" s="204"/>
      <c r="D109" s="11"/>
      <c r="E109" s="11"/>
      <c r="F109" s="11"/>
      <c r="G109" s="11"/>
      <c r="H109" s="84" t="s">
        <v>828</v>
      </c>
      <c r="I109" s="118" t="str">
        <f>IF(_epmOfflineCondition_,"N",_xll.EVPRO($B$1,$H109,"STYLE"))</f>
        <v>N</v>
      </c>
      <c r="J109" s="118" t="str">
        <f>IF(_epmOfflineCondition_,"N",_xll.EVPRO($B$1,$H109,"CALC"))</f>
        <v>N</v>
      </c>
      <c r="K109" s="175" t="str">
        <f t="shared" si="34"/>
        <v/>
      </c>
      <c r="L109" s="86" t="str">
        <f>IF(_epmOfflineCondition_,"703500",_xll.EVPRO($B$1,H109,"JDEID"))</f>
        <v>703500</v>
      </c>
      <c r="M109" s="86" t="str">
        <f>IF(_epmOfflineCondition_,"590004",IF(AND(I109="N",J109="N"),_xll.EVPRO($B$1,H109,"PSFTID"),""))</f>
        <v>590004</v>
      </c>
      <c r="N109" s="86" t="str">
        <f>IF(_epmOfflineCondition_,"China",IF(_xll.EVDES(H109,$B$1)="#NODATA","",_xll.EVDES(H109,$B$1)))</f>
        <v>China</v>
      </c>
      <c r="O109" s="134"/>
      <c r="P109" s="134"/>
      <c r="Q109" s="134"/>
      <c r="R109" s="134"/>
      <c r="S109" s="134"/>
      <c r="T109" s="134"/>
      <c r="U109" s="134"/>
      <c r="V109" s="134"/>
      <c r="W109" s="134"/>
      <c r="X109" s="134"/>
      <c r="Y109" s="134"/>
      <c r="Z109" s="134"/>
      <c r="AA109" s="223">
        <f t="shared" si="35"/>
        <v>0</v>
      </c>
      <c r="AB109" s="138" t="str">
        <f t="shared" si="36"/>
        <v/>
      </c>
      <c r="AC109" s="136"/>
      <c r="AD109" s="134">
        <v>1650</v>
      </c>
      <c r="AE109" s="138">
        <f t="shared" si="37"/>
        <v>1.0685659913820063E-3</v>
      </c>
      <c r="AF109" s="137">
        <f t="shared" si="38"/>
        <v>-1650</v>
      </c>
      <c r="AG109" s="134">
        <v>70.930000000000007</v>
      </c>
      <c r="AH109" s="138" t="str">
        <f t="shared" si="39"/>
        <v/>
      </c>
      <c r="AI109" s="137">
        <f t="shared" si="40"/>
        <v>-70.930000000000007</v>
      </c>
      <c r="AJ109" s="224">
        <f t="shared" si="41"/>
        <v>0</v>
      </c>
      <c r="AK109" s="225">
        <f t="shared" si="42"/>
        <v>4.8331819912709802E-2</v>
      </c>
      <c r="AL109" s="227">
        <f t="shared" si="43"/>
        <v>0</v>
      </c>
      <c r="AM109" s="419">
        <f t="shared" si="44"/>
        <v>0</v>
      </c>
      <c r="AN109" s="420">
        <f t="shared" si="45"/>
        <v>0</v>
      </c>
      <c r="AO109" s="11"/>
    </row>
    <row r="110" spans="1:41" x14ac:dyDescent="0.25">
      <c r="A110" s="11"/>
      <c r="B110" s="11"/>
      <c r="C110" s="11"/>
      <c r="D110" s="11"/>
      <c r="E110" s="11"/>
      <c r="F110" s="11"/>
      <c r="G110" s="11"/>
      <c r="H110" s="84" t="s">
        <v>829</v>
      </c>
      <c r="I110" s="118" t="str">
        <f>IF(_epmOfflineCondition_,"N",_xll.EVPRO($B$1,$H110,"STYLE"))</f>
        <v>N</v>
      </c>
      <c r="J110" s="118" t="str">
        <f>IF(_epmOfflineCondition_,"N",_xll.EVPRO($B$1,$H110,"CALC"))</f>
        <v>N</v>
      </c>
      <c r="K110" s="175" t="str">
        <f t="shared" si="34"/>
        <v/>
      </c>
      <c r="L110" s="86" t="str">
        <f>IF(_epmOfflineCondition_,"703510",_xll.EVPRO($B$1,H110,"JDEID"))</f>
        <v>703510</v>
      </c>
      <c r="M110" s="86" t="str">
        <f>IF(_epmOfflineCondition_,"590003",IF(AND(I110="N",J110="N"),_xll.EVPRO($B$1,H110,"PSFTID"),""))</f>
        <v>590003</v>
      </c>
      <c r="N110" s="86" t="str">
        <f>IF(_epmOfflineCondition_,"Glassware",IF(_xll.EVDES(H110,$B$1)="#NODATA","",_xll.EVDES(H110,$B$1)))</f>
        <v>Glassware</v>
      </c>
      <c r="O110" s="134"/>
      <c r="P110" s="134"/>
      <c r="Q110" s="134"/>
      <c r="R110" s="134"/>
      <c r="S110" s="134"/>
      <c r="T110" s="134"/>
      <c r="U110" s="134"/>
      <c r="V110" s="134"/>
      <c r="W110" s="134"/>
      <c r="X110" s="134"/>
      <c r="Y110" s="134">
        <v>3000</v>
      </c>
      <c r="Z110" s="134">
        <v>884.55</v>
      </c>
      <c r="AA110" s="223">
        <f t="shared" si="35"/>
        <v>3884.55</v>
      </c>
      <c r="AB110" s="138">
        <f t="shared" si="36"/>
        <v>2.1307964720893392E-2</v>
      </c>
      <c r="AC110" s="136"/>
      <c r="AD110" s="134">
        <v>550</v>
      </c>
      <c r="AE110" s="138">
        <f t="shared" si="37"/>
        <v>3.5618866379400209E-4</v>
      </c>
      <c r="AF110" s="137">
        <f t="shared" si="38"/>
        <v>3334.55</v>
      </c>
      <c r="AG110" s="134">
        <v>468.84</v>
      </c>
      <c r="AH110" s="138" t="str">
        <f t="shared" si="39"/>
        <v/>
      </c>
      <c r="AI110" s="137">
        <f t="shared" si="40"/>
        <v>3415.71</v>
      </c>
      <c r="AJ110" s="224">
        <f t="shared" si="41"/>
        <v>0.68728768577494692</v>
      </c>
      <c r="AK110" s="225">
        <f t="shared" si="42"/>
        <v>1.6110606637569934E-2</v>
      </c>
      <c r="AL110" s="227">
        <f t="shared" si="43"/>
        <v>0</v>
      </c>
      <c r="AM110" s="419" t="str">
        <f t="shared" si="44"/>
        <v>2.1 pts.</v>
      </c>
      <c r="AN110" s="420">
        <f t="shared" si="45"/>
        <v>0</v>
      </c>
      <c r="AO110" s="11"/>
    </row>
    <row r="111" spans="1:41" x14ac:dyDescent="0.25">
      <c r="A111" s="56" t="str">
        <f>IF(_epmOfflineCondition_,"Evdre:Ok",_xll.EVDRE($B$1,A114:B121))</f>
        <v>Evdre:Ok</v>
      </c>
      <c r="B111" s="11" t="s">
        <v>737</v>
      </c>
      <c r="C111" s="11"/>
      <c r="D111" s="11"/>
      <c r="E111" s="11"/>
      <c r="F111" s="11"/>
      <c r="G111" s="72"/>
      <c r="H111" s="84" t="s">
        <v>830</v>
      </c>
      <c r="I111" s="118" t="str">
        <f>IF(_epmOfflineCondition_,"N",_xll.EVPRO($B$1,$H111,"STYLE"))</f>
        <v>N</v>
      </c>
      <c r="J111" s="118" t="str">
        <f>IF(_epmOfflineCondition_,"N",_xll.EVPRO($B$1,$H111,"CALC"))</f>
        <v>N</v>
      </c>
      <c r="K111" s="175" t="str">
        <f t="shared" si="34"/>
        <v/>
      </c>
      <c r="L111" s="86" t="str">
        <f>IF(_epmOfflineCondition_,"703520",_xll.EVPRO($B$1,H111,"JDEID"))</f>
        <v>703520</v>
      </c>
      <c r="M111" s="86" t="str">
        <f>IF(_epmOfflineCondition_,"590008",IF(AND(I111="N",J111="N"),_xll.EVPRO($B$1,H111,"PSFTID"),""))</f>
        <v>590008</v>
      </c>
      <c r="N111" s="86" t="str">
        <f>IF(_epmOfflineCondition_,"Flatware",IF(_xll.EVDES(H111,$B$1)="#NODATA","",_xll.EVDES(H111,$B$1)))</f>
        <v>Flatware</v>
      </c>
      <c r="O111" s="134"/>
      <c r="P111" s="134"/>
      <c r="Q111" s="134"/>
      <c r="R111" s="134"/>
      <c r="S111" s="134"/>
      <c r="T111" s="134"/>
      <c r="U111" s="134"/>
      <c r="V111" s="134"/>
      <c r="W111" s="134">
        <v>513.79</v>
      </c>
      <c r="X111" s="134"/>
      <c r="Y111" s="134"/>
      <c r="Z111" s="134"/>
      <c r="AA111" s="223">
        <f t="shared" si="35"/>
        <v>513.79</v>
      </c>
      <c r="AB111" s="138">
        <f t="shared" si="36"/>
        <v>2.8182979222684261E-3</v>
      </c>
      <c r="AC111" s="136"/>
      <c r="AD111" s="134">
        <v>900</v>
      </c>
      <c r="AE111" s="138">
        <f t="shared" si="37"/>
        <v>5.8285417711745791E-4</v>
      </c>
      <c r="AF111" s="137">
        <f t="shared" si="38"/>
        <v>-386.21000000000004</v>
      </c>
      <c r="AG111" s="134">
        <v>48.05</v>
      </c>
      <c r="AH111" s="138" t="str">
        <f t="shared" si="39"/>
        <v/>
      </c>
      <c r="AI111" s="137">
        <f t="shared" si="40"/>
        <v>465.73999999999995</v>
      </c>
      <c r="AJ111" s="224">
        <f t="shared" si="41"/>
        <v>9.0904104741684352E-2</v>
      </c>
      <c r="AK111" s="225">
        <f t="shared" si="42"/>
        <v>2.6362810861478073E-2</v>
      </c>
      <c r="AL111" s="227">
        <f t="shared" si="43"/>
        <v>0</v>
      </c>
      <c r="AM111" s="419" t="str">
        <f t="shared" si="44"/>
        <v>0.22 pts.</v>
      </c>
      <c r="AN111" s="420">
        <f t="shared" si="45"/>
        <v>0</v>
      </c>
      <c r="AO111" s="11"/>
    </row>
    <row r="112" spans="1:41" x14ac:dyDescent="0.25">
      <c r="A112" s="11"/>
      <c r="B112" s="11"/>
      <c r="C112" s="11"/>
      <c r="D112" s="11"/>
      <c r="E112" s="11"/>
      <c r="F112" s="11"/>
      <c r="G112" s="11"/>
      <c r="H112" s="84" t="s">
        <v>841</v>
      </c>
      <c r="I112" s="118" t="str">
        <f>IF(_epmOfflineCondition_,"N",_xll.EVPRO($B$1,$H112,"STYLE"))</f>
        <v>N</v>
      </c>
      <c r="J112" s="118" t="str">
        <f>IF(_epmOfflineCondition_,"N",_xll.EVPRO($B$1,$H112,"CALC"))</f>
        <v>N</v>
      </c>
      <c r="K112" s="175" t="str">
        <f t="shared" si="34"/>
        <v/>
      </c>
      <c r="L112" s="86" t="str">
        <f>IF(_epmOfflineCondition_,"703700",_xll.EVPRO($B$1,H112,"JDEID"))</f>
        <v>703700</v>
      </c>
      <c r="M112" s="86" t="str">
        <f>IF(_epmOfflineCondition_,"590046",IF(AND(I112="N",J112="N"),_xll.EVPRO($B$1,H112,"PSFTID"),""))</f>
        <v>590046</v>
      </c>
      <c r="N112" s="86" t="str">
        <f>IF(_epmOfflineCondition_,"Menus and Beverage Lists",IF(_xll.EVDES(H112,$B$1)="#NODATA","",_xll.EVDES(H112,$B$1)))</f>
        <v>Menus and Beverage Lists</v>
      </c>
      <c r="O112" s="134"/>
      <c r="P112" s="134"/>
      <c r="Q112" s="134"/>
      <c r="R112" s="134"/>
      <c r="S112" s="134"/>
      <c r="T112" s="134"/>
      <c r="U112" s="134"/>
      <c r="V112" s="134"/>
      <c r="W112" s="134"/>
      <c r="X112" s="134">
        <v>1817.05</v>
      </c>
      <c r="Y112" s="134">
        <v>292.48</v>
      </c>
      <c r="Z112" s="134"/>
      <c r="AA112" s="223">
        <f t="shared" si="35"/>
        <v>2109.5299999999997</v>
      </c>
      <c r="AB112" s="138">
        <f t="shared" si="36"/>
        <v>1.1571428046405948E-2</v>
      </c>
      <c r="AC112" s="136"/>
      <c r="AD112" s="134"/>
      <c r="AE112" s="138" t="str">
        <f t="shared" si="37"/>
        <v/>
      </c>
      <c r="AF112" s="137">
        <f t="shared" si="38"/>
        <v>2109.5299999999997</v>
      </c>
      <c r="AG112" s="134"/>
      <c r="AH112" s="138" t="str">
        <f t="shared" si="39"/>
        <v/>
      </c>
      <c r="AI112" s="137">
        <f t="shared" si="40"/>
        <v>2109.5299999999997</v>
      </c>
      <c r="AJ112" s="224">
        <f t="shared" si="41"/>
        <v>0.37323602264685063</v>
      </c>
      <c r="AK112" s="225">
        <f t="shared" si="42"/>
        <v>0</v>
      </c>
      <c r="AL112" s="227">
        <f t="shared" si="43"/>
        <v>0</v>
      </c>
      <c r="AM112" s="419">
        <f t="shared" si="44"/>
        <v>0</v>
      </c>
      <c r="AN112" s="420">
        <f t="shared" si="45"/>
        <v>0</v>
      </c>
      <c r="AO112" s="11"/>
    </row>
    <row r="113" spans="1:41" x14ac:dyDescent="0.25">
      <c r="A113" s="57" t="s">
        <v>0</v>
      </c>
      <c r="B113" s="58" t="s">
        <v>1</v>
      </c>
      <c r="C113" s="11"/>
      <c r="D113" s="11"/>
      <c r="E113" s="11"/>
      <c r="F113" s="11"/>
      <c r="G113" s="11"/>
      <c r="H113" s="84" t="s">
        <v>842</v>
      </c>
      <c r="I113" s="118" t="str">
        <f>IF(_epmOfflineCondition_,"N",_xll.EVPRO($B$1,$H113,"STYLE"))</f>
        <v>N</v>
      </c>
      <c r="J113" s="118" t="str">
        <f>IF(_epmOfflineCondition_,"N",_xll.EVPRO($B$1,$H113,"CALC"))</f>
        <v>N</v>
      </c>
      <c r="K113" s="175" t="str">
        <f t="shared" si="34"/>
        <v/>
      </c>
      <c r="L113" s="86" t="str">
        <f>IF(_epmOfflineCondition_,"704100",_xll.EVPRO($B$1,H113,"JDEID"))</f>
        <v>704100</v>
      </c>
      <c r="M113" s="86" t="str">
        <f>IF(_epmOfflineCondition_,"690241",IF(AND(I113="N",J113="N"),_xll.EVPRO($B$1,H113,"PSFTID"),""))</f>
        <v>690241</v>
      </c>
      <c r="N113" s="86" t="str">
        <f>IF(_epmOfflineCondition_,"Music and Entertainment",IF(_xll.EVDES(H113,$B$1)="#NODATA","",_xll.EVDES(H113,$B$1)))</f>
        <v>Music and Entertainment</v>
      </c>
      <c r="O113" s="134"/>
      <c r="P113" s="134"/>
      <c r="Q113" s="134"/>
      <c r="R113" s="134"/>
      <c r="S113" s="134"/>
      <c r="T113" s="134"/>
      <c r="U113" s="134"/>
      <c r="V113" s="134"/>
      <c r="W113" s="134"/>
      <c r="X113" s="134"/>
      <c r="Y113" s="134"/>
      <c r="Z113" s="134"/>
      <c r="AA113" s="223">
        <f t="shared" si="35"/>
        <v>0</v>
      </c>
      <c r="AB113" s="138" t="str">
        <f t="shared" si="36"/>
        <v/>
      </c>
      <c r="AC113" s="136"/>
      <c r="AD113" s="134">
        <v>4000</v>
      </c>
      <c r="AE113" s="138">
        <f t="shared" si="37"/>
        <v>2.5904630094109242E-3</v>
      </c>
      <c r="AF113" s="137">
        <f t="shared" si="38"/>
        <v>-4000</v>
      </c>
      <c r="AG113" s="134">
        <v>0</v>
      </c>
      <c r="AH113" s="138" t="str">
        <f t="shared" si="39"/>
        <v/>
      </c>
      <c r="AI113" s="137">
        <f t="shared" si="40"/>
        <v>0</v>
      </c>
      <c r="AJ113" s="224">
        <f t="shared" si="41"/>
        <v>0</v>
      </c>
      <c r="AK113" s="225">
        <f t="shared" si="42"/>
        <v>0.11716804827323589</v>
      </c>
      <c r="AL113" s="227">
        <f t="shared" si="43"/>
        <v>0</v>
      </c>
      <c r="AM113" s="419">
        <f t="shared" si="44"/>
        <v>0</v>
      </c>
      <c r="AN113" s="420">
        <f t="shared" si="45"/>
        <v>0</v>
      </c>
      <c r="AO113" s="11"/>
    </row>
    <row r="114" spans="1:41" x14ac:dyDescent="0.25">
      <c r="A114" s="61" t="s">
        <v>2</v>
      </c>
      <c r="B114" s="62" t="str">
        <f>IF(_epmOfflineCondition_,"'Venue1'!$B$2:$B$10",_xll.EVRNG($B$2:$B$10))</f>
        <v>'Venue1'!$B$2:$B$10</v>
      </c>
      <c r="C114" s="11"/>
      <c r="D114" s="11"/>
      <c r="E114" s="11"/>
      <c r="F114" s="11"/>
      <c r="G114" s="11"/>
      <c r="H114" s="84" t="s">
        <v>806</v>
      </c>
      <c r="I114" s="118" t="str">
        <f>IF(_epmOfflineCondition_,"N",_xll.EVPRO($B$1,$H114,"STYLE"))</f>
        <v>N</v>
      </c>
      <c r="J114" s="118" t="str">
        <f>IF(_epmOfflineCondition_,"N",_xll.EVPRO($B$1,$H114,"CALC"))</f>
        <v>N</v>
      </c>
      <c r="K114" s="175" t="str">
        <f t="shared" si="34"/>
        <v/>
      </c>
      <c r="L114" s="86" t="str">
        <f>IF(_epmOfflineCondition_,"705500",_xll.EVPRO($B$1,H114,"JDEID"))</f>
        <v>705500</v>
      </c>
      <c r="M114" s="86" t="str">
        <f>IF(_epmOfflineCondition_,"690105",IF(AND(I114="N",J114="N"),_xll.EVPRO($B$1,H114,"PSFTID"),""))</f>
        <v>690105</v>
      </c>
      <c r="N114" s="86" t="str">
        <f>IF(_epmOfflineCondition_,"Licenses &amp; Permits",IF(_xll.EVDES(H114,$B$1)="#NODATA","",_xll.EVDES(H114,$B$1)))</f>
        <v>Licenses &amp; Permits</v>
      </c>
      <c r="O114" s="134"/>
      <c r="P114" s="134"/>
      <c r="Q114" s="134">
        <v>1870</v>
      </c>
      <c r="R114" s="134"/>
      <c r="S114" s="134"/>
      <c r="T114" s="134"/>
      <c r="U114" s="134"/>
      <c r="V114" s="134"/>
      <c r="W114" s="134"/>
      <c r="X114" s="134"/>
      <c r="Y114" s="134"/>
      <c r="Z114" s="134"/>
      <c r="AA114" s="223">
        <f t="shared" si="35"/>
        <v>1870</v>
      </c>
      <c r="AB114" s="138">
        <f t="shared" si="36"/>
        <v>1.0257531510231723E-2</v>
      </c>
      <c r="AC114" s="136"/>
      <c r="AD114" s="134">
        <v>1983</v>
      </c>
      <c r="AE114" s="138">
        <f t="shared" si="37"/>
        <v>1.2842220369154657E-3</v>
      </c>
      <c r="AF114" s="137">
        <f t="shared" si="38"/>
        <v>-113</v>
      </c>
      <c r="AG114" s="134">
        <v>1870</v>
      </c>
      <c r="AH114" s="138" t="str">
        <f t="shared" si="39"/>
        <v/>
      </c>
      <c r="AI114" s="137">
        <f t="shared" si="40"/>
        <v>0</v>
      </c>
      <c r="AJ114" s="224">
        <f t="shared" si="41"/>
        <v>0.33085633404104742</v>
      </c>
      <c r="AK114" s="225">
        <f t="shared" si="42"/>
        <v>5.8086059931456692E-2</v>
      </c>
      <c r="AL114" s="227">
        <f t="shared" si="43"/>
        <v>0</v>
      </c>
      <c r="AM114" s="419" t="str">
        <f t="shared" si="44"/>
        <v>0.9 pts.</v>
      </c>
      <c r="AN114" s="420">
        <f t="shared" si="45"/>
        <v>0</v>
      </c>
      <c r="AO114" s="11"/>
    </row>
    <row r="115" spans="1:41" x14ac:dyDescent="0.25">
      <c r="A115" s="61" t="s">
        <v>3</v>
      </c>
      <c r="B115" s="62" t="str">
        <f>IF(_epmOfflineCondition_,"'Venue1'!$O$16:$AN$18",_xll.EVRNG($O$16:$AN$18))</f>
        <v>'Venue1'!$O$16:$AN$18</v>
      </c>
      <c r="C115" s="11"/>
      <c r="D115" s="11"/>
      <c r="E115" s="11"/>
      <c r="F115" s="11"/>
      <c r="G115" s="11"/>
      <c r="H115" s="84" t="s">
        <v>843</v>
      </c>
      <c r="I115" s="118" t="str">
        <f>IF(_epmOfflineCondition_,"T4",_xll.EVPRO($B$1,$H115,"STYLE"))</f>
        <v>T4</v>
      </c>
      <c r="J115" s="118" t="str">
        <f>IF(_epmOfflineCondition_,"Y",_xll.EVPRO($B$1,$H115,"CALC"))</f>
        <v>Y</v>
      </c>
      <c r="K115" s="175" t="str">
        <f t="shared" si="34"/>
        <v>&gt;</v>
      </c>
      <c r="L115" s="86" t="str">
        <f>IF(_epmOfflineCondition_,"706100",_xll.EVPRO($B$1,H115,"JDEID"))</f>
        <v>706100</v>
      </c>
      <c r="M115" s="86" t="str">
        <f>IF(_epmOfflineCondition_,"",IF(AND(I115="N",J115="N"),_xll.EVPRO($B$1,H115,"PSFTID"),""))</f>
        <v/>
      </c>
      <c r="N115" s="86" t="str">
        <f>IF(_epmOfflineCondition_,"Miscellaneous",IF(_xll.EVDES(H115,$B$1)="#NODATA","",_xll.EVDES(H115,$B$1)))</f>
        <v>Miscellaneous</v>
      </c>
      <c r="O115" s="134"/>
      <c r="P115" s="134"/>
      <c r="Q115" s="134"/>
      <c r="R115" s="134">
        <v>59.31</v>
      </c>
      <c r="S115" s="134"/>
      <c r="T115" s="134"/>
      <c r="U115" s="134"/>
      <c r="V115" s="134">
        <v>16.7</v>
      </c>
      <c r="W115" s="134"/>
      <c r="X115" s="134">
        <v>439.02</v>
      </c>
      <c r="Y115" s="134">
        <v>304.33</v>
      </c>
      <c r="Z115" s="134">
        <v>7048.63</v>
      </c>
      <c r="AA115" s="223">
        <f t="shared" si="35"/>
        <v>7867.99</v>
      </c>
      <c r="AB115" s="138">
        <f t="shared" si="36"/>
        <v>4.3158371843416088E-2</v>
      </c>
      <c r="AC115" s="136"/>
      <c r="AD115" s="134"/>
      <c r="AE115" s="138" t="str">
        <f t="shared" si="37"/>
        <v/>
      </c>
      <c r="AF115" s="137">
        <f t="shared" si="38"/>
        <v>7867.99</v>
      </c>
      <c r="AG115" s="134">
        <v>2.1316282072802999E-14</v>
      </c>
      <c r="AH115" s="138" t="str">
        <f t="shared" si="39"/>
        <v/>
      </c>
      <c r="AI115" s="137">
        <f t="shared" si="40"/>
        <v>7867.99</v>
      </c>
      <c r="AJ115" s="224">
        <f t="shared" si="41"/>
        <v>1.3920718329794763</v>
      </c>
      <c r="AK115" s="225">
        <f t="shared" si="42"/>
        <v>0</v>
      </c>
      <c r="AL115" s="227">
        <f t="shared" si="43"/>
        <v>0</v>
      </c>
      <c r="AM115" s="419">
        <f t="shared" si="44"/>
        <v>0</v>
      </c>
      <c r="AN115" s="420">
        <f t="shared" si="45"/>
        <v>0</v>
      </c>
      <c r="AO115" s="11"/>
    </row>
    <row r="116" spans="1:41" x14ac:dyDescent="0.25">
      <c r="A116" s="61" t="s">
        <v>4</v>
      </c>
      <c r="B116" s="62" t="str">
        <f>IF(_epmOfflineCondition_,"'Venue1'!$H$117:$H$120",_xll.EVRNG(H117:H120))</f>
        <v>'Venue1'!$H$117:$H$120</v>
      </c>
      <c r="C116" s="11"/>
      <c r="D116" s="11"/>
      <c r="E116" s="11"/>
      <c r="F116" s="11"/>
      <c r="G116" s="11"/>
      <c r="H116" s="84" t="s">
        <v>832</v>
      </c>
      <c r="I116" s="118" t="str">
        <f>IF(_epmOfflineCondition_,"N",_xll.EVPRO($B$1,$H116,"STYLE"))</f>
        <v>N</v>
      </c>
      <c r="J116" s="118" t="str">
        <f>IF(_epmOfflineCondition_,"N",_xll.EVPRO($B$1,$H116,"CALC"))</f>
        <v>N</v>
      </c>
      <c r="K116" s="175" t="str">
        <f t="shared" si="34"/>
        <v/>
      </c>
      <c r="L116" s="86" t="str">
        <f>IF(_epmOfflineCondition_,"706110",_xll.EVPRO($B$1,H116,"JDEID"))</f>
        <v>706110</v>
      </c>
      <c r="M116" s="86" t="str">
        <f>IF(_epmOfflineCondition_,"590056",IF(AND(I116="N",J116="N"),_xll.EVPRO($B$1,H116,"PSFTID"),""))</f>
        <v>590056</v>
      </c>
      <c r="N116" s="86" t="str">
        <f>IF(_epmOfflineCondition_,"Kitchen Fuel",IF(_xll.EVDES(H116,$B$1)="#NODATA","",_xll.EVDES(H116,$B$1)))</f>
        <v>Kitchen Fuel</v>
      </c>
      <c r="O116" s="134"/>
      <c r="P116" s="134"/>
      <c r="Q116" s="134"/>
      <c r="R116" s="134"/>
      <c r="S116" s="134"/>
      <c r="T116" s="134"/>
      <c r="U116" s="134"/>
      <c r="V116" s="134"/>
      <c r="W116" s="134"/>
      <c r="X116" s="134"/>
      <c r="Y116" s="134">
        <v>220.38</v>
      </c>
      <c r="Z116" s="134">
        <v>-220.38</v>
      </c>
      <c r="AA116" s="223">
        <f t="shared" si="35"/>
        <v>0</v>
      </c>
      <c r="AB116" s="138" t="str">
        <f t="shared" si="36"/>
        <v/>
      </c>
      <c r="AC116" s="136"/>
      <c r="AD116" s="134"/>
      <c r="AE116" s="138" t="str">
        <f t="shared" si="37"/>
        <v/>
      </c>
      <c r="AF116" s="137">
        <f t="shared" si="38"/>
        <v>0</v>
      </c>
      <c r="AG116" s="134"/>
      <c r="AH116" s="138" t="str">
        <f t="shared" si="39"/>
        <v/>
      </c>
      <c r="AI116" s="137">
        <f t="shared" si="40"/>
        <v>0</v>
      </c>
      <c r="AJ116" s="224">
        <f t="shared" si="41"/>
        <v>0</v>
      </c>
      <c r="AK116" s="225">
        <f t="shared" si="42"/>
        <v>0</v>
      </c>
      <c r="AL116" s="227">
        <f t="shared" si="43"/>
        <v>0</v>
      </c>
      <c r="AM116" s="419">
        <f t="shared" si="44"/>
        <v>0</v>
      </c>
      <c r="AN116" s="420">
        <f t="shared" si="45"/>
        <v>0</v>
      </c>
      <c r="AO116" s="11"/>
    </row>
    <row r="117" spans="1:41" x14ac:dyDescent="0.25">
      <c r="A117" s="61" t="s">
        <v>5</v>
      </c>
      <c r="B117" s="62"/>
      <c r="C117" s="11"/>
      <c r="D117" s="11"/>
      <c r="E117" s="11"/>
      <c r="F117" s="11"/>
      <c r="G117" s="11"/>
      <c r="H117" s="84" t="s">
        <v>79</v>
      </c>
      <c r="I117" s="132" t="str">
        <f>IF(_epmOfflineCondition_,"T3",_xll.EVPRO($B$1,$H117,"STYLE"))</f>
        <v>T3</v>
      </c>
      <c r="J117" s="132" t="str">
        <f>IF(_epmOfflineCondition_,"Y",_xll.EVPRO($B$1,$H117,"CALC"))</f>
        <v>Y</v>
      </c>
      <c r="K117" s="100"/>
      <c r="L117" s="100"/>
      <c r="M117" s="100"/>
      <c r="N117" s="102" t="str">
        <f>IF(_epmOfflineCondition_,"Total Operations Expense",IF(_xll.EVDES(H117,$B$1)="#NODATA","",_xll.EVDES(H117,$B$1)))</f>
        <v>Total Operations Expense</v>
      </c>
      <c r="O117" s="146"/>
      <c r="P117" s="146"/>
      <c r="Q117" s="146">
        <v>3105.29</v>
      </c>
      <c r="R117" s="146">
        <v>113.77</v>
      </c>
      <c r="S117" s="146"/>
      <c r="T117" s="146"/>
      <c r="U117" s="146"/>
      <c r="V117" s="146">
        <v>64.66</v>
      </c>
      <c r="W117" s="146">
        <v>513.79</v>
      </c>
      <c r="X117" s="146">
        <v>22935.03</v>
      </c>
      <c r="Y117" s="146">
        <v>17986.830000000002</v>
      </c>
      <c r="Z117" s="146">
        <v>18937.39</v>
      </c>
      <c r="AA117" s="146">
        <f t="shared" si="35"/>
        <v>63656.759999999995</v>
      </c>
      <c r="AB117" s="147">
        <f t="shared" si="36"/>
        <v>0.34917712381778515</v>
      </c>
      <c r="AC117" s="136"/>
      <c r="AD117" s="146">
        <v>114683.311863597</v>
      </c>
      <c r="AE117" s="147">
        <f t="shared" si="37"/>
        <v>7.4270719294846257E-2</v>
      </c>
      <c r="AF117" s="148">
        <f t="shared" si="38"/>
        <v>-51026.551863597007</v>
      </c>
      <c r="AG117" s="146">
        <v>2943.03</v>
      </c>
      <c r="AH117" s="147" t="str">
        <f t="shared" si="39"/>
        <v/>
      </c>
      <c r="AI117" s="148">
        <f t="shared" si="40"/>
        <v>60713.729999999996</v>
      </c>
      <c r="AJ117" s="431">
        <f t="shared" si="41"/>
        <v>11.262696390658173</v>
      </c>
      <c r="AK117" s="432">
        <f t="shared" si="42"/>
        <v>3.3593049551421248</v>
      </c>
      <c r="AL117" s="433">
        <f t="shared" si="43"/>
        <v>0</v>
      </c>
      <c r="AM117" s="434" t="str">
        <f t="shared" si="44"/>
        <v>27.49 pts.</v>
      </c>
      <c r="AN117" s="435">
        <f t="shared" si="45"/>
        <v>0</v>
      </c>
      <c r="AO117" s="11"/>
    </row>
    <row r="118" spans="1:41" x14ac:dyDescent="0.25">
      <c r="A118" s="61" t="s">
        <v>6</v>
      </c>
      <c r="B118" s="62"/>
      <c r="C118" s="11"/>
      <c r="D118" s="11"/>
      <c r="E118" s="11"/>
      <c r="F118" s="11"/>
      <c r="G118" s="11"/>
      <c r="H118" s="11"/>
      <c r="I118" s="55"/>
      <c r="J118" s="55"/>
      <c r="K118" s="11"/>
      <c r="L118" s="11"/>
      <c r="M118" s="11"/>
      <c r="N118" s="11"/>
      <c r="O118" s="136"/>
      <c r="P118" s="136"/>
      <c r="Q118" s="136"/>
      <c r="R118" s="136"/>
      <c r="S118" s="136"/>
      <c r="T118" s="136"/>
      <c r="U118" s="136"/>
      <c r="V118" s="136"/>
      <c r="W118" s="136"/>
      <c r="X118" s="136"/>
      <c r="Y118" s="136"/>
      <c r="Z118" s="136"/>
      <c r="AA118" s="136"/>
      <c r="AB118" s="136"/>
      <c r="AC118" s="136"/>
      <c r="AD118" s="136"/>
      <c r="AE118" s="136"/>
      <c r="AF118" s="136"/>
      <c r="AG118" s="136"/>
      <c r="AH118" s="136"/>
      <c r="AI118" s="136"/>
      <c r="AJ118" s="136"/>
      <c r="AK118" s="136"/>
      <c r="AL118" s="136"/>
      <c r="AM118" s="136"/>
      <c r="AN118" s="136"/>
      <c r="AO118" s="11"/>
    </row>
    <row r="119" spans="1:41" x14ac:dyDescent="0.25">
      <c r="A119" s="61" t="s">
        <v>7</v>
      </c>
      <c r="B119" s="62"/>
      <c r="C119" s="11"/>
      <c r="D119" s="11"/>
      <c r="E119" s="11"/>
      <c r="F119" s="11"/>
      <c r="G119" s="11"/>
      <c r="H119" s="84" t="s">
        <v>80</v>
      </c>
      <c r="I119" s="132" t="str">
        <f>IF(_epmOfflineCondition_,"T3",_xll.EVPRO($B$1,$H119,"STYLE"))</f>
        <v>T3</v>
      </c>
      <c r="J119" s="132" t="str">
        <f>IF(_epmOfflineCondition_,"Y",_xll.EVPRO($B$1,$H119,"CALC"))</f>
        <v>Y</v>
      </c>
      <c r="K119" s="102"/>
      <c r="L119" s="102"/>
      <c r="M119" s="102"/>
      <c r="N119" s="102" t="str">
        <f>IF(_epmOfflineCondition_,"Total Expenses",IF(_xll.EVDES(H119,$B$1)="#NODATA","",_xll.EVDES(H119,$B$1)))</f>
        <v>Total Expenses</v>
      </c>
      <c r="O119" s="210">
        <v>22761.33</v>
      </c>
      <c r="P119" s="210">
        <v>37060.910000000003</v>
      </c>
      <c r="Q119" s="210">
        <v>31083.08</v>
      </c>
      <c r="R119" s="210">
        <v>25359.13</v>
      </c>
      <c r="S119" s="210">
        <v>31087.13</v>
      </c>
      <c r="T119" s="210">
        <v>26147.05</v>
      </c>
      <c r="U119" s="210">
        <v>23540.37</v>
      </c>
      <c r="V119" s="210">
        <v>23723.94</v>
      </c>
      <c r="W119" s="210">
        <v>34115.519999999997</v>
      </c>
      <c r="X119" s="210">
        <v>84626.74</v>
      </c>
      <c r="Y119" s="210">
        <v>122825.52</v>
      </c>
      <c r="Z119" s="210">
        <v>116373.01</v>
      </c>
      <c r="AA119" s="210">
        <f>IF($I119="B1","",SUM(O119:Z119))</f>
        <v>578703.73</v>
      </c>
      <c r="AB119" s="211">
        <f>IF(AA119=0,"",IFERROR(AA119/AA$19,""))</f>
        <v>3.1743699174137063</v>
      </c>
      <c r="AC119" s="136"/>
      <c r="AD119" s="210">
        <v>1217188.6289605999</v>
      </c>
      <c r="AE119" s="211">
        <f>IF(AD119=0,"",IFERROR(AD119/AD$19,""))</f>
        <v>0.78827052969950806</v>
      </c>
      <c r="AF119" s="212">
        <f>IF(AND($AA119="",AD119=""),"",$AA119-AD119)</f>
        <v>-638484.89896059991</v>
      </c>
      <c r="AG119" s="213">
        <v>250336.75</v>
      </c>
      <c r="AH119" s="214" t="str">
        <f>IF(AG119=0,"",IFERROR(AG119/AG$19,""))</f>
        <v/>
      </c>
      <c r="AI119" s="212">
        <f>IF(AND($AA119="",AG119=""),"",$AA119-AG119)</f>
        <v>328366.98</v>
      </c>
      <c r="AJ119" s="523">
        <f>IFERROR(AA119/AA$20,0)</f>
        <v>102.38919497523</v>
      </c>
      <c r="AK119" s="524">
        <f>IFERROR(AD119/AD$20,0)</f>
        <v>35.653904008922346</v>
      </c>
      <c r="AL119" s="525">
        <f>IFERROR(AG119/AG$20,0)</f>
        <v>0</v>
      </c>
      <c r="AM119" s="526" t="str">
        <f>+IFERROR(ROUND(($AB119-AE119)*100,2)&amp;" pts.",0)</f>
        <v>238.61 pts.</v>
      </c>
      <c r="AN119" s="527">
        <f>+IFERROR(ROUND(($AB119-AH119)*100,2)&amp;" pts.",0)</f>
        <v>0</v>
      </c>
      <c r="AO119" s="11"/>
    </row>
    <row r="120" spans="1:41" ht="15.75" thickBot="1" x14ac:dyDescent="0.3">
      <c r="A120" s="61" t="s">
        <v>47</v>
      </c>
      <c r="B120" s="62" t="str">
        <f>IF(_epmOfflineCondition_,"'Venue1'!$A$125:$B$146",_xll.EVRNG($A$125:$B$146))</f>
        <v>'Venue1'!$A$125:$B$146</v>
      </c>
      <c r="C120" s="11"/>
      <c r="D120" s="11"/>
      <c r="E120" s="11"/>
      <c r="F120" s="11"/>
      <c r="G120" s="11"/>
      <c r="H120" s="84" t="s">
        <v>81</v>
      </c>
      <c r="I120" s="132" t="str">
        <f>IF(_epmOfflineCondition_,"T3",_xll.EVPRO($B$1,$H120,"STYLE"))</f>
        <v>T3</v>
      </c>
      <c r="J120" s="132" t="str">
        <f>IF(_epmOfflineCondition_,"Y",_xll.EVPRO($B$1,$H120,"CALC"))</f>
        <v>Y</v>
      </c>
      <c r="K120" s="102"/>
      <c r="L120" s="102"/>
      <c r="M120" s="102"/>
      <c r="N120" s="102" t="str">
        <f>IF(_epmOfflineCondition_,"Department Profit (Loss)",IF(_xll.EVDES(H120,$B$1)="#NODATA","",_xll.EVDES(H120,$B$1)))</f>
        <v>Department Profit (Loss)</v>
      </c>
      <c r="O120" s="161">
        <v>-22761.33</v>
      </c>
      <c r="P120" s="161">
        <v>-37060.910000000003</v>
      </c>
      <c r="Q120" s="161">
        <v>-31083.08</v>
      </c>
      <c r="R120" s="161">
        <v>-25359.13</v>
      </c>
      <c r="S120" s="161">
        <v>-31087.13</v>
      </c>
      <c r="T120" s="161">
        <v>-26147.05</v>
      </c>
      <c r="U120" s="161">
        <v>-23540.37</v>
      </c>
      <c r="V120" s="161">
        <v>-23723.94</v>
      </c>
      <c r="W120" s="161">
        <v>-34115.519999999997</v>
      </c>
      <c r="X120" s="161">
        <v>-87869.24</v>
      </c>
      <c r="Y120" s="161">
        <v>-100798.17</v>
      </c>
      <c r="Z120" s="161">
        <v>-60709.98</v>
      </c>
      <c r="AA120" s="161">
        <f>IF($I120="B1","",SUM(O120:Z120))</f>
        <v>-504255.85</v>
      </c>
      <c r="AB120" s="162">
        <f>IF(AA120=0,"",IFERROR(AA120/AA$19,""))</f>
        <v>-2.7660001447025029</v>
      </c>
      <c r="AC120" s="136"/>
      <c r="AD120" s="161">
        <v>-10255.584960599301</v>
      </c>
      <c r="AE120" s="162">
        <f>IF(AD120=0,"",IFERROR(AD120/AD$19,""))</f>
        <v>-6.6416783700758699E-3</v>
      </c>
      <c r="AF120" s="163">
        <f>IF(AND($AA120="",AD120=""),"",$AA120-AD120)</f>
        <v>-494000.26503940066</v>
      </c>
      <c r="AG120" s="161">
        <v>-251965.08</v>
      </c>
      <c r="AH120" s="162" t="str">
        <f>IF(AG120=0,"",IFERROR(AG120/AG$19,""))</f>
        <v/>
      </c>
      <c r="AI120" s="163">
        <f>IF(AND($AA120="",AG120=""),"",$AA120-AG120)</f>
        <v>-252290.77</v>
      </c>
      <c r="AJ120" s="442">
        <f>IFERROR(AA120/AA$20,0)</f>
        <v>-89.217241684359522</v>
      </c>
      <c r="AK120" s="443">
        <f>IFERROR(AD120/AD$20,0)</f>
        <v>-0.30040671843344269</v>
      </c>
      <c r="AL120" s="444">
        <f>IFERROR(AG120/AG$20,0)</f>
        <v>0</v>
      </c>
      <c r="AM120" s="445" t="str">
        <f>+IFERROR(ROUND(($AB120-AE120)*100,2)&amp;" pts.",0)</f>
        <v>-275.94 pts.</v>
      </c>
      <c r="AN120" s="446">
        <f>+IFERROR(ROUND(($AB120-AH120)*100,2)&amp;" pts.",0)</f>
        <v>0</v>
      </c>
      <c r="AO120" s="11"/>
    </row>
    <row r="121" spans="1:41" ht="15.75" thickTop="1" x14ac:dyDescent="0.25">
      <c r="A121" s="61" t="s">
        <v>8</v>
      </c>
      <c r="B121" s="62"/>
      <c r="C121" s="11"/>
      <c r="D121" s="11"/>
      <c r="E121" s="11"/>
      <c r="F121" s="11"/>
      <c r="G121" s="11"/>
      <c r="H121" s="11"/>
      <c r="I121" s="55"/>
      <c r="J121" s="55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x14ac:dyDescent="0.25">
      <c r="A122" s="11"/>
      <c r="B122" s="11"/>
      <c r="C122" s="11"/>
      <c r="D122" s="11"/>
      <c r="E122" s="11"/>
      <c r="F122" s="11"/>
      <c r="G122" s="11"/>
      <c r="H122" s="11"/>
      <c r="I122" s="55"/>
      <c r="J122" s="55"/>
      <c r="K122" s="11"/>
      <c r="L122" s="11"/>
      <c r="M122" s="11"/>
      <c r="N122" s="100" t="str">
        <f>N119&amp;" - Check"</f>
        <v>Total Expenses - Check</v>
      </c>
      <c r="O122" s="205">
        <f t="shared" ref="O122:AA122" si="46">SUMIF($H$35:$H$120,"600000",O$35:O$120)+SUMIF($H$35:$H$120,"700000",O$35:O$120)-SUMIF($H$35:$H$120,"TOTDEPTEXP",O$35:O$120)</f>
        <v>0</v>
      </c>
      <c r="P122" s="205">
        <f t="shared" si="46"/>
        <v>0</v>
      </c>
      <c r="Q122" s="205">
        <f t="shared" si="46"/>
        <v>0</v>
      </c>
      <c r="R122" s="205">
        <f t="shared" si="46"/>
        <v>0</v>
      </c>
      <c r="S122" s="205">
        <f t="shared" si="46"/>
        <v>0</v>
      </c>
      <c r="T122" s="205">
        <f t="shared" si="46"/>
        <v>0</v>
      </c>
      <c r="U122" s="205">
        <f t="shared" si="46"/>
        <v>0</v>
      </c>
      <c r="V122" s="205">
        <f t="shared" si="46"/>
        <v>0</v>
      </c>
      <c r="W122" s="205">
        <f t="shared" si="46"/>
        <v>0</v>
      </c>
      <c r="X122" s="205">
        <f t="shared" si="46"/>
        <v>0</v>
      </c>
      <c r="Y122" s="205">
        <f t="shared" si="46"/>
        <v>0</v>
      </c>
      <c r="Z122" s="205">
        <f t="shared" si="46"/>
        <v>0</v>
      </c>
      <c r="AA122" s="205">
        <f t="shared" si="46"/>
        <v>0</v>
      </c>
      <c r="AB122" s="96"/>
      <c r="AC122" s="11"/>
      <c r="AD122" s="205">
        <f>SUMIF($H$35:$H$120,"600000",AD$35:AD$120)+SUMIF($H$35:$H$120,"700000",AD$35:AD$120)-SUMIF($H$35:$H$120,"TOTDEPTEXP",AD$35:AD$120)</f>
        <v>-2.7939677238464355E-9</v>
      </c>
      <c r="AE122" s="96"/>
      <c r="AF122" s="87"/>
      <c r="AG122" s="205">
        <f>SUMIF($H$35:$H$120,"600000",AG$35:AG$120)+SUMIF($H$35:$H$120,"700000",AG$35:AG$120)-SUMIF($H$35:$H$120,"TOTDEPTEXP",AG$35:AG$120)</f>
        <v>0</v>
      </c>
      <c r="AH122" s="96"/>
      <c r="AI122" s="87"/>
      <c r="AJ122" s="11"/>
      <c r="AK122" s="11"/>
      <c r="AL122" s="11"/>
      <c r="AM122" s="11"/>
      <c r="AN122" s="11"/>
      <c r="AO122" s="11"/>
    </row>
    <row r="123" spans="1:41" x14ac:dyDescent="0.25">
      <c r="A123" s="11"/>
      <c r="B123" s="11"/>
      <c r="C123" s="11"/>
      <c r="D123" s="11"/>
      <c r="E123" s="11"/>
      <c r="F123" s="11"/>
      <c r="G123" s="11"/>
      <c r="H123" s="11"/>
      <c r="I123" s="55"/>
      <c r="J123" s="55"/>
      <c r="K123" s="11"/>
      <c r="L123" s="11"/>
      <c r="M123" s="11"/>
      <c r="N123" s="100" t="str">
        <f>N120&amp;" - Check"</f>
        <v>Department Profit (Loss) - Check</v>
      </c>
      <c r="O123" s="205">
        <f t="shared" ref="O123:AA123" si="47">SUMIF($H$35:$H$120,"KPI_GP",O$35:O$120)-SUMIF($H$35:$H$120,"TOTDEPTEXP",O$35:O$120)-SUMIF($H$35:$H$120,"TOTDEPTPL",O$35:O$120)</f>
        <v>0</v>
      </c>
      <c r="P123" s="205">
        <f t="shared" si="47"/>
        <v>0</v>
      </c>
      <c r="Q123" s="205">
        <f t="shared" si="47"/>
        <v>0</v>
      </c>
      <c r="R123" s="205">
        <f t="shared" si="47"/>
        <v>0</v>
      </c>
      <c r="S123" s="205">
        <f t="shared" si="47"/>
        <v>0</v>
      </c>
      <c r="T123" s="205">
        <f t="shared" si="47"/>
        <v>0</v>
      </c>
      <c r="U123" s="205">
        <f t="shared" si="47"/>
        <v>0</v>
      </c>
      <c r="V123" s="205">
        <f t="shared" si="47"/>
        <v>0</v>
      </c>
      <c r="W123" s="205">
        <f t="shared" si="47"/>
        <v>0</v>
      </c>
      <c r="X123" s="205">
        <f t="shared" si="47"/>
        <v>0</v>
      </c>
      <c r="Y123" s="205">
        <f t="shared" si="47"/>
        <v>0</v>
      </c>
      <c r="Z123" s="205">
        <f t="shared" si="47"/>
        <v>0</v>
      </c>
      <c r="AA123" s="205">
        <f t="shared" si="47"/>
        <v>0</v>
      </c>
      <c r="AB123" s="96"/>
      <c r="AC123" s="11"/>
      <c r="AD123" s="205">
        <f>SUMIF($H$35:$H$120,"KPI_GP",AD$35:AD$120)-SUMIF($H$35:$H$120,"TOTDEPTEXP",AD$35:AD$120)-SUMIF($H$35:$H$120,"TOTDEPTPL",AD$35:AD$120)</f>
        <v>-5.9480953495949507E-10</v>
      </c>
      <c r="AE123" s="96"/>
      <c r="AF123" s="87"/>
      <c r="AG123" s="205">
        <f>SUMIF($H$35:$H$120,"KPI_GP",AG$35:AG$120)-SUMIF($H$35:$H$120,"TOTDEPTEXP",AG$35:AG$120)-SUMIF($H$35:$H$120,"TOTDEPTPL",AG$35:AG$120)</f>
        <v>0</v>
      </c>
      <c r="AH123" s="96"/>
      <c r="AI123" s="87"/>
      <c r="AJ123" s="11"/>
      <c r="AK123" s="11"/>
      <c r="AL123" s="11"/>
      <c r="AM123" s="11"/>
      <c r="AN123" s="11"/>
      <c r="AO123" s="11"/>
    </row>
    <row r="124" spans="1:41" x14ac:dyDescent="0.25">
      <c r="A124" s="57" t="s">
        <v>23</v>
      </c>
      <c r="B124" s="58" t="s">
        <v>24</v>
      </c>
      <c r="C124" s="11"/>
      <c r="D124" s="11"/>
      <c r="E124" s="11"/>
      <c r="F124" s="11"/>
      <c r="G124" s="11"/>
      <c r="H124" s="11"/>
      <c r="I124" s="55"/>
      <c r="J124" s="55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x14ac:dyDescent="0.25">
      <c r="A125" s="61" t="s">
        <v>25</v>
      </c>
      <c r="B125" s="62"/>
      <c r="C125" s="11"/>
      <c r="D125" s="11"/>
      <c r="E125" s="11"/>
      <c r="F125" s="11"/>
      <c r="G125" s="11"/>
      <c r="H125" s="11"/>
      <c r="I125" s="55"/>
      <c r="J125" s="55"/>
      <c r="K125" s="11"/>
      <c r="L125" s="11"/>
      <c r="M125" s="11"/>
      <c r="N125" s="11"/>
      <c r="O125" s="133"/>
      <c r="P125" s="133"/>
      <c r="Q125" s="133"/>
      <c r="R125" s="133"/>
      <c r="S125" s="133"/>
      <c r="T125" s="133"/>
      <c r="U125" s="133"/>
      <c r="V125" s="133"/>
      <c r="W125" s="133"/>
      <c r="X125" s="133"/>
      <c r="Y125" s="133"/>
      <c r="Z125" s="133"/>
      <c r="AA125" s="133"/>
      <c r="AB125" s="11"/>
      <c r="AC125" s="11"/>
      <c r="AD125" s="133"/>
      <c r="AE125" s="11"/>
      <c r="AF125" s="11"/>
      <c r="AG125" s="133"/>
      <c r="AH125" s="11"/>
      <c r="AI125" s="11"/>
      <c r="AJ125" s="11"/>
      <c r="AK125" s="11"/>
      <c r="AL125" s="11"/>
      <c r="AM125" s="11"/>
      <c r="AN125" s="11"/>
      <c r="AO125" s="11"/>
    </row>
    <row r="126" spans="1:41" x14ac:dyDescent="0.25">
      <c r="A126" s="61" t="s">
        <v>26</v>
      </c>
      <c r="B126" s="62"/>
      <c r="C126" s="11"/>
      <c r="D126" s="11"/>
      <c r="E126" s="11"/>
      <c r="F126" s="11"/>
      <c r="G126" s="11"/>
      <c r="H126" s="11"/>
      <c r="I126" s="55"/>
      <c r="J126" s="55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x14ac:dyDescent="0.25">
      <c r="A127" s="61" t="s">
        <v>27</v>
      </c>
      <c r="B127" s="62"/>
      <c r="C127" s="11"/>
      <c r="D127" s="11"/>
      <c r="E127" s="11"/>
      <c r="F127" s="11"/>
      <c r="G127" s="11"/>
      <c r="H127" s="11"/>
      <c r="I127" s="55"/>
      <c r="J127" s="55"/>
      <c r="K127" s="11"/>
      <c r="L127" s="11"/>
      <c r="M127" s="11"/>
      <c r="N127" s="11"/>
      <c r="O127" s="133"/>
      <c r="P127" s="133"/>
      <c r="Q127" s="133"/>
      <c r="R127" s="133"/>
      <c r="S127" s="133"/>
      <c r="T127" s="133"/>
      <c r="U127" s="133"/>
      <c r="V127" s="133"/>
      <c r="W127" s="133"/>
      <c r="X127" s="133"/>
      <c r="Y127" s="133"/>
      <c r="Z127" s="133"/>
      <c r="AA127" s="133"/>
      <c r="AB127" s="11"/>
      <c r="AC127" s="11"/>
      <c r="AD127" s="133"/>
      <c r="AE127" s="11"/>
      <c r="AF127" s="11"/>
      <c r="AG127" s="133"/>
      <c r="AH127" s="11"/>
      <c r="AI127" s="11"/>
      <c r="AJ127" s="11"/>
      <c r="AK127" s="11"/>
      <c r="AL127" s="11"/>
      <c r="AM127" s="11"/>
      <c r="AN127" s="11"/>
      <c r="AO127" s="11"/>
    </row>
    <row r="128" spans="1:41" x14ac:dyDescent="0.25">
      <c r="A128" s="61" t="s">
        <v>28</v>
      </c>
      <c r="B128" s="62"/>
      <c r="C128" s="11"/>
      <c r="D128" s="11"/>
      <c r="E128" s="11"/>
      <c r="F128" s="11"/>
      <c r="G128" s="11"/>
      <c r="H128" s="11"/>
      <c r="I128" s="55"/>
      <c r="J128" s="55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</row>
    <row r="129" spans="1:41" x14ac:dyDescent="0.25">
      <c r="A129" s="61" t="s">
        <v>29</v>
      </c>
      <c r="B129" s="62"/>
      <c r="C129" s="11"/>
      <c r="D129" s="11"/>
      <c r="E129" s="11"/>
      <c r="F129" s="11"/>
      <c r="G129" s="11"/>
      <c r="H129" s="11"/>
      <c r="I129" s="55"/>
      <c r="J129" s="55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x14ac:dyDescent="0.25">
      <c r="A130" s="61" t="s">
        <v>30</v>
      </c>
      <c r="B130" s="62" t="s">
        <v>78</v>
      </c>
      <c r="C130" s="11"/>
      <c r="D130" s="11"/>
      <c r="E130" s="11"/>
      <c r="F130" s="11"/>
      <c r="G130" s="11"/>
      <c r="H130" s="55"/>
      <c r="I130" s="55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x14ac:dyDescent="0.25">
      <c r="A131" s="61" t="s">
        <v>31</v>
      </c>
      <c r="B131" s="62" t="s">
        <v>78</v>
      </c>
      <c r="C131" s="11"/>
      <c r="D131" s="11"/>
      <c r="E131" s="11"/>
      <c r="F131" s="11"/>
      <c r="G131" s="11"/>
      <c r="H131" s="55"/>
      <c r="I131" s="55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x14ac:dyDescent="0.25">
      <c r="A132" s="61" t="s">
        <v>32</v>
      </c>
      <c r="B132" s="62"/>
      <c r="C132" s="11"/>
      <c r="D132" s="11"/>
      <c r="E132" s="11"/>
      <c r="F132" s="11"/>
      <c r="G132" s="11"/>
      <c r="H132" s="55"/>
      <c r="I132" s="55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x14ac:dyDescent="0.25">
      <c r="A133" s="61" t="s">
        <v>33</v>
      </c>
      <c r="B133" s="62"/>
      <c r="C133" s="11"/>
      <c r="D133" s="11"/>
      <c r="E133" s="11"/>
      <c r="F133" s="11"/>
      <c r="G133" s="11"/>
      <c r="H133" s="55"/>
      <c r="I133" s="55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x14ac:dyDescent="0.25">
      <c r="A134" s="61" t="s">
        <v>34</v>
      </c>
      <c r="B134" s="62"/>
      <c r="C134" s="11"/>
      <c r="D134" s="11"/>
      <c r="E134" s="11"/>
      <c r="F134" s="11"/>
      <c r="G134" s="11"/>
      <c r="H134" s="55"/>
      <c r="I134" s="55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x14ac:dyDescent="0.25">
      <c r="A135" s="61" t="s">
        <v>35</v>
      </c>
      <c r="B135" s="62"/>
      <c r="C135" s="11"/>
      <c r="D135" s="11"/>
      <c r="E135" s="11"/>
      <c r="F135" s="11"/>
      <c r="G135" s="11"/>
      <c r="H135" s="55"/>
      <c r="I135" s="55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x14ac:dyDescent="0.25">
      <c r="A136" s="61" t="s">
        <v>36</v>
      </c>
      <c r="B136" s="62"/>
      <c r="C136" s="11"/>
      <c r="D136" s="11"/>
      <c r="E136" s="11"/>
      <c r="F136" s="11"/>
      <c r="G136" s="11"/>
      <c r="H136" s="55"/>
      <c r="I136" s="55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x14ac:dyDescent="0.25">
      <c r="A137" s="61" t="s">
        <v>37</v>
      </c>
      <c r="B137" s="62"/>
      <c r="C137" s="11"/>
      <c r="D137" s="11"/>
      <c r="E137" s="11"/>
      <c r="F137" s="11"/>
      <c r="G137" s="11"/>
      <c r="H137" s="55"/>
      <c r="I137" s="55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x14ac:dyDescent="0.25">
      <c r="A138" s="61" t="s">
        <v>38</v>
      </c>
      <c r="B138" s="62"/>
      <c r="C138" s="11"/>
      <c r="D138" s="11"/>
      <c r="E138" s="11"/>
      <c r="F138" s="11"/>
      <c r="G138" s="11"/>
      <c r="H138" s="55"/>
      <c r="I138" s="55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x14ac:dyDescent="0.25">
      <c r="A139" s="61" t="s">
        <v>39</v>
      </c>
      <c r="B139" s="62"/>
      <c r="C139" s="11"/>
      <c r="D139" s="11"/>
      <c r="E139" s="11"/>
      <c r="F139" s="11"/>
      <c r="G139" s="11"/>
      <c r="H139" s="55"/>
      <c r="I139" s="55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x14ac:dyDescent="0.25">
      <c r="A140" s="61" t="s">
        <v>40</v>
      </c>
      <c r="B140" s="62"/>
      <c r="C140" s="11"/>
      <c r="D140" s="11"/>
      <c r="E140" s="11"/>
      <c r="F140" s="11"/>
      <c r="G140" s="11"/>
      <c r="H140" s="55"/>
      <c r="I140" s="55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</row>
    <row r="141" spans="1:41" x14ac:dyDescent="0.25">
      <c r="A141" s="61" t="s">
        <v>41</v>
      </c>
      <c r="B141" s="62"/>
      <c r="C141" s="11"/>
      <c r="D141" s="11"/>
      <c r="E141" s="11"/>
      <c r="F141" s="11"/>
      <c r="G141" s="11"/>
      <c r="H141" s="55"/>
      <c r="I141" s="55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x14ac:dyDescent="0.25">
      <c r="A142" s="61" t="s">
        <v>42</v>
      </c>
      <c r="B142" s="62"/>
      <c r="C142" s="11"/>
      <c r="D142" s="11"/>
      <c r="E142" s="11"/>
      <c r="F142" s="11"/>
      <c r="G142" s="11"/>
      <c r="H142" s="55"/>
      <c r="I142" s="55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</row>
    <row r="143" spans="1:41" x14ac:dyDescent="0.25">
      <c r="A143" s="61" t="s">
        <v>43</v>
      </c>
      <c r="B143" s="62"/>
      <c r="C143" s="11"/>
      <c r="D143" s="11"/>
      <c r="E143" s="11"/>
      <c r="F143" s="11"/>
      <c r="G143" s="11"/>
      <c r="H143" s="55"/>
      <c r="I143" s="55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x14ac:dyDescent="0.25">
      <c r="A144" s="61" t="s">
        <v>44</v>
      </c>
      <c r="B144" s="62"/>
      <c r="C144" s="11"/>
      <c r="D144" s="11"/>
      <c r="E144" s="11"/>
      <c r="F144" s="11"/>
      <c r="G144" s="11"/>
      <c r="H144" s="55"/>
      <c r="I144" s="55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</row>
    <row r="145" spans="1:41" x14ac:dyDescent="0.25">
      <c r="A145" s="61" t="s">
        <v>45</v>
      </c>
      <c r="B145" s="62"/>
      <c r="C145" s="11"/>
      <c r="D145" s="11"/>
      <c r="E145" s="11"/>
      <c r="F145" s="11"/>
      <c r="G145" s="11"/>
      <c r="H145" s="55"/>
      <c r="I145" s="55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</row>
    <row r="146" spans="1:41" x14ac:dyDescent="0.25">
      <c r="A146" s="61" t="s">
        <v>46</v>
      </c>
      <c r="B146" s="62"/>
      <c r="C146" s="11"/>
      <c r="D146" s="11"/>
      <c r="E146" s="11"/>
      <c r="F146" s="11"/>
      <c r="G146" s="11"/>
      <c r="H146" s="55"/>
      <c r="I146" s="55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</row>
    <row r="147" spans="1:41" x14ac:dyDescent="0.25">
      <c r="A147" s="11"/>
      <c r="B147" s="11"/>
      <c r="C147" s="11"/>
      <c r="D147" s="11"/>
      <c r="E147" s="11"/>
      <c r="F147" s="11"/>
      <c r="G147" s="11"/>
      <c r="H147" s="55"/>
      <c r="I147" s="55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</row>
    <row r="148" spans="1:41" x14ac:dyDescent="0.25">
      <c r="A148" s="11"/>
      <c r="B148" s="11"/>
      <c r="C148" s="11"/>
      <c r="D148" s="11"/>
      <c r="E148" s="11"/>
      <c r="F148" s="11"/>
      <c r="G148" s="11"/>
      <c r="H148" s="55"/>
      <c r="I148" s="55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x14ac:dyDescent="0.25">
      <c r="A149" s="11"/>
      <c r="B149" s="11"/>
      <c r="C149" s="11"/>
      <c r="D149" s="11"/>
      <c r="E149" s="11"/>
      <c r="F149" s="11"/>
      <c r="G149" s="11"/>
      <c r="H149" s="55"/>
      <c r="I149" s="55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</row>
    <row r="150" spans="1:41" x14ac:dyDescent="0.25">
      <c r="A150" s="11"/>
      <c r="B150" s="11"/>
      <c r="C150" s="11"/>
      <c r="D150" s="11"/>
      <c r="E150" s="11"/>
      <c r="F150" s="11"/>
      <c r="G150" s="11"/>
      <c r="H150" s="55"/>
      <c r="I150" s="55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x14ac:dyDescent="0.25">
      <c r="A151" s="11"/>
      <c r="B151" s="11"/>
      <c r="C151" s="11"/>
      <c r="D151" s="11"/>
      <c r="E151" s="11"/>
      <c r="F151" s="11"/>
      <c r="G151" s="11"/>
      <c r="H151" s="55"/>
      <c r="I151" s="55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</row>
    <row r="152" spans="1:41" x14ac:dyDescent="0.25">
      <c r="A152" s="11"/>
      <c r="B152" s="11"/>
      <c r="C152" s="11"/>
      <c r="D152" s="11"/>
      <c r="E152" s="11"/>
      <c r="F152" s="11"/>
      <c r="G152" s="11"/>
      <c r="H152" s="55"/>
      <c r="I152" s="55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x14ac:dyDescent="0.25">
      <c r="A153" s="11"/>
      <c r="B153" s="11"/>
      <c r="C153" s="11"/>
      <c r="D153" s="11"/>
      <c r="E153" s="11"/>
      <c r="F153" s="11"/>
      <c r="G153" s="11"/>
      <c r="H153" s="11"/>
      <c r="I153" s="55"/>
      <c r="J153" s="55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x14ac:dyDescent="0.25">
      <c r="A154" s="11"/>
      <c r="B154" s="11"/>
      <c r="C154" s="11"/>
      <c r="D154" s="11"/>
      <c r="E154" s="11"/>
      <c r="F154" s="11"/>
      <c r="G154" s="11"/>
      <c r="H154" s="11"/>
      <c r="I154" s="55"/>
      <c r="J154" s="55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x14ac:dyDescent="0.25">
      <c r="A155" s="11"/>
      <c r="B155" s="11"/>
      <c r="C155" s="11"/>
      <c r="D155" s="11"/>
      <c r="E155" s="11"/>
      <c r="F155" s="11"/>
      <c r="G155" s="11"/>
      <c r="H155" s="11"/>
      <c r="I155" s="55"/>
      <c r="J155" s="55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x14ac:dyDescent="0.25">
      <c r="A156" s="11"/>
      <c r="B156" s="11"/>
      <c r="C156" s="11"/>
      <c r="D156" s="11"/>
      <c r="E156" s="11"/>
      <c r="F156" s="11"/>
      <c r="G156" s="11"/>
      <c r="H156" s="11"/>
      <c r="I156" s="55"/>
      <c r="J156" s="55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x14ac:dyDescent="0.25">
      <c r="A157" s="11"/>
      <c r="B157" s="11"/>
      <c r="C157" s="11"/>
      <c r="D157" s="11"/>
      <c r="E157" s="11"/>
      <c r="F157" s="11"/>
      <c r="G157" s="11"/>
      <c r="H157" s="11"/>
      <c r="I157" s="55"/>
      <c r="J157" s="55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</row>
    <row r="158" spans="1:41" x14ac:dyDescent="0.25">
      <c r="A158" s="11"/>
      <c r="B158" s="11"/>
      <c r="C158" s="11"/>
      <c r="D158" s="11"/>
      <c r="E158" s="11"/>
      <c r="F158" s="11"/>
      <c r="G158" s="11"/>
      <c r="H158" s="11"/>
      <c r="I158" s="55"/>
      <c r="J158" s="55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</row>
    <row r="159" spans="1:41" x14ac:dyDescent="0.25">
      <c r="A159" s="11"/>
      <c r="B159" s="11"/>
      <c r="C159" s="11"/>
      <c r="D159" s="11"/>
      <c r="E159" s="11"/>
      <c r="F159" s="11"/>
      <c r="G159" s="11"/>
      <c r="H159" s="11"/>
      <c r="I159" s="55"/>
      <c r="J159" s="55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</row>
    <row r="160" spans="1:41" x14ac:dyDescent="0.25">
      <c r="A160" s="11"/>
      <c r="B160" s="11"/>
      <c r="C160" s="11"/>
      <c r="D160" s="11"/>
      <c r="E160" s="11"/>
      <c r="F160" s="11"/>
      <c r="G160" s="11"/>
      <c r="H160" s="11"/>
      <c r="I160" s="55"/>
      <c r="J160" s="55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</row>
    <row r="161" spans="1:41" x14ac:dyDescent="0.25">
      <c r="A161" s="11"/>
      <c r="B161" s="11"/>
      <c r="C161" s="11"/>
      <c r="D161" s="11"/>
      <c r="E161" s="11"/>
      <c r="F161" s="11"/>
      <c r="G161" s="11"/>
      <c r="H161" s="11"/>
      <c r="I161" s="55"/>
      <c r="J161" s="55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</row>
    <row r="162" spans="1:41" x14ac:dyDescent="0.25">
      <c r="A162" s="11"/>
      <c r="B162" s="11"/>
      <c r="C162" s="11"/>
      <c r="D162" s="11"/>
      <c r="E162" s="11"/>
      <c r="F162" s="11"/>
      <c r="G162" s="11"/>
      <c r="H162" s="11"/>
      <c r="I162" s="55"/>
      <c r="J162" s="55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</row>
    <row r="163" spans="1:41" x14ac:dyDescent="0.25">
      <c r="A163" s="11"/>
      <c r="B163" s="11"/>
      <c r="C163" s="11"/>
      <c r="D163" s="11"/>
      <c r="E163" s="263"/>
      <c r="F163" s="11"/>
      <c r="G163" s="11"/>
      <c r="H163" s="11"/>
      <c r="I163" s="55"/>
      <c r="J163" s="55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</row>
    <row r="164" spans="1:41" x14ac:dyDescent="0.25">
      <c r="A164" s="11"/>
      <c r="B164" s="11"/>
      <c r="C164" s="11"/>
      <c r="D164" s="11"/>
      <c r="E164" s="11"/>
      <c r="F164" s="11"/>
      <c r="G164" s="11"/>
      <c r="H164" s="11"/>
      <c r="I164" s="55"/>
      <c r="J164" s="55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</row>
    <row r="165" spans="1:41" x14ac:dyDescent="0.25">
      <c r="A165" s="11"/>
      <c r="B165" s="11"/>
      <c r="C165" s="11"/>
      <c r="D165" s="11"/>
      <c r="E165" s="11"/>
      <c r="F165" s="11"/>
      <c r="G165" s="11"/>
      <c r="H165" s="11"/>
      <c r="I165" s="55"/>
      <c r="J165" s="55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</row>
    <row r="166" spans="1:41" x14ac:dyDescent="0.25">
      <c r="A166" s="11"/>
      <c r="B166" s="11"/>
      <c r="C166" s="11"/>
      <c r="D166" s="11"/>
      <c r="E166" s="11"/>
      <c r="F166" s="11"/>
      <c r="G166" s="11"/>
      <c r="H166" s="11"/>
      <c r="I166" s="55"/>
      <c r="J166" s="55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</row>
    <row r="167" spans="1:41" x14ac:dyDescent="0.25">
      <c r="A167" s="11"/>
      <c r="B167" s="11"/>
      <c r="C167" s="11"/>
      <c r="D167" s="11"/>
      <c r="E167" s="263"/>
      <c r="F167" s="11"/>
      <c r="G167" s="11"/>
      <c r="H167" s="11"/>
      <c r="I167" s="55"/>
      <c r="J167" s="55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</row>
    <row r="168" spans="1:41" x14ac:dyDescent="0.25">
      <c r="A168" s="11"/>
      <c r="B168" s="11"/>
      <c r="C168" s="11"/>
      <c r="D168" s="11"/>
      <c r="E168" s="11"/>
      <c r="F168" s="11"/>
      <c r="G168" s="11"/>
      <c r="H168" s="11"/>
      <c r="I168" s="55"/>
      <c r="J168" s="55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</row>
    <row r="169" spans="1:41" x14ac:dyDescent="0.25">
      <c r="A169" s="11"/>
      <c r="B169" s="11"/>
      <c r="C169" s="11"/>
      <c r="D169" s="11"/>
      <c r="E169" s="11"/>
      <c r="F169" s="11"/>
      <c r="G169" s="11"/>
      <c r="H169" s="11"/>
      <c r="I169" s="55"/>
      <c r="J169" s="55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</row>
    <row r="170" spans="1:41" x14ac:dyDescent="0.25">
      <c r="A170" s="11"/>
      <c r="B170" s="11"/>
      <c r="C170" s="11"/>
      <c r="D170" s="11"/>
      <c r="E170" s="11"/>
      <c r="F170" s="11"/>
      <c r="G170" s="11"/>
      <c r="H170" s="11"/>
      <c r="I170" s="55"/>
      <c r="J170" s="55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</row>
    <row r="171" spans="1:41" x14ac:dyDescent="0.25">
      <c r="A171" s="11"/>
      <c r="B171" s="11"/>
      <c r="C171" s="11"/>
      <c r="D171" s="11"/>
      <c r="E171" s="11"/>
      <c r="F171" s="11"/>
      <c r="G171" s="11"/>
      <c r="H171" s="11"/>
      <c r="I171" s="55"/>
      <c r="J171" s="55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</row>
    <row r="172" spans="1:41" x14ac:dyDescent="0.25">
      <c r="A172" s="11"/>
      <c r="B172" s="11"/>
      <c r="C172" s="11"/>
      <c r="D172" s="11"/>
      <c r="E172" s="11"/>
      <c r="F172" s="11"/>
      <c r="G172" s="11"/>
      <c r="H172" s="11"/>
      <c r="I172" s="55"/>
      <c r="J172" s="55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</row>
    <row r="173" spans="1:41" x14ac:dyDescent="0.25">
      <c r="A173" s="11"/>
      <c r="B173" s="11"/>
      <c r="C173" s="11"/>
      <c r="D173" s="11"/>
      <c r="E173" s="11"/>
      <c r="F173" s="11"/>
      <c r="G173" s="11"/>
      <c r="H173" s="11"/>
      <c r="I173" s="55"/>
      <c r="J173" s="55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</row>
    <row r="174" spans="1:41" x14ac:dyDescent="0.25">
      <c r="A174" s="11"/>
      <c r="B174" s="11"/>
      <c r="C174" s="11"/>
      <c r="D174" s="11"/>
      <c r="E174" s="11"/>
      <c r="F174" s="11"/>
      <c r="G174" s="11"/>
      <c r="H174" s="11"/>
      <c r="I174" s="55"/>
      <c r="J174" s="55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</row>
    <row r="175" spans="1:41" x14ac:dyDescent="0.25">
      <c r="A175" s="11"/>
      <c r="B175" s="11"/>
      <c r="C175" s="11"/>
      <c r="D175" s="11"/>
      <c r="E175" s="11"/>
      <c r="F175" s="11"/>
      <c r="G175" s="11"/>
      <c r="H175" s="11"/>
      <c r="I175" s="55"/>
      <c r="J175" s="55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</row>
    <row r="176" spans="1:41" x14ac:dyDescent="0.25">
      <c r="A176" s="11"/>
      <c r="B176" s="11"/>
      <c r="C176" s="11"/>
      <c r="D176" s="11"/>
      <c r="E176" s="11"/>
      <c r="F176" s="11"/>
      <c r="G176" s="11"/>
      <c r="H176" s="11"/>
      <c r="I176" s="55"/>
      <c r="J176" s="55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</row>
    <row r="177" spans="1:41" x14ac:dyDescent="0.25">
      <c r="A177" s="11"/>
      <c r="B177" s="11"/>
      <c r="C177" s="11"/>
      <c r="D177" s="11"/>
      <c r="E177" s="11"/>
      <c r="F177" s="11"/>
      <c r="G177" s="11"/>
      <c r="H177" s="11"/>
      <c r="I177" s="55"/>
      <c r="J177" s="55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</row>
    <row r="178" spans="1:41" x14ac:dyDescent="0.25">
      <c r="A178" s="11"/>
      <c r="B178" s="11"/>
      <c r="C178" s="11"/>
      <c r="D178" s="11"/>
      <c r="E178" s="11"/>
      <c r="F178" s="11"/>
      <c r="G178" s="11"/>
      <c r="H178" s="11"/>
      <c r="I178" s="55"/>
      <c r="J178" s="55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</row>
    <row r="179" spans="1:41" x14ac:dyDescent="0.25">
      <c r="A179" s="11"/>
      <c r="B179" s="11"/>
      <c r="C179" s="11"/>
      <c r="D179" s="11"/>
      <c r="E179" s="11"/>
      <c r="F179" s="11"/>
      <c r="G179" s="11"/>
      <c r="H179" s="11"/>
      <c r="I179" s="55"/>
      <c r="J179" s="55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</row>
    <row r="180" spans="1:41" x14ac:dyDescent="0.25">
      <c r="A180" s="11"/>
      <c r="B180" s="11"/>
      <c r="C180" s="11"/>
      <c r="D180" s="11"/>
      <c r="E180" s="11"/>
      <c r="F180" s="11"/>
      <c r="G180" s="11"/>
      <c r="H180" s="11"/>
      <c r="I180" s="55"/>
      <c r="J180" s="55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</row>
    <row r="181" spans="1:41" x14ac:dyDescent="0.25">
      <c r="A181" s="11"/>
      <c r="B181" s="11"/>
      <c r="C181" s="11"/>
      <c r="D181" s="11"/>
      <c r="E181" s="11"/>
      <c r="F181" s="11"/>
      <c r="G181" s="11"/>
      <c r="H181" s="11"/>
      <c r="I181" s="55"/>
      <c r="J181" s="55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</row>
    <row r="182" spans="1:41" x14ac:dyDescent="0.25">
      <c r="A182" s="11"/>
      <c r="B182" s="11"/>
      <c r="C182" s="11"/>
      <c r="D182" s="11"/>
      <c r="E182" s="11"/>
      <c r="F182" s="11"/>
      <c r="G182" s="11"/>
      <c r="H182" s="11"/>
      <c r="I182" s="55"/>
      <c r="J182" s="55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</row>
    <row r="183" spans="1:41" x14ac:dyDescent="0.25">
      <c r="A183" s="11"/>
      <c r="B183" s="11"/>
      <c r="C183" s="11"/>
      <c r="D183" s="11"/>
      <c r="E183" s="11"/>
      <c r="F183" s="11"/>
      <c r="G183" s="11"/>
      <c r="H183" s="11"/>
      <c r="I183" s="55"/>
      <c r="J183" s="55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</row>
    <row r="184" spans="1:41" x14ac:dyDescent="0.25">
      <c r="A184" s="11"/>
      <c r="B184" s="11"/>
      <c r="C184" s="11"/>
      <c r="D184" s="11"/>
      <c r="E184" s="11"/>
      <c r="F184" s="11"/>
      <c r="G184" s="11"/>
      <c r="H184" s="11"/>
      <c r="I184" s="55"/>
      <c r="J184" s="55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</row>
    <row r="185" spans="1:41" x14ac:dyDescent="0.25">
      <c r="A185" s="11"/>
      <c r="B185" s="11"/>
      <c r="C185" s="11"/>
      <c r="D185" s="11"/>
      <c r="E185" s="11"/>
      <c r="F185" s="11"/>
      <c r="G185" s="11"/>
      <c r="H185" s="11"/>
      <c r="I185" s="55"/>
      <c r="J185" s="55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</row>
    <row r="186" spans="1:41" x14ac:dyDescent="0.25">
      <c r="A186" s="11"/>
      <c r="B186" s="11"/>
      <c r="C186" s="11"/>
      <c r="D186" s="11"/>
      <c r="E186" s="11"/>
      <c r="F186" s="11"/>
      <c r="G186" s="11"/>
      <c r="H186" s="11"/>
      <c r="I186" s="55"/>
      <c r="J186" s="55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</row>
    <row r="187" spans="1:41" x14ac:dyDescent="0.25">
      <c r="A187" s="11"/>
      <c r="B187" s="11"/>
      <c r="C187" s="11"/>
      <c r="D187" s="11"/>
      <c r="E187" s="11"/>
      <c r="F187" s="11"/>
      <c r="G187" s="11"/>
      <c r="H187" s="11"/>
      <c r="I187" s="55"/>
      <c r="J187" s="55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</row>
    <row r="188" spans="1:41" x14ac:dyDescent="0.25">
      <c r="A188" s="11"/>
      <c r="B188" s="11"/>
      <c r="C188" s="11"/>
      <c r="D188" s="11"/>
      <c r="E188" s="11"/>
      <c r="F188" s="11"/>
      <c r="G188" s="11"/>
      <c r="H188" s="11"/>
      <c r="I188" s="55"/>
      <c r="J188" s="55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</row>
    <row r="189" spans="1:41" x14ac:dyDescent="0.25">
      <c r="A189" s="11"/>
      <c r="B189" s="11"/>
      <c r="C189" s="11"/>
      <c r="D189" s="11"/>
      <c r="E189" s="11"/>
      <c r="F189" s="11"/>
      <c r="G189" s="11"/>
      <c r="H189" s="11"/>
      <c r="I189" s="55"/>
      <c r="J189" s="55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</row>
    <row r="190" spans="1:41" x14ac:dyDescent="0.25">
      <c r="A190" s="11"/>
      <c r="B190" s="11"/>
      <c r="C190" s="11"/>
      <c r="D190" s="11"/>
      <c r="E190" s="11"/>
      <c r="F190" s="11"/>
      <c r="G190" s="263"/>
      <c r="H190" s="11"/>
      <c r="I190" s="55"/>
      <c r="J190" s="55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</row>
    <row r="191" spans="1:41" x14ac:dyDescent="0.25">
      <c r="A191" s="11"/>
      <c r="B191" s="11"/>
      <c r="C191" s="11"/>
      <c r="D191" s="11"/>
      <c r="E191" s="11"/>
      <c r="F191" s="11"/>
      <c r="G191" s="11"/>
      <c r="H191" s="11"/>
      <c r="I191" s="55"/>
      <c r="J191" s="55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</row>
    <row r="192" spans="1:41" x14ac:dyDescent="0.25">
      <c r="A192" s="11"/>
      <c r="B192" s="11"/>
      <c r="C192" s="11"/>
      <c r="D192" s="11"/>
      <c r="E192" s="11"/>
      <c r="F192" s="11"/>
      <c r="G192" s="11"/>
      <c r="H192" s="11"/>
      <c r="I192" s="55"/>
      <c r="J192" s="55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</row>
    <row r="193" spans="1:41" x14ac:dyDescent="0.25">
      <c r="A193" s="11"/>
      <c r="B193" s="11"/>
      <c r="C193" s="11"/>
      <c r="D193" s="11"/>
      <c r="E193" s="11"/>
      <c r="F193" s="11"/>
      <c r="G193" s="11"/>
      <c r="H193" s="11"/>
      <c r="I193" s="263"/>
      <c r="J193" s="11"/>
      <c r="K193" s="263"/>
      <c r="L193" s="263"/>
      <c r="M193" s="263"/>
      <c r="N193" s="11"/>
      <c r="O193" s="263"/>
      <c r="P193" s="263"/>
      <c r="Q193" s="263"/>
      <c r="R193" s="263"/>
      <c r="S193" s="263"/>
      <c r="T193" s="263"/>
      <c r="U193" s="263"/>
      <c r="V193" s="263"/>
      <c r="W193" s="263"/>
      <c r="X193" s="263"/>
      <c r="Y193" s="263"/>
      <c r="Z193" s="263"/>
      <c r="AA193" s="263"/>
      <c r="AB193" s="11"/>
      <c r="AC193" s="11"/>
      <c r="AD193" s="263"/>
      <c r="AE193" s="11"/>
      <c r="AF193" s="263"/>
      <c r="AG193" s="11"/>
      <c r="AH193" s="263"/>
      <c r="AI193" s="11"/>
      <c r="AJ193" s="11"/>
      <c r="AK193" s="11"/>
      <c r="AL193" s="11"/>
      <c r="AM193" s="11"/>
      <c r="AN193" s="11"/>
      <c r="AO193" s="11"/>
    </row>
    <row r="194" spans="1:41" x14ac:dyDescent="0.25">
      <c r="A194" s="11"/>
      <c r="B194" s="11"/>
      <c r="C194" s="11"/>
      <c r="D194" s="11"/>
      <c r="E194" s="11"/>
      <c r="F194" s="11"/>
      <c r="G194" s="263"/>
      <c r="H194" s="11"/>
      <c r="I194" s="55"/>
      <c r="J194" s="55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</row>
    <row r="195" spans="1:41" x14ac:dyDescent="0.25">
      <c r="A195" s="11"/>
      <c r="B195" s="11"/>
      <c r="C195" s="11"/>
      <c r="D195" s="11"/>
      <c r="E195" s="11"/>
      <c r="F195" s="11"/>
      <c r="G195" s="11"/>
      <c r="H195" s="11"/>
      <c r="I195" s="55"/>
      <c r="J195" s="55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</row>
    <row r="196" spans="1:41" x14ac:dyDescent="0.25">
      <c r="A196" s="11"/>
      <c r="B196" s="11"/>
      <c r="C196" s="11"/>
      <c r="D196" s="11"/>
      <c r="E196" s="11"/>
      <c r="F196" s="11"/>
      <c r="G196" s="11"/>
      <c r="H196" s="11"/>
      <c r="I196" s="55"/>
      <c r="J196" s="55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</row>
    <row r="197" spans="1:41" x14ac:dyDescent="0.25">
      <c r="A197" s="11"/>
      <c r="B197" s="11"/>
      <c r="C197" s="11"/>
      <c r="D197" s="11"/>
      <c r="E197" s="11"/>
      <c r="F197" s="11"/>
      <c r="G197" s="11"/>
      <c r="H197" s="11"/>
      <c r="I197" s="263"/>
      <c r="J197" s="11"/>
      <c r="K197" s="263"/>
      <c r="L197" s="263"/>
      <c r="M197" s="263"/>
      <c r="N197" s="11"/>
      <c r="O197" s="263"/>
      <c r="P197" s="263"/>
      <c r="Q197" s="263"/>
      <c r="R197" s="263"/>
      <c r="S197" s="263"/>
      <c r="T197" s="263"/>
      <c r="U197" s="263"/>
      <c r="V197" s="263"/>
      <c r="W197" s="263"/>
      <c r="X197" s="263"/>
      <c r="Y197" s="263"/>
      <c r="Z197" s="263"/>
      <c r="AA197" s="263"/>
      <c r="AB197" s="11"/>
      <c r="AC197" s="11"/>
      <c r="AD197" s="263"/>
      <c r="AE197" s="11"/>
      <c r="AF197" s="263"/>
      <c r="AG197" s="11"/>
      <c r="AH197" s="263"/>
      <c r="AI197" s="11"/>
      <c r="AJ197" s="11"/>
      <c r="AK197" s="11"/>
      <c r="AL197" s="11"/>
      <c r="AM197" s="11"/>
      <c r="AN197" s="11"/>
      <c r="AO197" s="11"/>
    </row>
  </sheetData>
  <sheetProtection algorithmName="SHA-512" hashValue="mRnPBrkEmewEvR3YSfsq8bu6sDGBJLSg2PojKpjMrUHzPj+rSSsJZKzJwNJxDRExpmsDX1QV3B6iH2OkXzF7zw==" saltValue="dYn7dqjdix16k3/uxubuuQ==" spinCount="100000" sheet="1" scenarios="1"/>
  <mergeCells count="2">
    <mergeCell ref="AD31:AE31"/>
    <mergeCell ref="AG31:AH31"/>
  </mergeCells>
  <dataValidations disablePrompts="1" count="2">
    <dataValidation type="list" allowBlank="1" sqref="B28 B61 B94" xr:uid="{00000000-0002-0000-0700-000000000000}">
      <formula1>"ACCOUNT,BUSINESSUNIT,CATEGORY,DATASRC,DEPARTMENT,INTCO,MEASURES,RPTCURRENCY,TIME"</formula1>
    </dataValidation>
    <dataValidation type="list" allowBlank="1" sqref="B29 B62 B95" xr:uid="{00000000-0002-0000-0700-000001000000}">
      <formula1>"SELF,ALL,BAS,DEP,BASMEMBERS,MEMBERS,NOEXPAND,GDEP"</formula1>
    </dataValidation>
  </dataValidations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customProperties>
    <customPr name="EpmWorksheetKeyString_GUID" r:id="rId2"/>
    <customPr name="FPMExcelClientCellBasedFunctionStatus" r:id="rId3"/>
    <customPr name="FPMExcelClientRefreshTime" r:id="rId4"/>
  </customProperties>
  <legacyDrawing r:id="rId5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5">
    <tabColor theme="6" tint="0.39997558519241921"/>
    <pageSetUpPr fitToPage="1"/>
  </sheetPr>
  <dimension ref="A1:AI211"/>
  <sheetViews>
    <sheetView topLeftCell="K25" zoomScale="85" zoomScaleNormal="85" workbookViewId="0">
      <pane xSplit="4" ySplit="8" topLeftCell="O33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3" width="9.7109375" style="1" hidden="1" customWidth="1" outlineLevel="1"/>
    <col min="14" max="14" width="38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16384" width="9.140625" style="1"/>
  </cols>
  <sheetData>
    <row r="1" spans="1:35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63" t="str">
        <f>Venue1!N1</f>
        <v>Seawell Restaurant</v>
      </c>
      <c r="O1" s="11" t="s">
        <v>732</v>
      </c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</row>
    <row r="2" spans="1:35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11"/>
      <c r="H4" s="11"/>
      <c r="I4" s="55"/>
      <c r="J4" s="55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11"/>
      <c r="H5" s="11"/>
      <c r="I5" s="55"/>
      <c r="J5" s="55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idden="1" outlineLevel="1" x14ac:dyDescent="0.25">
      <c r="A6" s="49" t="s">
        <v>52</v>
      </c>
      <c r="B6" s="52" t="s">
        <v>726</v>
      </c>
      <c r="C6" s="11" t="str">
        <f>IF(_epmOfflineCondition_,"Venue 1",_xll.EVDES(B6,$B$1))</f>
        <v>Venue 1</v>
      </c>
      <c r="D6" s="11"/>
      <c r="E6" s="54" t="str">
        <f>IF(_epmOfflineCondition_,"D_VENUES",_xll.EVPRO($B$1,$B$6,$F$6))</f>
        <v>D_VENUES</v>
      </c>
      <c r="F6" s="11" t="s">
        <v>278</v>
      </c>
      <c r="G6" s="11"/>
      <c r="H6" s="11"/>
      <c r="I6" s="55"/>
      <c r="J6" s="55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11"/>
      <c r="H7" s="11"/>
      <c r="I7" s="55"/>
      <c r="J7" s="55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11"/>
      <c r="H8" s="11"/>
      <c r="I8" s="55"/>
      <c r="J8" s="55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59" t="str">
        <f>IF(SetUp!$O$1=TRUE,"TRAILING12",IF(AA17="CURRENT","ROLLINGFORECAST","PERIODIC"))</f>
        <v>PERIODIC</v>
      </c>
      <c r="AB11" s="11"/>
      <c r="AC11" s="11"/>
      <c r="AD11" s="11"/>
      <c r="AE11" s="11"/>
      <c r="AF11" s="11"/>
      <c r="AG11" s="11"/>
      <c r="AH11" s="11"/>
      <c r="AI11" s="11"/>
    </row>
    <row r="12" spans="1:35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11"/>
      <c r="M12" s="11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</row>
    <row r="13" spans="1:35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11"/>
      <c r="M13" s="11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</row>
    <row r="14" spans="1:35" hidden="1" outlineLevel="1" x14ac:dyDescent="0.25">
      <c r="A14" s="56" t="str">
        <f>IF(_epmOfflineCondition_,"Evdre:Ok",_xll.EVDRE($B$1,A17:B24))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11"/>
      <c r="M14" s="11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</row>
    <row r="15" spans="1:35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11"/>
      <c r="M15" s="11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</row>
    <row r="16" spans="1:35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11"/>
      <c r="M16" s="11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</row>
    <row r="17" spans="1:35" hidden="1" outlineLevel="1" x14ac:dyDescent="0.25">
      <c r="A17" s="61" t="s">
        <v>2</v>
      </c>
      <c r="B17" s="62" t="str">
        <f>IF(_epmOfflineCondition_,"'Venue1_KPI'!$B$2:$B$10",_xll.EVRNG($B$2:$B$10))</f>
        <v>'Venue1_KPI'!$B$2:$B$10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11"/>
      <c r="M17" s="11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 t="str">
        <f>Z17</f>
        <v>ACTUAL_CON</v>
      </c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</row>
    <row r="18" spans="1:35" hidden="1" outlineLevel="1" x14ac:dyDescent="0.25">
      <c r="A18" s="61" t="s">
        <v>3</v>
      </c>
      <c r="B18" s="62" t="str">
        <f>IF(_epmOfflineCondition_,"'Venue1_KPI'!$O$16:$AI$18",_xll.EVRNG(O16:AI18))</f>
        <v>'Venue1_KPI'!$O$16:$AI$18</v>
      </c>
      <c r="C18" s="11"/>
      <c r="D18" s="11"/>
      <c r="E18" s="11"/>
      <c r="F18" s="11"/>
      <c r="G18" s="11"/>
      <c r="H18" s="11"/>
      <c r="I18" s="55"/>
      <c r="J18" s="55"/>
      <c r="K18" s="11"/>
      <c r="L18" s="11"/>
      <c r="M18" s="11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59" t="str">
        <f>AA11</f>
        <v>PERIODIC</v>
      </c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</row>
    <row r="19" spans="1:35" hidden="1" outlineLevel="1" x14ac:dyDescent="0.25">
      <c r="A19" s="61" t="s">
        <v>4</v>
      </c>
      <c r="B19" s="62" t="str">
        <f>IF(_epmOfflineCondition_,"'Venue1_KPI'!$H$35:$H$146",_xll.EVRNG(H35:H146))</f>
        <v>'Venue1_KPI'!$H$35:$H$146</v>
      </c>
      <c r="C19" s="11"/>
      <c r="D19" s="11"/>
      <c r="E19" s="11"/>
      <c r="F19" s="11"/>
      <c r="G19" s="63" t="str">
        <f>$B$6</f>
        <v>D2140</v>
      </c>
      <c r="H19" s="63" t="s">
        <v>273</v>
      </c>
      <c r="I19" s="64"/>
      <c r="J19" s="64"/>
      <c r="K19" s="63"/>
      <c r="L19" s="63"/>
      <c r="M19" s="63"/>
      <c r="N19" s="63" t="str">
        <f>IF(_epmOfflineCondition_,"Total Food &amp; Beverage Revenue",_xll.EVDES(H19))</f>
        <v>Total Food &amp; Beverage Revenue</v>
      </c>
      <c r="O19" s="65">
        <f>IF(_epmOfflineCondition_,0,_xll.EVGTS($B$1,1,$B$3,$B$5,$B$7,$B$9,O$16,O$17,O$18,$G$19,$H$19))</f>
        <v>0</v>
      </c>
      <c r="P19" s="65">
        <f>IF(_epmOfflineCondition_,0,_xll.EVGTS($B$1,1,$B$3,$B$5,$B$7,$B$9,P$16,P$17,P$18,$G$19,$H$19))</f>
        <v>0</v>
      </c>
      <c r="Q19" s="65">
        <f>IF(_epmOfflineCondition_,0,_xll.EVGTS($B$1,1,$B$3,$B$5,$B$7,$B$9,Q$16,Q$17,Q$18,$G$19,$H$19))</f>
        <v>0</v>
      </c>
      <c r="R19" s="65">
        <f>IF(_epmOfflineCondition_,0,_xll.EVGTS($B$1,1,$B$3,$B$5,$B$7,$B$9,R$16,R$17,R$18,$G$19,$H$19))</f>
        <v>0</v>
      </c>
      <c r="S19" s="65">
        <f>IF(_epmOfflineCondition_,0,_xll.EVGTS($B$1,1,$B$3,$B$5,$B$7,$B$9,S$16,S$17,S$18,$G$19,$H$19))</f>
        <v>0</v>
      </c>
      <c r="T19" s="65">
        <f>IF(_epmOfflineCondition_,0,_xll.EVGTS($B$1,1,$B$3,$B$5,$B$7,$B$9,T$16,T$17,T$18,$G$19,$H$19))</f>
        <v>0</v>
      </c>
      <c r="U19" s="65">
        <f>IF(_epmOfflineCondition_,0,_xll.EVGTS($B$1,1,$B$3,$B$5,$B$7,$B$9,U$16,U$17,U$18,$G$19,$H$19))</f>
        <v>0</v>
      </c>
      <c r="V19" s="65">
        <f>IF(_epmOfflineCondition_,0,_xll.EVGTS($B$1,1,$B$3,$B$5,$B$7,$B$9,V$16,V$17,V$18,$G$19,$H$19))</f>
        <v>0</v>
      </c>
      <c r="W19" s="65">
        <f>IF(_epmOfflineCondition_,0,_xll.EVGTS($B$1,1,$B$3,$B$5,$B$7,$B$9,W$16,W$17,W$18,$G$19,$H$19))</f>
        <v>0</v>
      </c>
      <c r="X19" s="65">
        <f>IF(_epmOfflineCondition_,15331.23,_xll.EVGTS($B$1,1,$B$3,$B$5,$B$7,$B$9,X$16,X$17,X$18,$G$19,$H$19))</f>
        <v>15331.23</v>
      </c>
      <c r="Y19" s="65">
        <f>IF(_epmOfflineCondition_,58026.7,_xll.EVGTS($B$1,1,$B$3,$B$5,$B$7,$B$9,Y$16,Y$17,Y$18,$G$19,$H$19))</f>
        <v>58026.7</v>
      </c>
      <c r="Z19" s="65">
        <f>IF(_epmOfflineCondition_,79258.95,_xll.EVGTS($B$1,1,$B$3,$B$5,$B$7,$B$9,Z$16,Z$17,Z$18,$G$19,$H$19))</f>
        <v>79258.95</v>
      </c>
      <c r="AA19" s="65">
        <f>SUM(O19:Z19)</f>
        <v>152616.88</v>
      </c>
      <c r="AB19" s="63"/>
      <c r="AC19" s="63"/>
      <c r="AD19" s="65">
        <f>IF(_epmOfflineCondition_,1306292.8,_xll.EVGTS($B$1,1,$B$3,$B$5,$B$7,$B$9,AD$16,AD$17,AD$18,$G$19,$H$19))</f>
        <v>1306292.8</v>
      </c>
      <c r="AE19" s="63"/>
      <c r="AF19" s="63"/>
      <c r="AG19" s="65">
        <f>IF(_epmOfflineCondition_,0,_xll.EVGTS($B$1,1,$B$3,$B$5,$B$7,$B$9,AG$16,AG$17,AG$18,$G$19,$H$19))</f>
        <v>0</v>
      </c>
      <c r="AH19" s="63"/>
      <c r="AI19" s="63"/>
    </row>
    <row r="20" spans="1:35" hidden="1" outlineLevel="1" x14ac:dyDescent="0.25">
      <c r="A20" s="61" t="s">
        <v>5</v>
      </c>
      <c r="B20" s="62"/>
      <c r="C20" s="11"/>
      <c r="D20" s="11"/>
      <c r="E20" s="11"/>
      <c r="F20" s="11"/>
      <c r="G20" s="63" t="str">
        <f>$B$6</f>
        <v>D2140</v>
      </c>
      <c r="H20" s="63">
        <v>946000</v>
      </c>
      <c r="I20" s="64"/>
      <c r="J20" s="64"/>
      <c r="K20" s="63"/>
      <c r="L20" s="63"/>
      <c r="M20" s="63"/>
      <c r="N20" s="63" t="str">
        <f>IF(_epmOfflineCondition_,"Total Customers",_xll.EVDES(H20))</f>
        <v>Total Customers</v>
      </c>
      <c r="O20" s="65">
        <f>IF(_epmOfflineCondition_,0,_xll.EVGTS($B$1,1,$B$3,$B$5,$B$7,$B$9,O$16,O$17,O$18,$G$20,$H$20))</f>
        <v>0</v>
      </c>
      <c r="P20" s="65">
        <f>IF(_epmOfflineCondition_,0,_xll.EVGTS($B$1,1,$B$3,$B$5,$B$7,$B$9,P$16,P$17,P$18,$G$20,$H$20))</f>
        <v>0</v>
      </c>
      <c r="Q20" s="65">
        <f>IF(_epmOfflineCondition_,0,_xll.EVGTS($B$1,1,$B$3,$B$5,$B$7,$B$9,Q$16,Q$17,Q$18,$G$20,$H$20))</f>
        <v>0</v>
      </c>
      <c r="R20" s="65">
        <f>IF(_epmOfflineCondition_,0,_xll.EVGTS($B$1,1,$B$3,$B$5,$B$7,$B$9,R$16,R$17,R$18,$G$20,$H$20))</f>
        <v>0</v>
      </c>
      <c r="S20" s="65">
        <f>IF(_epmOfflineCondition_,0,_xll.EVGTS($B$1,1,$B$3,$B$5,$B$7,$B$9,S$16,S$17,S$18,$G$20,$H$20))</f>
        <v>0</v>
      </c>
      <c r="T20" s="65">
        <f>IF(_epmOfflineCondition_,0,_xll.EVGTS($B$1,1,$B$3,$B$5,$B$7,$B$9,T$16,T$17,T$18,$G$20,$H$20))</f>
        <v>0</v>
      </c>
      <c r="U20" s="65">
        <f>IF(_epmOfflineCondition_,0,_xll.EVGTS($B$1,1,$B$3,$B$5,$B$7,$B$9,U$16,U$17,U$18,$G$20,$H$20))</f>
        <v>0</v>
      </c>
      <c r="V20" s="65">
        <f>IF(_epmOfflineCondition_,0,_xll.EVGTS($B$1,1,$B$3,$B$5,$B$7,$B$9,V$16,V$17,V$18,$G$20,$H$20))</f>
        <v>0</v>
      </c>
      <c r="W20" s="65">
        <f>IF(_epmOfflineCondition_,0,_xll.EVGTS($B$1,1,$B$3,$B$5,$B$7,$B$9,W$16,W$17,W$18,$G$20,$H$20))</f>
        <v>0</v>
      </c>
      <c r="X20" s="65">
        <f>IF(_epmOfflineCondition_,969,_xll.EVGTS($B$1,1,$B$3,$B$5,$B$7,$B$9,X$16,X$17,X$18,$G$20,$H$20))</f>
        <v>969</v>
      </c>
      <c r="Y20" s="65">
        <f>IF(_epmOfflineCondition_,2033,_xll.EVGTS($B$1,1,$B$3,$B$5,$B$7,$B$9,Y$16,Y$17,Y$18,$G$20,$H$20))</f>
        <v>2033</v>
      </c>
      <c r="Z20" s="65">
        <f>IF(_epmOfflineCondition_,2650,_xll.EVGTS($B$1,1,$B$3,$B$5,$B$7,$B$9,Z$16,Z$17,Z$18,$G$20,$H$20))</f>
        <v>2650</v>
      </c>
      <c r="AA20" s="65">
        <f>SUM(O20:Z20)</f>
        <v>5652</v>
      </c>
      <c r="AB20" s="63"/>
      <c r="AC20" s="63"/>
      <c r="AD20" s="65">
        <f>IF(_epmOfflineCondition_,34139,_xll.EVGTS($B$1,1,$B$3,$B$5,$B$7,$B$9,AD$16,AD$17,AD$18,$G$20,$H$20))</f>
        <v>34139</v>
      </c>
      <c r="AE20" s="63"/>
      <c r="AF20" s="63"/>
      <c r="AG20" s="65">
        <f>IF(_epmOfflineCondition_,0,_xll.EVGTS($B$1,1,$B$3,$B$5,$B$7,$B$9,AG$16,AG$17,AG$18,$G$20,$H$20))</f>
        <v>0</v>
      </c>
      <c r="AH20" s="63"/>
      <c r="AI20" s="63"/>
    </row>
    <row r="21" spans="1:35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hidden="1" outlineLevel="1" x14ac:dyDescent="0.25">
      <c r="A22" s="61" t="s">
        <v>7</v>
      </c>
      <c r="B22" s="62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idden="1" outlineLevel="1" x14ac:dyDescent="0.25">
      <c r="A23" s="61" t="s">
        <v>47</v>
      </c>
      <c r="B23" s="62" t="str">
        <f>IF(_epmOfflineCondition_,"'Venue1_KPI'!$A$37:$B$58",_xll.EVRNG($A$37:$B$58))</f>
        <v>'Venue1_KPI'!$A$37:$B$58</v>
      </c>
      <c r="C23" s="11"/>
      <c r="D23" s="11"/>
      <c r="E23" s="11"/>
      <c r="F23" s="11"/>
      <c r="G23" s="11"/>
      <c r="H23" s="11"/>
      <c r="I23" s="55"/>
      <c r="J23" s="55"/>
      <c r="K23" s="6"/>
      <c r="L23" s="6"/>
      <c r="M23" s="6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380"/>
      <c r="AE23" s="11"/>
      <c r="AF23" s="11"/>
      <c r="AG23" s="11"/>
      <c r="AH23" s="11"/>
      <c r="AI23" s="11"/>
    </row>
    <row r="24" spans="1:35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22.5" x14ac:dyDescent="0.3">
      <c r="A26" s="57" t="s">
        <v>9</v>
      </c>
      <c r="B26" s="58" t="s">
        <v>10</v>
      </c>
      <c r="C26" s="11"/>
      <c r="D26" s="11"/>
      <c r="E26" s="11"/>
      <c r="F26" s="11"/>
      <c r="G26" s="11"/>
      <c r="H26" s="11"/>
      <c r="I26" s="55"/>
      <c r="J26" s="55"/>
      <c r="K26" s="11"/>
      <c r="L26" s="11"/>
      <c r="M26" s="11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8" x14ac:dyDescent="0.25">
      <c r="A27" s="61" t="s">
        <v>11</v>
      </c>
      <c r="B27" s="62" t="s">
        <v>21</v>
      </c>
      <c r="C27" s="11"/>
      <c r="D27" s="11"/>
      <c r="E27" s="11"/>
      <c r="F27" s="11"/>
      <c r="G27" s="11"/>
      <c r="H27" s="11"/>
      <c r="I27" s="55"/>
      <c r="J27" s="55"/>
      <c r="K27" s="11"/>
      <c r="L27" s="11"/>
      <c r="M27" s="11"/>
      <c r="N27" s="67" t="str">
        <f>IF(_epmOfflineCondition_,"Seawell Restaurant",IF($N$1="",IF(_xll.EVDES(B6,$B$1)="#NODATA","",_xll.EVDES(B6,$B$1)&amp;" Department"),$N$1))</f>
        <v>Seawell Restaurant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.75" x14ac:dyDescent="0.25">
      <c r="A28" s="61" t="s">
        <v>12</v>
      </c>
      <c r="B28" s="62" t="s">
        <v>22</v>
      </c>
      <c r="C28" s="11"/>
      <c r="D28" s="11"/>
      <c r="E28" s="11"/>
      <c r="F28" s="11"/>
      <c r="G28" s="11"/>
      <c r="H28" s="11"/>
      <c r="I28" s="55"/>
      <c r="J28" s="55"/>
      <c r="K28" s="11"/>
      <c r="L28" s="11"/>
      <c r="M28" s="11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ht="15" customHeight="1" x14ac:dyDescent="0.25">
      <c r="A29" s="61" t="s">
        <v>13</v>
      </c>
      <c r="B29" s="62" t="s">
        <v>293</v>
      </c>
      <c r="C29" s="11"/>
      <c r="D29" s="11"/>
      <c r="E29" s="11"/>
      <c r="F29" s="11"/>
      <c r="G29" s="11"/>
      <c r="H29" s="11"/>
      <c r="I29" s="55"/>
      <c r="J29" s="55"/>
      <c r="K29" s="11"/>
      <c r="L29" s="11"/>
      <c r="M29" s="11"/>
      <c r="N29" s="68" t="str">
        <f>IF(_epmOfflineCondition_,"Local Currency",_xll.EVDES(B9,B1))</f>
        <v>Local Currency</v>
      </c>
      <c r="O29" s="484" t="s">
        <v>344</v>
      </c>
      <c r="P29" s="484"/>
      <c r="Q29" s="484"/>
      <c r="R29" s="484"/>
      <c r="S29" s="484"/>
      <c r="T29" s="484"/>
      <c r="U29" s="484"/>
      <c r="V29" s="484"/>
      <c r="W29" s="484"/>
      <c r="X29" s="484"/>
      <c r="Y29" s="484"/>
      <c r="Z29" s="484"/>
      <c r="AA29" s="484"/>
      <c r="AB29" s="11"/>
      <c r="AC29" s="11"/>
      <c r="AD29" s="11"/>
      <c r="AE29" s="11"/>
      <c r="AF29" s="11"/>
      <c r="AG29" s="11"/>
      <c r="AH29" s="11"/>
      <c r="AI29" s="11"/>
    </row>
    <row r="30" spans="1:35" x14ac:dyDescent="0.25">
      <c r="A30" s="61" t="s">
        <v>14</v>
      </c>
      <c r="B30" s="62"/>
      <c r="C30" s="11"/>
      <c r="D30" s="11"/>
      <c r="E30" s="11"/>
      <c r="F30" s="11"/>
      <c r="G30" s="11"/>
      <c r="H30" s="11"/>
      <c r="I30" s="55"/>
      <c r="J30" s="55"/>
      <c r="K30" s="11"/>
      <c r="L30" s="11"/>
      <c r="M30" s="11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</row>
    <row r="31" spans="1:35" x14ac:dyDescent="0.25">
      <c r="A31" s="61" t="s">
        <v>15</v>
      </c>
      <c r="B31" s="62"/>
      <c r="C31" s="11"/>
      <c r="D31" s="11"/>
      <c r="E31" s="11"/>
      <c r="F31" s="11"/>
      <c r="G31" s="11"/>
      <c r="H31" s="11"/>
      <c r="I31" s="55"/>
      <c r="J31" s="55"/>
      <c r="K31" s="11"/>
      <c r="L31" s="11"/>
      <c r="M31" s="11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</row>
    <row r="32" spans="1:35" s="8" customFormat="1" ht="30" customHeight="1" x14ac:dyDescent="0.25">
      <c r="A32" s="77" t="s">
        <v>16</v>
      </c>
      <c r="B32" s="78"/>
      <c r="C32" s="79"/>
      <c r="D32" s="79"/>
      <c r="E32" s="11"/>
      <c r="F32" s="79"/>
      <c r="G32" s="79"/>
      <c r="H32" s="80"/>
      <c r="I32" s="81"/>
      <c r="J32" s="81"/>
      <c r="K32" s="79"/>
      <c r="L32" s="79"/>
      <c r="M32" s="79"/>
      <c r="N32" s="79"/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</row>
    <row r="33" spans="1:35" ht="15.75" x14ac:dyDescent="0.25">
      <c r="A33" s="61" t="s">
        <v>17</v>
      </c>
      <c r="B33" s="62"/>
      <c r="C33" s="11"/>
      <c r="D33" s="11"/>
      <c r="E33" s="11"/>
      <c r="F33" s="11"/>
      <c r="G33" s="11"/>
      <c r="H33" s="11"/>
      <c r="I33" s="55"/>
      <c r="J33" s="55"/>
      <c r="K33" s="11"/>
      <c r="L33" s="11"/>
      <c r="M33" s="11"/>
      <c r="N33" s="485" t="s">
        <v>330</v>
      </c>
      <c r="O33" s="125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7"/>
      <c r="AC33" s="11"/>
      <c r="AD33" s="125"/>
      <c r="AE33" s="126"/>
      <c r="AF33" s="127"/>
      <c r="AG33" s="125"/>
      <c r="AH33" s="126"/>
      <c r="AI33" s="127"/>
    </row>
    <row r="34" spans="1:35" x14ac:dyDescent="0.25">
      <c r="A34" s="11"/>
      <c r="B34" s="11"/>
      <c r="C34" s="11"/>
      <c r="D34" s="11"/>
      <c r="E34" s="11"/>
      <c r="F34" s="11"/>
      <c r="G34" s="11"/>
      <c r="H34" s="11"/>
      <c r="I34" s="55"/>
      <c r="J34" s="55"/>
      <c r="K34" s="11"/>
      <c r="L34" s="129" t="s">
        <v>364</v>
      </c>
      <c r="M34" s="129" t="s">
        <v>783</v>
      </c>
      <c r="N34" s="49" t="s">
        <v>312</v>
      </c>
      <c r="O34" s="199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114"/>
      <c r="AC34" s="11"/>
      <c r="AD34" s="199"/>
      <c r="AE34" s="200"/>
      <c r="AF34" s="114"/>
      <c r="AG34" s="199"/>
      <c r="AH34" s="200"/>
      <c r="AI34" s="114"/>
    </row>
    <row r="35" spans="1:35" x14ac:dyDescent="0.25">
      <c r="A35" s="11"/>
      <c r="B35" s="11"/>
      <c r="C35" s="11"/>
      <c r="D35" s="11"/>
      <c r="E35" s="11"/>
      <c r="F35" s="11"/>
      <c r="G35" s="11"/>
      <c r="H35" s="84" t="s">
        <v>260</v>
      </c>
      <c r="I35" s="118" t="str">
        <f>IF(_epmOfflineCondition_,"T5",_xll.EVPRO($B$1,$H35,"STYLE"))</f>
        <v>T5</v>
      </c>
      <c r="J35" s="118" t="str">
        <f>IF(_epmOfflineCondition_,"Y",_xll.EVPRO($B$1,$H35,"CALC"))</f>
        <v>Y</v>
      </c>
      <c r="K35" s="86"/>
      <c r="L35" s="86" t="str">
        <f>IF(_epmOfflineCondition_,"461100",_xll.EVPRO($B$1,H35,"JDEID"))</f>
        <v>461100</v>
      </c>
      <c r="M35" s="86" t="str">
        <f>IF(_epmOfflineCondition_,"",IF(AND(I35="N",J35="N"),_xll.EVPRO($B$1,H35,"PSFTID"),""))</f>
        <v/>
      </c>
      <c r="N35" s="86" t="str">
        <f>IF(_epmOfflineCondition_,"Breakfast Food",IF(_xll.EVDES(H35,$B$1)="#NODATA","",_xll.EVDES(H35,$B$1)))</f>
        <v>Breakfast Food</v>
      </c>
      <c r="O35" s="134"/>
      <c r="P35" s="134"/>
      <c r="Q35" s="134"/>
      <c r="R35" s="134"/>
      <c r="S35" s="134"/>
      <c r="T35" s="134"/>
      <c r="U35" s="134"/>
      <c r="V35" s="134"/>
      <c r="W35" s="134"/>
      <c r="X35" s="134">
        <v>13903</v>
      </c>
      <c r="Y35" s="134">
        <v>19319.8</v>
      </c>
      <c r="Z35" s="134">
        <v>24001.3</v>
      </c>
      <c r="AA35" s="134">
        <f t="shared" ref="AA35:AA41" si="0">SUM(O35:Z35)</f>
        <v>57224.100000000006</v>
      </c>
      <c r="AB35" s="138">
        <f>IF(AA35=0,"",IFERROR(AA35/AA$19,""))</f>
        <v>0.3749526264722487</v>
      </c>
      <c r="AC35" s="136"/>
      <c r="AD35" s="134">
        <v>171981.53112500001</v>
      </c>
      <c r="AE35" s="138">
        <f>IF(AD35=0,"",IFERROR(AD35/AD$19,""))</f>
        <v>0.13165618850919181</v>
      </c>
      <c r="AF35" s="137">
        <f t="shared" ref="AF35:AF42" si="1">IF(AND($AA35="",AD35=""),"",$AA35-AD35)</f>
        <v>-114757.431125</v>
      </c>
      <c r="AG35" s="134"/>
      <c r="AH35" s="138" t="str">
        <f>IF(AG35=0,"",IFERROR(AG35/AG$19,""))</f>
        <v/>
      </c>
      <c r="AI35" s="137">
        <f t="shared" ref="AI35:AI42" si="2">IF(AND($AA35="",AG35=""),"",$AA35-AG35)</f>
        <v>57224.100000000006</v>
      </c>
    </row>
    <row r="36" spans="1:35" x14ac:dyDescent="0.25">
      <c r="A36" s="57" t="s">
        <v>23</v>
      </c>
      <c r="B36" s="58" t="s">
        <v>24</v>
      </c>
      <c r="C36" s="11"/>
      <c r="D36" s="11"/>
      <c r="E36" s="11"/>
      <c r="F36" s="11"/>
      <c r="G36" s="11"/>
      <c r="H36" s="84" t="s">
        <v>294</v>
      </c>
      <c r="I36" s="118" t="str">
        <f>IF(_epmOfflineCondition_,"T6",_xll.EVPRO($B$1,$H36,"STYLE"))</f>
        <v>T6</v>
      </c>
      <c r="J36" s="118" t="str">
        <f>IF(_epmOfflineCondition_,"Y",_xll.EVPRO($B$1,$H36,"CALC"))</f>
        <v>Y</v>
      </c>
      <c r="K36" s="86"/>
      <c r="L36" s="86" t="str">
        <f>IF(_epmOfflineCondition_,"461200",_xll.EVPRO($B$1,H36,"JDEID"))</f>
        <v>461200</v>
      </c>
      <c r="M36" s="86" t="str">
        <f>IF(_epmOfflineCondition_,"",IF(AND(I36="N",J36="N"),_xll.EVPRO($B$1,H36,"PSFTID"),""))</f>
        <v/>
      </c>
      <c r="N36" s="86" t="str">
        <f>IF(_epmOfflineCondition_,"Breakfast Liquor",IF(_xll.EVDES(H36,$B$1)="#NODATA","",_xll.EVDES(H36,$B$1)))</f>
        <v>Breakfast Liquor</v>
      </c>
      <c r="O36" s="134"/>
      <c r="P36" s="134"/>
      <c r="Q36" s="134"/>
      <c r="R36" s="134"/>
      <c r="S36" s="134"/>
      <c r="T36" s="134"/>
      <c r="U36" s="134"/>
      <c r="V36" s="134"/>
      <c r="W36" s="134"/>
      <c r="X36" s="134"/>
      <c r="Y36" s="134">
        <v>24</v>
      </c>
      <c r="Z36" s="134">
        <v>72.2</v>
      </c>
      <c r="AA36" s="134">
        <f t="shared" si="0"/>
        <v>96.2</v>
      </c>
      <c r="AB36" s="138">
        <f>IF(AA36=0,"",IFERROR(AA36/AA$19,""))</f>
        <v>6.3033656565381231E-4</v>
      </c>
      <c r="AC36" s="136"/>
      <c r="AD36" s="134">
        <v>3798.9134250000002</v>
      </c>
      <c r="AE36" s="138">
        <f>IF(AD36=0,"",IFERROR(AD36/AD$19,""))</f>
        <v>2.9081637937528248E-3</v>
      </c>
      <c r="AF36" s="137">
        <f t="shared" si="1"/>
        <v>-3702.7134250000004</v>
      </c>
      <c r="AG36" s="134"/>
      <c r="AH36" s="138" t="str">
        <f>IF(AG36=0,"",IFERROR(AG36/AG$19,""))</f>
        <v/>
      </c>
      <c r="AI36" s="137">
        <f t="shared" si="2"/>
        <v>96.2</v>
      </c>
    </row>
    <row r="37" spans="1:35" x14ac:dyDescent="0.25">
      <c r="A37" s="61" t="s">
        <v>25</v>
      </c>
      <c r="B37" s="62"/>
      <c r="C37" s="11"/>
      <c r="D37" s="11"/>
      <c r="E37" s="11"/>
      <c r="F37" s="11"/>
      <c r="G37" s="11"/>
      <c r="H37" s="84" t="s">
        <v>295</v>
      </c>
      <c r="I37" s="118" t="str">
        <f>IF(_epmOfflineCondition_,"T6",_xll.EVPRO($B$1,$H37,"STYLE"))</f>
        <v>T6</v>
      </c>
      <c r="J37" s="118" t="str">
        <f>IF(_epmOfflineCondition_,"Y",_xll.EVPRO($B$1,$H37,"CALC"))</f>
        <v>Y</v>
      </c>
      <c r="K37" s="86"/>
      <c r="L37" s="86" t="str">
        <f>IF(_epmOfflineCondition_,"461300",_xll.EVPRO($B$1,H37,"JDEID"))</f>
        <v>461300</v>
      </c>
      <c r="M37" s="86" t="str">
        <f>IF(_epmOfflineCondition_,"",IF(AND(I37="N",J37="N"),_xll.EVPRO($B$1,H37,"PSFTID"),""))</f>
        <v/>
      </c>
      <c r="N37" s="86" t="str">
        <f>IF(_epmOfflineCondition_,"Breakfast Beer",IF(_xll.EVDES(H37,$B$1)="#NODATA","",_xll.EVDES(H37,$B$1)))</f>
        <v>Breakfast Beer</v>
      </c>
      <c r="O37" s="134"/>
      <c r="P37" s="134"/>
      <c r="Q37" s="134"/>
      <c r="R37" s="134"/>
      <c r="S37" s="134"/>
      <c r="T37" s="134"/>
      <c r="U37" s="134"/>
      <c r="V37" s="134"/>
      <c r="W37" s="134"/>
      <c r="X37" s="134"/>
      <c r="Y37" s="134">
        <v>12</v>
      </c>
      <c r="Z37" s="134"/>
      <c r="AA37" s="134">
        <f t="shared" si="0"/>
        <v>12</v>
      </c>
      <c r="AB37" s="138">
        <f>IF(AA37=0,"",IFERROR(AA37/AA$19,""))</f>
        <v>7.8628261827918376E-5</v>
      </c>
      <c r="AC37" s="136"/>
      <c r="AD37" s="134">
        <v>724.553</v>
      </c>
      <c r="AE37" s="138">
        <f>IF(AD37=0,"",IFERROR(AD37/AD$19,""))</f>
        <v>5.5466354863166966E-4</v>
      </c>
      <c r="AF37" s="137">
        <f t="shared" si="1"/>
        <v>-712.553</v>
      </c>
      <c r="AG37" s="134"/>
      <c r="AH37" s="138" t="str">
        <f>IF(AG37=0,"",IFERROR(AG37/AG$19,""))</f>
        <v/>
      </c>
      <c r="AI37" s="137">
        <f t="shared" si="2"/>
        <v>12</v>
      </c>
    </row>
    <row r="38" spans="1:35" x14ac:dyDescent="0.25">
      <c r="A38" s="61" t="s">
        <v>26</v>
      </c>
      <c r="B38" s="62"/>
      <c r="C38" s="11"/>
      <c r="D38" s="11"/>
      <c r="E38" s="11"/>
      <c r="F38" s="11"/>
      <c r="G38" s="11"/>
      <c r="H38" s="84" t="s">
        <v>296</v>
      </c>
      <c r="I38" s="118" t="str">
        <f>IF(_epmOfflineCondition_,"T6",_xll.EVPRO($B$1,$H38,"STYLE"))</f>
        <v>T6</v>
      </c>
      <c r="J38" s="118" t="str">
        <f>IF(_epmOfflineCondition_,"Y",_xll.EVPRO($B$1,$H38,"CALC"))</f>
        <v>Y</v>
      </c>
      <c r="K38" s="86"/>
      <c r="L38" s="86" t="str">
        <f>IF(_epmOfflineCondition_,"461400",_xll.EVPRO($B$1,H38,"JDEID"))</f>
        <v>461400</v>
      </c>
      <c r="M38" s="86" t="str">
        <f>IF(_epmOfflineCondition_,"",IF(AND(I38="N",J38="N"),_xll.EVPRO($B$1,H38,"PSFTID"),""))</f>
        <v/>
      </c>
      <c r="N38" s="86" t="str">
        <f>IF(_epmOfflineCondition_,"Breakfast Wine",IF(_xll.EVDES(H38,$B$1)="#NODATA","",_xll.EVDES(H38,$B$1)))</f>
        <v>Breakfast Wine</v>
      </c>
      <c r="O38" s="228"/>
      <c r="P38" s="228"/>
      <c r="Q38" s="228"/>
      <c r="R38" s="228"/>
      <c r="S38" s="228"/>
      <c r="T38" s="228"/>
      <c r="U38" s="228"/>
      <c r="V38" s="228"/>
      <c r="W38" s="228"/>
      <c r="X38" s="228"/>
      <c r="Y38" s="228">
        <v>356.6</v>
      </c>
      <c r="Z38" s="228">
        <v>220</v>
      </c>
      <c r="AA38" s="228">
        <f t="shared" si="0"/>
        <v>576.6</v>
      </c>
      <c r="AB38" s="230">
        <f>IF(AA38=0,"",IFERROR(AA38/AA$19,""))</f>
        <v>3.7780879808314784E-3</v>
      </c>
      <c r="AC38" s="136"/>
      <c r="AD38" s="228">
        <v>8223.25245</v>
      </c>
      <c r="AE38" s="230">
        <f>IF(AD38=0,"",IFERROR(AD38/AD$19,""))</f>
        <v>6.2951066177506293E-3</v>
      </c>
      <c r="AF38" s="231">
        <f t="shared" si="1"/>
        <v>-7646.6524499999996</v>
      </c>
      <c r="AG38" s="228"/>
      <c r="AH38" s="230" t="str">
        <f>IF(AG38=0,"",IFERROR(AG38/AG$19,""))</f>
        <v/>
      </c>
      <c r="AI38" s="231">
        <f t="shared" si="2"/>
        <v>576.6</v>
      </c>
    </row>
    <row r="39" spans="1:35" x14ac:dyDescent="0.25">
      <c r="A39" s="61" t="s">
        <v>27</v>
      </c>
      <c r="B39" s="62"/>
      <c r="C39" s="11"/>
      <c r="D39" s="11"/>
      <c r="E39" s="11"/>
      <c r="F39" s="11"/>
      <c r="G39" s="11"/>
      <c r="H39" s="84" t="s">
        <v>318</v>
      </c>
      <c r="I39" s="118" t="str">
        <f>IF(_epmOfflineCondition_,"N",_xll.EVPRO($B$1,$H39,"STYLE"))</f>
        <v>N</v>
      </c>
      <c r="J39" s="118" t="str">
        <f>IF(_epmOfflineCondition_,"Y",_xll.EVPRO($B$1,$H39,"CALC"))</f>
        <v>Y</v>
      </c>
      <c r="K39" s="86"/>
      <c r="L39" s="86" t="str">
        <f>IF(_epmOfflineCondition_,"",_xll.EVPRO($B$1,H39,"JDEID"))</f>
        <v/>
      </c>
      <c r="M39" s="86" t="str">
        <f>IF(_epmOfflineCondition_,"",IF(AND(I39="N",J39="N"),_xll.EVPRO($B$1,H39,"PSFTID"),""))</f>
        <v/>
      </c>
      <c r="N39" s="102" t="str">
        <f>IF(_epmOfflineCondition_,"Breakfast Revenue",IF(_xll.EVDES(H39,$B$1)="#NODATA","",_xll.EVDES(H39,$B$1)))</f>
        <v>Breakfast Revenue</v>
      </c>
      <c r="O39" s="158"/>
      <c r="P39" s="158"/>
      <c r="Q39" s="158"/>
      <c r="R39" s="158"/>
      <c r="S39" s="158"/>
      <c r="T39" s="158"/>
      <c r="U39" s="158"/>
      <c r="V39" s="158"/>
      <c r="W39" s="158"/>
      <c r="X39" s="158">
        <v>13903</v>
      </c>
      <c r="Y39" s="158">
        <v>19712.400000000001</v>
      </c>
      <c r="Z39" s="158">
        <v>24293.5</v>
      </c>
      <c r="AA39" s="158">
        <f t="shared" si="0"/>
        <v>57908.9</v>
      </c>
      <c r="AB39" s="159">
        <f>IF(AA39=0,"",IFERROR(AA39/AA$19,""))</f>
        <v>0.37943967928056188</v>
      </c>
      <c r="AC39" s="136"/>
      <c r="AD39" s="158">
        <v>184728.25</v>
      </c>
      <c r="AE39" s="159">
        <f>IF(AD39=0,"",IFERROR(AD39/AD$19,""))</f>
        <v>0.14141412246932694</v>
      </c>
      <c r="AF39" s="160">
        <f t="shared" si="1"/>
        <v>-126819.35</v>
      </c>
      <c r="AG39" s="158"/>
      <c r="AH39" s="159" t="str">
        <f>IF(AG39=0,"",IFERROR(AG39/AG$19,""))</f>
        <v/>
      </c>
      <c r="AI39" s="160">
        <f t="shared" si="2"/>
        <v>57908.9</v>
      </c>
    </row>
    <row r="40" spans="1:35" x14ac:dyDescent="0.25">
      <c r="A40" s="61" t="s">
        <v>28</v>
      </c>
      <c r="B40" s="62"/>
      <c r="C40" s="11"/>
      <c r="D40" s="11"/>
      <c r="E40" s="11"/>
      <c r="F40" s="11"/>
      <c r="G40" s="11"/>
      <c r="H40" s="84" t="s">
        <v>764</v>
      </c>
      <c r="I40" s="118" t="str">
        <f>IF(_epmOfflineCondition_,"N",_xll.EVPRO($B$1,$H40,"STYLE"))</f>
        <v>N</v>
      </c>
      <c r="J40" s="118" t="str">
        <f>IF(_epmOfflineCondition_,"N",_xll.EVPRO($B$1,$H40,"CALC"))</f>
        <v>N</v>
      </c>
      <c r="K40" s="86"/>
      <c r="L40" s="86" t="str">
        <f>IF(_epmOfflineCondition_,"947100",_xll.EVPRO($B$1,H40,"JDEID"))</f>
        <v>947100</v>
      </c>
      <c r="M40" s="86" t="str">
        <f>IF(_epmOfflineCondition_,"999991",IF(AND(I40="N",J40="N"),_xll.EVPRO($B$1,H40,"PSFTID"),""))</f>
        <v>999991</v>
      </c>
      <c r="N40" s="86" t="str">
        <f>IF(_epmOfflineCondition_,"# of Operating Days - Breakfast",IF(_xll.EVDES(H40,$B$1)="#NODATA","",_xll.EVDES(H40,$B$1)))</f>
        <v># of Operating Days - Breakfast</v>
      </c>
      <c r="O40" s="240"/>
      <c r="P40" s="240"/>
      <c r="Q40" s="240"/>
      <c r="R40" s="240"/>
      <c r="S40" s="240"/>
      <c r="T40" s="240"/>
      <c r="U40" s="240"/>
      <c r="V40" s="240"/>
      <c r="W40" s="240"/>
      <c r="X40" s="240">
        <v>31</v>
      </c>
      <c r="Y40" s="240">
        <v>30</v>
      </c>
      <c r="Z40" s="240">
        <v>31</v>
      </c>
      <c r="AA40" s="240">
        <f t="shared" si="0"/>
        <v>92</v>
      </c>
      <c r="AB40" s="242"/>
      <c r="AC40" s="136"/>
      <c r="AD40" s="240">
        <v>275</v>
      </c>
      <c r="AE40" s="242"/>
      <c r="AF40" s="243">
        <f t="shared" si="1"/>
        <v>-183</v>
      </c>
      <c r="AG40" s="240"/>
      <c r="AH40" s="242"/>
      <c r="AI40" s="243">
        <f t="shared" si="2"/>
        <v>92</v>
      </c>
    </row>
    <row r="41" spans="1:35" x14ac:dyDescent="0.25">
      <c r="A41" s="61" t="s">
        <v>29</v>
      </c>
      <c r="B41" s="62"/>
      <c r="C41" s="11"/>
      <c r="D41" s="11"/>
      <c r="E41" s="11"/>
      <c r="F41" s="11"/>
      <c r="G41" s="11"/>
      <c r="H41" s="84" t="s">
        <v>297</v>
      </c>
      <c r="I41" s="118" t="str">
        <f>IF(_epmOfflineCondition_,"N",_xll.EVPRO($B$1,$H41,"STYLE"))</f>
        <v>N</v>
      </c>
      <c r="J41" s="118" t="str">
        <f>IF(_epmOfflineCondition_,"N",_xll.EVPRO($B$1,$H41,"CALC"))</f>
        <v>N</v>
      </c>
      <c r="K41" s="86"/>
      <c r="L41" s="86" t="str">
        <f>IF(_epmOfflineCondition_,"946100",_xll.EVPRO($B$1,H41,"JDEID"))</f>
        <v>946100</v>
      </c>
      <c r="M41" s="86" t="str">
        <f>IF(_epmOfflineCondition_,"991501",IF(AND(I41="N",J41="N"),_xll.EVPRO($B$1,H41,"PSFTID"),""))</f>
        <v>991501</v>
      </c>
      <c r="N41" s="86" t="str">
        <f>IF(_epmOfflineCondition_,"Breakfast Customers",IF(_xll.EVDES(H41,$B$1)="#NODATA","",_xll.EVDES(H41,$B$1)))</f>
        <v>Breakfast Customers</v>
      </c>
      <c r="O41" s="240"/>
      <c r="P41" s="240"/>
      <c r="Q41" s="240"/>
      <c r="R41" s="240"/>
      <c r="S41" s="240"/>
      <c r="T41" s="240"/>
      <c r="U41" s="240"/>
      <c r="V41" s="240"/>
      <c r="W41" s="240"/>
      <c r="X41" s="240">
        <v>945</v>
      </c>
      <c r="Y41" s="240">
        <v>1111</v>
      </c>
      <c r="Z41" s="240">
        <v>1336</v>
      </c>
      <c r="AA41" s="240">
        <f t="shared" si="0"/>
        <v>3392</v>
      </c>
      <c r="AB41" s="242">
        <f>IF(AA41=0,"",IFERROR(AA41/AA$87,""))</f>
        <v>0.60014154281670207</v>
      </c>
      <c r="AC41" s="136"/>
      <c r="AD41" s="240">
        <v>9275</v>
      </c>
      <c r="AE41" s="242">
        <f>IF(AD41=0,"",IFERROR(AD41/AD$87,""))</f>
        <v>0.27168341193356571</v>
      </c>
      <c r="AF41" s="243">
        <f t="shared" si="1"/>
        <v>-5883</v>
      </c>
      <c r="AG41" s="240"/>
      <c r="AH41" s="242" t="str">
        <f>IF(AG41=0,"",IFERROR(AG41/AG$87,""))</f>
        <v/>
      </c>
      <c r="AI41" s="243">
        <f t="shared" si="2"/>
        <v>3392</v>
      </c>
    </row>
    <row r="42" spans="1:35" x14ac:dyDescent="0.25">
      <c r="A42" s="61" t="s">
        <v>30</v>
      </c>
      <c r="B42" s="62" t="s">
        <v>78</v>
      </c>
      <c r="C42" s="11"/>
      <c r="D42" s="11"/>
      <c r="E42" s="11"/>
      <c r="F42" s="11"/>
      <c r="G42" s="11"/>
      <c r="H42" s="84" t="s">
        <v>313</v>
      </c>
      <c r="I42" s="118" t="str">
        <f>IF(_epmOfflineCondition_,"N",_xll.EVPRO($B$1,$H42,"STYLE"))</f>
        <v>N</v>
      </c>
      <c r="J42" s="118" t="str">
        <f>IF(_epmOfflineCondition_,"Y",_xll.EVPRO($B$1,$H42,"CALC"))</f>
        <v>Y</v>
      </c>
      <c r="K42" s="86"/>
      <c r="L42" s="86" t="str">
        <f>IF(_epmOfflineCondition_,"",_xll.EVPRO($B$1,H42,"JDEID"))</f>
        <v/>
      </c>
      <c r="M42" s="86" t="str">
        <f>IF(_epmOfflineCondition_,"",IF(AND(I42="N",J42="N"),_xll.EVPRO($B$1,H42,"PSFTID"),""))</f>
        <v/>
      </c>
      <c r="N42" s="186" t="str">
        <f>IF(_epmOfflineCondition_,"Breakfast - Average Check",IF(_xll.EVDES(H42,$B$1)="#NODATA","",_xll.EVDES(H42,$B$1)))</f>
        <v>Breakfast - Average Check</v>
      </c>
      <c r="O42" s="490"/>
      <c r="P42" s="490"/>
      <c r="Q42" s="490"/>
      <c r="R42" s="490"/>
      <c r="S42" s="490"/>
      <c r="T42" s="490"/>
      <c r="U42" s="490"/>
      <c r="V42" s="490"/>
      <c r="W42" s="490"/>
      <c r="X42" s="490">
        <v>14.7121693121693</v>
      </c>
      <c r="Y42" s="490">
        <v>17.7429342934293</v>
      </c>
      <c r="Z42" s="490">
        <v>18.183757485029901</v>
      </c>
      <c r="AA42" s="490">
        <f>IFERROR(AA39/AA41,"")</f>
        <v>17.072199292452829</v>
      </c>
      <c r="AB42" s="490"/>
      <c r="AC42" s="136"/>
      <c r="AD42" s="490">
        <v>19.916792452830201</v>
      </c>
      <c r="AE42" s="490"/>
      <c r="AF42" s="491">
        <f t="shared" si="1"/>
        <v>-2.8445931603773715</v>
      </c>
      <c r="AG42" s="490"/>
      <c r="AH42" s="490"/>
      <c r="AI42" s="491">
        <f t="shared" si="2"/>
        <v>17.072199292452829</v>
      </c>
    </row>
    <row r="43" spans="1:35" x14ac:dyDescent="0.25">
      <c r="A43" s="61" t="s">
        <v>31</v>
      </c>
      <c r="B43" s="62" t="s">
        <v>78</v>
      </c>
      <c r="C43" s="11"/>
      <c r="D43" s="11"/>
      <c r="E43" s="11"/>
      <c r="F43" s="11"/>
      <c r="G43" s="486">
        <f>COUNTIF(O44:AI44,FALSE)</f>
        <v>0</v>
      </c>
      <c r="H43" s="84"/>
      <c r="I43" s="118"/>
      <c r="J43" s="118"/>
      <c r="K43" s="86"/>
      <c r="L43" s="86"/>
      <c r="M43" s="86"/>
      <c r="N43" s="487" t="s">
        <v>345</v>
      </c>
      <c r="O43" s="492">
        <f t="shared" ref="O43:AA43" si="3">ROUND(IFERROR(O39/O41,0),2)</f>
        <v>0</v>
      </c>
      <c r="P43" s="493">
        <f t="shared" si="3"/>
        <v>0</v>
      </c>
      <c r="Q43" s="493">
        <f t="shared" si="3"/>
        <v>0</v>
      </c>
      <c r="R43" s="493">
        <f t="shared" si="3"/>
        <v>0</v>
      </c>
      <c r="S43" s="493">
        <f t="shared" si="3"/>
        <v>0</v>
      </c>
      <c r="T43" s="493">
        <f t="shared" si="3"/>
        <v>0</v>
      </c>
      <c r="U43" s="493">
        <f t="shared" si="3"/>
        <v>0</v>
      </c>
      <c r="V43" s="493">
        <f t="shared" si="3"/>
        <v>0</v>
      </c>
      <c r="W43" s="493">
        <f t="shared" si="3"/>
        <v>0</v>
      </c>
      <c r="X43" s="493">
        <f t="shared" si="3"/>
        <v>14.71</v>
      </c>
      <c r="Y43" s="493">
        <f t="shared" si="3"/>
        <v>17.739999999999998</v>
      </c>
      <c r="Z43" s="493">
        <f t="shared" si="3"/>
        <v>18.18</v>
      </c>
      <c r="AA43" s="493">
        <f t="shared" si="3"/>
        <v>17.07</v>
      </c>
      <c r="AB43" s="494"/>
      <c r="AC43" s="136"/>
      <c r="AD43" s="492">
        <f>ROUND(IFERROR(AD39/AD41,0),2)</f>
        <v>19.920000000000002</v>
      </c>
      <c r="AE43" s="493"/>
      <c r="AF43" s="151"/>
      <c r="AG43" s="492">
        <f>ROUND(IFERROR(AG39/AG41,0),2)</f>
        <v>0</v>
      </c>
      <c r="AH43" s="493"/>
      <c r="AI43" s="151"/>
    </row>
    <row r="44" spans="1:35" x14ac:dyDescent="0.25">
      <c r="A44" s="61" t="s">
        <v>32</v>
      </c>
      <c r="B44" s="62"/>
      <c r="C44" s="11"/>
      <c r="D44" s="11"/>
      <c r="E44" s="11"/>
      <c r="F44" s="11"/>
      <c r="G44" s="11"/>
      <c r="H44" s="84"/>
      <c r="I44" s="118"/>
      <c r="J44" s="118"/>
      <c r="K44" s="86"/>
      <c r="L44" s="86"/>
      <c r="M44" s="86"/>
      <c r="N44" s="49" t="s">
        <v>314</v>
      </c>
      <c r="O44" s="495" t="b">
        <f t="shared" ref="O44:AA44" si="4">ROUND(O42,2)=ROUND(O43,2)</f>
        <v>1</v>
      </c>
      <c r="P44" s="496" t="b">
        <f t="shared" si="4"/>
        <v>1</v>
      </c>
      <c r="Q44" s="496" t="b">
        <f t="shared" si="4"/>
        <v>1</v>
      </c>
      <c r="R44" s="496" t="b">
        <f t="shared" si="4"/>
        <v>1</v>
      </c>
      <c r="S44" s="496" t="b">
        <f t="shared" si="4"/>
        <v>1</v>
      </c>
      <c r="T44" s="496" t="b">
        <f t="shared" si="4"/>
        <v>1</v>
      </c>
      <c r="U44" s="496" t="b">
        <f t="shared" si="4"/>
        <v>1</v>
      </c>
      <c r="V44" s="496" t="b">
        <f t="shared" si="4"/>
        <v>1</v>
      </c>
      <c r="W44" s="496" t="b">
        <f t="shared" si="4"/>
        <v>1</v>
      </c>
      <c r="X44" s="496" t="b">
        <f t="shared" si="4"/>
        <v>1</v>
      </c>
      <c r="Y44" s="496" t="b">
        <f t="shared" si="4"/>
        <v>1</v>
      </c>
      <c r="Z44" s="496" t="b">
        <f t="shared" si="4"/>
        <v>1</v>
      </c>
      <c r="AA44" s="496" t="b">
        <f t="shared" si="4"/>
        <v>1</v>
      </c>
      <c r="AB44" s="497"/>
      <c r="AC44" s="498"/>
      <c r="AD44" s="495"/>
      <c r="AE44" s="496" t="b">
        <f>ROUND(AD42,2)=ROUND(AD43,2)</f>
        <v>1</v>
      </c>
      <c r="AF44" s="497"/>
      <c r="AG44" s="495"/>
      <c r="AH44" s="496" t="b">
        <f>ROUND(AG42,2)=ROUND(AG43,2)</f>
        <v>1</v>
      </c>
      <c r="AI44" s="497"/>
    </row>
    <row r="45" spans="1:35" x14ac:dyDescent="0.25">
      <c r="A45" s="61" t="s">
        <v>33</v>
      </c>
      <c r="B45" s="62"/>
      <c r="C45" s="11"/>
      <c r="D45" s="11"/>
      <c r="E45" s="11"/>
      <c r="F45" s="11"/>
      <c r="G45" s="11"/>
      <c r="H45" s="84" t="s">
        <v>261</v>
      </c>
      <c r="I45" s="118" t="str">
        <f>IF(_epmOfflineCondition_,"T5",_xll.EVPRO($B$1,$H45,"STYLE"))</f>
        <v>T5</v>
      </c>
      <c r="J45" s="118" t="str">
        <f>IF(_epmOfflineCondition_,"Y",_xll.EVPRO($B$1,$H45,"CALC"))</f>
        <v>Y</v>
      </c>
      <c r="K45" s="86"/>
      <c r="L45" s="86" t="str">
        <f>IF(_epmOfflineCondition_,"462100",_xll.EVPRO($B$1,H45,"JDEID"))</f>
        <v>462100</v>
      </c>
      <c r="M45" s="86" t="str">
        <f>IF(_epmOfflineCondition_,"",IF(AND(I45="N",J45="N"),_xll.EVPRO($B$1,H45,"PSFTID"),""))</f>
        <v/>
      </c>
      <c r="N45" s="86" t="str">
        <f>IF(_epmOfflineCondition_,"Lunch Food",IF(_xll.EVDES(H45,$B$1)="#NODATA","",_xll.EVDES(H45,$B$1)))</f>
        <v>Lunch Food</v>
      </c>
      <c r="O45" s="134"/>
      <c r="P45" s="134"/>
      <c r="Q45" s="134"/>
      <c r="R45" s="134"/>
      <c r="S45" s="134"/>
      <c r="T45" s="134"/>
      <c r="U45" s="134"/>
      <c r="V45" s="134"/>
      <c r="W45" s="134"/>
      <c r="X45" s="134"/>
      <c r="Y45" s="134">
        <v>1969.7</v>
      </c>
      <c r="Z45" s="134">
        <v>3848.4</v>
      </c>
      <c r="AA45" s="134">
        <f t="shared" ref="AA45:AA51" si="5">SUM(O45:Z45)</f>
        <v>5818.1</v>
      </c>
      <c r="AB45" s="138">
        <f>IF(AA45=0,"",IFERROR(AA45/AA$19,""))</f>
        <v>3.8122257511750995E-2</v>
      </c>
      <c r="AC45" s="136"/>
      <c r="AD45" s="134">
        <v>134786.875195</v>
      </c>
      <c r="AE45" s="138">
        <f>IF(AD45=0,"",IFERROR(AD45/AD$19,""))</f>
        <v>0.10318274371182326</v>
      </c>
      <c r="AF45" s="137">
        <f t="shared" ref="AF45:AF52" si="6">IF(AND($AA45="",AD45=""),"",$AA45-AD45)</f>
        <v>-128968.77519499999</v>
      </c>
      <c r="AG45" s="134"/>
      <c r="AH45" s="138" t="str">
        <f>IF(AG45=0,"",IFERROR(AG45/AG$19,""))</f>
        <v/>
      </c>
      <c r="AI45" s="137">
        <f t="shared" ref="AI45:AI52" si="7">IF(AND($AA45="",AG45=""),"",$AA45-AG45)</f>
        <v>5818.1</v>
      </c>
    </row>
    <row r="46" spans="1:35" x14ac:dyDescent="0.25">
      <c r="A46" s="61" t="s">
        <v>34</v>
      </c>
      <c r="B46" s="62"/>
      <c r="C46" s="11"/>
      <c r="D46" s="11"/>
      <c r="E46" s="11"/>
      <c r="F46" s="11"/>
      <c r="G46" s="11"/>
      <c r="H46" s="181" t="s">
        <v>301</v>
      </c>
      <c r="I46" s="118" t="str">
        <f>IF(_epmOfflineCondition_,"T6",_xll.EVPRO($B$1,$H46,"STYLE"))</f>
        <v>T6</v>
      </c>
      <c r="J46" s="118" t="str">
        <f>IF(_epmOfflineCondition_,"Y",_xll.EVPRO($B$1,$H46,"CALC"))</f>
        <v>Y</v>
      </c>
      <c r="K46" s="86"/>
      <c r="L46" s="86" t="str">
        <f>IF(_epmOfflineCondition_,"462200",_xll.EVPRO($B$1,H46,"JDEID"))</f>
        <v>462200</v>
      </c>
      <c r="M46" s="86" t="str">
        <f>IF(_epmOfflineCondition_,"",IF(AND(I46="N",J46="N"),_xll.EVPRO($B$1,H46,"PSFTID"),""))</f>
        <v/>
      </c>
      <c r="N46" s="86" t="str">
        <f>IF(_epmOfflineCondition_,"Lunch Liquor",IF(_xll.EVDES(H46,$B$1)="#NODATA","",_xll.EVDES(H46,$B$1)))</f>
        <v>Lunch Liquor</v>
      </c>
      <c r="O46" s="134"/>
      <c r="P46" s="134"/>
      <c r="Q46" s="134"/>
      <c r="R46" s="134"/>
      <c r="S46" s="134"/>
      <c r="T46" s="134"/>
      <c r="U46" s="134"/>
      <c r="V46" s="134"/>
      <c r="W46" s="134"/>
      <c r="X46" s="134"/>
      <c r="Y46" s="134">
        <v>190</v>
      </c>
      <c r="Z46" s="134">
        <v>277</v>
      </c>
      <c r="AA46" s="134">
        <f t="shared" si="5"/>
        <v>467</v>
      </c>
      <c r="AB46" s="138">
        <f>IF(AA46=0,"",IFERROR(AA46/AA$19,""))</f>
        <v>3.05994985613649E-3</v>
      </c>
      <c r="AC46" s="136"/>
      <c r="AD46" s="134">
        <v>27752.76555</v>
      </c>
      <c r="AE46" s="138">
        <f>IF(AD46=0,"",IFERROR(AD46/AD$19,""))</f>
        <v>2.124544018768227E-2</v>
      </c>
      <c r="AF46" s="137">
        <f t="shared" si="6"/>
        <v>-27285.76555</v>
      </c>
      <c r="AG46" s="134"/>
      <c r="AH46" s="138" t="str">
        <f>IF(AG46=0,"",IFERROR(AG46/AG$19,""))</f>
        <v/>
      </c>
      <c r="AI46" s="137">
        <f t="shared" si="7"/>
        <v>467</v>
      </c>
    </row>
    <row r="47" spans="1:35" x14ac:dyDescent="0.25">
      <c r="A47" s="61" t="s">
        <v>35</v>
      </c>
      <c r="B47" s="62"/>
      <c r="C47" s="11"/>
      <c r="D47" s="11"/>
      <c r="E47" s="11"/>
      <c r="F47" s="11"/>
      <c r="G47" s="11"/>
      <c r="H47" s="181" t="s">
        <v>305</v>
      </c>
      <c r="I47" s="118" t="str">
        <f>IF(_epmOfflineCondition_,"T6",_xll.EVPRO($B$1,$H47,"STYLE"))</f>
        <v>T6</v>
      </c>
      <c r="J47" s="118" t="str">
        <f>IF(_epmOfflineCondition_,"Y",_xll.EVPRO($B$1,$H47,"CALC"))</f>
        <v>Y</v>
      </c>
      <c r="K47" s="86"/>
      <c r="L47" s="86" t="str">
        <f>IF(_epmOfflineCondition_,"462300",_xll.EVPRO($B$1,H47,"JDEID"))</f>
        <v>462300</v>
      </c>
      <c r="M47" s="86" t="str">
        <f>IF(_epmOfflineCondition_,"",IF(AND(I47="N",J47="N"),_xll.EVPRO($B$1,H47,"PSFTID"),""))</f>
        <v/>
      </c>
      <c r="N47" s="86" t="str">
        <f>IF(_epmOfflineCondition_,"Lunch Beer",IF(_xll.EVDES(H47,$B$1)="#NODATA","",_xll.EVDES(H47,$B$1)))</f>
        <v>Lunch Beer</v>
      </c>
      <c r="O47" s="134"/>
      <c r="P47" s="134"/>
      <c r="Q47" s="134"/>
      <c r="R47" s="134"/>
      <c r="S47" s="134"/>
      <c r="T47" s="134"/>
      <c r="U47" s="134"/>
      <c r="V47" s="134"/>
      <c r="W47" s="134"/>
      <c r="X47" s="134"/>
      <c r="Y47" s="134">
        <v>28</v>
      </c>
      <c r="Z47" s="134">
        <v>22</v>
      </c>
      <c r="AA47" s="134">
        <f t="shared" si="5"/>
        <v>50</v>
      </c>
      <c r="AB47" s="138">
        <f>IF(AA47=0,"",IFERROR(AA47/AA$19,""))</f>
        <v>3.276177576163266E-4</v>
      </c>
      <c r="AC47" s="136"/>
      <c r="AD47" s="134">
        <v>3508.5282350000002</v>
      </c>
      <c r="AE47" s="138">
        <f>IF(AD47=0,"",IFERROR(AD47/AD$19,""))</f>
        <v>2.6858666257672092E-3</v>
      </c>
      <c r="AF47" s="137">
        <f t="shared" si="6"/>
        <v>-3458.5282350000002</v>
      </c>
      <c r="AG47" s="134"/>
      <c r="AH47" s="138" t="str">
        <f>IF(AG47=0,"",IFERROR(AG47/AG$19,""))</f>
        <v/>
      </c>
      <c r="AI47" s="137">
        <f t="shared" si="7"/>
        <v>50</v>
      </c>
    </row>
    <row r="48" spans="1:35" x14ac:dyDescent="0.25">
      <c r="A48" s="61" t="s">
        <v>36</v>
      </c>
      <c r="B48" s="62"/>
      <c r="C48" s="11"/>
      <c r="D48" s="11"/>
      <c r="E48" s="11"/>
      <c r="F48" s="11"/>
      <c r="G48" s="11"/>
      <c r="H48" s="181" t="s">
        <v>303</v>
      </c>
      <c r="I48" s="118" t="str">
        <f>IF(_epmOfflineCondition_,"T6",_xll.EVPRO($B$1,$H48,"STYLE"))</f>
        <v>T6</v>
      </c>
      <c r="J48" s="118" t="str">
        <f>IF(_epmOfflineCondition_,"Y",_xll.EVPRO($B$1,$H48,"CALC"))</f>
        <v>Y</v>
      </c>
      <c r="K48" s="86"/>
      <c r="L48" s="86" t="str">
        <f>IF(_epmOfflineCondition_,"462400",_xll.EVPRO($B$1,H48,"JDEID"))</f>
        <v>462400</v>
      </c>
      <c r="M48" s="86" t="str">
        <f>IF(_epmOfflineCondition_,"",IF(AND(I48="N",J48="N"),_xll.EVPRO($B$1,H48,"PSFTID"),""))</f>
        <v/>
      </c>
      <c r="N48" s="86" t="str">
        <f>IF(_epmOfflineCondition_,"Lunch Wine",IF(_xll.EVDES(H48,$B$1)="#NODATA","",_xll.EVDES(H48,$B$1)))</f>
        <v>Lunch Wine</v>
      </c>
      <c r="O48" s="228"/>
      <c r="P48" s="228"/>
      <c r="Q48" s="228"/>
      <c r="R48" s="228"/>
      <c r="S48" s="228"/>
      <c r="T48" s="228"/>
      <c r="U48" s="228"/>
      <c r="V48" s="228"/>
      <c r="W48" s="228"/>
      <c r="X48" s="228"/>
      <c r="Y48" s="228">
        <v>655</v>
      </c>
      <c r="Z48" s="228">
        <v>1388</v>
      </c>
      <c r="AA48" s="228">
        <f t="shared" si="5"/>
        <v>2043</v>
      </c>
      <c r="AB48" s="230">
        <f>IF(AA48=0,"",IFERROR(AA48/AA$19,""))</f>
        <v>1.3386461576203103E-2</v>
      </c>
      <c r="AC48" s="136"/>
      <c r="AD48" s="228">
        <v>67022.481020000007</v>
      </c>
      <c r="AE48" s="230">
        <f>IF(AD48=0,"",IFERROR(AD48/AD$19,""))</f>
        <v>5.1307395263910205E-2</v>
      </c>
      <c r="AF48" s="231">
        <f t="shared" si="6"/>
        <v>-64979.481020000007</v>
      </c>
      <c r="AG48" s="228"/>
      <c r="AH48" s="230" t="str">
        <f>IF(AG48=0,"",IFERROR(AG48/AG$19,""))</f>
        <v/>
      </c>
      <c r="AI48" s="231">
        <f t="shared" si="7"/>
        <v>2043</v>
      </c>
    </row>
    <row r="49" spans="1:35" x14ac:dyDescent="0.25">
      <c r="A49" s="61" t="s">
        <v>37</v>
      </c>
      <c r="B49" s="62"/>
      <c r="C49" s="11"/>
      <c r="D49" s="11"/>
      <c r="E49" s="11"/>
      <c r="F49" s="11"/>
      <c r="G49" s="11"/>
      <c r="H49" s="84" t="s">
        <v>319</v>
      </c>
      <c r="I49" s="118" t="str">
        <f>IF(_epmOfflineCondition_,"N",_xll.EVPRO($B$1,$H49,"STYLE"))</f>
        <v>N</v>
      </c>
      <c r="J49" s="118" t="str">
        <f>IF(_epmOfflineCondition_,"Y",_xll.EVPRO($B$1,$H49,"CALC"))</f>
        <v>Y</v>
      </c>
      <c r="K49" s="86"/>
      <c r="L49" s="86" t="str">
        <f>IF(_epmOfflineCondition_,"",_xll.EVPRO($B$1,H49,"JDEID"))</f>
        <v/>
      </c>
      <c r="M49" s="86" t="str">
        <f>IF(_epmOfflineCondition_,"",IF(AND(I49="N",J49="N"),_xll.EVPRO($B$1,H49,"PSFTID"),""))</f>
        <v/>
      </c>
      <c r="N49" s="102" t="str">
        <f>IF(_epmOfflineCondition_,"Lunch Revenue",IF(_xll.EVDES(H49,$B$1)="#NODATA","",_xll.EVDES(H49,$B$1)))</f>
        <v>Lunch Revenue</v>
      </c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>
        <v>2842.7</v>
      </c>
      <c r="Z49" s="158">
        <v>5535.4</v>
      </c>
      <c r="AA49" s="158">
        <f t="shared" si="5"/>
        <v>8378.0999999999985</v>
      </c>
      <c r="AB49" s="159">
        <f>IF(AA49=0,"",IFERROR(AA49/AA$19,""))</f>
        <v>5.4896286701706903E-2</v>
      </c>
      <c r="AC49" s="136"/>
      <c r="AD49" s="158">
        <v>233070.65</v>
      </c>
      <c r="AE49" s="159">
        <f>IF(AD49=0,"",IFERROR(AD49/AD$19,""))</f>
        <v>0.17842144578918293</v>
      </c>
      <c r="AF49" s="160">
        <f t="shared" si="6"/>
        <v>-224692.55</v>
      </c>
      <c r="AG49" s="158"/>
      <c r="AH49" s="159" t="str">
        <f>IF(AG49=0,"",IFERROR(AG49/AG$19,""))</f>
        <v/>
      </c>
      <c r="AI49" s="160">
        <f t="shared" si="7"/>
        <v>8378.0999999999985</v>
      </c>
    </row>
    <row r="50" spans="1:35" x14ac:dyDescent="0.25">
      <c r="A50" s="61" t="s">
        <v>38</v>
      </c>
      <c r="B50" s="62"/>
      <c r="C50" s="11"/>
      <c r="D50" s="11"/>
      <c r="E50" s="11"/>
      <c r="F50" s="11"/>
      <c r="G50" s="11"/>
      <c r="H50" s="84" t="s">
        <v>765</v>
      </c>
      <c r="I50" s="118" t="str">
        <f>IF(_epmOfflineCondition_,"N",_xll.EVPRO($B$1,$H50,"STYLE"))</f>
        <v>N</v>
      </c>
      <c r="J50" s="118" t="str">
        <f>IF(_epmOfflineCondition_,"N",_xll.EVPRO($B$1,$H50,"CALC"))</f>
        <v>N</v>
      </c>
      <c r="K50" s="86"/>
      <c r="L50" s="86" t="str">
        <f>IF(_epmOfflineCondition_,"947200",_xll.EVPRO($B$1,H50,"JDEID"))</f>
        <v>947200</v>
      </c>
      <c r="M50" s="86" t="str">
        <f>IF(_epmOfflineCondition_,"999992",IF(AND(I50="N",J50="N"),_xll.EVPRO($B$1,H50,"PSFTID"),""))</f>
        <v>999992</v>
      </c>
      <c r="N50" s="86" t="str">
        <f>IF(_epmOfflineCondition_,"# of Operating Days - Lunch",IF(_xll.EVDES(H50,$B$1)="#NODATA","",_xll.EVDES(H50,$B$1)))</f>
        <v># of Operating Days - Lunch</v>
      </c>
      <c r="O50" s="240"/>
      <c r="P50" s="240"/>
      <c r="Q50" s="240"/>
      <c r="R50" s="240"/>
      <c r="S50" s="240"/>
      <c r="T50" s="240"/>
      <c r="U50" s="240"/>
      <c r="V50" s="240"/>
      <c r="W50" s="240"/>
      <c r="X50" s="240"/>
      <c r="Y50" s="240">
        <v>6</v>
      </c>
      <c r="Z50" s="240">
        <v>10</v>
      </c>
      <c r="AA50" s="240">
        <f t="shared" si="5"/>
        <v>16</v>
      </c>
      <c r="AB50" s="242"/>
      <c r="AC50" s="136"/>
      <c r="AD50" s="240">
        <v>80</v>
      </c>
      <c r="AE50" s="242"/>
      <c r="AF50" s="243">
        <f t="shared" si="6"/>
        <v>-64</v>
      </c>
      <c r="AG50" s="240"/>
      <c r="AH50" s="242"/>
      <c r="AI50" s="243">
        <f t="shared" si="7"/>
        <v>16</v>
      </c>
    </row>
    <row r="51" spans="1:35" x14ac:dyDescent="0.25">
      <c r="A51" s="61" t="s">
        <v>39</v>
      </c>
      <c r="B51" s="62"/>
      <c r="C51" s="11"/>
      <c r="D51" s="11"/>
      <c r="E51" s="11"/>
      <c r="F51" s="11"/>
      <c r="G51" s="11"/>
      <c r="H51" s="84" t="s">
        <v>298</v>
      </c>
      <c r="I51" s="118" t="str">
        <f>IF(_epmOfflineCondition_,"N",_xll.EVPRO($B$1,$H51,"STYLE"))</f>
        <v>N</v>
      </c>
      <c r="J51" s="118" t="str">
        <f>IF(_epmOfflineCondition_,"N",_xll.EVPRO($B$1,$H51,"CALC"))</f>
        <v>N</v>
      </c>
      <c r="K51" s="86"/>
      <c r="L51" s="86" t="str">
        <f>IF(_epmOfflineCondition_,"946200",_xll.EVPRO($B$1,H51,"JDEID"))</f>
        <v>946200</v>
      </c>
      <c r="M51" s="86" t="str">
        <f>IF(_epmOfflineCondition_,"991502",IF(AND(I51="N",J51="N"),_xll.EVPRO($B$1,H51,"PSFTID"),""))</f>
        <v>991502</v>
      </c>
      <c r="N51" s="86" t="str">
        <f>IF(_epmOfflineCondition_,"Lunch Customers",IF(_xll.EVDES(H51,$B$1)="#NODATA","",_xll.EVDES(H51,$B$1)))</f>
        <v>Lunch Customers</v>
      </c>
      <c r="O51" s="240"/>
      <c r="P51" s="240"/>
      <c r="Q51" s="240"/>
      <c r="R51" s="240"/>
      <c r="S51" s="240"/>
      <c r="T51" s="240"/>
      <c r="U51" s="240"/>
      <c r="V51" s="240"/>
      <c r="W51" s="240"/>
      <c r="X51" s="240"/>
      <c r="Y51" s="240">
        <v>104</v>
      </c>
      <c r="Z51" s="240">
        <v>204</v>
      </c>
      <c r="AA51" s="240">
        <f t="shared" si="5"/>
        <v>308</v>
      </c>
      <c r="AB51" s="242">
        <f>IF(AA51=0,"",IFERROR(AA51/AA$87,""))</f>
        <v>5.449398443029016E-2</v>
      </c>
      <c r="AC51" s="136"/>
      <c r="AD51" s="240">
        <v>5969</v>
      </c>
      <c r="AE51" s="242">
        <f>IF(AD51=0,"",IFERROR(AD51/AD$87,""))</f>
        <v>0.17484402003573626</v>
      </c>
      <c r="AF51" s="243">
        <f t="shared" si="6"/>
        <v>-5661</v>
      </c>
      <c r="AG51" s="240"/>
      <c r="AH51" s="242" t="str">
        <f>IF(AG51=0,"",IFERROR(AG51/AG$87,""))</f>
        <v/>
      </c>
      <c r="AI51" s="243">
        <f t="shared" si="7"/>
        <v>308</v>
      </c>
    </row>
    <row r="52" spans="1:35" x14ac:dyDescent="0.25">
      <c r="A52" s="61" t="s">
        <v>40</v>
      </c>
      <c r="B52" s="62"/>
      <c r="C52" s="11"/>
      <c r="D52" s="11"/>
      <c r="E52" s="11"/>
      <c r="F52" s="11"/>
      <c r="G52" s="11"/>
      <c r="H52" s="84" t="s">
        <v>315</v>
      </c>
      <c r="I52" s="118" t="str">
        <f>IF(_epmOfflineCondition_,"N",_xll.EVPRO($B$1,$H52,"STYLE"))</f>
        <v>N</v>
      </c>
      <c r="J52" s="118" t="str">
        <f>IF(_epmOfflineCondition_,"Y",_xll.EVPRO($B$1,$H52,"CALC"))</f>
        <v>Y</v>
      </c>
      <c r="K52" s="86"/>
      <c r="L52" s="86" t="str">
        <f>IF(_epmOfflineCondition_,"",_xll.EVPRO($B$1,H52,"JDEID"))</f>
        <v/>
      </c>
      <c r="M52" s="86" t="str">
        <f>IF(_epmOfflineCondition_,"",IF(AND(I52="N",J52="N"),_xll.EVPRO($B$1,H52,"PSFTID"),""))</f>
        <v/>
      </c>
      <c r="N52" s="186" t="str">
        <f>IF(_epmOfflineCondition_,"Lunch - Average Check",IF(_xll.EVDES(H52,$B$1)="#NODATA","",_xll.EVDES(H52,$B$1)))</f>
        <v>Lunch - Average Check</v>
      </c>
      <c r="O52" s="490"/>
      <c r="P52" s="490"/>
      <c r="Q52" s="490"/>
      <c r="R52" s="490"/>
      <c r="S52" s="490"/>
      <c r="T52" s="490"/>
      <c r="U52" s="490"/>
      <c r="V52" s="490"/>
      <c r="W52" s="490"/>
      <c r="X52" s="490"/>
      <c r="Y52" s="490">
        <v>27.333653846153801</v>
      </c>
      <c r="Z52" s="490">
        <v>27.134313725490198</v>
      </c>
      <c r="AA52" s="490">
        <f>IFERROR(AA49/AA51,"")</f>
        <v>27.20162337662337</v>
      </c>
      <c r="AB52" s="490"/>
      <c r="AC52" s="136"/>
      <c r="AD52" s="490">
        <v>39.046850393700801</v>
      </c>
      <c r="AE52" s="490"/>
      <c r="AF52" s="491">
        <f t="shared" si="6"/>
        <v>-11.845227017077431</v>
      </c>
      <c r="AG52" s="490"/>
      <c r="AH52" s="490"/>
      <c r="AI52" s="491">
        <f t="shared" si="7"/>
        <v>27.20162337662337</v>
      </c>
    </row>
    <row r="53" spans="1:35" x14ac:dyDescent="0.25">
      <c r="A53" s="61" t="s">
        <v>41</v>
      </c>
      <c r="B53" s="62"/>
      <c r="C53" s="11"/>
      <c r="D53" s="11"/>
      <c r="E53" s="11"/>
      <c r="F53" s="11"/>
      <c r="G53" s="486">
        <f>COUNTIF(O54:AI54,FALSE)</f>
        <v>0</v>
      </c>
      <c r="H53" s="84"/>
      <c r="I53" s="118"/>
      <c r="J53" s="118"/>
      <c r="K53" s="86"/>
      <c r="L53" s="86"/>
      <c r="M53" s="86"/>
      <c r="N53" s="487" t="s">
        <v>345</v>
      </c>
      <c r="O53" s="492">
        <f t="shared" ref="O53:AA53" si="8">ROUND(IFERROR(O49/O51,0),2)</f>
        <v>0</v>
      </c>
      <c r="P53" s="493">
        <f t="shared" si="8"/>
        <v>0</v>
      </c>
      <c r="Q53" s="493">
        <f t="shared" si="8"/>
        <v>0</v>
      </c>
      <c r="R53" s="493">
        <f t="shared" si="8"/>
        <v>0</v>
      </c>
      <c r="S53" s="493">
        <f t="shared" si="8"/>
        <v>0</v>
      </c>
      <c r="T53" s="493">
        <f t="shared" si="8"/>
        <v>0</v>
      </c>
      <c r="U53" s="493">
        <f t="shared" si="8"/>
        <v>0</v>
      </c>
      <c r="V53" s="493">
        <f t="shared" si="8"/>
        <v>0</v>
      </c>
      <c r="W53" s="493">
        <f t="shared" si="8"/>
        <v>0</v>
      </c>
      <c r="X53" s="493">
        <f t="shared" si="8"/>
        <v>0</v>
      </c>
      <c r="Y53" s="493">
        <f t="shared" si="8"/>
        <v>27.33</v>
      </c>
      <c r="Z53" s="493">
        <f t="shared" si="8"/>
        <v>27.13</v>
      </c>
      <c r="AA53" s="493">
        <f t="shared" si="8"/>
        <v>27.2</v>
      </c>
      <c r="AB53" s="494"/>
      <c r="AC53" s="136"/>
      <c r="AD53" s="492">
        <f>ROUND(IFERROR(AD49/AD51,0),2)</f>
        <v>39.049999999999997</v>
      </c>
      <c r="AE53" s="493"/>
      <c r="AF53" s="151"/>
      <c r="AG53" s="492">
        <f>ROUND(IFERROR(AG49/AG51,0),2)</f>
        <v>0</v>
      </c>
      <c r="AH53" s="493"/>
      <c r="AI53" s="151"/>
    </row>
    <row r="54" spans="1:35" x14ac:dyDescent="0.25">
      <c r="A54" s="61" t="s">
        <v>42</v>
      </c>
      <c r="B54" s="62"/>
      <c r="C54" s="11"/>
      <c r="D54" s="11"/>
      <c r="E54" s="11"/>
      <c r="F54" s="11"/>
      <c r="G54" s="11"/>
      <c r="H54" s="84"/>
      <c r="I54" s="118"/>
      <c r="J54" s="118"/>
      <c r="K54" s="86"/>
      <c r="L54" s="86"/>
      <c r="M54" s="86"/>
      <c r="N54" s="49" t="s">
        <v>316</v>
      </c>
      <c r="O54" s="495" t="b">
        <f t="shared" ref="O54:AA54" si="9">ROUND(O52,2)=ROUND(O53,2)</f>
        <v>1</v>
      </c>
      <c r="P54" s="496" t="b">
        <f t="shared" si="9"/>
        <v>1</v>
      </c>
      <c r="Q54" s="496" t="b">
        <f t="shared" si="9"/>
        <v>1</v>
      </c>
      <c r="R54" s="496" t="b">
        <f t="shared" si="9"/>
        <v>1</v>
      </c>
      <c r="S54" s="496" t="b">
        <f t="shared" si="9"/>
        <v>1</v>
      </c>
      <c r="T54" s="496" t="b">
        <f t="shared" si="9"/>
        <v>1</v>
      </c>
      <c r="U54" s="496" t="b">
        <f t="shared" si="9"/>
        <v>1</v>
      </c>
      <c r="V54" s="496" t="b">
        <f t="shared" si="9"/>
        <v>1</v>
      </c>
      <c r="W54" s="496" t="b">
        <f t="shared" si="9"/>
        <v>1</v>
      </c>
      <c r="X54" s="496" t="b">
        <f t="shared" si="9"/>
        <v>1</v>
      </c>
      <c r="Y54" s="496" t="b">
        <f t="shared" si="9"/>
        <v>1</v>
      </c>
      <c r="Z54" s="496" t="b">
        <f t="shared" si="9"/>
        <v>1</v>
      </c>
      <c r="AA54" s="496" t="b">
        <f t="shared" si="9"/>
        <v>1</v>
      </c>
      <c r="AB54" s="497"/>
      <c r="AC54" s="498"/>
      <c r="AD54" s="495"/>
      <c r="AE54" s="496" t="b">
        <f>ROUND(AD52,2)=ROUND(AD53,2)</f>
        <v>1</v>
      </c>
      <c r="AF54" s="497"/>
      <c r="AG54" s="495"/>
      <c r="AH54" s="496" t="b">
        <f>ROUND(AG52,2)=ROUND(AG53,2)</f>
        <v>1</v>
      </c>
      <c r="AI54" s="497"/>
    </row>
    <row r="55" spans="1:35" x14ac:dyDescent="0.25">
      <c r="A55" s="61" t="s">
        <v>43</v>
      </c>
      <c r="B55" s="62"/>
      <c r="C55" s="11"/>
      <c r="D55" s="11"/>
      <c r="E55" s="11"/>
      <c r="F55" s="11"/>
      <c r="G55" s="11"/>
      <c r="H55" s="84" t="s">
        <v>262</v>
      </c>
      <c r="I55" s="118" t="str">
        <f>IF(_epmOfflineCondition_,"T5",_xll.EVPRO($B$1,$H55,"STYLE"))</f>
        <v>T5</v>
      </c>
      <c r="J55" s="118" t="str">
        <f>IF(_epmOfflineCondition_,"Y",_xll.EVPRO($B$1,$H55,"CALC"))</f>
        <v>Y</v>
      </c>
      <c r="K55" s="86"/>
      <c r="L55" s="86" t="str">
        <f>IF(_epmOfflineCondition_,"463100",_xll.EVPRO($B$1,H55,"JDEID"))</f>
        <v>463100</v>
      </c>
      <c r="M55" s="86" t="str">
        <f>IF(_epmOfflineCondition_,"",IF(AND(I55="N",J55="N"),_xll.EVPRO($B$1,H55,"PSFTID"),""))</f>
        <v/>
      </c>
      <c r="N55" s="86" t="str">
        <f>IF(_epmOfflineCondition_,"Dinner Food",IF(_xll.EVDES(H55,$B$1)="#NODATA","",_xll.EVDES(H55,$B$1)))</f>
        <v>Dinner Food</v>
      </c>
      <c r="O55" s="134"/>
      <c r="P55" s="134"/>
      <c r="Q55" s="134"/>
      <c r="R55" s="134"/>
      <c r="S55" s="134"/>
      <c r="T55" s="134"/>
      <c r="U55" s="134"/>
      <c r="V55" s="134"/>
      <c r="W55" s="134"/>
      <c r="X55" s="134">
        <v>1045.7</v>
      </c>
      <c r="Y55" s="134">
        <v>22405.98</v>
      </c>
      <c r="Z55" s="134">
        <v>30076.65</v>
      </c>
      <c r="AA55" s="134">
        <f t="shared" ref="AA55:AA61" si="10">SUM(O55:Z55)</f>
        <v>53528.33</v>
      </c>
      <c r="AB55" s="138">
        <f>IF(AA55=0,"",IFERROR(AA55/AA$19,""))</f>
        <v>0.35073662887093487</v>
      </c>
      <c r="AC55" s="136"/>
      <c r="AD55" s="134">
        <v>519207.31134000001</v>
      </c>
      <c r="AE55" s="138">
        <f>IF(AD55=0,"",IFERROR(AD55/AD$19,""))</f>
        <v>0.39746625820796072</v>
      </c>
      <c r="AF55" s="137">
        <f t="shared" ref="AF55:AF62" si="11">IF(AND($AA55="",AD55=""),"",$AA55-AD55)</f>
        <v>-465678.98134</v>
      </c>
      <c r="AG55" s="134"/>
      <c r="AH55" s="138" t="str">
        <f>IF(AG55=0,"",IFERROR(AG55/AG$19,""))</f>
        <v/>
      </c>
      <c r="AI55" s="137">
        <f t="shared" ref="AI55:AI62" si="12">IF(AND($AA55="",AG55=""),"",$AA55-AG55)</f>
        <v>53528.33</v>
      </c>
    </row>
    <row r="56" spans="1:35" x14ac:dyDescent="0.25">
      <c r="A56" s="61" t="s">
        <v>44</v>
      </c>
      <c r="B56" s="62"/>
      <c r="C56" s="11"/>
      <c r="D56" s="11"/>
      <c r="E56" s="11"/>
      <c r="F56" s="11"/>
      <c r="G56" s="11"/>
      <c r="H56" s="84" t="s">
        <v>302</v>
      </c>
      <c r="I56" s="118" t="str">
        <f>IF(_epmOfflineCondition_,"T6",_xll.EVPRO($B$1,$H56,"STYLE"))</f>
        <v>T6</v>
      </c>
      <c r="J56" s="118" t="str">
        <f>IF(_epmOfflineCondition_,"Y",_xll.EVPRO($B$1,$H56,"CALC"))</f>
        <v>Y</v>
      </c>
      <c r="K56" s="86"/>
      <c r="L56" s="86" t="str">
        <f>IF(_epmOfflineCondition_,"463200",_xll.EVPRO($B$1,H56,"JDEID"))</f>
        <v>463200</v>
      </c>
      <c r="M56" s="86" t="str">
        <f>IF(_epmOfflineCondition_,"",IF(AND(I56="N",J56="N"),_xll.EVPRO($B$1,H56,"PSFTID"),""))</f>
        <v/>
      </c>
      <c r="N56" s="86" t="str">
        <f>IF(_epmOfflineCondition_,"Dinner Liquor",IF(_xll.EVDES(H56,$B$1)="#NODATA","",_xll.EVDES(H56,$B$1)))</f>
        <v>Dinner Liquor</v>
      </c>
      <c r="O56" s="134"/>
      <c r="P56" s="134"/>
      <c r="Q56" s="134"/>
      <c r="R56" s="134"/>
      <c r="S56" s="134"/>
      <c r="T56" s="134"/>
      <c r="U56" s="134"/>
      <c r="V56" s="134"/>
      <c r="W56" s="134"/>
      <c r="X56" s="134">
        <v>171.53</v>
      </c>
      <c r="Y56" s="134">
        <v>3506.6</v>
      </c>
      <c r="Z56" s="134">
        <v>3993.65</v>
      </c>
      <c r="AA56" s="134">
        <f t="shared" si="10"/>
        <v>7671.7800000000007</v>
      </c>
      <c r="AB56" s="138">
        <f>IF(AA56=0,"",IFERROR(AA56/AA$19,""))</f>
        <v>5.0268227210515638E-2</v>
      </c>
      <c r="AC56" s="136"/>
      <c r="AD56" s="134">
        <v>173785.46035899999</v>
      </c>
      <c r="AE56" s="138">
        <f>IF(AD56=0,"",IFERROR(AD56/AD$19,""))</f>
        <v>0.13303714171815076</v>
      </c>
      <c r="AF56" s="137">
        <f t="shared" si="11"/>
        <v>-166113.68035899999</v>
      </c>
      <c r="AG56" s="134"/>
      <c r="AH56" s="138" t="str">
        <f>IF(AG56=0,"",IFERROR(AG56/AG$19,""))</f>
        <v/>
      </c>
      <c r="AI56" s="137">
        <f t="shared" si="12"/>
        <v>7671.7800000000007</v>
      </c>
    </row>
    <row r="57" spans="1:35" x14ac:dyDescent="0.25">
      <c r="A57" s="61" t="s">
        <v>45</v>
      </c>
      <c r="B57" s="62"/>
      <c r="C57" s="11"/>
      <c r="D57" s="11"/>
      <c r="E57" s="11"/>
      <c r="F57" s="11"/>
      <c r="G57" s="11"/>
      <c r="H57" s="84" t="s">
        <v>306</v>
      </c>
      <c r="I57" s="118" t="str">
        <f>IF(_epmOfflineCondition_,"T6",_xll.EVPRO($B$1,$H57,"STYLE"))</f>
        <v>T6</v>
      </c>
      <c r="J57" s="118" t="str">
        <f>IF(_epmOfflineCondition_,"Y",_xll.EVPRO($B$1,$H57,"CALC"))</f>
        <v>Y</v>
      </c>
      <c r="K57" s="86"/>
      <c r="L57" s="86" t="str">
        <f>IF(_epmOfflineCondition_,"463300",_xll.EVPRO($B$1,H57,"JDEID"))</f>
        <v>463300</v>
      </c>
      <c r="M57" s="86" t="str">
        <f>IF(_epmOfflineCondition_,"",IF(AND(I57="N",J57="N"),_xll.EVPRO($B$1,H57,"PSFTID"),""))</f>
        <v/>
      </c>
      <c r="N57" s="86" t="str">
        <f>IF(_epmOfflineCondition_,"Dinner Beer",IF(_xll.EVDES(H57,$B$1)="#NODATA","",_xll.EVDES(H57,$B$1)))</f>
        <v>Dinner Beer</v>
      </c>
      <c r="O57" s="134"/>
      <c r="P57" s="134"/>
      <c r="Q57" s="134"/>
      <c r="R57" s="134"/>
      <c r="S57" s="134"/>
      <c r="T57" s="134"/>
      <c r="U57" s="134"/>
      <c r="V57" s="134"/>
      <c r="W57" s="134"/>
      <c r="X57" s="134">
        <v>38</v>
      </c>
      <c r="Y57" s="134">
        <v>976</v>
      </c>
      <c r="Z57" s="134">
        <v>673.6</v>
      </c>
      <c r="AA57" s="134">
        <f t="shared" si="10"/>
        <v>1687.6</v>
      </c>
      <c r="AB57" s="138">
        <f>IF(AA57=0,"",IFERROR(AA57/AA$19,""))</f>
        <v>1.1057754555066255E-2</v>
      </c>
      <c r="AC57" s="136"/>
      <c r="AD57" s="134">
        <v>48618.614322000001</v>
      </c>
      <c r="AE57" s="138">
        <f>IF(AD57=0,"",IFERROR(AD57/AD$19,""))</f>
        <v>3.7218772331899859E-2</v>
      </c>
      <c r="AF57" s="137">
        <f t="shared" si="11"/>
        <v>-46931.014322000003</v>
      </c>
      <c r="AG57" s="134"/>
      <c r="AH57" s="138" t="str">
        <f>IF(AG57=0,"",IFERROR(AG57/AG$19,""))</f>
        <v/>
      </c>
      <c r="AI57" s="137">
        <f t="shared" si="12"/>
        <v>1687.6</v>
      </c>
    </row>
    <row r="58" spans="1:35" x14ac:dyDescent="0.25">
      <c r="A58" s="61" t="s">
        <v>46</v>
      </c>
      <c r="B58" s="62"/>
      <c r="C58" s="11"/>
      <c r="D58" s="11"/>
      <c r="E58" s="11"/>
      <c r="F58" s="11"/>
      <c r="G58" s="11"/>
      <c r="H58" s="84" t="s">
        <v>304</v>
      </c>
      <c r="I58" s="118" t="str">
        <f>IF(_epmOfflineCondition_,"T6",_xll.EVPRO($B$1,$H58,"STYLE"))</f>
        <v>T6</v>
      </c>
      <c r="J58" s="118" t="str">
        <f>IF(_epmOfflineCondition_,"Y",_xll.EVPRO($B$1,$H58,"CALC"))</f>
        <v>Y</v>
      </c>
      <c r="K58" s="86"/>
      <c r="L58" s="86" t="str">
        <f>IF(_epmOfflineCondition_,"463400",_xll.EVPRO($B$1,H58,"JDEID"))</f>
        <v>463400</v>
      </c>
      <c r="M58" s="86" t="str">
        <f>IF(_epmOfflineCondition_,"",IF(AND(I58="N",J58="N"),_xll.EVPRO($B$1,H58,"PSFTID"),""))</f>
        <v/>
      </c>
      <c r="N58" s="86" t="str">
        <f>IF(_epmOfflineCondition_,"Dinner Wine",IF(_xll.EVDES(H58,$B$1)="#NODATA","",_xll.EVDES(H58,$B$1)))</f>
        <v>Dinner Wine</v>
      </c>
      <c r="O58" s="228"/>
      <c r="P58" s="228"/>
      <c r="Q58" s="228"/>
      <c r="R58" s="228"/>
      <c r="S58" s="228"/>
      <c r="T58" s="228"/>
      <c r="U58" s="228"/>
      <c r="V58" s="228"/>
      <c r="W58" s="228"/>
      <c r="X58" s="228">
        <v>173</v>
      </c>
      <c r="Y58" s="228">
        <v>4831.12</v>
      </c>
      <c r="Z58" s="228">
        <v>6795</v>
      </c>
      <c r="AA58" s="228">
        <f t="shared" si="10"/>
        <v>11799.119999999999</v>
      </c>
      <c r="AB58" s="230">
        <f>IF(AA58=0,"",IFERROR(AA58/AA$19,""))</f>
        <v>7.7312024724919021E-2</v>
      </c>
      <c r="AC58" s="136"/>
      <c r="AD58" s="228">
        <v>82196.993979000006</v>
      </c>
      <c r="AE58" s="230">
        <f>IF(AD58=0,"",IFERROR(AD58/AD$19,""))</f>
        <v>6.2923866669861467E-2</v>
      </c>
      <c r="AF58" s="231">
        <f t="shared" si="11"/>
        <v>-70397.873979000011</v>
      </c>
      <c r="AG58" s="228"/>
      <c r="AH58" s="230" t="str">
        <f>IF(AG58=0,"",IFERROR(AG58/AG$19,""))</f>
        <v/>
      </c>
      <c r="AI58" s="231">
        <f t="shared" si="12"/>
        <v>11799.119999999999</v>
      </c>
    </row>
    <row r="59" spans="1:35" x14ac:dyDescent="0.25">
      <c r="A59" s="11"/>
      <c r="B59" s="11"/>
      <c r="C59" s="11"/>
      <c r="D59" s="11"/>
      <c r="E59" s="11"/>
      <c r="F59" s="11"/>
      <c r="G59" s="11"/>
      <c r="H59" s="84" t="s">
        <v>320</v>
      </c>
      <c r="I59" s="118" t="str">
        <f>IF(_epmOfflineCondition_,"N",_xll.EVPRO($B$1,$H59,"STYLE"))</f>
        <v>N</v>
      </c>
      <c r="J59" s="118" t="str">
        <f>IF(_epmOfflineCondition_,"Y",_xll.EVPRO($B$1,$H59,"CALC"))</f>
        <v>Y</v>
      </c>
      <c r="K59" s="86"/>
      <c r="L59" s="86" t="str">
        <f>IF(_epmOfflineCondition_,"",_xll.EVPRO($B$1,H59,"JDEID"))</f>
        <v/>
      </c>
      <c r="M59" s="86" t="str">
        <f>IF(_epmOfflineCondition_,"",IF(AND(I59="N",J59="N"),_xll.EVPRO($B$1,H59,"PSFTID"),""))</f>
        <v/>
      </c>
      <c r="N59" s="102" t="str">
        <f>IF(_epmOfflineCondition_,"Dinner Revenue",IF(_xll.EVDES(H59,$B$1)="#NODATA","",_xll.EVDES(H59,$B$1)))</f>
        <v>Dinner Revenue</v>
      </c>
      <c r="O59" s="158"/>
      <c r="P59" s="158"/>
      <c r="Q59" s="158"/>
      <c r="R59" s="158"/>
      <c r="S59" s="158"/>
      <c r="T59" s="158"/>
      <c r="U59" s="158"/>
      <c r="V59" s="158"/>
      <c r="W59" s="158"/>
      <c r="X59" s="158">
        <v>1428.23</v>
      </c>
      <c r="Y59" s="158">
        <v>31719.7</v>
      </c>
      <c r="Z59" s="158">
        <v>41538.9</v>
      </c>
      <c r="AA59" s="158">
        <f t="shared" si="10"/>
        <v>74686.83</v>
      </c>
      <c r="AB59" s="159">
        <f>IF(AA59=0,"",IFERROR(AA59/AA$19,""))</f>
        <v>0.48937463536143577</v>
      </c>
      <c r="AC59" s="136"/>
      <c r="AD59" s="158">
        <v>823808.38</v>
      </c>
      <c r="AE59" s="159">
        <f>IF(AD59=0,"",IFERROR(AD59/AD$19,""))</f>
        <v>0.63064603892787285</v>
      </c>
      <c r="AF59" s="160">
        <f t="shared" si="11"/>
        <v>-749121.55</v>
      </c>
      <c r="AG59" s="158"/>
      <c r="AH59" s="159" t="str">
        <f>IF(AG59=0,"",IFERROR(AG59/AG$19,""))</f>
        <v/>
      </c>
      <c r="AI59" s="160">
        <f t="shared" si="12"/>
        <v>74686.83</v>
      </c>
    </row>
    <row r="60" spans="1:35" x14ac:dyDescent="0.25">
      <c r="A60" s="11"/>
      <c r="B60" s="11"/>
      <c r="C60" s="11"/>
      <c r="D60" s="11"/>
      <c r="E60" s="11"/>
      <c r="F60" s="11"/>
      <c r="G60" s="11"/>
      <c r="H60" s="84" t="s">
        <v>766</v>
      </c>
      <c r="I60" s="118" t="str">
        <f>IF(_epmOfflineCondition_,"N",_xll.EVPRO($B$1,$H60,"STYLE"))</f>
        <v>N</v>
      </c>
      <c r="J60" s="118" t="str">
        <f>IF(_epmOfflineCondition_,"N",_xll.EVPRO($B$1,$H60,"CALC"))</f>
        <v>N</v>
      </c>
      <c r="K60" s="86"/>
      <c r="L60" s="86" t="str">
        <f>IF(_epmOfflineCondition_,"947300",_xll.EVPRO($B$1,H60,"JDEID"))</f>
        <v>947300</v>
      </c>
      <c r="M60" s="86" t="str">
        <f>IF(_epmOfflineCondition_,"999993",IF(AND(I60="N",J60="N"),_xll.EVPRO($B$1,H60,"PSFTID"),""))</f>
        <v>999993</v>
      </c>
      <c r="N60" s="86" t="str">
        <f>IF(_epmOfflineCondition_,"# of Operating Days - Dinner",IF(_xll.EVDES(H60,$B$1)="#NODATA","",_xll.EVDES(H60,$B$1)))</f>
        <v># of Operating Days - Dinner</v>
      </c>
      <c r="O60" s="240"/>
      <c r="P60" s="240"/>
      <c r="Q60" s="240"/>
      <c r="R60" s="240"/>
      <c r="S60" s="240"/>
      <c r="T60" s="240"/>
      <c r="U60" s="240"/>
      <c r="V60" s="240"/>
      <c r="W60" s="240"/>
      <c r="X60" s="240">
        <v>4</v>
      </c>
      <c r="Y60" s="240">
        <v>30</v>
      </c>
      <c r="Z60" s="240">
        <v>31</v>
      </c>
      <c r="AA60" s="240">
        <f t="shared" si="10"/>
        <v>65</v>
      </c>
      <c r="AB60" s="242"/>
      <c r="AC60" s="136"/>
      <c r="AD60" s="240">
        <v>275</v>
      </c>
      <c r="AE60" s="242"/>
      <c r="AF60" s="243">
        <f t="shared" si="11"/>
        <v>-210</v>
      </c>
      <c r="AG60" s="240"/>
      <c r="AH60" s="242"/>
      <c r="AI60" s="243">
        <f t="shared" si="12"/>
        <v>65</v>
      </c>
    </row>
    <row r="61" spans="1:35" x14ac:dyDescent="0.25">
      <c r="A61" s="11"/>
      <c r="B61" s="11"/>
      <c r="C61" s="11"/>
      <c r="D61" s="11"/>
      <c r="E61" s="11"/>
      <c r="F61" s="11"/>
      <c r="G61" s="11"/>
      <c r="H61" s="84" t="s">
        <v>299</v>
      </c>
      <c r="I61" s="118" t="str">
        <f>IF(_epmOfflineCondition_,"N",_xll.EVPRO($B$1,$H61,"STYLE"))</f>
        <v>N</v>
      </c>
      <c r="J61" s="118" t="str">
        <f>IF(_epmOfflineCondition_,"N",_xll.EVPRO($B$1,$H61,"CALC"))</f>
        <v>N</v>
      </c>
      <c r="K61" s="86"/>
      <c r="L61" s="86" t="str">
        <f>IF(_epmOfflineCondition_,"946300",_xll.EVPRO($B$1,H61,"JDEID"))</f>
        <v>946300</v>
      </c>
      <c r="M61" s="86" t="str">
        <f>IF(_epmOfflineCondition_,"991503",IF(AND(I61="N",J61="N"),_xll.EVPRO($B$1,H61,"PSFTID"),""))</f>
        <v>991503</v>
      </c>
      <c r="N61" s="86" t="str">
        <f>IF(_epmOfflineCondition_,"Dinner Customers",IF(_xll.EVDES(H61,$B$1)="#NODATA","",_xll.EVDES(H61,$B$1)))</f>
        <v>Dinner Customers</v>
      </c>
      <c r="O61" s="240"/>
      <c r="P61" s="240"/>
      <c r="Q61" s="240"/>
      <c r="R61" s="240"/>
      <c r="S61" s="240"/>
      <c r="T61" s="240"/>
      <c r="U61" s="240"/>
      <c r="V61" s="240"/>
      <c r="W61" s="240"/>
      <c r="X61" s="240">
        <v>24</v>
      </c>
      <c r="Y61" s="240">
        <v>682</v>
      </c>
      <c r="Z61" s="240">
        <v>880</v>
      </c>
      <c r="AA61" s="240">
        <f t="shared" si="10"/>
        <v>1586</v>
      </c>
      <c r="AB61" s="242">
        <f>IF(AA61=0,"",IFERROR(AA61/AA$87,""))</f>
        <v>0.2806086341118188</v>
      </c>
      <c r="AC61" s="136"/>
      <c r="AD61" s="240">
        <v>17251</v>
      </c>
      <c r="AE61" s="242">
        <f>IF(AD61=0,"",IFERROR(AD61/AD$87,""))</f>
        <v>0.50531650019039809</v>
      </c>
      <c r="AF61" s="243">
        <f t="shared" si="11"/>
        <v>-15665</v>
      </c>
      <c r="AG61" s="240"/>
      <c r="AH61" s="242" t="str">
        <f>IF(AG61=0,"",IFERROR(AG61/AG$87,""))</f>
        <v/>
      </c>
      <c r="AI61" s="243">
        <f t="shared" si="12"/>
        <v>1586</v>
      </c>
    </row>
    <row r="62" spans="1:35" x14ac:dyDescent="0.25">
      <c r="A62" s="11"/>
      <c r="B62" s="11"/>
      <c r="C62" s="11"/>
      <c r="D62" s="11"/>
      <c r="E62" s="11"/>
      <c r="F62" s="11"/>
      <c r="G62" s="11"/>
      <c r="H62" s="181" t="s">
        <v>317</v>
      </c>
      <c r="I62" s="118" t="str">
        <f>IF(_epmOfflineCondition_,"N",_xll.EVPRO($B$1,$H62,"STYLE"))</f>
        <v>N</v>
      </c>
      <c r="J62" s="118" t="str">
        <f>IF(_epmOfflineCondition_,"Y",_xll.EVPRO($B$1,$H62,"CALC"))</f>
        <v>Y</v>
      </c>
      <c r="K62" s="86"/>
      <c r="L62" s="86" t="str">
        <f>IF(_epmOfflineCondition_,"",_xll.EVPRO($B$1,H62,"JDEID"))</f>
        <v/>
      </c>
      <c r="M62" s="86" t="str">
        <f>IF(_epmOfflineCondition_,"",IF(AND(I62="N",J62="N"),_xll.EVPRO($B$1,H62,"PSFTID"),""))</f>
        <v/>
      </c>
      <c r="N62" s="186" t="str">
        <f>IF(_epmOfflineCondition_,"Dinner - Average Check",IF(_xll.EVDES(H62,$B$1)="#NODATA","",_xll.EVDES(H62,$B$1)))</f>
        <v>Dinner - Average Check</v>
      </c>
      <c r="O62" s="490"/>
      <c r="P62" s="490"/>
      <c r="Q62" s="490"/>
      <c r="R62" s="490"/>
      <c r="S62" s="490"/>
      <c r="T62" s="490"/>
      <c r="U62" s="490"/>
      <c r="V62" s="490"/>
      <c r="W62" s="490"/>
      <c r="X62" s="490">
        <v>59.509583333333303</v>
      </c>
      <c r="Y62" s="490">
        <v>46.509824046920798</v>
      </c>
      <c r="Z62" s="490">
        <v>47.203295454545497</v>
      </c>
      <c r="AA62" s="490">
        <f>IFERROR(AA59/AA61,"")</f>
        <v>47.091317780580077</v>
      </c>
      <c r="AB62" s="490"/>
      <c r="AC62" s="136"/>
      <c r="AD62" s="490">
        <v>47.754239174540601</v>
      </c>
      <c r="AE62" s="490"/>
      <c r="AF62" s="491">
        <f t="shared" si="11"/>
        <v>-0.66292139396052363</v>
      </c>
      <c r="AG62" s="490"/>
      <c r="AH62" s="490"/>
      <c r="AI62" s="491">
        <f t="shared" si="12"/>
        <v>47.091317780580077</v>
      </c>
    </row>
    <row r="63" spans="1:35" x14ac:dyDescent="0.25">
      <c r="A63" s="11"/>
      <c r="B63" s="11"/>
      <c r="C63" s="11"/>
      <c r="D63" s="11"/>
      <c r="E63" s="11"/>
      <c r="F63" s="11"/>
      <c r="G63" s="486">
        <f>COUNTIF(O64:AI64,FALSE)</f>
        <v>0</v>
      </c>
      <c r="H63" s="84"/>
      <c r="I63" s="118"/>
      <c r="J63" s="118"/>
      <c r="K63" s="86"/>
      <c r="L63" s="86"/>
      <c r="M63" s="86"/>
      <c r="N63" s="487" t="s">
        <v>345</v>
      </c>
      <c r="O63" s="492">
        <f t="shared" ref="O63:AA63" si="13">ROUND(IFERROR(O59/O61,0),2)</f>
        <v>0</v>
      </c>
      <c r="P63" s="493">
        <f t="shared" si="13"/>
        <v>0</v>
      </c>
      <c r="Q63" s="493">
        <f t="shared" si="13"/>
        <v>0</v>
      </c>
      <c r="R63" s="493">
        <f t="shared" si="13"/>
        <v>0</v>
      </c>
      <c r="S63" s="493">
        <f t="shared" si="13"/>
        <v>0</v>
      </c>
      <c r="T63" s="493">
        <f t="shared" si="13"/>
        <v>0</v>
      </c>
      <c r="U63" s="493">
        <f t="shared" si="13"/>
        <v>0</v>
      </c>
      <c r="V63" s="493">
        <f t="shared" si="13"/>
        <v>0</v>
      </c>
      <c r="W63" s="493">
        <f t="shared" si="13"/>
        <v>0</v>
      </c>
      <c r="X63" s="493">
        <f t="shared" si="13"/>
        <v>59.51</v>
      </c>
      <c r="Y63" s="493">
        <f t="shared" si="13"/>
        <v>46.51</v>
      </c>
      <c r="Z63" s="493">
        <f t="shared" si="13"/>
        <v>47.2</v>
      </c>
      <c r="AA63" s="493">
        <f t="shared" si="13"/>
        <v>47.09</v>
      </c>
      <c r="AB63" s="494"/>
      <c r="AC63" s="136"/>
      <c r="AD63" s="492">
        <f>ROUND(IFERROR(AD59/AD61,0),2)</f>
        <v>47.75</v>
      </c>
      <c r="AE63" s="493"/>
      <c r="AF63" s="151"/>
      <c r="AG63" s="492">
        <f>ROUND(IFERROR(AG59/AG61,0),2)</f>
        <v>0</v>
      </c>
      <c r="AH63" s="493"/>
      <c r="AI63" s="151"/>
    </row>
    <row r="64" spans="1:35" x14ac:dyDescent="0.25">
      <c r="A64" s="11"/>
      <c r="B64" s="11"/>
      <c r="C64" s="11"/>
      <c r="D64" s="11"/>
      <c r="E64" s="11"/>
      <c r="F64" s="11"/>
      <c r="G64" s="11"/>
      <c r="H64" s="181"/>
      <c r="I64" s="118"/>
      <c r="J64" s="118"/>
      <c r="K64" s="86"/>
      <c r="L64" s="86"/>
      <c r="M64" s="86"/>
      <c r="N64" s="49" t="s">
        <v>307</v>
      </c>
      <c r="O64" s="495" t="b">
        <f t="shared" ref="O64:AA64" si="14">ROUND(O62,2)=ROUND(O63,2)</f>
        <v>1</v>
      </c>
      <c r="P64" s="496" t="b">
        <f t="shared" si="14"/>
        <v>1</v>
      </c>
      <c r="Q64" s="496" t="b">
        <f t="shared" si="14"/>
        <v>1</v>
      </c>
      <c r="R64" s="496" t="b">
        <f t="shared" si="14"/>
        <v>1</v>
      </c>
      <c r="S64" s="496" t="b">
        <f t="shared" si="14"/>
        <v>1</v>
      </c>
      <c r="T64" s="496" t="b">
        <f t="shared" si="14"/>
        <v>1</v>
      </c>
      <c r="U64" s="496" t="b">
        <f t="shared" si="14"/>
        <v>1</v>
      </c>
      <c r="V64" s="496" t="b">
        <f t="shared" si="14"/>
        <v>1</v>
      </c>
      <c r="W64" s="496" t="b">
        <f t="shared" si="14"/>
        <v>1</v>
      </c>
      <c r="X64" s="496" t="b">
        <f t="shared" si="14"/>
        <v>1</v>
      </c>
      <c r="Y64" s="496" t="b">
        <f t="shared" si="14"/>
        <v>1</v>
      </c>
      <c r="Z64" s="496" t="b">
        <f t="shared" si="14"/>
        <v>1</v>
      </c>
      <c r="AA64" s="496" t="b">
        <f t="shared" si="14"/>
        <v>1</v>
      </c>
      <c r="AB64" s="497"/>
      <c r="AC64" s="498"/>
      <c r="AD64" s="495"/>
      <c r="AE64" s="496" t="b">
        <f>ROUND(AD62,2)=ROUND(AD63,2)</f>
        <v>1</v>
      </c>
      <c r="AF64" s="497"/>
      <c r="AG64" s="495"/>
      <c r="AH64" s="496" t="b">
        <f>ROUND(AG62,2)=ROUND(AG63,2)</f>
        <v>1</v>
      </c>
      <c r="AI64" s="497"/>
    </row>
    <row r="65" spans="1:35" x14ac:dyDescent="0.25">
      <c r="A65" s="11"/>
      <c r="B65" s="11"/>
      <c r="C65" s="11"/>
      <c r="D65" s="11"/>
      <c r="E65" s="11"/>
      <c r="F65" s="11"/>
      <c r="G65" s="11"/>
      <c r="H65" s="181" t="s">
        <v>263</v>
      </c>
      <c r="I65" s="118" t="str">
        <f>IF(_epmOfflineCondition_,"T5",_xll.EVPRO($B$1,$H65,"STYLE"))</f>
        <v>T5</v>
      </c>
      <c r="J65" s="118" t="str">
        <f>IF(_epmOfflineCondition_,"Y",_xll.EVPRO($B$1,$H65,"CALC"))</f>
        <v>Y</v>
      </c>
      <c r="K65" s="86"/>
      <c r="L65" s="86" t="str">
        <f>IF(_epmOfflineCondition_,"464100",_xll.EVPRO($B$1,H65,"JDEID"))</f>
        <v>464100</v>
      </c>
      <c r="M65" s="86" t="str">
        <f>IF(_epmOfflineCondition_,"",IF(AND(I65="N",J65="N"),_xll.EVPRO($B$1,H65,"PSFTID"),""))</f>
        <v/>
      </c>
      <c r="N65" s="86" t="str">
        <f>IF(_epmOfflineCondition_,"Bar Food",IF(_xll.EVDES(H65,$B$1)="#NODATA","",_xll.EVDES(H65,$B$1)))</f>
        <v>Bar Food</v>
      </c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>
        <v>1862.9</v>
      </c>
      <c r="Z65" s="134">
        <v>3725.95</v>
      </c>
      <c r="AA65" s="134">
        <f t="shared" ref="AA65:AA71" si="15">SUM(O65:Z65)</f>
        <v>5588.85</v>
      </c>
      <c r="AB65" s="138">
        <f>IF(AA65=0,"",IFERROR(AA65/AA$19,""))</f>
        <v>3.6620130093080135E-2</v>
      </c>
      <c r="AC65" s="136"/>
      <c r="AD65" s="134">
        <v>7345.1970719999999</v>
      </c>
      <c r="AE65" s="138">
        <f>IF(AD65=0,"",IFERROR(AD65/AD$19,""))</f>
        <v>5.6229331371955814E-3</v>
      </c>
      <c r="AF65" s="137">
        <f t="shared" ref="AF65:AF72" si="16">IF(AND($AA65="",AD65=""),"",$AA65-AD65)</f>
        <v>-1756.3470719999996</v>
      </c>
      <c r="AG65" s="134"/>
      <c r="AH65" s="138" t="str">
        <f>IF(AG65=0,"",IFERROR(AG65/AG$19,""))</f>
        <v/>
      </c>
      <c r="AI65" s="137">
        <f t="shared" ref="AI65:AI72" si="17">IF(AND($AA65="",AG65=""),"",$AA65-AG65)</f>
        <v>5588.85</v>
      </c>
    </row>
    <row r="66" spans="1:35" x14ac:dyDescent="0.25">
      <c r="A66" s="11"/>
      <c r="B66" s="11"/>
      <c r="C66" s="11"/>
      <c r="D66" s="11"/>
      <c r="E66" s="11"/>
      <c r="F66" s="11"/>
      <c r="G66" s="11"/>
      <c r="H66" s="181" t="s">
        <v>308</v>
      </c>
      <c r="I66" s="118" t="str">
        <f>IF(_epmOfflineCondition_,"T6",_xll.EVPRO($B$1,$H66,"STYLE"))</f>
        <v>T6</v>
      </c>
      <c r="J66" s="118" t="str">
        <f>IF(_epmOfflineCondition_,"Y",_xll.EVPRO($B$1,$H66,"CALC"))</f>
        <v>Y</v>
      </c>
      <c r="K66" s="86"/>
      <c r="L66" s="86" t="str">
        <f>IF(_epmOfflineCondition_,"464200",_xll.EVPRO($B$1,H66,"JDEID"))</f>
        <v>464200</v>
      </c>
      <c r="M66" s="86" t="str">
        <f>IF(_epmOfflineCondition_,"",IF(AND(I66="N",J66="N"),_xll.EVPRO($B$1,H66,"PSFTID"),""))</f>
        <v/>
      </c>
      <c r="N66" s="86" t="str">
        <f>IF(_epmOfflineCondition_,"Bar Liquor",IF(_xll.EVDES(H66,$B$1)="#NODATA","",_xll.EVDES(H66,$B$1)))</f>
        <v>Bar Liquor</v>
      </c>
      <c r="O66" s="134"/>
      <c r="P66" s="134"/>
      <c r="Q66" s="134"/>
      <c r="R66" s="134"/>
      <c r="S66" s="134"/>
      <c r="T66" s="134"/>
      <c r="U66" s="134"/>
      <c r="V66" s="134"/>
      <c r="W66" s="134"/>
      <c r="X66" s="134"/>
      <c r="Y66" s="134">
        <v>1161</v>
      </c>
      <c r="Z66" s="134">
        <v>2386.1999999999998</v>
      </c>
      <c r="AA66" s="134">
        <f t="shared" si="15"/>
        <v>3547.2</v>
      </c>
      <c r="AB66" s="138">
        <f>IF(AA66=0,"",IFERROR(AA66/AA$19,""))</f>
        <v>2.3242514196332671E-2</v>
      </c>
      <c r="AC66" s="136"/>
      <c r="AD66" s="134">
        <v>10240.758792000001</v>
      </c>
      <c r="AE66" s="138">
        <f>IF(AD66=0,"",IFERROR(AD66/AD$19,""))</f>
        <v>7.8395584757108058E-3</v>
      </c>
      <c r="AF66" s="137">
        <f t="shared" si="16"/>
        <v>-6693.5587920000007</v>
      </c>
      <c r="AG66" s="134"/>
      <c r="AH66" s="138" t="str">
        <f>IF(AG66=0,"",IFERROR(AG66/AG$19,""))</f>
        <v/>
      </c>
      <c r="AI66" s="137">
        <f t="shared" si="17"/>
        <v>3547.2</v>
      </c>
    </row>
    <row r="67" spans="1:35" x14ac:dyDescent="0.25">
      <c r="A67" s="11"/>
      <c r="B67" s="11"/>
      <c r="C67" s="11"/>
      <c r="D67" s="11"/>
      <c r="E67" s="11"/>
      <c r="F67" s="11"/>
      <c r="G67" s="11"/>
      <c r="H67" s="181" t="s">
        <v>310</v>
      </c>
      <c r="I67" s="118" t="str">
        <f>IF(_epmOfflineCondition_,"T6",_xll.EVPRO($B$1,$H67,"STYLE"))</f>
        <v>T6</v>
      </c>
      <c r="J67" s="118" t="str">
        <f>IF(_epmOfflineCondition_,"Y",_xll.EVPRO($B$1,$H67,"CALC"))</f>
        <v>Y</v>
      </c>
      <c r="K67" s="86"/>
      <c r="L67" s="86" t="str">
        <f>IF(_epmOfflineCondition_,"464300",_xll.EVPRO($B$1,H67,"JDEID"))</f>
        <v>464300</v>
      </c>
      <c r="M67" s="86" t="str">
        <f>IF(_epmOfflineCondition_,"",IF(AND(I67="N",J67="N"),_xll.EVPRO($B$1,H67,"PSFTID"),""))</f>
        <v/>
      </c>
      <c r="N67" s="86" t="str">
        <f>IF(_epmOfflineCondition_,"Bar Beer",IF(_xll.EVDES(H67,$B$1)="#NODATA","",_xll.EVDES(H67,$B$1)))</f>
        <v>Bar Beer</v>
      </c>
      <c r="O67" s="134"/>
      <c r="P67" s="134"/>
      <c r="Q67" s="134"/>
      <c r="R67" s="134"/>
      <c r="S67" s="134"/>
      <c r="T67" s="134"/>
      <c r="U67" s="134"/>
      <c r="V67" s="134"/>
      <c r="W67" s="134"/>
      <c r="X67" s="134"/>
      <c r="Y67" s="134">
        <v>98</v>
      </c>
      <c r="Z67" s="134">
        <v>126</v>
      </c>
      <c r="AA67" s="134">
        <f t="shared" si="15"/>
        <v>224</v>
      </c>
      <c r="AB67" s="138">
        <f>IF(AA67=0,"",IFERROR(AA67/AA$19,""))</f>
        <v>1.4677275541211431E-3</v>
      </c>
      <c r="AC67" s="136"/>
      <c r="AD67" s="134">
        <v>3638.3893680000001</v>
      </c>
      <c r="AE67" s="138">
        <f>IF(AD67=0,"",IFERROR(AD67/AD$19,""))</f>
        <v>2.7852785899149103E-3</v>
      </c>
      <c r="AF67" s="137">
        <f t="shared" si="16"/>
        <v>-3414.3893680000001</v>
      </c>
      <c r="AG67" s="134"/>
      <c r="AH67" s="138" t="str">
        <f>IF(AG67=0,"",IFERROR(AG67/AG$19,""))</f>
        <v/>
      </c>
      <c r="AI67" s="137">
        <f t="shared" si="17"/>
        <v>224</v>
      </c>
    </row>
    <row r="68" spans="1:35" x14ac:dyDescent="0.25">
      <c r="A68" s="11"/>
      <c r="B68" s="11"/>
      <c r="C68" s="11"/>
      <c r="D68" s="11"/>
      <c r="E68" s="11"/>
      <c r="F68" s="11"/>
      <c r="G68" s="11"/>
      <c r="H68" s="181" t="s">
        <v>309</v>
      </c>
      <c r="I68" s="118" t="str">
        <f>IF(_epmOfflineCondition_,"T6",_xll.EVPRO($B$1,$H68,"STYLE"))</f>
        <v>T6</v>
      </c>
      <c r="J68" s="118" t="str">
        <f>IF(_epmOfflineCondition_,"Y",_xll.EVPRO($B$1,$H68,"CALC"))</f>
        <v>Y</v>
      </c>
      <c r="K68" s="86"/>
      <c r="L68" s="86" t="str">
        <f>IF(_epmOfflineCondition_,"464400",_xll.EVPRO($B$1,H68,"JDEID"))</f>
        <v>464400</v>
      </c>
      <c r="M68" s="86" t="str">
        <f>IF(_epmOfflineCondition_,"",IF(AND(I68="N",J68="N"),_xll.EVPRO($B$1,H68,"PSFTID"),""))</f>
        <v/>
      </c>
      <c r="N68" s="86" t="str">
        <f>IF(_epmOfflineCondition_,"Bar Wine",IF(_xll.EVDES(H68,$B$1)="#NODATA","",_xll.EVDES(H68,$B$1)))</f>
        <v>Bar Wine</v>
      </c>
      <c r="O68" s="228"/>
      <c r="P68" s="228"/>
      <c r="Q68" s="228"/>
      <c r="R68" s="228"/>
      <c r="S68" s="228"/>
      <c r="T68" s="228"/>
      <c r="U68" s="228"/>
      <c r="V68" s="228"/>
      <c r="W68" s="228"/>
      <c r="X68" s="228"/>
      <c r="Y68" s="228">
        <v>630</v>
      </c>
      <c r="Z68" s="228">
        <v>1409</v>
      </c>
      <c r="AA68" s="228">
        <f t="shared" si="15"/>
        <v>2039</v>
      </c>
      <c r="AB68" s="230">
        <f>IF(AA68=0,"",IFERROR(AA68/AA$19,""))</f>
        <v>1.3360252155593798E-2</v>
      </c>
      <c r="AC68" s="136"/>
      <c r="AD68" s="228">
        <v>3210.7747680000002</v>
      </c>
      <c r="AE68" s="230">
        <f>IF(AD68=0,"",IFERROR(AD68/AD$19,""))</f>
        <v>2.4579288563789069E-3</v>
      </c>
      <c r="AF68" s="231">
        <f t="shared" si="16"/>
        <v>-1171.7747680000002</v>
      </c>
      <c r="AG68" s="228"/>
      <c r="AH68" s="230" t="str">
        <f>IF(AG68=0,"",IFERROR(AG68/AG$19,""))</f>
        <v/>
      </c>
      <c r="AI68" s="231">
        <f t="shared" si="17"/>
        <v>2039</v>
      </c>
    </row>
    <row r="69" spans="1:35" x14ac:dyDescent="0.25">
      <c r="A69" s="11"/>
      <c r="B69" s="11"/>
      <c r="C69" s="11"/>
      <c r="D69" s="11"/>
      <c r="E69" s="11"/>
      <c r="F69" s="11"/>
      <c r="G69" s="11"/>
      <c r="H69" s="181" t="s">
        <v>327</v>
      </c>
      <c r="I69" s="118" t="str">
        <f>IF(_epmOfflineCondition_,"N",_xll.EVPRO($B$1,$H69,"STYLE"))</f>
        <v>N</v>
      </c>
      <c r="J69" s="118" t="str">
        <f>IF(_epmOfflineCondition_,"Y",_xll.EVPRO($B$1,$H69,"CALC"))</f>
        <v>Y</v>
      </c>
      <c r="K69" s="86"/>
      <c r="L69" s="86" t="str">
        <f>IF(_epmOfflineCondition_,"",_xll.EVPRO($B$1,H69,"JDEID"))</f>
        <v/>
      </c>
      <c r="M69" s="86" t="str">
        <f>IF(_epmOfflineCondition_,"",IF(AND(I69="N",J69="N"),_xll.EVPRO($B$1,H69,"PSFTID"),""))</f>
        <v/>
      </c>
      <c r="N69" s="102" t="str">
        <f>IF(_epmOfflineCondition_,"Bar Revenue",IF(_xll.EVDES(H69,$B$1)="#NODATA","",_xll.EVDES(H69,$B$1)))</f>
        <v>Bar Revenue</v>
      </c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>
        <v>3751.9</v>
      </c>
      <c r="Z69" s="158">
        <v>7647.15</v>
      </c>
      <c r="AA69" s="158">
        <f t="shared" si="15"/>
        <v>11399.05</v>
      </c>
      <c r="AB69" s="159">
        <f>IF(AA69=0,"",IFERROR(AA69/AA$19,""))</f>
        <v>7.4690623999127737E-2</v>
      </c>
      <c r="AC69" s="136"/>
      <c r="AD69" s="158">
        <v>24435.119999999999</v>
      </c>
      <c r="AE69" s="159">
        <f>IF(AD69=0,"",IFERROR(AD69/AD$19,""))</f>
        <v>1.8705699059200203E-2</v>
      </c>
      <c r="AF69" s="160">
        <f t="shared" si="16"/>
        <v>-13036.07</v>
      </c>
      <c r="AG69" s="158"/>
      <c r="AH69" s="159" t="str">
        <f>IF(AG69=0,"",IFERROR(AG69/AG$19,""))</f>
        <v/>
      </c>
      <c r="AI69" s="160">
        <f t="shared" si="17"/>
        <v>11399.05</v>
      </c>
    </row>
    <row r="70" spans="1:35" x14ac:dyDescent="0.25">
      <c r="A70" s="11"/>
      <c r="B70" s="11"/>
      <c r="C70" s="11"/>
      <c r="D70" s="11"/>
      <c r="E70" s="11"/>
      <c r="F70" s="11"/>
      <c r="G70" s="11"/>
      <c r="H70" s="181" t="s">
        <v>767</v>
      </c>
      <c r="I70" s="118" t="str">
        <f>IF(_epmOfflineCondition_,"N",_xll.EVPRO($B$1,$H70,"STYLE"))</f>
        <v>N</v>
      </c>
      <c r="J70" s="118" t="str">
        <f>IF(_epmOfflineCondition_,"N",_xll.EVPRO($B$1,$H70,"CALC"))</f>
        <v>N</v>
      </c>
      <c r="K70" s="86"/>
      <c r="L70" s="86" t="str">
        <f>IF(_epmOfflineCondition_,"947400",_xll.EVPRO($B$1,H70,"JDEID"))</f>
        <v>947400</v>
      </c>
      <c r="M70" s="86" t="str">
        <f>IF(_epmOfflineCondition_,"999994",IF(AND(I70="N",J70="N"),_xll.EVPRO($B$1,H70,"PSFTID"),""))</f>
        <v>999994</v>
      </c>
      <c r="N70" s="86" t="str">
        <f>IF(_epmOfflineCondition_,"# of Operating Days - Bar",IF(_xll.EVDES(H70,$B$1)="#NODATA","",_xll.EVDES(H70,$B$1)))</f>
        <v># of Operating Days - Bar</v>
      </c>
      <c r="O70" s="240"/>
      <c r="P70" s="240"/>
      <c r="Q70" s="240"/>
      <c r="R70" s="240"/>
      <c r="S70" s="240"/>
      <c r="T70" s="240"/>
      <c r="U70" s="240"/>
      <c r="V70" s="240"/>
      <c r="W70" s="240"/>
      <c r="X70" s="240"/>
      <c r="Y70" s="240">
        <v>30</v>
      </c>
      <c r="Z70" s="240">
        <v>31</v>
      </c>
      <c r="AA70" s="240">
        <f t="shared" si="15"/>
        <v>61</v>
      </c>
      <c r="AB70" s="242"/>
      <c r="AC70" s="136"/>
      <c r="AD70" s="240">
        <v>275</v>
      </c>
      <c r="AE70" s="242"/>
      <c r="AF70" s="243">
        <f t="shared" si="16"/>
        <v>-214</v>
      </c>
      <c r="AG70" s="240"/>
      <c r="AH70" s="242"/>
      <c r="AI70" s="243">
        <f t="shared" si="17"/>
        <v>61</v>
      </c>
    </row>
    <row r="71" spans="1:35" x14ac:dyDescent="0.25">
      <c r="A71" s="11"/>
      <c r="B71" s="11"/>
      <c r="C71" s="11"/>
      <c r="D71" s="11"/>
      <c r="E71" s="11"/>
      <c r="F71" s="11"/>
      <c r="G71" s="11"/>
      <c r="H71" s="181" t="s">
        <v>326</v>
      </c>
      <c r="I71" s="118" t="str">
        <f>IF(_epmOfflineCondition_,"N",_xll.EVPRO($B$1,$H71,"STYLE"))</f>
        <v>N</v>
      </c>
      <c r="J71" s="118" t="str">
        <f>IF(_epmOfflineCondition_,"N",_xll.EVPRO($B$1,$H71,"CALC"))</f>
        <v>N</v>
      </c>
      <c r="K71" s="86"/>
      <c r="L71" s="86" t="str">
        <f>IF(_epmOfflineCondition_,"946500",_xll.EVPRO($B$1,H71,"JDEID"))</f>
        <v>946500</v>
      </c>
      <c r="M71" s="86" t="str">
        <f>IF(_epmOfflineCondition_,"991522",IF(AND(I71="N",J71="N"),_xll.EVPRO($B$1,H71,"PSFTID"),""))</f>
        <v>991522</v>
      </c>
      <c r="N71" s="86" t="str">
        <f>IF(_epmOfflineCondition_,"Bar Customers",IF(_xll.EVDES(H71,$B$1)="#NODATA","",_xll.EVDES(H71,$B$1)))</f>
        <v>Bar Customers</v>
      </c>
      <c r="O71" s="240"/>
      <c r="P71" s="240"/>
      <c r="Q71" s="240"/>
      <c r="R71" s="240"/>
      <c r="S71" s="240"/>
      <c r="T71" s="240"/>
      <c r="U71" s="240"/>
      <c r="V71" s="240"/>
      <c r="W71" s="240"/>
      <c r="X71" s="240"/>
      <c r="Y71" s="240">
        <v>136</v>
      </c>
      <c r="Z71" s="240">
        <v>230</v>
      </c>
      <c r="AA71" s="240">
        <f t="shared" si="15"/>
        <v>366</v>
      </c>
      <c r="AB71" s="242">
        <f>IF(AA71=0,"",IFERROR(AA71/AA$87,""))</f>
        <v>6.4755838641188959E-2</v>
      </c>
      <c r="AC71" s="136"/>
      <c r="AD71" s="240">
        <v>1272</v>
      </c>
      <c r="AE71" s="242">
        <f>IF(AD71=0,"",IFERROR(AD71/AD$87,""))</f>
        <v>3.7259439350889011E-2</v>
      </c>
      <c r="AF71" s="243">
        <f t="shared" si="16"/>
        <v>-906</v>
      </c>
      <c r="AG71" s="240"/>
      <c r="AH71" s="242" t="str">
        <f>IF(AG71=0,"",IFERROR(AG71/AG$87,""))</f>
        <v/>
      </c>
      <c r="AI71" s="243">
        <f t="shared" si="17"/>
        <v>366</v>
      </c>
    </row>
    <row r="72" spans="1:35" x14ac:dyDescent="0.25">
      <c r="A72" s="11"/>
      <c r="B72" s="11"/>
      <c r="C72" s="11"/>
      <c r="D72" s="11"/>
      <c r="E72" s="11"/>
      <c r="F72" s="11"/>
      <c r="G72" s="11"/>
      <c r="H72" s="181" t="s">
        <v>328</v>
      </c>
      <c r="I72" s="118" t="str">
        <f>IF(_epmOfflineCondition_,"N",_xll.EVPRO($B$1,$H72,"STYLE"))</f>
        <v>N</v>
      </c>
      <c r="J72" s="118" t="str">
        <f>IF(_epmOfflineCondition_,"Y",_xll.EVPRO($B$1,$H72,"CALC"))</f>
        <v>Y</v>
      </c>
      <c r="K72" s="86"/>
      <c r="L72" s="86" t="str">
        <f>IF(_epmOfflineCondition_,"",_xll.EVPRO($B$1,H72,"JDEID"))</f>
        <v/>
      </c>
      <c r="M72" s="86" t="str">
        <f>IF(_epmOfflineCondition_,"",IF(AND(I72="N",J72="N"),_xll.EVPRO($B$1,H72,"PSFTID"),""))</f>
        <v/>
      </c>
      <c r="N72" s="186" t="str">
        <f>IF(_epmOfflineCondition_,"Bar- Average Check",IF(_xll.EVDES(H72,$B$1)="#NODATA","",_xll.EVDES(H72,$B$1)))</f>
        <v>Bar- Average Check</v>
      </c>
      <c r="O72" s="490"/>
      <c r="P72" s="490"/>
      <c r="Q72" s="490"/>
      <c r="R72" s="490"/>
      <c r="S72" s="490"/>
      <c r="T72" s="490"/>
      <c r="U72" s="490"/>
      <c r="V72" s="490"/>
      <c r="W72" s="490"/>
      <c r="X72" s="490"/>
      <c r="Y72" s="490">
        <v>27.587499999999999</v>
      </c>
      <c r="Z72" s="490">
        <v>33.248478260869597</v>
      </c>
      <c r="AA72" s="490">
        <f>IFERROR(AA69/AA71,"")</f>
        <v>31.144945355191254</v>
      </c>
      <c r="AB72" s="490"/>
      <c r="AC72" s="136"/>
      <c r="AD72" s="490">
        <v>19.21</v>
      </c>
      <c r="AE72" s="490"/>
      <c r="AF72" s="491">
        <f t="shared" si="16"/>
        <v>11.934945355191253</v>
      </c>
      <c r="AG72" s="490"/>
      <c r="AH72" s="490"/>
      <c r="AI72" s="491">
        <f t="shared" si="17"/>
        <v>31.144945355191254</v>
      </c>
    </row>
    <row r="73" spans="1:35" x14ac:dyDescent="0.25">
      <c r="A73" s="11"/>
      <c r="B73" s="11"/>
      <c r="C73" s="11"/>
      <c r="D73" s="11"/>
      <c r="E73" s="11"/>
      <c r="F73" s="11"/>
      <c r="G73" s="486">
        <f>COUNTIF(O74:AI74,FALSE)</f>
        <v>0</v>
      </c>
      <c r="H73" s="84"/>
      <c r="I73" s="118"/>
      <c r="J73" s="118"/>
      <c r="K73" s="86"/>
      <c r="L73" s="86"/>
      <c r="M73" s="86"/>
      <c r="N73" s="487" t="s">
        <v>345</v>
      </c>
      <c r="O73" s="492">
        <f t="shared" ref="O73:AA73" si="18">ROUND(IFERROR(O69/O71,0),2)</f>
        <v>0</v>
      </c>
      <c r="P73" s="493">
        <f t="shared" si="18"/>
        <v>0</v>
      </c>
      <c r="Q73" s="493">
        <f t="shared" si="18"/>
        <v>0</v>
      </c>
      <c r="R73" s="493">
        <f t="shared" si="18"/>
        <v>0</v>
      </c>
      <c r="S73" s="493">
        <f t="shared" si="18"/>
        <v>0</v>
      </c>
      <c r="T73" s="493">
        <f t="shared" si="18"/>
        <v>0</v>
      </c>
      <c r="U73" s="493">
        <f t="shared" si="18"/>
        <v>0</v>
      </c>
      <c r="V73" s="493">
        <f t="shared" si="18"/>
        <v>0</v>
      </c>
      <c r="W73" s="493">
        <f t="shared" si="18"/>
        <v>0</v>
      </c>
      <c r="X73" s="493">
        <f t="shared" si="18"/>
        <v>0</v>
      </c>
      <c r="Y73" s="493">
        <f t="shared" si="18"/>
        <v>27.59</v>
      </c>
      <c r="Z73" s="493">
        <f t="shared" si="18"/>
        <v>33.25</v>
      </c>
      <c r="AA73" s="493">
        <f t="shared" si="18"/>
        <v>31.14</v>
      </c>
      <c r="AB73" s="494"/>
      <c r="AC73" s="136"/>
      <c r="AD73" s="492">
        <f>ROUND(IFERROR(AD69/AD71,0),2)</f>
        <v>19.21</v>
      </c>
      <c r="AE73" s="493"/>
      <c r="AF73" s="151"/>
      <c r="AG73" s="492">
        <f>ROUND(IFERROR(AG69/AG71,0),2)</f>
        <v>0</v>
      </c>
      <c r="AH73" s="493"/>
      <c r="AI73" s="151"/>
    </row>
    <row r="74" spans="1:35" x14ac:dyDescent="0.25">
      <c r="A74" s="11"/>
      <c r="B74" s="11"/>
      <c r="C74" s="11"/>
      <c r="D74" s="11"/>
      <c r="E74" s="11"/>
      <c r="F74" s="11"/>
      <c r="G74" s="11"/>
      <c r="H74" s="181"/>
      <c r="I74" s="118"/>
      <c r="J74" s="118"/>
      <c r="K74" s="86"/>
      <c r="L74" s="86"/>
      <c r="M74" s="86"/>
      <c r="N74" s="49" t="s">
        <v>324</v>
      </c>
      <c r="O74" s="495" t="b">
        <f t="shared" ref="O74:AA74" si="19">ROUND(O72,2)=ROUND(O73,2)</f>
        <v>1</v>
      </c>
      <c r="P74" s="496" t="b">
        <f t="shared" si="19"/>
        <v>1</v>
      </c>
      <c r="Q74" s="496" t="b">
        <f t="shared" si="19"/>
        <v>1</v>
      </c>
      <c r="R74" s="496" t="b">
        <f t="shared" si="19"/>
        <v>1</v>
      </c>
      <c r="S74" s="496" t="b">
        <f t="shared" si="19"/>
        <v>1</v>
      </c>
      <c r="T74" s="496" t="b">
        <f t="shared" si="19"/>
        <v>1</v>
      </c>
      <c r="U74" s="496" t="b">
        <f t="shared" si="19"/>
        <v>1</v>
      </c>
      <c r="V74" s="496" t="b">
        <f t="shared" si="19"/>
        <v>1</v>
      </c>
      <c r="W74" s="496" t="b">
        <f t="shared" si="19"/>
        <v>1</v>
      </c>
      <c r="X74" s="496" t="b">
        <f t="shared" si="19"/>
        <v>1</v>
      </c>
      <c r="Y74" s="496" t="b">
        <f t="shared" si="19"/>
        <v>1</v>
      </c>
      <c r="Z74" s="496" t="b">
        <f t="shared" si="19"/>
        <v>1</v>
      </c>
      <c r="AA74" s="496" t="b">
        <f t="shared" si="19"/>
        <v>1</v>
      </c>
      <c r="AB74" s="497"/>
      <c r="AC74" s="498"/>
      <c r="AD74" s="495"/>
      <c r="AE74" s="496" t="b">
        <f>ROUND(AD72,2)=ROUND(AD73,2)</f>
        <v>1</v>
      </c>
      <c r="AF74" s="497"/>
      <c r="AG74" s="495"/>
      <c r="AH74" s="496" t="b">
        <f>ROUND(AG72,2)=ROUND(AG73,2)</f>
        <v>1</v>
      </c>
      <c r="AI74" s="497"/>
    </row>
    <row r="75" spans="1:35" x14ac:dyDescent="0.25">
      <c r="A75" s="11"/>
      <c r="B75" s="11"/>
      <c r="C75" s="11"/>
      <c r="D75" s="11"/>
      <c r="E75" s="11"/>
      <c r="F75" s="11"/>
      <c r="G75" s="11"/>
      <c r="H75" s="181" t="s">
        <v>264</v>
      </c>
      <c r="I75" s="118" t="str">
        <f>IF(_epmOfflineCondition_,"T5",_xll.EVPRO($B$1,$H75,"STYLE"))</f>
        <v>T5</v>
      </c>
      <c r="J75" s="118" t="str">
        <f>IF(_epmOfflineCondition_,"Y",_xll.EVPRO($B$1,$H75,"CALC"))</f>
        <v>Y</v>
      </c>
      <c r="K75" s="86"/>
      <c r="L75" s="86" t="str">
        <f>IF(_epmOfflineCondition_,"465100",_xll.EVPRO($B$1,H75,"JDEID"))</f>
        <v>465100</v>
      </c>
      <c r="M75" s="86" t="str">
        <f>IF(_epmOfflineCondition_,"",IF(AND(I75="N",J75="N"),_xll.EVPRO($B$1,H75,"PSFTID"),""))</f>
        <v/>
      </c>
      <c r="N75" s="86" t="str">
        <f>IF(_epmOfflineCondition_,"Private Dining Food",IF(_xll.EVDES(H75,$B$1)="#NODATA","",_xll.EVDES(H75,$B$1)))</f>
        <v>Private Dining Food</v>
      </c>
      <c r="O75" s="134"/>
      <c r="P75" s="134"/>
      <c r="Q75" s="134"/>
      <c r="R75" s="134"/>
      <c r="S75" s="134"/>
      <c r="T75" s="134"/>
      <c r="U75" s="134"/>
      <c r="V75" s="134"/>
      <c r="W75" s="134"/>
      <c r="X75" s="134"/>
      <c r="Y75" s="134"/>
      <c r="Z75" s="134">
        <v>104</v>
      </c>
      <c r="AA75" s="134">
        <f t="shared" ref="AA75:AA80" si="20">SUM(O75:Z75)</f>
        <v>104</v>
      </c>
      <c r="AB75" s="138">
        <f>IF(AA75=0,"",IFERROR(AA75/AA$19,""))</f>
        <v>6.8144493584195928E-4</v>
      </c>
      <c r="AC75" s="136"/>
      <c r="AD75" s="134">
        <v>23890.722300000001</v>
      </c>
      <c r="AE75" s="138">
        <f>IF(AD75=0,"",IFERROR(AD75/AD$19,""))</f>
        <v>1.8288948924773986E-2</v>
      </c>
      <c r="AF75" s="137">
        <f t="shared" ref="AF75:AF81" si="21">IF(AND($AA75="",AD75=""),"",$AA75-AD75)</f>
        <v>-23786.722300000001</v>
      </c>
      <c r="AG75" s="134"/>
      <c r="AH75" s="138" t="str">
        <f>IF(AG75=0,"",IFERROR(AG75/AG$19,""))</f>
        <v/>
      </c>
      <c r="AI75" s="137">
        <f t="shared" ref="AI75:AI81" si="22">IF(AND($AA75="",AG75=""),"",$AA75-AG75)</f>
        <v>104</v>
      </c>
    </row>
    <row r="76" spans="1:35" x14ac:dyDescent="0.25">
      <c r="A76" s="11"/>
      <c r="B76" s="11"/>
      <c r="C76" s="11"/>
      <c r="D76" s="11"/>
      <c r="E76" s="11"/>
      <c r="F76" s="11"/>
      <c r="G76" s="11"/>
      <c r="H76" s="181" t="s">
        <v>321</v>
      </c>
      <c r="I76" s="118" t="str">
        <f>IF(_epmOfflineCondition_,"T6",_xll.EVPRO($B$1,$H76,"STYLE"))</f>
        <v>T6</v>
      </c>
      <c r="J76" s="118" t="str">
        <f>IF(_epmOfflineCondition_,"Y",_xll.EVPRO($B$1,$H76,"CALC"))</f>
        <v>Y</v>
      </c>
      <c r="K76" s="86"/>
      <c r="L76" s="86" t="str">
        <f>IF(_epmOfflineCondition_,"465200",_xll.EVPRO($B$1,H76,"JDEID"))</f>
        <v>465200</v>
      </c>
      <c r="M76" s="86" t="str">
        <f>IF(_epmOfflineCondition_,"",IF(AND(I76="N",J76="N"),_xll.EVPRO($B$1,H76,"PSFTID"),""))</f>
        <v/>
      </c>
      <c r="N76" s="86" t="str">
        <f>IF(_epmOfflineCondition_,"Private Dining Liquor",IF(_xll.EVDES(H76,$B$1)="#NODATA","",_xll.EVDES(H76,$B$1)))</f>
        <v>Private Dining Liquor</v>
      </c>
      <c r="O76" s="134"/>
      <c r="P76" s="134"/>
      <c r="Q76" s="134"/>
      <c r="R76" s="134"/>
      <c r="S76" s="134"/>
      <c r="T76" s="134"/>
      <c r="U76" s="134"/>
      <c r="V76" s="134"/>
      <c r="W76" s="134"/>
      <c r="X76" s="134"/>
      <c r="Y76" s="134"/>
      <c r="Z76" s="134">
        <v>140</v>
      </c>
      <c r="AA76" s="134">
        <f t="shared" si="20"/>
        <v>140</v>
      </c>
      <c r="AB76" s="138">
        <f>IF(AA76=0,"",IFERROR(AA76/AA$19,""))</f>
        <v>9.1732972132571437E-4</v>
      </c>
      <c r="AC76" s="136"/>
      <c r="AD76" s="134">
        <v>9332.9641200000005</v>
      </c>
      <c r="AE76" s="138">
        <f>IF(AD76=0,"",IFERROR(AD76/AD$19,""))</f>
        <v>7.1446188174657324E-3</v>
      </c>
      <c r="AF76" s="137">
        <f t="shared" si="21"/>
        <v>-9192.9641200000005</v>
      </c>
      <c r="AG76" s="134"/>
      <c r="AH76" s="138" t="str">
        <f>IF(AG76=0,"",IFERROR(AG76/AG$19,""))</f>
        <v/>
      </c>
      <c r="AI76" s="137">
        <f t="shared" si="22"/>
        <v>140</v>
      </c>
    </row>
    <row r="77" spans="1:35" x14ac:dyDescent="0.25">
      <c r="A77" s="11"/>
      <c r="B77" s="11"/>
      <c r="C77" s="11"/>
      <c r="D77" s="11"/>
      <c r="E77" s="11"/>
      <c r="F77" s="11"/>
      <c r="G77" s="11"/>
      <c r="H77" s="181" t="s">
        <v>323</v>
      </c>
      <c r="I77" s="118" t="str">
        <f>IF(_epmOfflineCondition_,"T6",_xll.EVPRO($B$1,$H77,"STYLE"))</f>
        <v>T6</v>
      </c>
      <c r="J77" s="118" t="str">
        <f>IF(_epmOfflineCondition_,"Y",_xll.EVPRO($B$1,$H77,"CALC"))</f>
        <v>Y</v>
      </c>
      <c r="K77" s="86"/>
      <c r="L77" s="86" t="str">
        <f>IF(_epmOfflineCondition_,"465300",_xll.EVPRO($B$1,H77,"JDEID"))</f>
        <v>465300</v>
      </c>
      <c r="M77" s="86" t="str">
        <f>IF(_epmOfflineCondition_,"",IF(AND(I77="N",J77="N"),_xll.EVPRO($B$1,H77,"PSFTID"),""))</f>
        <v/>
      </c>
      <c r="N77" s="86" t="str">
        <f>IF(_epmOfflineCondition_,"Private Dining Beer",IF(_xll.EVDES(H77,$B$1)="#NODATA","",_xll.EVDES(H77,$B$1)))</f>
        <v>Private Dining Beer</v>
      </c>
      <c r="O77" s="134"/>
      <c r="P77" s="134"/>
      <c r="Q77" s="134"/>
      <c r="R77" s="134"/>
      <c r="S77" s="134"/>
      <c r="T77" s="134"/>
      <c r="U77" s="134"/>
      <c r="V77" s="134"/>
      <c r="W77" s="134"/>
      <c r="X77" s="134"/>
      <c r="Y77" s="134"/>
      <c r="Z77" s="134"/>
      <c r="AA77" s="134">
        <f t="shared" si="20"/>
        <v>0</v>
      </c>
      <c r="AB77" s="138" t="str">
        <f>IF(AA77=0,"",IFERROR(AA77/AA$19,""))</f>
        <v/>
      </c>
      <c r="AC77" s="136"/>
      <c r="AD77" s="134">
        <v>2611.14732</v>
      </c>
      <c r="AE77" s="138">
        <f>IF(AD77=0,"",IFERROR(AD77/AD$19,""))</f>
        <v>1.9988989604780797E-3</v>
      </c>
      <c r="AF77" s="137">
        <f t="shared" si="21"/>
        <v>-2611.14732</v>
      </c>
      <c r="AG77" s="134"/>
      <c r="AH77" s="138" t="str">
        <f>IF(AG77=0,"",IFERROR(AG77/AG$19,""))</f>
        <v/>
      </c>
      <c r="AI77" s="137">
        <f t="shared" si="22"/>
        <v>0</v>
      </c>
    </row>
    <row r="78" spans="1:35" x14ac:dyDescent="0.25">
      <c r="A78" s="11"/>
      <c r="B78" s="11"/>
      <c r="C78" s="204"/>
      <c r="D78" s="11"/>
      <c r="E78" s="11"/>
      <c r="F78" s="11"/>
      <c r="G78" s="11"/>
      <c r="H78" s="181" t="s">
        <v>322</v>
      </c>
      <c r="I78" s="118" t="str">
        <f>IF(_epmOfflineCondition_,"T6",_xll.EVPRO($B$1,$H78,"STYLE"))</f>
        <v>T6</v>
      </c>
      <c r="J78" s="118" t="str">
        <f>IF(_epmOfflineCondition_,"Y",_xll.EVPRO($B$1,$H78,"CALC"))</f>
        <v>Y</v>
      </c>
      <c r="K78" s="86"/>
      <c r="L78" s="86" t="str">
        <f>IF(_epmOfflineCondition_,"465400",_xll.EVPRO($B$1,H78,"JDEID"))</f>
        <v>465400</v>
      </c>
      <c r="M78" s="86" t="str">
        <f>IF(_epmOfflineCondition_,"",IF(AND(I78="N",J78="N"),_xll.EVPRO($B$1,H78,"PSFTID"),""))</f>
        <v/>
      </c>
      <c r="N78" s="86" t="str">
        <f>IF(_epmOfflineCondition_,"Private Dining Wine",IF(_xll.EVDES(H78,$B$1)="#NODATA","",_xll.EVDES(H78,$B$1)))</f>
        <v>Private Dining Wine</v>
      </c>
      <c r="O78" s="228"/>
      <c r="P78" s="228"/>
      <c r="Q78" s="228"/>
      <c r="R78" s="228"/>
      <c r="S78" s="228"/>
      <c r="T78" s="228"/>
      <c r="U78" s="228"/>
      <c r="V78" s="228"/>
      <c r="W78" s="228"/>
      <c r="X78" s="228"/>
      <c r="Y78" s="228"/>
      <c r="Z78" s="228"/>
      <c r="AA78" s="228">
        <f t="shared" si="20"/>
        <v>0</v>
      </c>
      <c r="AB78" s="230" t="str">
        <f>IF(AA78=0,"",IFERROR(AA78/AA$19,""))</f>
        <v/>
      </c>
      <c r="AC78" s="136"/>
      <c r="AD78" s="228">
        <v>4415.5662599999996</v>
      </c>
      <c r="AE78" s="230">
        <f>IF(AD78=0,"",IFERROR(AD78/AD$19,""))</f>
        <v>3.3802270516992815E-3</v>
      </c>
      <c r="AF78" s="231">
        <f t="shared" si="21"/>
        <v>-4415.5662599999996</v>
      </c>
      <c r="AG78" s="228"/>
      <c r="AH78" s="230" t="str">
        <f>IF(AG78=0,"",IFERROR(AG78/AG$19,""))</f>
        <v/>
      </c>
      <c r="AI78" s="231">
        <f t="shared" si="22"/>
        <v>0</v>
      </c>
    </row>
    <row r="79" spans="1:35" x14ac:dyDescent="0.25">
      <c r="A79" s="11"/>
      <c r="B79" s="11"/>
      <c r="C79" s="204"/>
      <c r="D79" s="11"/>
      <c r="E79" s="11"/>
      <c r="F79" s="11"/>
      <c r="G79" s="11"/>
      <c r="H79" s="181" t="s">
        <v>329</v>
      </c>
      <c r="I79" s="118" t="str">
        <f>IF(_epmOfflineCondition_,"N",_xll.EVPRO($B$1,$H79,"STYLE"))</f>
        <v>N</v>
      </c>
      <c r="J79" s="118" t="str">
        <f>IF(_epmOfflineCondition_,"Y",_xll.EVPRO($B$1,$H79,"CALC"))</f>
        <v>Y</v>
      </c>
      <c r="K79" s="86"/>
      <c r="L79" s="86" t="str">
        <f>IF(_epmOfflineCondition_,"",_xll.EVPRO($B$1,H79,"JDEID"))</f>
        <v/>
      </c>
      <c r="M79" s="86" t="str">
        <f>IF(_epmOfflineCondition_,"",IF(AND(I79="N",J79="N"),_xll.EVPRO($B$1,H79,"PSFTID"),""))</f>
        <v/>
      </c>
      <c r="N79" s="102" t="str">
        <f>IF(_epmOfflineCondition_,"Private Dining Revenue",IF(_xll.EVDES(H79,$B$1)="#NODATA","",_xll.EVDES(H79,$B$1)))</f>
        <v>Private Dining Revenue</v>
      </c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>
        <v>244</v>
      </c>
      <c r="AA79" s="158">
        <f t="shared" si="20"/>
        <v>244</v>
      </c>
      <c r="AB79" s="159">
        <f>IF(AA79=0,"",IFERROR(AA79/AA$19,""))</f>
        <v>1.5987746571676736E-3</v>
      </c>
      <c r="AC79" s="136"/>
      <c r="AD79" s="158">
        <v>40250.400000000001</v>
      </c>
      <c r="AE79" s="159">
        <f>IF(AD79=0,"",IFERROR(AD79/AD$19,""))</f>
        <v>3.081269375441708E-2</v>
      </c>
      <c r="AF79" s="160">
        <f t="shared" si="21"/>
        <v>-40006.400000000001</v>
      </c>
      <c r="AG79" s="158"/>
      <c r="AH79" s="159" t="str">
        <f>IF(AG79=0,"",IFERROR(AG79/AG$19,""))</f>
        <v/>
      </c>
      <c r="AI79" s="160">
        <f t="shared" si="22"/>
        <v>244</v>
      </c>
    </row>
    <row r="80" spans="1:35" x14ac:dyDescent="0.25">
      <c r="A80" s="11"/>
      <c r="B80" s="11"/>
      <c r="C80" s="204"/>
      <c r="D80" s="11"/>
      <c r="E80" s="11"/>
      <c r="F80" s="11"/>
      <c r="G80" s="11"/>
      <c r="H80" s="181" t="s">
        <v>300</v>
      </c>
      <c r="I80" s="118" t="str">
        <f>IF(_epmOfflineCondition_,"N",_xll.EVPRO($B$1,$H80,"STYLE"))</f>
        <v>N</v>
      </c>
      <c r="J80" s="118" t="str">
        <f>IF(_epmOfflineCondition_,"N",_xll.EVPRO($B$1,$H80,"CALC"))</f>
        <v>N</v>
      </c>
      <c r="K80" s="86"/>
      <c r="L80" s="86" t="str">
        <f>IF(_epmOfflineCondition_,"946400",_xll.EVPRO($B$1,H80,"JDEID"))</f>
        <v>946400</v>
      </c>
      <c r="M80" s="86" t="str">
        <f>IF(_epmOfflineCondition_,"991510",IF(AND(I80="N",J80="N"),_xll.EVPRO($B$1,H80,"PSFTID"),""))</f>
        <v>991510</v>
      </c>
      <c r="N80" s="86" t="str">
        <f>IF(_epmOfflineCondition_,"Private Dining Customers",IF(_xll.EVDES(H80,$B$1)="#NODATA","",_xll.EVDES(H80,$B$1)))</f>
        <v>Private Dining Customers</v>
      </c>
      <c r="O80" s="240"/>
      <c r="P80" s="240"/>
      <c r="Q80" s="240"/>
      <c r="R80" s="240"/>
      <c r="S80" s="240"/>
      <c r="T80" s="240"/>
      <c r="U80" s="240"/>
      <c r="V80" s="240"/>
      <c r="W80" s="240"/>
      <c r="X80" s="240"/>
      <c r="Y80" s="240"/>
      <c r="Z80" s="240"/>
      <c r="AA80" s="240">
        <f t="shared" si="20"/>
        <v>0</v>
      </c>
      <c r="AB80" s="242" t="str">
        <f>IF(AA80=0,"",IFERROR(AA80/AA$87,""))</f>
        <v/>
      </c>
      <c r="AC80" s="136"/>
      <c r="AD80" s="240">
        <v>372</v>
      </c>
      <c r="AE80" s="242">
        <f>IF(AD80=0,"",IFERROR(AD80/AD$87,""))</f>
        <v>1.0896628489410937E-2</v>
      </c>
      <c r="AF80" s="243">
        <f t="shared" si="21"/>
        <v>-372</v>
      </c>
      <c r="AG80" s="240"/>
      <c r="AH80" s="242" t="str">
        <f>IF(AG80=0,"",IFERROR(AG80/AG$87,""))</f>
        <v/>
      </c>
      <c r="AI80" s="243">
        <f t="shared" si="22"/>
        <v>0</v>
      </c>
    </row>
    <row r="81" spans="1:35" x14ac:dyDescent="0.25">
      <c r="A81" s="11"/>
      <c r="B81" s="11"/>
      <c r="C81" s="204"/>
      <c r="D81" s="11"/>
      <c r="E81" s="11"/>
      <c r="F81" s="11"/>
      <c r="G81" s="11"/>
      <c r="H81" s="181" t="s">
        <v>325</v>
      </c>
      <c r="I81" s="118" t="str">
        <f>IF(_epmOfflineCondition_,"N",_xll.EVPRO($B$1,$H81,"STYLE"))</f>
        <v>N</v>
      </c>
      <c r="J81" s="118" t="str">
        <f>IF(_epmOfflineCondition_,"Y",_xll.EVPRO($B$1,$H81,"CALC"))</f>
        <v>Y</v>
      </c>
      <c r="K81" s="86"/>
      <c r="L81" s="86" t="str">
        <f>IF(_epmOfflineCondition_,"",_xll.EVPRO($B$1,H81,"JDEID"))</f>
        <v/>
      </c>
      <c r="M81" s="86" t="str">
        <f>IF(_epmOfflineCondition_,"",IF(AND(I81="N",J81="N"),_xll.EVPRO($B$1,H81,"PSFTID"),""))</f>
        <v/>
      </c>
      <c r="N81" s="186" t="str">
        <f>IF(_epmOfflineCondition_,"Private Dining - Average Check",IF(_xll.EVDES(H81,$B$1)="#NODATA","",_xll.EVDES(H81,$B$1)))</f>
        <v>Private Dining - Average Check</v>
      </c>
      <c r="O81" s="490"/>
      <c r="P81" s="490"/>
      <c r="Q81" s="490"/>
      <c r="R81" s="490"/>
      <c r="S81" s="490"/>
      <c r="T81" s="490"/>
      <c r="U81" s="490"/>
      <c r="V81" s="490"/>
      <c r="W81" s="490"/>
      <c r="X81" s="490"/>
      <c r="Y81" s="490"/>
      <c r="Z81" s="490"/>
      <c r="AA81" s="490" t="str">
        <f>IFERROR(AA79/AA80,"")</f>
        <v/>
      </c>
      <c r="AB81" s="490"/>
      <c r="AC81" s="136"/>
      <c r="AD81" s="490">
        <v>108.2</v>
      </c>
      <c r="AE81" s="490"/>
      <c r="AF81" s="491" t="e">
        <f t="shared" si="21"/>
        <v>#VALUE!</v>
      </c>
      <c r="AG81" s="490"/>
      <c r="AH81" s="490"/>
      <c r="AI81" s="491" t="str">
        <f t="shared" si="22"/>
        <v/>
      </c>
    </row>
    <row r="82" spans="1:35" x14ac:dyDescent="0.25">
      <c r="A82" s="11"/>
      <c r="B82" s="11"/>
      <c r="C82" s="204"/>
      <c r="D82" s="11"/>
      <c r="E82" s="11"/>
      <c r="F82" s="11"/>
      <c r="G82" s="486">
        <f>COUNTIF(O84:AI84,FALSE)</f>
        <v>0</v>
      </c>
      <c r="H82" s="84"/>
      <c r="I82" s="118"/>
      <c r="J82" s="118"/>
      <c r="K82" s="86"/>
      <c r="L82" s="86"/>
      <c r="M82" s="86"/>
      <c r="N82" s="487" t="s">
        <v>345</v>
      </c>
      <c r="O82" s="492">
        <f t="shared" ref="O82:AA82" si="23">ROUND(IFERROR(O79/O80,0),2)</f>
        <v>0</v>
      </c>
      <c r="P82" s="493">
        <f t="shared" si="23"/>
        <v>0</v>
      </c>
      <c r="Q82" s="493">
        <f t="shared" si="23"/>
        <v>0</v>
      </c>
      <c r="R82" s="493">
        <f t="shared" si="23"/>
        <v>0</v>
      </c>
      <c r="S82" s="493">
        <f t="shared" si="23"/>
        <v>0</v>
      </c>
      <c r="T82" s="493">
        <f t="shared" si="23"/>
        <v>0</v>
      </c>
      <c r="U82" s="493">
        <f t="shared" si="23"/>
        <v>0</v>
      </c>
      <c r="V82" s="493">
        <f t="shared" si="23"/>
        <v>0</v>
      </c>
      <c r="W82" s="493">
        <f t="shared" si="23"/>
        <v>0</v>
      </c>
      <c r="X82" s="493">
        <f t="shared" si="23"/>
        <v>0</v>
      </c>
      <c r="Y82" s="493">
        <f t="shared" si="23"/>
        <v>0</v>
      </c>
      <c r="Z82" s="493">
        <f t="shared" si="23"/>
        <v>0</v>
      </c>
      <c r="AA82" s="493">
        <f t="shared" si="23"/>
        <v>0</v>
      </c>
      <c r="AB82" s="494"/>
      <c r="AC82" s="136"/>
      <c r="AD82" s="492">
        <f>ROUND(IFERROR(AD79/AD80,0),2)</f>
        <v>108.2</v>
      </c>
      <c r="AE82" s="493"/>
      <c r="AF82" s="151"/>
      <c r="AG82" s="492">
        <f>ROUND(IFERROR(AG79/AG80,0),2)</f>
        <v>0</v>
      </c>
      <c r="AH82" s="493"/>
      <c r="AI82" s="151"/>
    </row>
    <row r="83" spans="1:35" x14ac:dyDescent="0.25">
      <c r="A83" s="11"/>
      <c r="B83" s="11"/>
      <c r="C83" s="204"/>
      <c r="D83" s="11"/>
      <c r="E83" s="11"/>
      <c r="F83" s="11"/>
      <c r="G83" s="11"/>
      <c r="H83" s="84" t="s">
        <v>486</v>
      </c>
      <c r="I83" s="118" t="str">
        <f>IF(_epmOfflineCondition_,"T5",_xll.EVPRO($B$1,$H83,"STYLE"))</f>
        <v>T5</v>
      </c>
      <c r="J83" s="118" t="str">
        <f>IF(_epmOfflineCondition_,"Y",_xll.EVPRO($B$1,$H83,"CALC"))</f>
        <v>Y</v>
      </c>
      <c r="K83" s="86"/>
      <c r="L83" s="86" t="str">
        <f>IF(_epmOfflineCondition_,"",_xll.EVPRO($B$1,H83,"JDEID"))</f>
        <v/>
      </c>
      <c r="M83" s="86" t="str">
        <f>IF(_epmOfflineCondition_,"",IF(AND(I83="N",J83="N"),_xll.EVPRO($B$1,H83,"PSFTID"),""))</f>
        <v/>
      </c>
      <c r="N83" s="86" t="str">
        <f>IF(_epmOfflineCondition_,"Food &amp; Beverage: Allowances",IF(_xll.EVDES(H83,$B$1)="#NODATA","",_xll.EVDES(H83,$B$1)))</f>
        <v>Food &amp; Beverage: Allowances</v>
      </c>
      <c r="O83" s="134"/>
      <c r="P83" s="134"/>
      <c r="Q83" s="134"/>
      <c r="R83" s="134"/>
      <c r="S83" s="134"/>
      <c r="T83" s="134"/>
      <c r="U83" s="134"/>
      <c r="V83" s="134"/>
      <c r="W83" s="134"/>
      <c r="X83" s="134"/>
      <c r="Y83" s="134"/>
      <c r="Z83" s="134"/>
      <c r="AA83" s="134">
        <f>SUM(O83:Z83)</f>
        <v>0</v>
      </c>
      <c r="AB83" s="138" t="str">
        <f>IF(AA83=0,"",IFERROR(AA83/AA$19,""))</f>
        <v/>
      </c>
      <c r="AC83" s="136"/>
      <c r="AD83" s="134"/>
      <c r="AE83" s="138" t="str">
        <f>IF(AD83=0,"",IFERROR(AD83/AD$19,""))</f>
        <v/>
      </c>
      <c r="AF83" s="137">
        <f>IF(AND($AA83="",AD83=""),"",$AA83-AD83)</f>
        <v>0</v>
      </c>
      <c r="AG83" s="134"/>
      <c r="AH83" s="138" t="str">
        <f>IF(AG83=0,"",IFERROR(AG83/AG$19,""))</f>
        <v/>
      </c>
      <c r="AI83" s="137">
        <f>IF(AND($AA83="",AG83=""),"",$AA83-AG83)</f>
        <v>0</v>
      </c>
    </row>
    <row r="84" spans="1:35" x14ac:dyDescent="0.25">
      <c r="A84" s="11"/>
      <c r="B84" s="11"/>
      <c r="C84" s="204"/>
      <c r="D84" s="11"/>
      <c r="E84" s="11"/>
      <c r="F84" s="11"/>
      <c r="G84" s="11"/>
      <c r="H84" s="84"/>
      <c r="I84" s="118"/>
      <c r="J84" s="118"/>
      <c r="K84" s="86"/>
      <c r="L84" s="86"/>
      <c r="M84" s="86"/>
      <c r="N84" s="49" t="s">
        <v>348</v>
      </c>
      <c r="O84" s="495" t="b">
        <f t="shared" ref="O84:AA84" si="24">ROUND(O81,2)=ROUND(O82,2)</f>
        <v>1</v>
      </c>
      <c r="P84" s="496" t="b">
        <f t="shared" si="24"/>
        <v>1</v>
      </c>
      <c r="Q84" s="496" t="b">
        <f t="shared" si="24"/>
        <v>1</v>
      </c>
      <c r="R84" s="496" t="b">
        <f t="shared" si="24"/>
        <v>1</v>
      </c>
      <c r="S84" s="496" t="b">
        <f t="shared" si="24"/>
        <v>1</v>
      </c>
      <c r="T84" s="496" t="b">
        <f t="shared" si="24"/>
        <v>1</v>
      </c>
      <c r="U84" s="496" t="b">
        <f t="shared" si="24"/>
        <v>1</v>
      </c>
      <c r="V84" s="496" t="b">
        <f t="shared" si="24"/>
        <v>1</v>
      </c>
      <c r="W84" s="496" t="b">
        <f t="shared" si="24"/>
        <v>1</v>
      </c>
      <c r="X84" s="496" t="b">
        <f t="shared" si="24"/>
        <v>1</v>
      </c>
      <c r="Y84" s="496" t="b">
        <f t="shared" si="24"/>
        <v>1</v>
      </c>
      <c r="Z84" s="496" t="b">
        <f t="shared" si="24"/>
        <v>1</v>
      </c>
      <c r="AA84" s="496" t="e">
        <f t="shared" si="24"/>
        <v>#VALUE!</v>
      </c>
      <c r="AB84" s="497"/>
      <c r="AC84" s="498"/>
      <c r="AD84" s="495"/>
      <c r="AE84" s="496" t="b">
        <f>ROUND(AD81,2)=ROUND(AD82,2)</f>
        <v>1</v>
      </c>
      <c r="AF84" s="497"/>
      <c r="AG84" s="495"/>
      <c r="AH84" s="496" t="b">
        <f>ROUND(AG81,2)=ROUND(AG82,2)</f>
        <v>1</v>
      </c>
      <c r="AI84" s="497"/>
    </row>
    <row r="85" spans="1:35" x14ac:dyDescent="0.25">
      <c r="A85" s="11"/>
      <c r="B85" s="11"/>
      <c r="C85" s="204"/>
      <c r="D85" s="11"/>
      <c r="E85" s="11"/>
      <c r="F85" s="11"/>
      <c r="G85" s="11"/>
      <c r="H85" s="181" t="s">
        <v>273</v>
      </c>
      <c r="I85" s="118" t="str">
        <f>IF(_epmOfflineCondition_,"T4",_xll.EVPRO($B$1,$H85,"STYLE"))</f>
        <v>T4</v>
      </c>
      <c r="J85" s="118" t="str">
        <f>IF(_epmOfflineCondition_,"Y",_xll.EVPRO($B$1,$H85,"CALC"))</f>
        <v>Y</v>
      </c>
      <c r="K85" s="11"/>
      <c r="L85" s="86" t="str">
        <f>IF(_epmOfflineCondition_,"",_xll.EVPRO($B$1,H85,"JDEID"))</f>
        <v/>
      </c>
      <c r="M85" s="86" t="str">
        <f>IF(_epmOfflineCondition_,"",IF(AND(I85="N",J85="N"),_xll.EVPRO($B$1,H85,"PSFTID"),""))</f>
        <v/>
      </c>
      <c r="N85" s="86" t="str">
        <f>IF(_epmOfflineCondition_,"Total Food &amp; Beverage Revenue",IF(_xll.EVDES(H85,$B$1)="#NODATA","",_xll.EVDES(H85,$B$1)))</f>
        <v>Total Food &amp; Beverage Revenue</v>
      </c>
      <c r="O85" s="502"/>
      <c r="P85" s="502"/>
      <c r="Q85" s="502"/>
      <c r="R85" s="502"/>
      <c r="S85" s="502"/>
      <c r="T85" s="502"/>
      <c r="U85" s="502"/>
      <c r="V85" s="502"/>
      <c r="W85" s="502"/>
      <c r="X85" s="502">
        <v>15331.23</v>
      </c>
      <c r="Y85" s="502">
        <v>58026.7</v>
      </c>
      <c r="Z85" s="502">
        <v>79258.95</v>
      </c>
      <c r="AA85" s="502">
        <f>SUM(O85:Z85)</f>
        <v>152616.88</v>
      </c>
      <c r="AB85" s="503">
        <f>IF(AA85=0,"",IFERROR(AA85/AA$19,""))</f>
        <v>1</v>
      </c>
      <c r="AC85" s="136"/>
      <c r="AD85" s="502">
        <v>1306292.8</v>
      </c>
      <c r="AE85" s="503">
        <f>IF(AD85=0,"",IFERROR(AD85/AD$19,""))</f>
        <v>1</v>
      </c>
      <c r="AF85" s="504">
        <f>IF(AND($AA85="",AD85=""),"",$AA85-AD85)</f>
        <v>-1153675.92</v>
      </c>
      <c r="AG85" s="502"/>
      <c r="AH85" s="503" t="str">
        <f>IF(AG85=0,"",IFERROR(AG85/AG$19,""))</f>
        <v/>
      </c>
      <c r="AI85" s="504">
        <f>IF(AND($AA85="",AG85=""),"",$AA85-AG85)</f>
        <v>152616.88</v>
      </c>
    </row>
    <row r="86" spans="1:35" x14ac:dyDescent="0.25">
      <c r="A86" s="11"/>
      <c r="B86" s="11"/>
      <c r="C86" s="204"/>
      <c r="D86" s="11"/>
      <c r="E86" s="11"/>
      <c r="F86" s="11"/>
      <c r="G86" s="11"/>
      <c r="H86" s="181" t="s">
        <v>768</v>
      </c>
      <c r="I86" s="118" t="str">
        <f>IF(_epmOfflineCondition_,"N",_xll.EVPRO($B$1,$H86,"STYLE"))</f>
        <v>N</v>
      </c>
      <c r="J86" s="118" t="str">
        <f>IF(_epmOfflineCondition_,"N",_xll.EVPRO($B$1,$H86,"CALC"))</f>
        <v>N</v>
      </c>
      <c r="K86" s="11"/>
      <c r="L86" s="86" t="str">
        <f>IF(_epmOfflineCondition_,"947500",_xll.EVPRO($B$1,H86,"JDEID"))</f>
        <v>947500</v>
      </c>
      <c r="M86" s="86" t="str">
        <f>IF(_epmOfflineCondition_,"991552",IF(AND(I86="N",J86="N"),_xll.EVPRO($B$1,H86,"PSFTID"),""))</f>
        <v>991552</v>
      </c>
      <c r="N86" s="86" t="str">
        <f>IF(_epmOfflineCondition_,"# of Seats in Outlet",IF(_xll.EVDES(H86,$B$1)="#NODATA","",_xll.EVDES(H86,$B$1)))</f>
        <v># of Seats in Outlet</v>
      </c>
      <c r="O86" s="502"/>
      <c r="P86" s="502"/>
      <c r="Q86" s="502"/>
      <c r="R86" s="502"/>
      <c r="S86" s="502"/>
      <c r="T86" s="502"/>
      <c r="U86" s="502"/>
      <c r="V86" s="502"/>
      <c r="W86" s="502"/>
      <c r="X86" s="502"/>
      <c r="Y86" s="502">
        <v>68</v>
      </c>
      <c r="Z86" s="502">
        <v>85</v>
      </c>
      <c r="AA86" s="502">
        <f>SUM(O86:Z86)</f>
        <v>153</v>
      </c>
      <c r="AB86" s="503"/>
      <c r="AC86" s="136"/>
      <c r="AD86" s="502"/>
      <c r="AE86" s="503"/>
      <c r="AF86" s="504">
        <f>IF(AND($AA86="",AD86=""),"",$AA86-AD86)</f>
        <v>153</v>
      </c>
      <c r="AG86" s="502"/>
      <c r="AH86" s="503"/>
      <c r="AI86" s="504">
        <f>IF(AND($AA86="",AG86=""),"",$AA86-AG86)</f>
        <v>153</v>
      </c>
    </row>
    <row r="87" spans="1:35" x14ac:dyDescent="0.25">
      <c r="A87" s="11"/>
      <c r="B87" s="11"/>
      <c r="C87" s="204"/>
      <c r="D87" s="11"/>
      <c r="E87" s="11"/>
      <c r="F87" s="11"/>
      <c r="G87" s="11"/>
      <c r="H87" s="181" t="s">
        <v>331</v>
      </c>
      <c r="I87" s="118" t="str">
        <f>IF(_epmOfflineCondition_,"T2",_xll.EVPRO($B$1,$H87,"STYLE"))</f>
        <v>T2</v>
      </c>
      <c r="J87" s="118" t="str">
        <f>IF(_epmOfflineCondition_,"Y",_xll.EVPRO($B$1,$H87,"CALC"))</f>
        <v>Y</v>
      </c>
      <c r="K87" s="11"/>
      <c r="L87" s="86" t="str">
        <f>IF(_epmOfflineCondition_,"946000",_xll.EVPRO($B$1,H87,"JDEID"))</f>
        <v>946000</v>
      </c>
      <c r="M87" s="86" t="str">
        <f>IF(_epmOfflineCondition_,"",IF(AND(I87="N",J87="N"),_xll.EVPRO($B$1,H87,"PSFTID"),""))</f>
        <v/>
      </c>
      <c r="N87" s="86" t="str">
        <f>IF(_epmOfflineCondition_,"Total Customers",IF(_xll.EVDES(H87,$B$1)="#NODATA","",_xll.EVDES(H87,$B$1)))</f>
        <v>Total Customers</v>
      </c>
      <c r="O87" s="502"/>
      <c r="P87" s="502"/>
      <c r="Q87" s="502"/>
      <c r="R87" s="502"/>
      <c r="S87" s="502"/>
      <c r="T87" s="502"/>
      <c r="U87" s="502"/>
      <c r="V87" s="502"/>
      <c r="W87" s="502"/>
      <c r="X87" s="502">
        <v>969</v>
      </c>
      <c r="Y87" s="502">
        <v>2033</v>
      </c>
      <c r="Z87" s="502">
        <v>2650</v>
      </c>
      <c r="AA87" s="502">
        <f>SUM(O87:Z87)</f>
        <v>5652</v>
      </c>
      <c r="AB87" s="503">
        <f>IF(AA87=0,"",IFERROR(AA87/AA$20,""))</f>
        <v>1</v>
      </c>
      <c r="AC87" s="136"/>
      <c r="AD87" s="502">
        <v>34139</v>
      </c>
      <c r="AE87" s="503">
        <f>IF(AD87=0,"",IFERROR(AD87/AD$20,""))</f>
        <v>1</v>
      </c>
      <c r="AF87" s="504">
        <f>IF(AND($AA87="",AD87=""),"",$AA87-AD87)</f>
        <v>-28487</v>
      </c>
      <c r="AG87" s="502"/>
      <c r="AH87" s="503" t="str">
        <f>IF(AG87=0,"",IFERROR(AG87/AG$20,""))</f>
        <v/>
      </c>
      <c r="AI87" s="504">
        <f>IF(AND($AA87="",AG87=""),"",$AA87-AG87)</f>
        <v>5652</v>
      </c>
    </row>
    <row r="88" spans="1:35" x14ac:dyDescent="0.25">
      <c r="A88" s="11"/>
      <c r="B88" s="11"/>
      <c r="C88" s="204"/>
      <c r="D88" s="11"/>
      <c r="E88" s="11"/>
      <c r="F88" s="11"/>
      <c r="G88" s="11"/>
      <c r="H88" s="181" t="s">
        <v>311</v>
      </c>
      <c r="I88" s="118" t="str">
        <f>IF(_epmOfflineCondition_,"N",_xll.EVPRO($B$1,$H88,"STYLE"))</f>
        <v>N</v>
      </c>
      <c r="J88" s="118" t="str">
        <f>IF(_epmOfflineCondition_,"Y",_xll.EVPRO($B$1,$H88,"CALC"))</f>
        <v>Y</v>
      </c>
      <c r="K88" s="11"/>
      <c r="L88" s="86"/>
      <c r="M88" s="86"/>
      <c r="N88" s="86" t="str">
        <f>IF(_epmOfflineCondition_,"Total Average Check",IF(_xll.EVDES(H88,$B$1)="#NODATA","",_xll.EVDES(H88,$B$1)))</f>
        <v>Total Average Check</v>
      </c>
      <c r="O88" s="490"/>
      <c r="P88" s="490"/>
      <c r="Q88" s="490"/>
      <c r="R88" s="490"/>
      <c r="S88" s="490"/>
      <c r="T88" s="490"/>
      <c r="U88" s="490"/>
      <c r="V88" s="490"/>
      <c r="W88" s="490"/>
      <c r="X88" s="490">
        <v>15.821702786377699</v>
      </c>
      <c r="Y88" s="490">
        <v>28.542400393507101</v>
      </c>
      <c r="Z88" s="490">
        <v>29.9090377358491</v>
      </c>
      <c r="AA88" s="490">
        <f>IFERROR(AA85/AA87,"")</f>
        <v>27.002278839348904</v>
      </c>
      <c r="AB88" s="490"/>
      <c r="AC88" s="136"/>
      <c r="AD88" s="490">
        <v>38.263944462345101</v>
      </c>
      <c r="AE88" s="490"/>
      <c r="AF88" s="491">
        <f>IF(AND($AA88="",AD88=""),"",$AA88-AD88)</f>
        <v>-11.261665622996198</v>
      </c>
      <c r="AG88" s="490"/>
      <c r="AH88" s="490"/>
      <c r="AI88" s="491">
        <f>IF(AND($AA88="",AG88=""),"",$AA88-AG88)</f>
        <v>27.002278839348904</v>
      </c>
    </row>
    <row r="89" spans="1:35" x14ac:dyDescent="0.25">
      <c r="A89" s="11"/>
      <c r="B89" s="11"/>
      <c r="C89" s="204"/>
      <c r="D89" s="11"/>
      <c r="E89" s="11"/>
      <c r="F89" s="11"/>
      <c r="G89" s="11"/>
      <c r="H89" s="181"/>
      <c r="I89" s="118"/>
      <c r="J89" s="118"/>
      <c r="K89" s="11"/>
      <c r="L89" s="86"/>
      <c r="M89" s="86"/>
      <c r="N89" s="86"/>
      <c r="O89" s="166"/>
      <c r="P89" s="167"/>
      <c r="Q89" s="167"/>
      <c r="R89" s="167"/>
      <c r="S89" s="167"/>
      <c r="T89" s="167"/>
      <c r="U89" s="167"/>
      <c r="V89" s="167"/>
      <c r="W89" s="167"/>
      <c r="X89" s="167"/>
      <c r="Y89" s="167"/>
      <c r="Z89" s="167"/>
      <c r="AA89" s="167"/>
      <c r="AB89" s="168"/>
      <c r="AC89" s="136"/>
      <c r="AD89" s="166"/>
      <c r="AE89" s="167"/>
      <c r="AF89" s="168"/>
      <c r="AG89" s="166"/>
      <c r="AH89" s="167"/>
      <c r="AI89" s="168"/>
    </row>
    <row r="90" spans="1:35" x14ac:dyDescent="0.25">
      <c r="A90" s="11"/>
      <c r="B90" s="11"/>
      <c r="C90" s="204"/>
      <c r="D90" s="11"/>
      <c r="E90" s="11"/>
      <c r="F90" s="11"/>
      <c r="G90" s="11"/>
      <c r="H90" s="181"/>
      <c r="I90" s="118"/>
      <c r="J90" s="118"/>
      <c r="K90" s="11"/>
      <c r="L90" s="86"/>
      <c r="M90" s="86"/>
      <c r="N90" s="49" t="s">
        <v>334</v>
      </c>
      <c r="O90" s="154"/>
      <c r="P90" s="155"/>
      <c r="Q90" s="155"/>
      <c r="R90" s="155"/>
      <c r="S90" s="155"/>
      <c r="T90" s="155"/>
      <c r="U90" s="155"/>
      <c r="V90" s="155"/>
      <c r="W90" s="155"/>
      <c r="X90" s="155"/>
      <c r="Y90" s="155"/>
      <c r="Z90" s="155"/>
      <c r="AA90" s="155"/>
      <c r="AB90" s="156"/>
      <c r="AC90" s="136"/>
      <c r="AD90" s="154"/>
      <c r="AE90" s="155"/>
      <c r="AF90" s="156"/>
      <c r="AG90" s="154"/>
      <c r="AH90" s="155"/>
      <c r="AI90" s="156"/>
    </row>
    <row r="91" spans="1:35" hidden="1" outlineLevel="1" x14ac:dyDescent="0.25">
      <c r="A91" s="11"/>
      <c r="B91" s="11"/>
      <c r="C91" s="204"/>
      <c r="D91" s="11"/>
      <c r="E91" s="11"/>
      <c r="F91" s="11"/>
      <c r="G91" s="11"/>
      <c r="H91" s="181" t="s">
        <v>332</v>
      </c>
      <c r="I91" s="118" t="str">
        <f>IF(_epmOfflineCondition_,"T4",_xll.EVPRO($B$1,$H91,"STYLE"))</f>
        <v>T4</v>
      </c>
      <c r="J91" s="118" t="str">
        <f>IF(_epmOfflineCondition_,"Y",_xll.EVPRO($B$1,$H91,"CALC"))</f>
        <v>Y</v>
      </c>
      <c r="K91" s="11"/>
      <c r="L91" s="86"/>
      <c r="M91" s="86"/>
      <c r="N91" s="86" t="str">
        <f>IF(_epmOfflineCondition_,"F&amp;B Kitchen - THW",IF(_xll.EVDES(H91,$B$1)="#NODATA","",_xll.EVDES(H91,$B$1)))</f>
        <v>F&amp;B Kitchen - THW</v>
      </c>
      <c r="O91" s="134"/>
      <c r="P91" s="134"/>
      <c r="Q91" s="134"/>
      <c r="R91" s="134"/>
      <c r="S91" s="134"/>
      <c r="T91" s="134">
        <v>119.25</v>
      </c>
      <c r="U91" s="134"/>
      <c r="V91" s="134"/>
      <c r="W91" s="134">
        <v>52</v>
      </c>
      <c r="X91" s="134">
        <v>934.5</v>
      </c>
      <c r="Y91" s="134">
        <v>1087.75</v>
      </c>
      <c r="Z91" s="134">
        <v>1015.25</v>
      </c>
      <c r="AA91" s="134">
        <f>SUM(O91:Z91)</f>
        <v>3208.75</v>
      </c>
      <c r="AB91" s="138"/>
      <c r="AC91" s="136"/>
      <c r="AD91" s="134">
        <v>16463</v>
      </c>
      <c r="AE91" s="138"/>
      <c r="AF91" s="137">
        <f>IF(AND($AA91="",AD91=""),"",$AA91-AD91)</f>
        <v>-13254.25</v>
      </c>
      <c r="AG91" s="134">
        <v>46.31</v>
      </c>
      <c r="AH91" s="138"/>
      <c r="AI91" s="137">
        <f>IF(AND($AA91="",AG91=""),"",$AA91-AG91)</f>
        <v>3162.44</v>
      </c>
    </row>
    <row r="92" spans="1:35" hidden="1" outlineLevel="1" x14ac:dyDescent="0.25">
      <c r="A92" s="11"/>
      <c r="B92" s="11"/>
      <c r="C92" s="204"/>
      <c r="D92" s="11"/>
      <c r="E92" s="11"/>
      <c r="F92" s="11"/>
      <c r="G92" s="11"/>
      <c r="H92" s="181" t="s">
        <v>333</v>
      </c>
      <c r="I92" s="118" t="str">
        <f>IF(_epmOfflineCondition_,"T4",_xll.EVPRO($B$1,$H92,"STYLE"))</f>
        <v>T4</v>
      </c>
      <c r="J92" s="118" t="str">
        <f>IF(_epmOfflineCondition_,"Y",_xll.EVPRO($B$1,$H92,"CALC"))</f>
        <v>Y</v>
      </c>
      <c r="K92" s="11"/>
      <c r="L92" s="86"/>
      <c r="M92" s="86"/>
      <c r="N92" s="86" t="str">
        <f>IF(_epmOfflineCondition_,"F&amp;B Venues - THW",IF(_xll.EVDES(H92,$B$1)="#NODATA","",_xll.EVDES(H92,$B$1)))</f>
        <v>F&amp;B Venues - THW</v>
      </c>
      <c r="O92" s="134">
        <v>36.5</v>
      </c>
      <c r="P92" s="134"/>
      <c r="Q92" s="134">
        <v>9.5</v>
      </c>
      <c r="R92" s="134"/>
      <c r="S92" s="134">
        <v>91.5</v>
      </c>
      <c r="T92" s="134">
        <v>147</v>
      </c>
      <c r="U92" s="134"/>
      <c r="V92" s="134"/>
      <c r="W92" s="134"/>
      <c r="X92" s="134">
        <v>1954.46</v>
      </c>
      <c r="Y92" s="134">
        <v>2074.5</v>
      </c>
      <c r="Z92" s="134">
        <v>2115.41</v>
      </c>
      <c r="AA92" s="134">
        <f>SUM(O92:Z92)</f>
        <v>6428.87</v>
      </c>
      <c r="AB92" s="138"/>
      <c r="AC92" s="136"/>
      <c r="AD92" s="134">
        <v>18286</v>
      </c>
      <c r="AE92" s="138"/>
      <c r="AF92" s="137">
        <f>IF(AND($AA92="",AD92=""),"",$AA92-AD92)</f>
        <v>-11857.130000000001</v>
      </c>
      <c r="AG92" s="134">
        <v>2674.5</v>
      </c>
      <c r="AH92" s="138"/>
      <c r="AI92" s="137">
        <f>IF(AND($AA92="",AG92=""),"",$AA92-AG92)</f>
        <v>3754.37</v>
      </c>
    </row>
    <row r="93" spans="1:35" collapsed="1" x14ac:dyDescent="0.25">
      <c r="A93" s="11"/>
      <c r="B93" s="11"/>
      <c r="C93" s="204"/>
      <c r="D93" s="11"/>
      <c r="E93" s="11"/>
      <c r="F93" s="11"/>
      <c r="G93" s="11"/>
      <c r="H93" s="181"/>
      <c r="I93" s="118"/>
      <c r="J93" s="118"/>
      <c r="K93" s="11"/>
      <c r="L93" s="86"/>
      <c r="M93" s="86"/>
      <c r="N93" s="100" t="s">
        <v>335</v>
      </c>
      <c r="O93" s="505" t="str">
        <f t="shared" ref="O93:AA93" si="25">IFERROR(O$87/O91,"")</f>
        <v/>
      </c>
      <c r="P93" s="505" t="str">
        <f t="shared" si="25"/>
        <v/>
      </c>
      <c r="Q93" s="505" t="str">
        <f t="shared" si="25"/>
        <v/>
      </c>
      <c r="R93" s="505" t="str">
        <f t="shared" si="25"/>
        <v/>
      </c>
      <c r="S93" s="505" t="str">
        <f t="shared" si="25"/>
        <v/>
      </c>
      <c r="T93" s="505">
        <f t="shared" si="25"/>
        <v>0</v>
      </c>
      <c r="U93" s="505" t="str">
        <f t="shared" si="25"/>
        <v/>
      </c>
      <c r="V93" s="505" t="str">
        <f t="shared" si="25"/>
        <v/>
      </c>
      <c r="W93" s="505">
        <f t="shared" si="25"/>
        <v>0</v>
      </c>
      <c r="X93" s="505">
        <f t="shared" si="25"/>
        <v>1.0369181380417336</v>
      </c>
      <c r="Y93" s="505">
        <f t="shared" si="25"/>
        <v>1.8689956331877728</v>
      </c>
      <c r="Z93" s="505">
        <f t="shared" si="25"/>
        <v>2.6101945333661658</v>
      </c>
      <c r="AA93" s="505">
        <f t="shared" si="25"/>
        <v>1.7614335800545384</v>
      </c>
      <c r="AB93" s="506"/>
      <c r="AC93" s="136"/>
      <c r="AD93" s="505">
        <f>IFERROR(AD$87/AD91,"")</f>
        <v>2.0736803741723864</v>
      </c>
      <c r="AE93" s="506"/>
      <c r="AF93" s="226">
        <f>IF(AND($AA93="",AD93=""),"",$AA93-AD93)</f>
        <v>-0.31224679411784795</v>
      </c>
      <c r="AG93" s="505">
        <f>IFERROR(AG$87/AG91,"")</f>
        <v>0</v>
      </c>
      <c r="AH93" s="506"/>
      <c r="AI93" s="226">
        <f>IF(AND($AA93="",AG93=""),"",$AA93-AG93)</f>
        <v>1.7614335800545384</v>
      </c>
    </row>
    <row r="94" spans="1:35" x14ac:dyDescent="0.25">
      <c r="A94" s="11"/>
      <c r="B94" s="11"/>
      <c r="C94" s="204"/>
      <c r="D94" s="11"/>
      <c r="E94" s="11"/>
      <c r="F94" s="11"/>
      <c r="G94" s="11"/>
      <c r="H94" s="181"/>
      <c r="I94" s="118"/>
      <c r="J94" s="118"/>
      <c r="K94" s="11"/>
      <c r="L94" s="86"/>
      <c r="M94" s="86"/>
      <c r="N94" s="100" t="s">
        <v>336</v>
      </c>
      <c r="O94" s="505">
        <f t="shared" ref="O94:AA94" si="26">IFERROR(O$87/O92,"")</f>
        <v>0</v>
      </c>
      <c r="P94" s="505" t="str">
        <f t="shared" si="26"/>
        <v/>
      </c>
      <c r="Q94" s="505">
        <f t="shared" si="26"/>
        <v>0</v>
      </c>
      <c r="R94" s="505" t="str">
        <f t="shared" si="26"/>
        <v/>
      </c>
      <c r="S94" s="505">
        <f t="shared" si="26"/>
        <v>0</v>
      </c>
      <c r="T94" s="505">
        <f t="shared" si="26"/>
        <v>0</v>
      </c>
      <c r="U94" s="505" t="str">
        <f t="shared" si="26"/>
        <v/>
      </c>
      <c r="V94" s="505" t="str">
        <f t="shared" si="26"/>
        <v/>
      </c>
      <c r="W94" s="505" t="str">
        <f t="shared" si="26"/>
        <v/>
      </c>
      <c r="X94" s="505">
        <f t="shared" si="26"/>
        <v>0.49578911822191296</v>
      </c>
      <c r="Y94" s="505">
        <f t="shared" si="26"/>
        <v>0.97999517956134008</v>
      </c>
      <c r="Z94" s="505">
        <f t="shared" si="26"/>
        <v>1.2527122401803907</v>
      </c>
      <c r="AA94" s="505">
        <f t="shared" si="26"/>
        <v>0.87915916794086679</v>
      </c>
      <c r="AB94" s="506"/>
      <c r="AC94" s="136"/>
      <c r="AD94" s="505">
        <f>IFERROR(AD$87/AD92,"")</f>
        <v>1.8669473914470087</v>
      </c>
      <c r="AE94" s="506"/>
      <c r="AF94" s="226">
        <f>IF(AND($AA94="",AD94=""),"",$AA94-AD94)</f>
        <v>-0.98778822350614193</v>
      </c>
      <c r="AG94" s="505">
        <f>IFERROR(AG$87/AG92,"")</f>
        <v>0</v>
      </c>
      <c r="AH94" s="506"/>
      <c r="AI94" s="226">
        <f>IF(AND($AA94="",AG94=""),"",$AA94-AG94)</f>
        <v>0.87915916794086679</v>
      </c>
    </row>
    <row r="95" spans="1:35" x14ac:dyDescent="0.25">
      <c r="A95" s="11"/>
      <c r="B95" s="11"/>
      <c r="C95" s="204"/>
      <c r="D95" s="11"/>
      <c r="E95" s="11"/>
      <c r="F95" s="11"/>
      <c r="G95" s="11"/>
      <c r="H95" s="181"/>
      <c r="I95" s="118"/>
      <c r="J95" s="118"/>
      <c r="K95" s="11"/>
      <c r="L95" s="86"/>
      <c r="M95" s="86"/>
      <c r="N95" s="86"/>
      <c r="O95" s="507"/>
      <c r="P95" s="508"/>
      <c r="Q95" s="508"/>
      <c r="R95" s="508"/>
      <c r="S95" s="508"/>
      <c r="T95" s="508"/>
      <c r="U95" s="508"/>
      <c r="V95" s="508"/>
      <c r="W95" s="508"/>
      <c r="X95" s="508"/>
      <c r="Y95" s="508"/>
      <c r="Z95" s="508"/>
      <c r="AA95" s="508"/>
      <c r="AB95" s="153"/>
      <c r="AC95" s="136"/>
      <c r="AD95" s="509"/>
      <c r="AE95" s="477"/>
      <c r="AF95" s="153"/>
      <c r="AG95" s="477"/>
      <c r="AH95" s="477"/>
      <c r="AI95" s="153"/>
    </row>
    <row r="96" spans="1:35" x14ac:dyDescent="0.25">
      <c r="A96" s="11"/>
      <c r="B96" s="11"/>
      <c r="C96" s="204"/>
      <c r="D96" s="11"/>
      <c r="E96" s="11"/>
      <c r="F96" s="11"/>
      <c r="G96" s="11"/>
      <c r="H96" s="181"/>
      <c r="I96" s="118"/>
      <c r="J96" s="118"/>
      <c r="K96" s="11"/>
      <c r="L96" s="86"/>
      <c r="M96" s="86"/>
      <c r="N96" s="49" t="s">
        <v>343</v>
      </c>
      <c r="O96" s="509"/>
      <c r="P96" s="477"/>
      <c r="Q96" s="477"/>
      <c r="R96" s="477"/>
      <c r="S96" s="477"/>
      <c r="T96" s="477"/>
      <c r="U96" s="477"/>
      <c r="V96" s="477"/>
      <c r="W96" s="477"/>
      <c r="X96" s="477"/>
      <c r="Y96" s="477"/>
      <c r="Z96" s="477"/>
      <c r="AA96" s="477"/>
      <c r="AB96" s="510"/>
      <c r="AC96" s="136"/>
      <c r="AD96" s="511"/>
      <c r="AE96" s="512"/>
      <c r="AF96" s="153"/>
      <c r="AG96" s="477"/>
      <c r="AH96" s="512"/>
      <c r="AI96" s="153"/>
    </row>
    <row r="97" spans="1:35" x14ac:dyDescent="0.25">
      <c r="A97" s="11"/>
      <c r="B97" s="11"/>
      <c r="C97" s="204"/>
      <c r="D97" s="11"/>
      <c r="E97" s="11"/>
      <c r="F97" s="11"/>
      <c r="G97" s="11"/>
      <c r="H97" s="181"/>
      <c r="I97" s="118"/>
      <c r="J97" s="118"/>
      <c r="K97" s="11"/>
      <c r="L97" s="86"/>
      <c r="M97" s="86"/>
      <c r="N97" s="49" t="s">
        <v>337</v>
      </c>
      <c r="O97" s="154"/>
      <c r="P97" s="155"/>
      <c r="Q97" s="155"/>
      <c r="R97" s="155"/>
      <c r="S97" s="155"/>
      <c r="T97" s="155"/>
      <c r="U97" s="155"/>
      <c r="V97" s="155"/>
      <c r="W97" s="155"/>
      <c r="X97" s="155"/>
      <c r="Y97" s="155"/>
      <c r="Z97" s="155"/>
      <c r="AA97" s="155"/>
      <c r="AB97" s="156"/>
      <c r="AC97" s="136"/>
      <c r="AD97" s="154"/>
      <c r="AE97" s="155"/>
      <c r="AF97" s="156"/>
      <c r="AG97" s="155"/>
      <c r="AH97" s="155"/>
      <c r="AI97" s="156"/>
    </row>
    <row r="98" spans="1:35" x14ac:dyDescent="0.25">
      <c r="A98" s="11"/>
      <c r="B98" s="11"/>
      <c r="C98" s="204"/>
      <c r="D98" s="11"/>
      <c r="E98" s="11"/>
      <c r="F98" s="11"/>
      <c r="G98" s="11"/>
      <c r="H98" s="181" t="s">
        <v>294</v>
      </c>
      <c r="I98" s="118"/>
      <c r="J98" s="118"/>
      <c r="K98" s="11"/>
      <c r="L98" s="86" t="str">
        <f>IF(_epmOfflineCondition_,"461200",_xll.EVPRO($B$1,H98,"JDEID"))</f>
        <v>461200</v>
      </c>
      <c r="M98" s="86" t="str">
        <f>IF(_epmOfflineCondition_,"",IF(AND(I98="N",J98="N"),_xll.EVPRO($B$1,H98,"PSFTID"),""))</f>
        <v/>
      </c>
      <c r="N98" s="86" t="str">
        <f>IF(_epmOfflineCondition_,"Breakfast Liquor",IF(_xll.EVDES(H98,$B$1)="#NODATA","",_xll.EVDES(H98,$B$1)))</f>
        <v>Breakfast Liquor</v>
      </c>
      <c r="O98" s="134"/>
      <c r="P98" s="134"/>
      <c r="Q98" s="134"/>
      <c r="R98" s="134"/>
      <c r="S98" s="134"/>
      <c r="T98" s="134"/>
      <c r="U98" s="134"/>
      <c r="V98" s="134"/>
      <c r="W98" s="134"/>
      <c r="X98" s="134"/>
      <c r="Y98" s="134">
        <v>24</v>
      </c>
      <c r="Z98" s="134">
        <v>72.2</v>
      </c>
      <c r="AA98" s="134">
        <f t="shared" ref="AA98:AA103" si="27">SUM(O98:Z98)</f>
        <v>96.2</v>
      </c>
      <c r="AB98" s="138">
        <f t="shared" ref="AB98:AB103" si="28">IF(AA98=0,"",IFERROR(AA98/AA$19,""))</f>
        <v>6.3033656565381231E-4</v>
      </c>
      <c r="AC98" s="136"/>
      <c r="AD98" s="134">
        <v>3798.9134250000002</v>
      </c>
      <c r="AE98" s="138">
        <f t="shared" ref="AE98:AE103" si="29">IF(AD98=0,"",IFERROR(AD98/AD$19,""))</f>
        <v>2.9081637937528248E-3</v>
      </c>
      <c r="AF98" s="137">
        <f t="shared" ref="AF98:AF103" si="30">IF(AND($AA98="",AD98=""),"",$AA98-AD98)</f>
        <v>-3702.7134250000004</v>
      </c>
      <c r="AG98" s="134"/>
      <c r="AH98" s="138" t="str">
        <f t="shared" ref="AH98:AH103" si="31">IF(AG98=0,"",IFERROR(AG98/AG$19,""))</f>
        <v/>
      </c>
      <c r="AI98" s="137">
        <f t="shared" ref="AI98:AI103" si="32">IF(AND($AA98="",AG98=""),"",$AA98-AG98)</f>
        <v>96.2</v>
      </c>
    </row>
    <row r="99" spans="1:35" x14ac:dyDescent="0.25">
      <c r="A99" s="11"/>
      <c r="B99" s="11"/>
      <c r="C99" s="204"/>
      <c r="D99" s="11"/>
      <c r="E99" s="11"/>
      <c r="F99" s="11"/>
      <c r="G99" s="11"/>
      <c r="H99" s="181" t="s">
        <v>301</v>
      </c>
      <c r="I99" s="118"/>
      <c r="J99" s="118"/>
      <c r="K99" s="11"/>
      <c r="L99" s="86" t="str">
        <f>IF(_epmOfflineCondition_,"462200",_xll.EVPRO($B$1,H99,"JDEID"))</f>
        <v>462200</v>
      </c>
      <c r="M99" s="86" t="str">
        <f>IF(_epmOfflineCondition_,"",IF(AND(I99="N",J99="N"),_xll.EVPRO($B$1,H99,"PSFTID"),""))</f>
        <v/>
      </c>
      <c r="N99" s="86" t="str">
        <f>IF(_epmOfflineCondition_,"Lunch Liquor",IF(_xll.EVDES(H99,$B$1)="#NODATA","",_xll.EVDES(H99,$B$1)))</f>
        <v>Lunch Liquor</v>
      </c>
      <c r="O99" s="134"/>
      <c r="P99" s="134"/>
      <c r="Q99" s="134"/>
      <c r="R99" s="134"/>
      <c r="S99" s="134"/>
      <c r="T99" s="134"/>
      <c r="U99" s="134"/>
      <c r="V99" s="134"/>
      <c r="W99" s="134"/>
      <c r="X99" s="134"/>
      <c r="Y99" s="134">
        <v>190</v>
      </c>
      <c r="Z99" s="134">
        <v>277</v>
      </c>
      <c r="AA99" s="134">
        <f t="shared" si="27"/>
        <v>467</v>
      </c>
      <c r="AB99" s="138">
        <f t="shared" si="28"/>
        <v>3.05994985613649E-3</v>
      </c>
      <c r="AC99" s="136"/>
      <c r="AD99" s="134">
        <v>27752.76555</v>
      </c>
      <c r="AE99" s="138">
        <f t="shared" si="29"/>
        <v>2.124544018768227E-2</v>
      </c>
      <c r="AF99" s="137">
        <f t="shared" si="30"/>
        <v>-27285.76555</v>
      </c>
      <c r="AG99" s="134"/>
      <c r="AH99" s="138" t="str">
        <f t="shared" si="31"/>
        <v/>
      </c>
      <c r="AI99" s="137">
        <f t="shared" si="32"/>
        <v>467</v>
      </c>
    </row>
    <row r="100" spans="1:35" x14ac:dyDescent="0.25">
      <c r="A100" s="11"/>
      <c r="B100" s="11"/>
      <c r="C100" s="204"/>
      <c r="D100" s="11"/>
      <c r="E100" s="11"/>
      <c r="F100" s="11"/>
      <c r="G100" s="11"/>
      <c r="H100" s="181" t="s">
        <v>302</v>
      </c>
      <c r="I100" s="118"/>
      <c r="J100" s="118"/>
      <c r="K100" s="11"/>
      <c r="L100" s="86" t="str">
        <f>IF(_epmOfflineCondition_,"463200",_xll.EVPRO($B$1,H100,"JDEID"))</f>
        <v>463200</v>
      </c>
      <c r="M100" s="86" t="str">
        <f>IF(_epmOfflineCondition_,"",IF(AND(I100="N",J100="N"),_xll.EVPRO($B$1,H100,"PSFTID"),""))</f>
        <v/>
      </c>
      <c r="N100" s="86" t="str">
        <f>IF(_epmOfflineCondition_,"Dinner Liquor",IF(_xll.EVDES(H100,$B$1)="#NODATA","",_xll.EVDES(H100,$B$1)))</f>
        <v>Dinner Liquor</v>
      </c>
      <c r="O100" s="134"/>
      <c r="P100" s="134"/>
      <c r="Q100" s="134"/>
      <c r="R100" s="134"/>
      <c r="S100" s="134"/>
      <c r="T100" s="134"/>
      <c r="U100" s="134"/>
      <c r="V100" s="134"/>
      <c r="W100" s="134"/>
      <c r="X100" s="134">
        <v>171.53</v>
      </c>
      <c r="Y100" s="134">
        <v>3506.6</v>
      </c>
      <c r="Z100" s="134">
        <v>3993.65</v>
      </c>
      <c r="AA100" s="134">
        <f t="shared" si="27"/>
        <v>7671.7800000000007</v>
      </c>
      <c r="AB100" s="138">
        <f t="shared" si="28"/>
        <v>5.0268227210515638E-2</v>
      </c>
      <c r="AC100" s="136"/>
      <c r="AD100" s="134">
        <v>173785.46035899999</v>
      </c>
      <c r="AE100" s="138">
        <f t="shared" si="29"/>
        <v>0.13303714171815076</v>
      </c>
      <c r="AF100" s="137">
        <f t="shared" si="30"/>
        <v>-166113.68035899999</v>
      </c>
      <c r="AG100" s="134"/>
      <c r="AH100" s="138" t="str">
        <f t="shared" si="31"/>
        <v/>
      </c>
      <c r="AI100" s="137">
        <f t="shared" si="32"/>
        <v>7671.7800000000007</v>
      </c>
    </row>
    <row r="101" spans="1:35" x14ac:dyDescent="0.25">
      <c r="A101" s="11"/>
      <c r="B101" s="11"/>
      <c r="C101" s="204"/>
      <c r="D101" s="11"/>
      <c r="E101" s="11"/>
      <c r="F101" s="11"/>
      <c r="G101" s="11"/>
      <c r="H101" s="181" t="s">
        <v>308</v>
      </c>
      <c r="I101" s="118"/>
      <c r="J101" s="118"/>
      <c r="K101" s="11"/>
      <c r="L101" s="86" t="str">
        <f>IF(_epmOfflineCondition_,"464200",_xll.EVPRO($B$1,H101,"JDEID"))</f>
        <v>464200</v>
      </c>
      <c r="M101" s="86" t="str">
        <f>IF(_epmOfflineCondition_,"",IF(AND(I101="N",J101="N"),_xll.EVPRO($B$1,H101,"PSFTID"),""))</f>
        <v/>
      </c>
      <c r="N101" s="86" t="str">
        <f>IF(_epmOfflineCondition_,"Bar Liquor",IF(_xll.EVDES(H101,$B$1)="#NODATA","",_xll.EVDES(H101,$B$1)))</f>
        <v>Bar Liquor</v>
      </c>
      <c r="O101" s="134"/>
      <c r="P101" s="134"/>
      <c r="Q101" s="134"/>
      <c r="R101" s="134"/>
      <c r="S101" s="134"/>
      <c r="T101" s="134"/>
      <c r="U101" s="134"/>
      <c r="V101" s="134"/>
      <c r="W101" s="134"/>
      <c r="X101" s="134"/>
      <c r="Y101" s="134">
        <v>1161</v>
      </c>
      <c r="Z101" s="134">
        <v>2386.1999999999998</v>
      </c>
      <c r="AA101" s="134">
        <f t="shared" si="27"/>
        <v>3547.2</v>
      </c>
      <c r="AB101" s="138">
        <f t="shared" si="28"/>
        <v>2.3242514196332671E-2</v>
      </c>
      <c r="AC101" s="136"/>
      <c r="AD101" s="134">
        <v>10240.758792000001</v>
      </c>
      <c r="AE101" s="138">
        <f t="shared" si="29"/>
        <v>7.8395584757108058E-3</v>
      </c>
      <c r="AF101" s="137">
        <f t="shared" si="30"/>
        <v>-6693.5587920000007</v>
      </c>
      <c r="AG101" s="134"/>
      <c r="AH101" s="138" t="str">
        <f t="shared" si="31"/>
        <v/>
      </c>
      <c r="AI101" s="137">
        <f t="shared" si="32"/>
        <v>3547.2</v>
      </c>
    </row>
    <row r="102" spans="1:35" x14ac:dyDescent="0.25">
      <c r="A102" s="11"/>
      <c r="B102" s="11"/>
      <c r="C102" s="204"/>
      <c r="D102" s="11"/>
      <c r="E102" s="11"/>
      <c r="F102" s="11"/>
      <c r="G102" s="11"/>
      <c r="H102" s="181" t="s">
        <v>321</v>
      </c>
      <c r="I102" s="118"/>
      <c r="J102" s="118"/>
      <c r="K102" s="11"/>
      <c r="L102" s="86" t="str">
        <f>IF(_epmOfflineCondition_,"465200",_xll.EVPRO($B$1,H102,"JDEID"))</f>
        <v>465200</v>
      </c>
      <c r="M102" s="86" t="str">
        <f>IF(_epmOfflineCondition_,"",IF(AND(I102="N",J102="N"),_xll.EVPRO($B$1,H102,"PSFTID"),""))</f>
        <v/>
      </c>
      <c r="N102" s="86" t="str">
        <f>IF(_epmOfflineCondition_,"Private Dining Liquor",IF(_xll.EVDES(H102,$B$1)="#NODATA","",_xll.EVDES(H102,$B$1)))</f>
        <v>Private Dining Liquor</v>
      </c>
      <c r="O102" s="134"/>
      <c r="P102" s="134"/>
      <c r="Q102" s="134"/>
      <c r="R102" s="134"/>
      <c r="S102" s="134"/>
      <c r="T102" s="134"/>
      <c r="U102" s="134"/>
      <c r="V102" s="134"/>
      <c r="W102" s="134"/>
      <c r="X102" s="134"/>
      <c r="Y102" s="134"/>
      <c r="Z102" s="134">
        <v>140</v>
      </c>
      <c r="AA102" s="134">
        <f t="shared" si="27"/>
        <v>140</v>
      </c>
      <c r="AB102" s="138">
        <f t="shared" si="28"/>
        <v>9.1732972132571437E-4</v>
      </c>
      <c r="AC102" s="136"/>
      <c r="AD102" s="134">
        <v>9332.9641200000005</v>
      </c>
      <c r="AE102" s="138">
        <f t="shared" si="29"/>
        <v>7.1446188174657324E-3</v>
      </c>
      <c r="AF102" s="137">
        <f t="shared" si="30"/>
        <v>-9192.9641200000005</v>
      </c>
      <c r="AG102" s="134"/>
      <c r="AH102" s="138" t="str">
        <f t="shared" si="31"/>
        <v/>
      </c>
      <c r="AI102" s="137">
        <f t="shared" si="32"/>
        <v>140</v>
      </c>
    </row>
    <row r="103" spans="1:35" x14ac:dyDescent="0.25">
      <c r="A103" s="11"/>
      <c r="B103" s="11"/>
      <c r="C103" s="204"/>
      <c r="D103" s="11"/>
      <c r="E103" s="11"/>
      <c r="F103" s="11"/>
      <c r="G103" s="11"/>
      <c r="H103" s="181" t="s">
        <v>340</v>
      </c>
      <c r="I103" s="118"/>
      <c r="J103" s="118"/>
      <c r="K103" s="11"/>
      <c r="L103" s="86" t="str">
        <f>IF(_epmOfflineCondition_,"",_xll.EVPRO($B$1,H103,"JDEID"))</f>
        <v/>
      </c>
      <c r="M103" s="86" t="str">
        <f>IF(_epmOfflineCondition_,"",IF(AND(I103="N",J103="N"),_xll.EVPRO($B$1,H103,"PSFTID"),""))</f>
        <v/>
      </c>
      <c r="N103" s="102" t="str">
        <f>IF(_epmOfflineCondition_,"Liquor Revenue ",IF(_xll.EVDES(H103,$B$1)="#NODATA","",_xll.EVDES(H103,$B$1)))</f>
        <v xml:space="preserve">Liquor Revenue </v>
      </c>
      <c r="O103" s="158"/>
      <c r="P103" s="158"/>
      <c r="Q103" s="158"/>
      <c r="R103" s="158"/>
      <c r="S103" s="158"/>
      <c r="T103" s="158"/>
      <c r="U103" s="158"/>
      <c r="V103" s="158"/>
      <c r="W103" s="158"/>
      <c r="X103" s="158">
        <v>171.53</v>
      </c>
      <c r="Y103" s="158">
        <v>4881.6000000000004</v>
      </c>
      <c r="Z103" s="158">
        <v>6869.05</v>
      </c>
      <c r="AA103" s="158">
        <f t="shared" si="27"/>
        <v>11922.18</v>
      </c>
      <c r="AB103" s="159">
        <f t="shared" si="28"/>
        <v>7.8118357549964323E-2</v>
      </c>
      <c r="AC103" s="136"/>
      <c r="AD103" s="158">
        <v>224910.862246</v>
      </c>
      <c r="AE103" s="159">
        <f t="shared" si="29"/>
        <v>0.17217492299276241</v>
      </c>
      <c r="AF103" s="160">
        <f t="shared" si="30"/>
        <v>-212988.68224600001</v>
      </c>
      <c r="AG103" s="158"/>
      <c r="AH103" s="159" t="str">
        <f t="shared" si="31"/>
        <v/>
      </c>
      <c r="AI103" s="160">
        <f t="shared" si="32"/>
        <v>11922.18</v>
      </c>
    </row>
    <row r="104" spans="1:35" x14ac:dyDescent="0.25">
      <c r="A104" s="11"/>
      <c r="B104" s="11"/>
      <c r="C104" s="204"/>
      <c r="D104" s="11"/>
      <c r="E104" s="11"/>
      <c r="F104" s="11"/>
      <c r="G104" s="11"/>
      <c r="H104" s="181"/>
      <c r="I104" s="118"/>
      <c r="J104" s="118"/>
      <c r="K104" s="11"/>
      <c r="L104" s="86"/>
      <c r="M104" s="86"/>
      <c r="N104" s="49"/>
      <c r="O104" s="166"/>
      <c r="P104" s="167"/>
      <c r="Q104" s="167"/>
      <c r="R104" s="167"/>
      <c r="S104" s="167"/>
      <c r="T104" s="167"/>
      <c r="U104" s="167"/>
      <c r="V104" s="167"/>
      <c r="W104" s="167"/>
      <c r="X104" s="167"/>
      <c r="Y104" s="167"/>
      <c r="Z104" s="167"/>
      <c r="AA104" s="167"/>
      <c r="AB104" s="168"/>
      <c r="AC104" s="136"/>
      <c r="AD104" s="166"/>
      <c r="AE104" s="167"/>
      <c r="AF104" s="168"/>
      <c r="AG104" s="166"/>
      <c r="AH104" s="167"/>
      <c r="AI104" s="168"/>
    </row>
    <row r="105" spans="1:35" x14ac:dyDescent="0.25">
      <c r="A105" s="11"/>
      <c r="B105" s="11"/>
      <c r="C105" s="204"/>
      <c r="D105" s="11"/>
      <c r="E105" s="11"/>
      <c r="F105" s="11"/>
      <c r="G105" s="11"/>
      <c r="H105" s="181"/>
      <c r="I105" s="118"/>
      <c r="J105" s="118"/>
      <c r="K105" s="11"/>
      <c r="L105" s="86"/>
      <c r="M105" s="86"/>
      <c r="N105" s="49" t="s">
        <v>339</v>
      </c>
      <c r="O105" s="154"/>
      <c r="P105" s="155"/>
      <c r="Q105" s="155"/>
      <c r="R105" s="155"/>
      <c r="S105" s="155"/>
      <c r="T105" s="155"/>
      <c r="U105" s="155"/>
      <c r="V105" s="155"/>
      <c r="W105" s="155"/>
      <c r="X105" s="155"/>
      <c r="Y105" s="155"/>
      <c r="Z105" s="155"/>
      <c r="AA105" s="155"/>
      <c r="AB105" s="156"/>
      <c r="AC105" s="136"/>
      <c r="AD105" s="154"/>
      <c r="AE105" s="155"/>
      <c r="AF105" s="156"/>
      <c r="AG105" s="154"/>
      <c r="AH105" s="155"/>
      <c r="AI105" s="156"/>
    </row>
    <row r="106" spans="1:35" x14ac:dyDescent="0.25">
      <c r="A106" s="11"/>
      <c r="B106" s="11"/>
      <c r="C106" s="204"/>
      <c r="D106" s="11"/>
      <c r="E106" s="11"/>
      <c r="F106" s="11"/>
      <c r="G106" s="11"/>
      <c r="H106" s="181" t="s">
        <v>295</v>
      </c>
      <c r="I106" s="118"/>
      <c r="J106" s="118"/>
      <c r="K106" s="11"/>
      <c r="L106" s="86" t="str">
        <f>IF(_epmOfflineCondition_,"461300",_xll.EVPRO($B$1,H106,"JDEID"))</f>
        <v>461300</v>
      </c>
      <c r="M106" s="86" t="str">
        <f>IF(_epmOfflineCondition_,"",IF(AND(I106="N",J106="N"),_xll.EVPRO($B$1,H106,"PSFTID"),""))</f>
        <v/>
      </c>
      <c r="N106" s="86" t="str">
        <f>IF(_epmOfflineCondition_,"Breakfast Beer",IF(_xll.EVDES(H106,$B$1)="#NODATA","",_xll.EVDES(H106,$B$1)))</f>
        <v>Breakfast Beer</v>
      </c>
      <c r="O106" s="134"/>
      <c r="P106" s="134"/>
      <c r="Q106" s="134"/>
      <c r="R106" s="134"/>
      <c r="S106" s="134"/>
      <c r="T106" s="134"/>
      <c r="U106" s="134"/>
      <c r="V106" s="134"/>
      <c r="W106" s="134"/>
      <c r="X106" s="134"/>
      <c r="Y106" s="134">
        <v>12</v>
      </c>
      <c r="Z106" s="134"/>
      <c r="AA106" s="134">
        <f t="shared" ref="AA106:AA111" si="33">SUM(O106:Z106)</f>
        <v>12</v>
      </c>
      <c r="AB106" s="138">
        <f t="shared" ref="AB106:AB111" si="34">IF(AA106=0,"",IFERROR(AA106/AA$19,""))</f>
        <v>7.8628261827918376E-5</v>
      </c>
      <c r="AC106" s="136"/>
      <c r="AD106" s="134">
        <v>724.553</v>
      </c>
      <c r="AE106" s="138">
        <f t="shared" ref="AE106:AE111" si="35">IF(AD106=0,"",IFERROR(AD106/AD$19,""))</f>
        <v>5.5466354863166966E-4</v>
      </c>
      <c r="AF106" s="137">
        <f t="shared" ref="AF106:AF111" si="36">IF(AND($AA106="",AD106=""),"",$AA106-AD106)</f>
        <v>-712.553</v>
      </c>
      <c r="AG106" s="134"/>
      <c r="AH106" s="138" t="str">
        <f t="shared" ref="AH106:AH111" si="37">IF(AG106=0,"",IFERROR(AG106/AG$19,""))</f>
        <v/>
      </c>
      <c r="AI106" s="137">
        <f t="shared" ref="AI106:AI111" si="38">IF(AND($AA106="",AG106=""),"",$AA106-AG106)</f>
        <v>12</v>
      </c>
    </row>
    <row r="107" spans="1:35" x14ac:dyDescent="0.25">
      <c r="A107" s="11"/>
      <c r="B107" s="11"/>
      <c r="C107" s="204"/>
      <c r="D107" s="11"/>
      <c r="E107" s="11"/>
      <c r="F107" s="11"/>
      <c r="G107" s="11"/>
      <c r="H107" s="181" t="s">
        <v>305</v>
      </c>
      <c r="I107" s="118"/>
      <c r="J107" s="118"/>
      <c r="K107" s="11"/>
      <c r="L107" s="86" t="str">
        <f>IF(_epmOfflineCondition_,"462300",_xll.EVPRO($B$1,H107,"JDEID"))</f>
        <v>462300</v>
      </c>
      <c r="M107" s="86" t="str">
        <f>IF(_epmOfflineCondition_,"",IF(AND(I107="N",J107="N"),_xll.EVPRO($B$1,H107,"PSFTID"),""))</f>
        <v/>
      </c>
      <c r="N107" s="86" t="str">
        <f>IF(_epmOfflineCondition_,"Lunch Beer",IF(_xll.EVDES(H107,$B$1)="#NODATA","",_xll.EVDES(H107,$B$1)))</f>
        <v>Lunch Beer</v>
      </c>
      <c r="O107" s="134"/>
      <c r="P107" s="134"/>
      <c r="Q107" s="134"/>
      <c r="R107" s="134"/>
      <c r="S107" s="134"/>
      <c r="T107" s="134"/>
      <c r="U107" s="134"/>
      <c r="V107" s="134"/>
      <c r="W107" s="134"/>
      <c r="X107" s="134"/>
      <c r="Y107" s="134">
        <v>28</v>
      </c>
      <c r="Z107" s="134">
        <v>22</v>
      </c>
      <c r="AA107" s="134">
        <f t="shared" si="33"/>
        <v>50</v>
      </c>
      <c r="AB107" s="138">
        <f t="shared" si="34"/>
        <v>3.276177576163266E-4</v>
      </c>
      <c r="AC107" s="136"/>
      <c r="AD107" s="134">
        <v>3508.5282350000002</v>
      </c>
      <c r="AE107" s="138">
        <f t="shared" si="35"/>
        <v>2.6858666257672092E-3</v>
      </c>
      <c r="AF107" s="137">
        <f t="shared" si="36"/>
        <v>-3458.5282350000002</v>
      </c>
      <c r="AG107" s="134"/>
      <c r="AH107" s="138" t="str">
        <f t="shared" si="37"/>
        <v/>
      </c>
      <c r="AI107" s="137">
        <f t="shared" si="38"/>
        <v>50</v>
      </c>
    </row>
    <row r="108" spans="1:35" x14ac:dyDescent="0.25">
      <c r="A108" s="11"/>
      <c r="B108" s="11"/>
      <c r="C108" s="204"/>
      <c r="D108" s="11"/>
      <c r="E108" s="11"/>
      <c r="F108" s="11"/>
      <c r="G108" s="11"/>
      <c r="H108" s="181" t="s">
        <v>306</v>
      </c>
      <c r="I108" s="118"/>
      <c r="J108" s="118"/>
      <c r="K108" s="11"/>
      <c r="L108" s="86" t="str">
        <f>IF(_epmOfflineCondition_,"463300",_xll.EVPRO($B$1,H108,"JDEID"))</f>
        <v>463300</v>
      </c>
      <c r="M108" s="86" t="str">
        <f>IF(_epmOfflineCondition_,"",IF(AND(I108="N",J108="N"),_xll.EVPRO($B$1,H108,"PSFTID"),""))</f>
        <v/>
      </c>
      <c r="N108" s="86" t="str">
        <f>IF(_epmOfflineCondition_,"Dinner Beer",IF(_xll.EVDES(H108,$B$1)="#NODATA","",_xll.EVDES(H108,$B$1)))</f>
        <v>Dinner Beer</v>
      </c>
      <c r="O108" s="134"/>
      <c r="P108" s="134"/>
      <c r="Q108" s="134"/>
      <c r="R108" s="134"/>
      <c r="S108" s="134"/>
      <c r="T108" s="134"/>
      <c r="U108" s="134"/>
      <c r="V108" s="134"/>
      <c r="W108" s="134"/>
      <c r="X108" s="134">
        <v>38</v>
      </c>
      <c r="Y108" s="134">
        <v>976</v>
      </c>
      <c r="Z108" s="134">
        <v>673.6</v>
      </c>
      <c r="AA108" s="134">
        <f t="shared" si="33"/>
        <v>1687.6</v>
      </c>
      <c r="AB108" s="138">
        <f t="shared" si="34"/>
        <v>1.1057754555066255E-2</v>
      </c>
      <c r="AC108" s="136"/>
      <c r="AD108" s="134">
        <v>48618.614322000001</v>
      </c>
      <c r="AE108" s="138">
        <f t="shared" si="35"/>
        <v>3.7218772331899859E-2</v>
      </c>
      <c r="AF108" s="137">
        <f t="shared" si="36"/>
        <v>-46931.014322000003</v>
      </c>
      <c r="AG108" s="134"/>
      <c r="AH108" s="138" t="str">
        <f t="shared" si="37"/>
        <v/>
      </c>
      <c r="AI108" s="137">
        <f t="shared" si="38"/>
        <v>1687.6</v>
      </c>
    </row>
    <row r="109" spans="1:35" x14ac:dyDescent="0.25">
      <c r="A109" s="11"/>
      <c r="B109" s="11"/>
      <c r="C109" s="204"/>
      <c r="D109" s="11"/>
      <c r="E109" s="11"/>
      <c r="F109" s="11"/>
      <c r="G109" s="11"/>
      <c r="H109" s="181" t="s">
        <v>310</v>
      </c>
      <c r="I109" s="118"/>
      <c r="J109" s="118"/>
      <c r="K109" s="11"/>
      <c r="L109" s="86" t="str">
        <f>IF(_epmOfflineCondition_,"464300",_xll.EVPRO($B$1,H109,"JDEID"))</f>
        <v>464300</v>
      </c>
      <c r="M109" s="86" t="str">
        <f>IF(_epmOfflineCondition_,"",IF(AND(I109="N",J109="N"),_xll.EVPRO($B$1,H109,"PSFTID"),""))</f>
        <v/>
      </c>
      <c r="N109" s="86" t="str">
        <f>IF(_epmOfflineCondition_,"Bar Beer",IF(_xll.EVDES(H109,$B$1)="#NODATA","",_xll.EVDES(H109,$B$1)))</f>
        <v>Bar Beer</v>
      </c>
      <c r="O109" s="134"/>
      <c r="P109" s="134"/>
      <c r="Q109" s="134"/>
      <c r="R109" s="134"/>
      <c r="S109" s="134"/>
      <c r="T109" s="134"/>
      <c r="U109" s="134"/>
      <c r="V109" s="134"/>
      <c r="W109" s="134"/>
      <c r="X109" s="134"/>
      <c r="Y109" s="134">
        <v>98</v>
      </c>
      <c r="Z109" s="134">
        <v>126</v>
      </c>
      <c r="AA109" s="134">
        <f t="shared" si="33"/>
        <v>224</v>
      </c>
      <c r="AB109" s="138">
        <f t="shared" si="34"/>
        <v>1.4677275541211431E-3</v>
      </c>
      <c r="AC109" s="136"/>
      <c r="AD109" s="134">
        <v>3638.3893680000001</v>
      </c>
      <c r="AE109" s="138">
        <f t="shared" si="35"/>
        <v>2.7852785899149103E-3</v>
      </c>
      <c r="AF109" s="137">
        <f t="shared" si="36"/>
        <v>-3414.3893680000001</v>
      </c>
      <c r="AG109" s="134"/>
      <c r="AH109" s="138" t="str">
        <f t="shared" si="37"/>
        <v/>
      </c>
      <c r="AI109" s="137">
        <f t="shared" si="38"/>
        <v>224</v>
      </c>
    </row>
    <row r="110" spans="1:35" x14ac:dyDescent="0.25">
      <c r="A110" s="11"/>
      <c r="B110" s="11"/>
      <c r="C110" s="204"/>
      <c r="D110" s="11"/>
      <c r="E110" s="11"/>
      <c r="F110" s="11"/>
      <c r="G110" s="11"/>
      <c r="H110" s="181" t="s">
        <v>323</v>
      </c>
      <c r="I110" s="118"/>
      <c r="J110" s="118"/>
      <c r="K110" s="11"/>
      <c r="L110" s="86" t="str">
        <f>IF(_epmOfflineCondition_,"465300",_xll.EVPRO($B$1,H110,"JDEID"))</f>
        <v>465300</v>
      </c>
      <c r="M110" s="86" t="str">
        <f>IF(_epmOfflineCondition_,"",IF(AND(I110="N",J110="N"),_xll.EVPRO($B$1,H110,"PSFTID"),""))</f>
        <v/>
      </c>
      <c r="N110" s="86" t="str">
        <f>IF(_epmOfflineCondition_,"Private Dining Beer",IF(_xll.EVDES(H110,$B$1)="#NODATA","",_xll.EVDES(H110,$B$1)))</f>
        <v>Private Dining Beer</v>
      </c>
      <c r="O110" s="134"/>
      <c r="P110" s="134"/>
      <c r="Q110" s="134"/>
      <c r="R110" s="134"/>
      <c r="S110" s="134"/>
      <c r="T110" s="134"/>
      <c r="U110" s="134"/>
      <c r="V110" s="134"/>
      <c r="W110" s="134"/>
      <c r="X110" s="134"/>
      <c r="Y110" s="134"/>
      <c r="Z110" s="134"/>
      <c r="AA110" s="134">
        <f t="shared" si="33"/>
        <v>0</v>
      </c>
      <c r="AB110" s="138" t="str">
        <f t="shared" si="34"/>
        <v/>
      </c>
      <c r="AC110" s="136"/>
      <c r="AD110" s="134">
        <v>2611.14732</v>
      </c>
      <c r="AE110" s="138">
        <f t="shared" si="35"/>
        <v>1.9988989604780797E-3</v>
      </c>
      <c r="AF110" s="137">
        <f t="shared" si="36"/>
        <v>-2611.14732</v>
      </c>
      <c r="AG110" s="134"/>
      <c r="AH110" s="138" t="str">
        <f t="shared" si="37"/>
        <v/>
      </c>
      <c r="AI110" s="137">
        <f t="shared" si="38"/>
        <v>0</v>
      </c>
    </row>
    <row r="111" spans="1:35" x14ac:dyDescent="0.25">
      <c r="A111" s="11"/>
      <c r="B111" s="11"/>
      <c r="C111" s="204"/>
      <c r="D111" s="11"/>
      <c r="E111" s="11"/>
      <c r="F111" s="11"/>
      <c r="G111" s="11"/>
      <c r="H111" s="181" t="s">
        <v>342</v>
      </c>
      <c r="I111" s="118"/>
      <c r="J111" s="118"/>
      <c r="K111" s="11"/>
      <c r="L111" s="86" t="str">
        <f>IF(_epmOfflineCondition_,"",_xll.EVPRO($B$1,H111,"JDEID"))</f>
        <v/>
      </c>
      <c r="M111" s="86" t="str">
        <f>IF(_epmOfflineCondition_,"",IF(AND(I111="N",J111="N"),_xll.EVPRO($B$1,H111,"PSFTID"),""))</f>
        <v/>
      </c>
      <c r="N111" s="102" t="str">
        <f>IF(_epmOfflineCondition_,"Beer Revenue",IF(_xll.EVDES(H111,$B$1)="#NODATA","",_xll.EVDES(H111,$B$1)))</f>
        <v>Beer Revenue</v>
      </c>
      <c r="O111" s="158"/>
      <c r="P111" s="158"/>
      <c r="Q111" s="158"/>
      <c r="R111" s="158"/>
      <c r="S111" s="158"/>
      <c r="T111" s="158"/>
      <c r="U111" s="158"/>
      <c r="V111" s="158"/>
      <c r="W111" s="158"/>
      <c r="X111" s="158">
        <v>38</v>
      </c>
      <c r="Y111" s="158">
        <v>1114</v>
      </c>
      <c r="Z111" s="158">
        <v>821.6</v>
      </c>
      <c r="AA111" s="158">
        <f t="shared" si="33"/>
        <v>1973.6</v>
      </c>
      <c r="AB111" s="159">
        <f t="shared" si="34"/>
        <v>1.2931728128631642E-2</v>
      </c>
      <c r="AC111" s="136"/>
      <c r="AD111" s="158">
        <v>59101.232244999999</v>
      </c>
      <c r="AE111" s="159">
        <f t="shared" si="35"/>
        <v>4.524348005669173E-2</v>
      </c>
      <c r="AF111" s="160">
        <f t="shared" si="36"/>
        <v>-57127.632245000001</v>
      </c>
      <c r="AG111" s="158"/>
      <c r="AH111" s="159" t="str">
        <f t="shared" si="37"/>
        <v/>
      </c>
      <c r="AI111" s="160">
        <f t="shared" si="38"/>
        <v>1973.6</v>
      </c>
    </row>
    <row r="112" spans="1:35" x14ac:dyDescent="0.25">
      <c r="A112" s="11"/>
      <c r="B112" s="11"/>
      <c r="C112" s="204"/>
      <c r="D112" s="11"/>
      <c r="E112" s="11"/>
      <c r="F112" s="11"/>
      <c r="G112" s="11"/>
      <c r="H112" s="181"/>
      <c r="I112" s="118"/>
      <c r="J112" s="118"/>
      <c r="K112" s="11"/>
      <c r="L112" s="86"/>
      <c r="M112" s="86"/>
      <c r="N112" s="49"/>
      <c r="O112" s="166"/>
      <c r="P112" s="167"/>
      <c r="Q112" s="167"/>
      <c r="R112" s="167"/>
      <c r="S112" s="167"/>
      <c r="T112" s="167"/>
      <c r="U112" s="167"/>
      <c r="V112" s="167"/>
      <c r="W112" s="167"/>
      <c r="X112" s="167"/>
      <c r="Y112" s="167"/>
      <c r="Z112" s="167"/>
      <c r="AA112" s="167"/>
      <c r="AB112" s="168"/>
      <c r="AC112" s="136"/>
      <c r="AD112" s="166"/>
      <c r="AE112" s="167"/>
      <c r="AF112" s="168"/>
      <c r="AG112" s="166"/>
      <c r="AH112" s="167"/>
      <c r="AI112" s="168"/>
    </row>
    <row r="113" spans="1:35" x14ac:dyDescent="0.25">
      <c r="A113" s="11"/>
      <c r="B113" s="11"/>
      <c r="C113" s="204"/>
      <c r="D113" s="11"/>
      <c r="E113" s="11"/>
      <c r="F113" s="11"/>
      <c r="G113" s="11"/>
      <c r="H113" s="181"/>
      <c r="I113" s="118"/>
      <c r="J113" s="118"/>
      <c r="K113" s="11"/>
      <c r="L113" s="86"/>
      <c r="M113" s="86"/>
      <c r="N113" s="49" t="s">
        <v>338</v>
      </c>
      <c r="O113" s="154"/>
      <c r="P113" s="155"/>
      <c r="Q113" s="155"/>
      <c r="R113" s="155"/>
      <c r="S113" s="155"/>
      <c r="T113" s="155"/>
      <c r="U113" s="155"/>
      <c r="V113" s="155"/>
      <c r="W113" s="155"/>
      <c r="X113" s="155"/>
      <c r="Y113" s="155"/>
      <c r="Z113" s="155"/>
      <c r="AA113" s="155"/>
      <c r="AB113" s="156"/>
      <c r="AC113" s="136"/>
      <c r="AD113" s="154"/>
      <c r="AE113" s="155"/>
      <c r="AF113" s="156"/>
      <c r="AG113" s="154"/>
      <c r="AH113" s="155"/>
      <c r="AI113" s="156"/>
    </row>
    <row r="114" spans="1:35" x14ac:dyDescent="0.25">
      <c r="A114" s="11"/>
      <c r="B114" s="11"/>
      <c r="C114" s="204"/>
      <c r="D114" s="11"/>
      <c r="E114" s="11"/>
      <c r="F114" s="11"/>
      <c r="G114" s="11"/>
      <c r="H114" s="181" t="s">
        <v>296</v>
      </c>
      <c r="I114" s="118"/>
      <c r="J114" s="118"/>
      <c r="K114" s="11"/>
      <c r="L114" s="86" t="str">
        <f>IF(_epmOfflineCondition_,"461400",_xll.EVPRO($B$1,H114,"JDEID"))</f>
        <v>461400</v>
      </c>
      <c r="M114" s="86" t="str">
        <f>IF(_epmOfflineCondition_,"",IF(AND(I114="N",J114="N"),_xll.EVPRO($B$1,H114,"PSFTID"),""))</f>
        <v/>
      </c>
      <c r="N114" s="86" t="str">
        <f>IF(_epmOfflineCondition_,"Breakfast Wine",IF(_xll.EVDES(H114,$B$1)="#NODATA","",_xll.EVDES(H114,$B$1)))</f>
        <v>Breakfast Wine</v>
      </c>
      <c r="O114" s="134"/>
      <c r="P114" s="134"/>
      <c r="Q114" s="134"/>
      <c r="R114" s="134"/>
      <c r="S114" s="134"/>
      <c r="T114" s="134"/>
      <c r="U114" s="134"/>
      <c r="V114" s="134"/>
      <c r="W114" s="134"/>
      <c r="X114" s="134"/>
      <c r="Y114" s="134">
        <v>356.6</v>
      </c>
      <c r="Z114" s="134">
        <v>220</v>
      </c>
      <c r="AA114" s="134">
        <f t="shared" ref="AA114:AA119" si="39">SUM(O114:Z114)</f>
        <v>576.6</v>
      </c>
      <c r="AB114" s="138">
        <f t="shared" ref="AB114:AB119" si="40">IF(AA114=0,"",IFERROR(AA114/AA$19,""))</f>
        <v>3.7780879808314784E-3</v>
      </c>
      <c r="AC114" s="136"/>
      <c r="AD114" s="134">
        <v>8223.25245</v>
      </c>
      <c r="AE114" s="138">
        <f t="shared" ref="AE114:AE119" si="41">IF(AD114=0,"",IFERROR(AD114/AD$19,""))</f>
        <v>6.2951066177506293E-3</v>
      </c>
      <c r="AF114" s="137">
        <f t="shared" ref="AF114:AF119" si="42">IF(AND($AA114="",AD114=""),"",$AA114-AD114)</f>
        <v>-7646.6524499999996</v>
      </c>
      <c r="AG114" s="134"/>
      <c r="AH114" s="138" t="str">
        <f t="shared" ref="AH114:AH119" si="43">IF(AG114=0,"",IFERROR(AG114/AG$19,""))</f>
        <v/>
      </c>
      <c r="AI114" s="137">
        <f t="shared" ref="AI114:AI119" si="44">IF(AND($AA114="",AG114=""),"",$AA114-AG114)</f>
        <v>576.6</v>
      </c>
    </row>
    <row r="115" spans="1:35" x14ac:dyDescent="0.25">
      <c r="A115" s="11"/>
      <c r="B115" s="11"/>
      <c r="C115" s="204"/>
      <c r="D115" s="11"/>
      <c r="E115" s="11"/>
      <c r="F115" s="11"/>
      <c r="G115" s="11"/>
      <c r="H115" s="181" t="s">
        <v>303</v>
      </c>
      <c r="I115" s="118"/>
      <c r="J115" s="118"/>
      <c r="K115" s="11"/>
      <c r="L115" s="86" t="str">
        <f>IF(_epmOfflineCondition_,"462400",_xll.EVPRO($B$1,H115,"JDEID"))</f>
        <v>462400</v>
      </c>
      <c r="M115" s="86" t="str">
        <f>IF(_epmOfflineCondition_,"",IF(AND(I115="N",J115="N"),_xll.EVPRO($B$1,H115,"PSFTID"),""))</f>
        <v/>
      </c>
      <c r="N115" s="86" t="str">
        <f>IF(_epmOfflineCondition_,"Lunch Wine",IF(_xll.EVDES(H115,$B$1)="#NODATA","",_xll.EVDES(H115,$B$1)))</f>
        <v>Lunch Wine</v>
      </c>
      <c r="O115" s="134"/>
      <c r="P115" s="134"/>
      <c r="Q115" s="134"/>
      <c r="R115" s="134"/>
      <c r="S115" s="134"/>
      <c r="T115" s="134"/>
      <c r="U115" s="134"/>
      <c r="V115" s="134"/>
      <c r="W115" s="134"/>
      <c r="X115" s="134"/>
      <c r="Y115" s="134">
        <v>655</v>
      </c>
      <c r="Z115" s="134">
        <v>1388</v>
      </c>
      <c r="AA115" s="134">
        <f t="shared" si="39"/>
        <v>2043</v>
      </c>
      <c r="AB115" s="138">
        <f t="shared" si="40"/>
        <v>1.3386461576203103E-2</v>
      </c>
      <c r="AC115" s="136"/>
      <c r="AD115" s="134">
        <v>67022.481020000007</v>
      </c>
      <c r="AE115" s="138">
        <f t="shared" si="41"/>
        <v>5.1307395263910205E-2</v>
      </c>
      <c r="AF115" s="137">
        <f t="shared" si="42"/>
        <v>-64979.481020000007</v>
      </c>
      <c r="AG115" s="134"/>
      <c r="AH115" s="138" t="str">
        <f t="shared" si="43"/>
        <v/>
      </c>
      <c r="AI115" s="137">
        <f t="shared" si="44"/>
        <v>2043</v>
      </c>
    </row>
    <row r="116" spans="1:35" x14ac:dyDescent="0.25">
      <c r="A116" s="11"/>
      <c r="B116" s="11"/>
      <c r="C116" s="204"/>
      <c r="D116" s="11"/>
      <c r="E116" s="11"/>
      <c r="F116" s="11"/>
      <c r="G116" s="11"/>
      <c r="H116" s="181" t="s">
        <v>304</v>
      </c>
      <c r="I116" s="118"/>
      <c r="J116" s="118"/>
      <c r="K116" s="11"/>
      <c r="L116" s="86" t="str">
        <f>IF(_epmOfflineCondition_,"463400",_xll.EVPRO($B$1,H116,"JDEID"))</f>
        <v>463400</v>
      </c>
      <c r="M116" s="86" t="str">
        <f>IF(_epmOfflineCondition_,"",IF(AND(I116="N",J116="N"),_xll.EVPRO($B$1,H116,"PSFTID"),""))</f>
        <v/>
      </c>
      <c r="N116" s="86" t="str">
        <f>IF(_epmOfflineCondition_,"Dinner Wine",IF(_xll.EVDES(H116,$B$1)="#NODATA","",_xll.EVDES(H116,$B$1)))</f>
        <v>Dinner Wine</v>
      </c>
      <c r="O116" s="134"/>
      <c r="P116" s="134"/>
      <c r="Q116" s="134"/>
      <c r="R116" s="134"/>
      <c r="S116" s="134"/>
      <c r="T116" s="134"/>
      <c r="U116" s="134"/>
      <c r="V116" s="134"/>
      <c r="W116" s="134"/>
      <c r="X116" s="134">
        <v>173</v>
      </c>
      <c r="Y116" s="134">
        <v>4831.12</v>
      </c>
      <c r="Z116" s="134">
        <v>6795</v>
      </c>
      <c r="AA116" s="134">
        <f t="shared" si="39"/>
        <v>11799.119999999999</v>
      </c>
      <c r="AB116" s="138">
        <f t="shared" si="40"/>
        <v>7.7312024724919021E-2</v>
      </c>
      <c r="AC116" s="136"/>
      <c r="AD116" s="134">
        <v>82196.993979000006</v>
      </c>
      <c r="AE116" s="138">
        <f t="shared" si="41"/>
        <v>6.2923866669861467E-2</v>
      </c>
      <c r="AF116" s="137">
        <f t="shared" si="42"/>
        <v>-70397.873979000011</v>
      </c>
      <c r="AG116" s="134"/>
      <c r="AH116" s="138" t="str">
        <f t="shared" si="43"/>
        <v/>
      </c>
      <c r="AI116" s="137">
        <f t="shared" si="44"/>
        <v>11799.119999999999</v>
      </c>
    </row>
    <row r="117" spans="1:35" x14ac:dyDescent="0.25">
      <c r="A117" s="11"/>
      <c r="B117" s="11"/>
      <c r="C117" s="204"/>
      <c r="D117" s="11"/>
      <c r="E117" s="11"/>
      <c r="F117" s="11"/>
      <c r="G117" s="11"/>
      <c r="H117" s="181" t="s">
        <v>309</v>
      </c>
      <c r="I117" s="118"/>
      <c r="J117" s="118"/>
      <c r="K117" s="11"/>
      <c r="L117" s="86" t="str">
        <f>IF(_epmOfflineCondition_,"464400",_xll.EVPRO($B$1,H117,"JDEID"))</f>
        <v>464400</v>
      </c>
      <c r="M117" s="86" t="str">
        <f>IF(_epmOfflineCondition_,"",IF(AND(I117="N",J117="N"),_xll.EVPRO($B$1,H117,"PSFTID"),""))</f>
        <v/>
      </c>
      <c r="N117" s="86" t="str">
        <f>IF(_epmOfflineCondition_,"Bar Wine",IF(_xll.EVDES(H117,$B$1)="#NODATA","",_xll.EVDES(H117,$B$1)))</f>
        <v>Bar Wine</v>
      </c>
      <c r="O117" s="134"/>
      <c r="P117" s="134"/>
      <c r="Q117" s="134"/>
      <c r="R117" s="134"/>
      <c r="S117" s="134"/>
      <c r="T117" s="134"/>
      <c r="U117" s="134"/>
      <c r="V117" s="134"/>
      <c r="W117" s="134"/>
      <c r="X117" s="134"/>
      <c r="Y117" s="134">
        <v>630</v>
      </c>
      <c r="Z117" s="134">
        <v>1409</v>
      </c>
      <c r="AA117" s="134">
        <f t="shared" si="39"/>
        <v>2039</v>
      </c>
      <c r="AB117" s="138">
        <f t="shared" si="40"/>
        <v>1.3360252155593798E-2</v>
      </c>
      <c r="AC117" s="136"/>
      <c r="AD117" s="134">
        <v>3210.7747680000002</v>
      </c>
      <c r="AE117" s="138">
        <f t="shared" si="41"/>
        <v>2.4579288563789069E-3</v>
      </c>
      <c r="AF117" s="137">
        <f t="shared" si="42"/>
        <v>-1171.7747680000002</v>
      </c>
      <c r="AG117" s="134"/>
      <c r="AH117" s="138" t="str">
        <f t="shared" si="43"/>
        <v/>
      </c>
      <c r="AI117" s="137">
        <f t="shared" si="44"/>
        <v>2039</v>
      </c>
    </row>
    <row r="118" spans="1:35" x14ac:dyDescent="0.25">
      <c r="A118" s="11"/>
      <c r="B118" s="11"/>
      <c r="C118" s="204"/>
      <c r="D118" s="11"/>
      <c r="E118" s="11"/>
      <c r="F118" s="11"/>
      <c r="G118" s="11"/>
      <c r="H118" s="181" t="s">
        <v>322</v>
      </c>
      <c r="I118" s="118"/>
      <c r="J118" s="118"/>
      <c r="K118" s="11"/>
      <c r="L118" s="86" t="str">
        <f>IF(_epmOfflineCondition_,"465400",_xll.EVPRO($B$1,H118,"JDEID"))</f>
        <v>465400</v>
      </c>
      <c r="M118" s="86" t="str">
        <f>IF(_epmOfflineCondition_,"",IF(AND(I118="N",J118="N"),_xll.EVPRO($B$1,H118,"PSFTID"),""))</f>
        <v/>
      </c>
      <c r="N118" s="86" t="str">
        <f>IF(_epmOfflineCondition_,"Private Dining Wine",IF(_xll.EVDES(H118,$B$1)="#NODATA","",_xll.EVDES(H118,$B$1)))</f>
        <v>Private Dining Wine</v>
      </c>
      <c r="O118" s="134"/>
      <c r="P118" s="134"/>
      <c r="Q118" s="134"/>
      <c r="R118" s="134"/>
      <c r="S118" s="134"/>
      <c r="T118" s="134"/>
      <c r="U118" s="134"/>
      <c r="V118" s="134"/>
      <c r="W118" s="134"/>
      <c r="X118" s="134"/>
      <c r="Y118" s="134"/>
      <c r="Z118" s="134"/>
      <c r="AA118" s="134">
        <f t="shared" si="39"/>
        <v>0</v>
      </c>
      <c r="AB118" s="138" t="str">
        <f t="shared" si="40"/>
        <v/>
      </c>
      <c r="AC118" s="136"/>
      <c r="AD118" s="134">
        <v>4415.5662599999996</v>
      </c>
      <c r="AE118" s="138">
        <f t="shared" si="41"/>
        <v>3.3802270516992815E-3</v>
      </c>
      <c r="AF118" s="137">
        <f t="shared" si="42"/>
        <v>-4415.5662599999996</v>
      </c>
      <c r="AG118" s="134"/>
      <c r="AH118" s="138" t="str">
        <f t="shared" si="43"/>
        <v/>
      </c>
      <c r="AI118" s="137">
        <f t="shared" si="44"/>
        <v>0</v>
      </c>
    </row>
    <row r="119" spans="1:35" x14ac:dyDescent="0.25">
      <c r="A119" s="11"/>
      <c r="B119" s="11"/>
      <c r="C119" s="204"/>
      <c r="D119" s="11"/>
      <c r="E119" s="11"/>
      <c r="F119" s="11"/>
      <c r="G119" s="11"/>
      <c r="H119" s="181" t="s">
        <v>341</v>
      </c>
      <c r="I119" s="118"/>
      <c r="J119" s="118"/>
      <c r="K119" s="11"/>
      <c r="L119" s="86" t="str">
        <f>IF(_epmOfflineCondition_,"",_xll.EVPRO($B$1,H119,"JDEID"))</f>
        <v/>
      </c>
      <c r="M119" s="86" t="str">
        <f>IF(_epmOfflineCondition_,"",IF(AND(I119="N",J119="N"),_xll.EVPRO($B$1,H119,"PSFTID"),""))</f>
        <v/>
      </c>
      <c r="N119" s="102" t="str">
        <f>IF(_epmOfflineCondition_,"Wine Revenue",IF(_xll.EVDES(H119,$B$1)="#NODATA","",_xll.EVDES(H119,$B$1)))</f>
        <v>Wine Revenue</v>
      </c>
      <c r="O119" s="158"/>
      <c r="P119" s="158"/>
      <c r="Q119" s="158"/>
      <c r="R119" s="158"/>
      <c r="S119" s="158"/>
      <c r="T119" s="158"/>
      <c r="U119" s="158"/>
      <c r="V119" s="158"/>
      <c r="W119" s="158"/>
      <c r="X119" s="158">
        <v>173</v>
      </c>
      <c r="Y119" s="158">
        <v>6472.72</v>
      </c>
      <c r="Z119" s="158">
        <v>9812</v>
      </c>
      <c r="AA119" s="158">
        <f t="shared" si="39"/>
        <v>16457.72</v>
      </c>
      <c r="AB119" s="159">
        <f t="shared" si="40"/>
        <v>0.10783682643754741</v>
      </c>
      <c r="AC119" s="136"/>
      <c r="AD119" s="158">
        <v>165069.06847699999</v>
      </c>
      <c r="AE119" s="159">
        <f t="shared" si="41"/>
        <v>0.12636452445960047</v>
      </c>
      <c r="AF119" s="160">
        <f t="shared" si="42"/>
        <v>-148611.34847699999</v>
      </c>
      <c r="AG119" s="158"/>
      <c r="AH119" s="159" t="str">
        <f t="shared" si="43"/>
        <v/>
      </c>
      <c r="AI119" s="160">
        <f t="shared" si="44"/>
        <v>16457.72</v>
      </c>
    </row>
    <row r="120" spans="1:35" x14ac:dyDescent="0.25">
      <c r="A120" s="11"/>
      <c r="B120" s="11"/>
      <c r="C120" s="204"/>
      <c r="D120" s="11"/>
      <c r="E120" s="11"/>
      <c r="F120" s="11"/>
      <c r="G120" s="11"/>
      <c r="H120" s="181"/>
      <c r="I120" s="118"/>
      <c r="J120" s="118"/>
      <c r="K120" s="11"/>
      <c r="L120" s="86"/>
      <c r="M120" s="86"/>
      <c r="N120" s="11"/>
      <c r="O120" s="166"/>
      <c r="P120" s="167"/>
      <c r="Q120" s="167"/>
      <c r="R120" s="167"/>
      <c r="S120" s="167"/>
      <c r="T120" s="167"/>
      <c r="U120" s="167"/>
      <c r="V120" s="167"/>
      <c r="W120" s="167"/>
      <c r="X120" s="167"/>
      <c r="Y120" s="167"/>
      <c r="Z120" s="167"/>
      <c r="AA120" s="167"/>
      <c r="AB120" s="168"/>
      <c r="AC120" s="136"/>
      <c r="AD120" s="166"/>
      <c r="AE120" s="167"/>
      <c r="AF120" s="168"/>
      <c r="AG120" s="166"/>
      <c r="AH120" s="167"/>
      <c r="AI120" s="168"/>
    </row>
    <row r="121" spans="1:35" x14ac:dyDescent="0.25">
      <c r="A121" s="11"/>
      <c r="B121" s="11"/>
      <c r="C121" s="204"/>
      <c r="D121" s="11"/>
      <c r="E121" s="11"/>
      <c r="F121" s="11"/>
      <c r="G121" s="11"/>
      <c r="H121" s="84" t="s">
        <v>267</v>
      </c>
      <c r="I121" s="118"/>
      <c r="J121" s="118"/>
      <c r="K121" s="11"/>
      <c r="L121" s="86" t="str">
        <f>IF(_epmOfflineCondition_,"",_xll.EVPRO($B$1,H121,"JDEID"))</f>
        <v/>
      </c>
      <c r="M121" s="86" t="str">
        <f>IF(_epmOfflineCondition_,"",IF(AND(I121="N",J121="N"),_xll.EVPRO($B$1,H121,"PSFTID"),""))</f>
        <v/>
      </c>
      <c r="N121" s="86" t="str">
        <f>IF(_epmOfflineCondition_,"Breakfast  Beverage Revenue",IF(_xll.EVDES(H121,$B$1)="#NODATA","",_xll.EVDES(H121,$B$1)))</f>
        <v>Breakfast  Beverage Revenue</v>
      </c>
      <c r="O121" s="134">
        <f t="shared" ref="O121:Z121" si="45">O98+O106+O114</f>
        <v>0</v>
      </c>
      <c r="P121" s="134">
        <f t="shared" si="45"/>
        <v>0</v>
      </c>
      <c r="Q121" s="134">
        <f t="shared" si="45"/>
        <v>0</v>
      </c>
      <c r="R121" s="134">
        <f t="shared" si="45"/>
        <v>0</v>
      </c>
      <c r="S121" s="134">
        <f t="shared" si="45"/>
        <v>0</v>
      </c>
      <c r="T121" s="134">
        <f t="shared" si="45"/>
        <v>0</v>
      </c>
      <c r="U121" s="134">
        <f t="shared" si="45"/>
        <v>0</v>
      </c>
      <c r="V121" s="134">
        <f t="shared" si="45"/>
        <v>0</v>
      </c>
      <c r="W121" s="134">
        <f t="shared" si="45"/>
        <v>0</v>
      </c>
      <c r="X121" s="134">
        <f t="shared" si="45"/>
        <v>0</v>
      </c>
      <c r="Y121" s="134">
        <f t="shared" si="45"/>
        <v>392.6</v>
      </c>
      <c r="Z121" s="134">
        <f t="shared" si="45"/>
        <v>292.2</v>
      </c>
      <c r="AA121" s="134">
        <f t="shared" ref="AA121:AA126" si="46">SUM(O121:Z121)</f>
        <v>684.8</v>
      </c>
      <c r="AB121" s="138">
        <f t="shared" ref="AB121:AB126" si="47">IF(AA121=0,"",IFERROR(AA121/AA$19,""))</f>
        <v>4.4870528083132081E-3</v>
      </c>
      <c r="AC121" s="136"/>
      <c r="AD121" s="134">
        <f>AD98+AD106+AD114</f>
        <v>12746.718875</v>
      </c>
      <c r="AE121" s="138">
        <f t="shared" ref="AE121:AE126" si="48">IF(AD121=0,"",IFERROR(AD121/AD$19,""))</f>
        <v>9.7579339601351241E-3</v>
      </c>
      <c r="AF121" s="137">
        <f t="shared" ref="AF121:AF126" si="49">IF(AND($AA121="",AD121=""),"",$AA121-AD121)</f>
        <v>-12061.918875000001</v>
      </c>
      <c r="AG121" s="134">
        <f>AG98+AG106+AG114</f>
        <v>0</v>
      </c>
      <c r="AH121" s="138" t="str">
        <f t="shared" ref="AH121:AH126" si="50">IF(AG121=0,"",IFERROR(AG121/AG$19,""))</f>
        <v/>
      </c>
      <c r="AI121" s="137">
        <f t="shared" ref="AI121:AI126" si="51">IF(AND($AA121="",AG121=""),"",$AA121-AG121)</f>
        <v>684.8</v>
      </c>
    </row>
    <row r="122" spans="1:35" x14ac:dyDescent="0.25">
      <c r="A122" s="11"/>
      <c r="B122" s="11"/>
      <c r="C122" s="204"/>
      <c r="D122" s="11"/>
      <c r="E122" s="11"/>
      <c r="F122" s="11"/>
      <c r="G122" s="11"/>
      <c r="H122" s="84" t="s">
        <v>268</v>
      </c>
      <c r="I122" s="118"/>
      <c r="J122" s="118"/>
      <c r="K122" s="11"/>
      <c r="L122" s="86" t="str">
        <f>IF(_epmOfflineCondition_,"",_xll.EVPRO($B$1,H122,"JDEID"))</f>
        <v/>
      </c>
      <c r="M122" s="86" t="str">
        <f>IF(_epmOfflineCondition_,"",IF(AND(I122="N",J122="N"),_xll.EVPRO($B$1,H122,"PSFTID"),""))</f>
        <v/>
      </c>
      <c r="N122" s="86" t="str">
        <f>IF(_epmOfflineCondition_,"Lunch Beverage Revenue",IF(_xll.EVDES(H122,$B$1)="#NODATA","",_xll.EVDES(H122,$B$1)))</f>
        <v>Lunch Beverage Revenue</v>
      </c>
      <c r="O122" s="134">
        <f t="shared" ref="O122:Z122" si="52">O99+O107+O115</f>
        <v>0</v>
      </c>
      <c r="P122" s="134">
        <f t="shared" si="52"/>
        <v>0</v>
      </c>
      <c r="Q122" s="134">
        <f t="shared" si="52"/>
        <v>0</v>
      </c>
      <c r="R122" s="134">
        <f t="shared" si="52"/>
        <v>0</v>
      </c>
      <c r="S122" s="134">
        <f t="shared" si="52"/>
        <v>0</v>
      </c>
      <c r="T122" s="134">
        <f t="shared" si="52"/>
        <v>0</v>
      </c>
      <c r="U122" s="134">
        <f t="shared" si="52"/>
        <v>0</v>
      </c>
      <c r="V122" s="134">
        <f t="shared" si="52"/>
        <v>0</v>
      </c>
      <c r="W122" s="134">
        <f t="shared" si="52"/>
        <v>0</v>
      </c>
      <c r="X122" s="134">
        <f t="shared" si="52"/>
        <v>0</v>
      </c>
      <c r="Y122" s="134">
        <f t="shared" si="52"/>
        <v>873</v>
      </c>
      <c r="Z122" s="134">
        <f t="shared" si="52"/>
        <v>1687</v>
      </c>
      <c r="AA122" s="134">
        <f t="shared" si="46"/>
        <v>2560</v>
      </c>
      <c r="AB122" s="138">
        <f t="shared" si="47"/>
        <v>1.6774029189955922E-2</v>
      </c>
      <c r="AC122" s="136"/>
      <c r="AD122" s="134">
        <f>AD99+AD107+AD115</f>
        <v>98283.774805000008</v>
      </c>
      <c r="AE122" s="138">
        <f t="shared" si="48"/>
        <v>7.5238702077359693E-2</v>
      </c>
      <c r="AF122" s="137">
        <f t="shared" si="49"/>
        <v>-95723.774805000008</v>
      </c>
      <c r="AG122" s="134">
        <f>AG99+AG107+AG115</f>
        <v>0</v>
      </c>
      <c r="AH122" s="138" t="str">
        <f t="shared" si="50"/>
        <v/>
      </c>
      <c r="AI122" s="137">
        <f t="shared" si="51"/>
        <v>2560</v>
      </c>
    </row>
    <row r="123" spans="1:35" x14ac:dyDescent="0.25">
      <c r="A123" s="11"/>
      <c r="B123" s="11"/>
      <c r="C123" s="204"/>
      <c r="D123" s="11"/>
      <c r="E123" s="11"/>
      <c r="F123" s="11"/>
      <c r="G123" s="11"/>
      <c r="H123" s="181" t="s">
        <v>269</v>
      </c>
      <c r="I123" s="118"/>
      <c r="J123" s="118"/>
      <c r="K123" s="11"/>
      <c r="L123" s="86" t="str">
        <f>IF(_epmOfflineCondition_,"",_xll.EVPRO($B$1,H123,"JDEID"))</f>
        <v/>
      </c>
      <c r="M123" s="86" t="str">
        <f>IF(_epmOfflineCondition_,"",IF(AND(I123="N",J123="N"),_xll.EVPRO($B$1,H123,"PSFTID"),""))</f>
        <v/>
      </c>
      <c r="N123" s="86" t="str">
        <f>IF(_epmOfflineCondition_,"Dinner Beverage Revenue",IF(_xll.EVDES(H123,$B$1)="#NODATA","",_xll.EVDES(H123,$B$1)))</f>
        <v>Dinner Beverage Revenue</v>
      </c>
      <c r="O123" s="134">
        <f t="shared" ref="O123:Z123" si="53">O100+O108+O116</f>
        <v>0</v>
      </c>
      <c r="P123" s="134">
        <f t="shared" si="53"/>
        <v>0</v>
      </c>
      <c r="Q123" s="134">
        <f t="shared" si="53"/>
        <v>0</v>
      </c>
      <c r="R123" s="134">
        <f t="shared" si="53"/>
        <v>0</v>
      </c>
      <c r="S123" s="134">
        <f t="shared" si="53"/>
        <v>0</v>
      </c>
      <c r="T123" s="134">
        <f t="shared" si="53"/>
        <v>0</v>
      </c>
      <c r="U123" s="134">
        <f t="shared" si="53"/>
        <v>0</v>
      </c>
      <c r="V123" s="134">
        <f t="shared" si="53"/>
        <v>0</v>
      </c>
      <c r="W123" s="134">
        <f t="shared" si="53"/>
        <v>0</v>
      </c>
      <c r="X123" s="134">
        <f t="shared" si="53"/>
        <v>382.53</v>
      </c>
      <c r="Y123" s="134">
        <f t="shared" si="53"/>
        <v>9313.7200000000012</v>
      </c>
      <c r="Z123" s="134">
        <f t="shared" si="53"/>
        <v>11462.25</v>
      </c>
      <c r="AA123" s="134">
        <f t="shared" si="46"/>
        <v>21158.5</v>
      </c>
      <c r="AB123" s="138">
        <f t="shared" si="47"/>
        <v>0.13863800649050093</v>
      </c>
      <c r="AC123" s="136"/>
      <c r="AD123" s="134">
        <f>AD100+AD108+AD116</f>
        <v>304601.06865999999</v>
      </c>
      <c r="AE123" s="138">
        <f t="shared" si="48"/>
        <v>0.23317978071991208</v>
      </c>
      <c r="AF123" s="137">
        <f t="shared" si="49"/>
        <v>-283442.56865999999</v>
      </c>
      <c r="AG123" s="134">
        <f>AG100+AG108+AG116</f>
        <v>0</v>
      </c>
      <c r="AH123" s="138" t="str">
        <f t="shared" si="50"/>
        <v/>
      </c>
      <c r="AI123" s="137">
        <f t="shared" si="51"/>
        <v>21158.5</v>
      </c>
    </row>
    <row r="124" spans="1:35" x14ac:dyDescent="0.25">
      <c r="A124" s="11"/>
      <c r="B124" s="11"/>
      <c r="C124" s="204"/>
      <c r="D124" s="11"/>
      <c r="E124" s="11"/>
      <c r="F124" s="11"/>
      <c r="G124" s="11"/>
      <c r="H124" s="181" t="s">
        <v>270</v>
      </c>
      <c r="I124" s="118"/>
      <c r="J124" s="118"/>
      <c r="K124" s="11"/>
      <c r="L124" s="86" t="str">
        <f>IF(_epmOfflineCondition_,"",_xll.EVPRO($B$1,H124,"JDEID"))</f>
        <v/>
      </c>
      <c r="M124" s="86" t="str">
        <f>IF(_epmOfflineCondition_,"",IF(AND(I124="N",J124="N"),_xll.EVPRO($B$1,H124,"PSFTID"),""))</f>
        <v/>
      </c>
      <c r="N124" s="86" t="str">
        <f>IF(_epmOfflineCondition_,"Bar Beverage Revenue",IF(_xll.EVDES(H124,$B$1)="#NODATA","",_xll.EVDES(H124,$B$1)))</f>
        <v>Bar Beverage Revenue</v>
      </c>
      <c r="O124" s="134">
        <f t="shared" ref="O124:Z124" si="54">O101+O109+O117</f>
        <v>0</v>
      </c>
      <c r="P124" s="134">
        <f t="shared" si="54"/>
        <v>0</v>
      </c>
      <c r="Q124" s="134">
        <f t="shared" si="54"/>
        <v>0</v>
      </c>
      <c r="R124" s="134">
        <f t="shared" si="54"/>
        <v>0</v>
      </c>
      <c r="S124" s="134">
        <f t="shared" si="54"/>
        <v>0</v>
      </c>
      <c r="T124" s="134">
        <f t="shared" si="54"/>
        <v>0</v>
      </c>
      <c r="U124" s="134">
        <f t="shared" si="54"/>
        <v>0</v>
      </c>
      <c r="V124" s="134">
        <f t="shared" si="54"/>
        <v>0</v>
      </c>
      <c r="W124" s="134">
        <f t="shared" si="54"/>
        <v>0</v>
      </c>
      <c r="X124" s="134">
        <f t="shared" si="54"/>
        <v>0</v>
      </c>
      <c r="Y124" s="134">
        <f t="shared" si="54"/>
        <v>1889</v>
      </c>
      <c r="Z124" s="134">
        <f t="shared" si="54"/>
        <v>3921.2</v>
      </c>
      <c r="AA124" s="134">
        <f t="shared" si="46"/>
        <v>5810.2</v>
      </c>
      <c r="AB124" s="138">
        <f t="shared" si="47"/>
        <v>3.8070493906047609E-2</v>
      </c>
      <c r="AC124" s="136"/>
      <c r="AD124" s="134">
        <f>AD101+AD109+AD117</f>
        <v>17089.922928</v>
      </c>
      <c r="AE124" s="138">
        <f t="shared" si="48"/>
        <v>1.3082765922004622E-2</v>
      </c>
      <c r="AF124" s="137">
        <f t="shared" si="49"/>
        <v>-11279.722927999999</v>
      </c>
      <c r="AG124" s="134">
        <f>AG101+AG109+AG117</f>
        <v>0</v>
      </c>
      <c r="AH124" s="138" t="str">
        <f t="shared" si="50"/>
        <v/>
      </c>
      <c r="AI124" s="137">
        <f t="shared" si="51"/>
        <v>5810.2</v>
      </c>
    </row>
    <row r="125" spans="1:35" x14ac:dyDescent="0.25">
      <c r="A125" s="11"/>
      <c r="B125" s="11"/>
      <c r="C125" s="204"/>
      <c r="D125" s="11"/>
      <c r="E125" s="11"/>
      <c r="F125" s="11"/>
      <c r="G125" s="11"/>
      <c r="H125" s="181" t="s">
        <v>271</v>
      </c>
      <c r="I125" s="118"/>
      <c r="J125" s="118"/>
      <c r="K125" s="11"/>
      <c r="L125" s="86" t="str">
        <f>IF(_epmOfflineCondition_,"",_xll.EVPRO($B$1,H125,"JDEID"))</f>
        <v/>
      </c>
      <c r="M125" s="86" t="str">
        <f>IF(_epmOfflineCondition_,"",IF(AND(I125="N",J125="N"),_xll.EVPRO($B$1,H125,"PSFTID"),""))</f>
        <v/>
      </c>
      <c r="N125" s="86" t="str">
        <f>IF(_epmOfflineCondition_,"Private Dining Beverage Revenue",IF(_xll.EVDES(H125,$B$1)="#NODATA","",_xll.EVDES(H125,$B$1)))</f>
        <v>Private Dining Beverage Revenue</v>
      </c>
      <c r="O125" s="134">
        <f t="shared" ref="O125:Z125" si="55">O102+O110+O118</f>
        <v>0</v>
      </c>
      <c r="P125" s="134">
        <f t="shared" si="55"/>
        <v>0</v>
      </c>
      <c r="Q125" s="134">
        <f t="shared" si="55"/>
        <v>0</v>
      </c>
      <c r="R125" s="134">
        <f t="shared" si="55"/>
        <v>0</v>
      </c>
      <c r="S125" s="134">
        <f t="shared" si="55"/>
        <v>0</v>
      </c>
      <c r="T125" s="134">
        <f t="shared" si="55"/>
        <v>0</v>
      </c>
      <c r="U125" s="134">
        <f t="shared" si="55"/>
        <v>0</v>
      </c>
      <c r="V125" s="134">
        <f t="shared" si="55"/>
        <v>0</v>
      </c>
      <c r="W125" s="134">
        <f t="shared" si="55"/>
        <v>0</v>
      </c>
      <c r="X125" s="134">
        <f t="shared" si="55"/>
        <v>0</v>
      </c>
      <c r="Y125" s="134">
        <f t="shared" si="55"/>
        <v>0</v>
      </c>
      <c r="Z125" s="134">
        <f t="shared" si="55"/>
        <v>140</v>
      </c>
      <c r="AA125" s="134">
        <f t="shared" si="46"/>
        <v>140</v>
      </c>
      <c r="AB125" s="138">
        <f t="shared" si="47"/>
        <v>9.1732972132571437E-4</v>
      </c>
      <c r="AC125" s="136"/>
      <c r="AD125" s="134">
        <f>AD102+AD110+AD118</f>
        <v>16359.6777</v>
      </c>
      <c r="AE125" s="138">
        <f t="shared" si="48"/>
        <v>1.2523744829643094E-2</v>
      </c>
      <c r="AF125" s="137">
        <f t="shared" si="49"/>
        <v>-16219.6777</v>
      </c>
      <c r="AG125" s="134">
        <f>AG102+AG110+AG118</f>
        <v>0</v>
      </c>
      <c r="AH125" s="138" t="str">
        <f t="shared" si="50"/>
        <v/>
      </c>
      <c r="AI125" s="137">
        <f t="shared" si="51"/>
        <v>140</v>
      </c>
    </row>
    <row r="126" spans="1:35" x14ac:dyDescent="0.25">
      <c r="A126" s="11"/>
      <c r="B126" s="11"/>
      <c r="C126" s="204"/>
      <c r="D126" s="11"/>
      <c r="E126" s="11"/>
      <c r="F126" s="11"/>
      <c r="G126" s="11"/>
      <c r="H126" s="84" t="s">
        <v>272</v>
      </c>
      <c r="I126" s="118"/>
      <c r="J126" s="118"/>
      <c r="K126" s="11"/>
      <c r="L126" s="86" t="str">
        <f>IF(_epmOfflineCondition_,"",_xll.EVPRO($B$1,H126,"JDEID"))</f>
        <v/>
      </c>
      <c r="M126" s="86" t="str">
        <f>IF(_epmOfflineCondition_,"",IF(AND(I126="N",J126="N"),_xll.EVPRO($B$1,H126,"PSFTID"),""))</f>
        <v/>
      </c>
      <c r="N126" s="102" t="str">
        <f>IF(_epmOfflineCondition_,"Total Beverage Revenue",IF(_xll.EVDES(H126,$B$1)="#NODATA","",_xll.EVDES(H126,$B$1)))</f>
        <v>Total Beverage Revenue</v>
      </c>
      <c r="O126" s="158">
        <f t="shared" ref="O126:Z126" si="56">SUM(O121:O125)</f>
        <v>0</v>
      </c>
      <c r="P126" s="158">
        <f t="shared" si="56"/>
        <v>0</v>
      </c>
      <c r="Q126" s="158">
        <f t="shared" si="56"/>
        <v>0</v>
      </c>
      <c r="R126" s="158">
        <f t="shared" si="56"/>
        <v>0</v>
      </c>
      <c r="S126" s="158">
        <f t="shared" si="56"/>
        <v>0</v>
      </c>
      <c r="T126" s="158">
        <f t="shared" si="56"/>
        <v>0</v>
      </c>
      <c r="U126" s="158">
        <f t="shared" si="56"/>
        <v>0</v>
      </c>
      <c r="V126" s="158">
        <f t="shared" si="56"/>
        <v>0</v>
      </c>
      <c r="W126" s="158">
        <f t="shared" si="56"/>
        <v>0</v>
      </c>
      <c r="X126" s="158">
        <f t="shared" si="56"/>
        <v>382.53</v>
      </c>
      <c r="Y126" s="158">
        <f t="shared" si="56"/>
        <v>12468.320000000002</v>
      </c>
      <c r="Z126" s="158">
        <f t="shared" si="56"/>
        <v>17502.650000000001</v>
      </c>
      <c r="AA126" s="158">
        <f t="shared" si="46"/>
        <v>30353.500000000004</v>
      </c>
      <c r="AB126" s="159">
        <f t="shared" si="47"/>
        <v>0.1988869121161434</v>
      </c>
      <c r="AC126" s="136"/>
      <c r="AD126" s="158">
        <f>SUM(AD121:AD125)</f>
        <v>449081.16296799999</v>
      </c>
      <c r="AE126" s="159">
        <f t="shared" si="48"/>
        <v>0.34378292750905459</v>
      </c>
      <c r="AF126" s="160">
        <f t="shared" si="49"/>
        <v>-418727.66296799999</v>
      </c>
      <c r="AG126" s="158">
        <f>SUM(AG121:AG125)</f>
        <v>0</v>
      </c>
      <c r="AH126" s="159" t="str">
        <f t="shared" si="50"/>
        <v/>
      </c>
      <c r="AI126" s="160">
        <f t="shared" si="51"/>
        <v>30353.500000000004</v>
      </c>
    </row>
    <row r="127" spans="1:35" x14ac:dyDescent="0.25">
      <c r="A127" s="11"/>
      <c r="B127" s="11"/>
      <c r="C127" s="204"/>
      <c r="D127" s="11"/>
      <c r="E127" s="11"/>
      <c r="F127" s="11"/>
      <c r="G127" s="11"/>
      <c r="H127" s="181"/>
      <c r="I127" s="118"/>
      <c r="J127" s="118"/>
      <c r="K127" s="11"/>
      <c r="L127" s="11"/>
      <c r="M127" s="11"/>
      <c r="N127" s="11"/>
      <c r="O127" s="506">
        <f t="shared" ref="O127:AA127" si="57">O103+O111+O119-O126</f>
        <v>0</v>
      </c>
      <c r="P127" s="506">
        <f t="shared" si="57"/>
        <v>0</v>
      </c>
      <c r="Q127" s="506">
        <f t="shared" si="57"/>
        <v>0</v>
      </c>
      <c r="R127" s="506">
        <f t="shared" si="57"/>
        <v>0</v>
      </c>
      <c r="S127" s="506">
        <f t="shared" si="57"/>
        <v>0</v>
      </c>
      <c r="T127" s="506">
        <f t="shared" si="57"/>
        <v>0</v>
      </c>
      <c r="U127" s="506">
        <f t="shared" si="57"/>
        <v>0</v>
      </c>
      <c r="V127" s="506">
        <f t="shared" si="57"/>
        <v>0</v>
      </c>
      <c r="W127" s="506">
        <f t="shared" si="57"/>
        <v>0</v>
      </c>
      <c r="X127" s="506">
        <f t="shared" si="57"/>
        <v>0</v>
      </c>
      <c r="Y127" s="506">
        <f t="shared" si="57"/>
        <v>0</v>
      </c>
      <c r="Z127" s="506">
        <f t="shared" si="57"/>
        <v>0</v>
      </c>
      <c r="AA127" s="506">
        <f t="shared" si="57"/>
        <v>0</v>
      </c>
      <c r="AB127" s="138"/>
      <c r="AC127" s="136"/>
      <c r="AD127" s="506">
        <f>AD103+AD111+AD119-AD126</f>
        <v>0</v>
      </c>
      <c r="AE127" s="138"/>
      <c r="AF127" s="134"/>
      <c r="AG127" s="506">
        <f>AG103+AG111+AG119-AG126</f>
        <v>0</v>
      </c>
      <c r="AH127" s="138"/>
      <c r="AI127" s="134"/>
    </row>
    <row r="128" spans="1:35" x14ac:dyDescent="0.25">
      <c r="A128" s="11"/>
      <c r="B128" s="11"/>
      <c r="C128" s="204"/>
      <c r="D128" s="11"/>
      <c r="E128" s="11"/>
      <c r="F128" s="11"/>
      <c r="G128" s="11"/>
      <c r="H128" s="181"/>
      <c r="I128" s="118"/>
      <c r="J128" s="118"/>
      <c r="K128" s="11"/>
      <c r="L128" s="11"/>
      <c r="M128" s="11"/>
      <c r="N128" s="11"/>
      <c r="O128" s="166"/>
      <c r="P128" s="167"/>
      <c r="Q128" s="167"/>
      <c r="R128" s="167"/>
      <c r="S128" s="167"/>
      <c r="T128" s="167"/>
      <c r="U128" s="167"/>
      <c r="V128" s="167"/>
      <c r="W128" s="167"/>
      <c r="X128" s="167"/>
      <c r="Y128" s="167"/>
      <c r="Z128" s="167"/>
      <c r="AA128" s="167"/>
      <c r="AB128" s="168"/>
      <c r="AC128" s="136"/>
      <c r="AD128" s="166"/>
      <c r="AE128" s="167"/>
      <c r="AF128" s="168"/>
      <c r="AG128" s="166"/>
      <c r="AH128" s="167"/>
      <c r="AI128" s="168"/>
    </row>
    <row r="129" spans="1:35" ht="15.75" x14ac:dyDescent="0.25">
      <c r="A129" s="11"/>
      <c r="B129" s="11"/>
      <c r="C129" s="204"/>
      <c r="D129" s="11"/>
      <c r="E129" s="11"/>
      <c r="F129" s="11"/>
      <c r="G129" s="11"/>
      <c r="H129" s="181" t="s">
        <v>281</v>
      </c>
      <c r="I129" s="118"/>
      <c r="J129" s="118"/>
      <c r="K129" s="11"/>
      <c r="L129" s="11"/>
      <c r="M129" s="11"/>
      <c r="N129" s="485" t="str">
        <f>IF(_epmOfflineCondition_,"Cost of Sales",IF(_xll.EVDES(H129,$B$1)="#NODATA","",_xll.EVDES(H129,$B$1)))</f>
        <v>Cost of Sales</v>
      </c>
      <c r="O129" s="513"/>
      <c r="P129" s="514"/>
      <c r="Q129" s="514"/>
      <c r="R129" s="514"/>
      <c r="S129" s="514"/>
      <c r="T129" s="514"/>
      <c r="U129" s="514"/>
      <c r="V129" s="514"/>
      <c r="W129" s="514"/>
      <c r="X129" s="514"/>
      <c r="Y129" s="514"/>
      <c r="Z129" s="514"/>
      <c r="AA129" s="514"/>
      <c r="AB129" s="515"/>
      <c r="AC129" s="136"/>
      <c r="AD129" s="513"/>
      <c r="AE129" s="514"/>
      <c r="AF129" s="514"/>
      <c r="AG129" s="514"/>
      <c r="AH129" s="514"/>
      <c r="AI129" s="515"/>
    </row>
    <row r="130" spans="1:35" x14ac:dyDescent="0.25">
      <c r="A130" s="11"/>
      <c r="B130" s="11"/>
      <c r="C130" s="204"/>
      <c r="D130" s="11"/>
      <c r="E130" s="11"/>
      <c r="F130" s="11"/>
      <c r="G130" s="11"/>
      <c r="H130" s="181">
        <v>561100</v>
      </c>
      <c r="I130" s="118"/>
      <c r="J130" s="118"/>
      <c r="K130" s="11"/>
      <c r="L130" s="86" t="str">
        <f>IF(_epmOfflineCondition_,"561100",_xll.EVPRO($B$1,H130,"JDEID"))</f>
        <v>561100</v>
      </c>
      <c r="M130" s="86" t="str">
        <f>IF(_epmOfflineCondition_,"",IF(AND(I130="N",J130="N"),_xll.EVPRO($B$1,H130,"PSFTID"),""))</f>
        <v/>
      </c>
      <c r="N130" s="86" t="str">
        <f>IF(_epmOfflineCondition_,"Cost of Food Sales",IF(_xll.EVDES(H130,$B$1)="#NODATA","",_xll.EVDES(H130,$B$1)))</f>
        <v>Cost of Food Sales</v>
      </c>
      <c r="O130" s="134"/>
      <c r="P130" s="134"/>
      <c r="Q130" s="134"/>
      <c r="R130" s="134"/>
      <c r="S130" s="134"/>
      <c r="T130" s="134"/>
      <c r="U130" s="134"/>
      <c r="V130" s="134"/>
      <c r="W130" s="134"/>
      <c r="X130" s="134">
        <v>26170.09</v>
      </c>
      <c r="Y130" s="134">
        <v>36192.870000000003</v>
      </c>
      <c r="Z130" s="134">
        <v>35183.519999999997</v>
      </c>
      <c r="AA130" s="134">
        <f>SUM(O130:Z130)</f>
        <v>97546.48000000001</v>
      </c>
      <c r="AB130" s="454">
        <f>IF(_epmOfflineCondition_,0.797838895015008,IF(AA130=0,"",IFERROR(AA130/_xll.EVGTS($B$1,1,_xll.EVPRO($B$1,$H130,"COSBASIS"),$B$3,$B$5,$B$6,$B$7,$B$9,AA$16,AA$17,AA$11),"")))</f>
        <v>0.79783889501500804</v>
      </c>
      <c r="AC130" s="136"/>
      <c r="AD130" s="134">
        <v>238304.84</v>
      </c>
      <c r="AE130" s="454">
        <f>IF(_epmOfflineCondition_,0.278000005722162,IF(AD130=0,"",IFERROR(AD130/_xll.EVGTS($B$1,1,_xll.EVPRO($B$1,$H130,"COSBASIS"),$B$3,$B$5,$B$6,$B$7,$B$9,AD$16,AD$17,AD$18),"")))</f>
        <v>0.27800000572216199</v>
      </c>
      <c r="AF130" s="137">
        <f t="shared" ref="AF130:AF141" si="58">IF(AND($AA130="",AD130=""),"",$AA130-AD130)</f>
        <v>-140758.35999999999</v>
      </c>
      <c r="AG130" s="134">
        <v>4010.72</v>
      </c>
      <c r="AH130" s="454" t="str">
        <f>IF(_epmOfflineCondition_,"",IF(AG130=0,"",IFERROR(AG130/_xll.EVGTS($B$1,1,_xll.EVPRO($B$1,$H130,"COSBASIS"),$B$3,$B$5,$B$6,$B$7,$B$9,AG$16,AG$17,AG$18),"")))</f>
        <v/>
      </c>
      <c r="AI130" s="137">
        <f t="shared" ref="AI130:AI141" si="59">IF(AND($AA130="",AG130=""),"",$AA130-AG130)</f>
        <v>93535.760000000009</v>
      </c>
    </row>
    <row r="131" spans="1:35" x14ac:dyDescent="0.25">
      <c r="A131" s="11"/>
      <c r="B131" s="11"/>
      <c r="C131" s="204"/>
      <c r="D131" s="11"/>
      <c r="E131" s="11"/>
      <c r="F131" s="11"/>
      <c r="G131" s="11"/>
      <c r="H131" s="181" t="s">
        <v>757</v>
      </c>
      <c r="I131" s="118"/>
      <c r="J131" s="118"/>
      <c r="K131" s="11"/>
      <c r="L131" s="86" t="str">
        <f>IF(_epmOfflineCondition_,"",_xll.EVPRO($B$1,H131,"JDEID"))</f>
        <v/>
      </c>
      <c r="M131" s="86" t="str">
        <f>IF(_epmOfflineCondition_,"",IF(AND(I131="N",J131="N"),_xll.EVPRO($B$1,H131,"PSFTID"),""))</f>
        <v/>
      </c>
      <c r="N131" s="488" t="str">
        <f>IF(_epmOfflineCondition_,"Food Cost %",IF(_xll.EVDES(H131,$B$1)="#NODATA","",_xll.EVDES(H131,$B$1)))</f>
        <v>Food Cost %</v>
      </c>
      <c r="O131" s="503"/>
      <c r="P131" s="503"/>
      <c r="Q131" s="503"/>
      <c r="R131" s="503"/>
      <c r="S131" s="503"/>
      <c r="T131" s="503"/>
      <c r="U131" s="503"/>
      <c r="V131" s="503"/>
      <c r="W131" s="503"/>
      <c r="X131" s="503">
        <v>1.7506599236053999</v>
      </c>
      <c r="Y131" s="503">
        <v>0.79442837958680701</v>
      </c>
      <c r="Z131" s="503">
        <v>0.56971547842082504</v>
      </c>
      <c r="AA131" s="503">
        <v>0.79783889501500804</v>
      </c>
      <c r="AB131" s="454"/>
      <c r="AC131" s="136"/>
      <c r="AD131" s="503">
        <v>0.27800000572216199</v>
      </c>
      <c r="AE131" s="454"/>
      <c r="AF131" s="516">
        <f t="shared" si="58"/>
        <v>0.51983888929284605</v>
      </c>
      <c r="AG131" s="503"/>
      <c r="AH131" s="454"/>
      <c r="AI131" s="516">
        <f t="shared" si="59"/>
        <v>0.79783889501500804</v>
      </c>
    </row>
    <row r="132" spans="1:35" x14ac:dyDescent="0.25">
      <c r="A132" s="11"/>
      <c r="B132" s="11"/>
      <c r="C132" s="204"/>
      <c r="D132" s="11"/>
      <c r="E132" s="11"/>
      <c r="F132" s="11"/>
      <c r="G132" s="11"/>
      <c r="H132" s="181" t="s">
        <v>637</v>
      </c>
      <c r="I132" s="118"/>
      <c r="J132" s="118"/>
      <c r="K132" s="11"/>
      <c r="L132" s="86" t="str">
        <f>IF(_epmOfflineCondition_,"",_xll.EVPRO($B$1,H132,"JDEID"))</f>
        <v/>
      </c>
      <c r="M132" s="86" t="str">
        <f>IF(_epmOfflineCondition_,"",IF(AND(I132="N",J132="N"),_xll.EVPRO($B$1,H132,"PSFTID"),""))</f>
        <v/>
      </c>
      <c r="N132" s="86" t="str">
        <f>IF(_epmOfflineCondition_,"Cost of Beverage Sales",IF(_xll.EVDES(H132,$B$1)="#NODATA","",_xll.EVDES(H132,$B$1)))</f>
        <v>Cost of Beverage Sales</v>
      </c>
      <c r="O132" s="134"/>
      <c r="P132" s="134"/>
      <c r="Q132" s="134"/>
      <c r="R132" s="134"/>
      <c r="S132" s="134"/>
      <c r="T132" s="134"/>
      <c r="U132" s="134"/>
      <c r="V132" s="134"/>
      <c r="W132" s="134"/>
      <c r="X132" s="134">
        <v>-4662.8900000000003</v>
      </c>
      <c r="Y132" s="134">
        <v>10996.65</v>
      </c>
      <c r="Z132" s="134">
        <v>3976.95</v>
      </c>
      <c r="AA132" s="134">
        <f>SUM(O132:Z132)</f>
        <v>10310.709999999999</v>
      </c>
      <c r="AB132" s="454">
        <f>IF(_epmOfflineCondition_,0.339687680168679,IF(AA132=0,"",IFERROR(AA132/_xll.EVGTS($B$1,1,_xll.EVPRO($B$1,$H132,"COSBASIS"),$B$3,$B$5,$B$6,$B$7,$B$9,AA$16,AA$17,AA$11),"")))</f>
        <v>0.33968768016867901</v>
      </c>
      <c r="AC132" s="136"/>
      <c r="AD132" s="134">
        <v>98887.62</v>
      </c>
      <c r="AE132" s="454">
        <f>IF(_epmOfflineCondition_,0.220199884017505,IF(AD132=0,"",IFERROR(AD132/_xll.EVGTS($B$1,1,_xll.EVPRO($B$1,$H132,"COSBASIS"),$B$3,$B$5,$B$6,$B$7,$B$9,AD$16,AD$17,AD$18),"")))</f>
        <v>0.22019988401750501</v>
      </c>
      <c r="AF132" s="137">
        <f t="shared" si="58"/>
        <v>-88576.91</v>
      </c>
      <c r="AG132" s="134">
        <v>-2382.39</v>
      </c>
      <c r="AH132" s="454" t="str">
        <f>IF(_epmOfflineCondition_,"",IF(AG132=0,"",IFERROR(AG132/_xll.EVGTS($B$1,1,_xll.EVPRO($B$1,$H132,"COSBASIS"),$B$3,$B$5,$B$6,$B$7,$B$9,AG$16,AG$17,AG$18),"")))</f>
        <v/>
      </c>
      <c r="AI132" s="137">
        <f t="shared" si="59"/>
        <v>12693.099999999999</v>
      </c>
    </row>
    <row r="133" spans="1:35" x14ac:dyDescent="0.25">
      <c r="A133" s="11"/>
      <c r="B133" s="11"/>
      <c r="C133" s="204"/>
      <c r="D133" s="11"/>
      <c r="E133" s="11"/>
      <c r="F133" s="11"/>
      <c r="G133" s="11"/>
      <c r="H133" s="181" t="s">
        <v>758</v>
      </c>
      <c r="I133" s="118"/>
      <c r="J133" s="118"/>
      <c r="K133" s="11"/>
      <c r="L133" s="86" t="str">
        <f>IF(_epmOfflineCondition_,"",_xll.EVPRO($B$1,H133,"JDEID"))</f>
        <v/>
      </c>
      <c r="M133" s="86" t="str">
        <f>IF(_epmOfflineCondition_,"",IF(AND(I133="N",J133="N"),_xll.EVPRO($B$1,H133,"PSFTID"),""))</f>
        <v/>
      </c>
      <c r="N133" s="488" t="str">
        <f>IF(_epmOfflineCondition_,"Beverage Cost %",IF(_xll.EVDES(H133,$B$1)="#NODATA","",_xll.EVDES(H133,$B$1)))</f>
        <v>Beverage Cost %</v>
      </c>
      <c r="O133" s="503"/>
      <c r="P133" s="503"/>
      <c r="Q133" s="503"/>
      <c r="R133" s="503"/>
      <c r="S133" s="503"/>
      <c r="T133" s="503"/>
      <c r="U133" s="503"/>
      <c r="V133" s="503"/>
      <c r="W133" s="503"/>
      <c r="X133" s="503">
        <v>-12.1896060439704</v>
      </c>
      <c r="Y133" s="503">
        <v>0.88196725781821494</v>
      </c>
      <c r="Z133" s="503">
        <v>0.22721987813274</v>
      </c>
      <c r="AA133" s="503">
        <v>0.33968768016867901</v>
      </c>
      <c r="AB133" s="454"/>
      <c r="AC133" s="136"/>
      <c r="AD133" s="503">
        <v>0.22019988401750501</v>
      </c>
      <c r="AE133" s="454"/>
      <c r="AF133" s="516">
        <f t="shared" si="58"/>
        <v>0.119487796151174</v>
      </c>
      <c r="AG133" s="503"/>
      <c r="AH133" s="454"/>
      <c r="AI133" s="516">
        <f t="shared" si="59"/>
        <v>0.33968768016867901</v>
      </c>
    </row>
    <row r="134" spans="1:35" x14ac:dyDescent="0.25">
      <c r="A134" s="11"/>
      <c r="B134" s="11"/>
      <c r="C134" s="204"/>
      <c r="D134" s="11"/>
      <c r="E134" s="11"/>
      <c r="F134" s="11"/>
      <c r="G134" s="11"/>
      <c r="H134" s="181" t="s">
        <v>756</v>
      </c>
      <c r="I134" s="118"/>
      <c r="J134" s="118"/>
      <c r="K134" s="11"/>
      <c r="L134" s="86" t="str">
        <f>IF(_epmOfflineCondition_,"561300",_xll.EVPRO($B$1,H134,"JDEID"))</f>
        <v>561300</v>
      </c>
      <c r="M134" s="86" t="str">
        <f>IF(_epmOfflineCondition_,"",IF(AND(I134="N",J134="N"),_xll.EVPRO($B$1,H134,"PSFTID"),""))</f>
        <v/>
      </c>
      <c r="N134" s="86" t="str">
        <f>IF(_epmOfflineCondition_,"Liquor Cost of Sales",IF(_xll.EVDES(H134,$B$1)="#NODATA","",_xll.EVDES(H134,$B$1)))</f>
        <v>Liquor Cost of Sales</v>
      </c>
      <c r="O134" s="134"/>
      <c r="P134" s="134"/>
      <c r="Q134" s="134"/>
      <c r="R134" s="134"/>
      <c r="S134" s="134"/>
      <c r="T134" s="134"/>
      <c r="U134" s="134"/>
      <c r="V134" s="134"/>
      <c r="W134" s="134"/>
      <c r="X134" s="134">
        <v>-3459.3</v>
      </c>
      <c r="Y134" s="134">
        <v>6092.34</v>
      </c>
      <c r="Z134" s="134">
        <v>1640.11</v>
      </c>
      <c r="AA134" s="134">
        <f>SUM(O134:Z134)</f>
        <v>4273.1499999999996</v>
      </c>
      <c r="AB134" s="454">
        <f>IF(_epmOfflineCondition_,0.358420188254162,IF(AA134=0,"",IFERROR(AA134/_xll.EVGTS($B$1,1,_xll.EVPRO($B$1,$H134,"COSBASIS"),$B$3,$B$5,$B$6,$B$7,$B$9,AA$16,AA$17,AA$11),"")))</f>
        <v>0.358420188254162</v>
      </c>
      <c r="AC134" s="136"/>
      <c r="AD134" s="134">
        <v>42733.06</v>
      </c>
      <c r="AE134" s="454">
        <f>IF(_epmOfflineCondition_,0.189999982985526,IF(AD134=0,"",IFERROR(AD134/_xll.EVGTS($B$1,1,_xll.EVPRO($B$1,$H134,"COSBASIS"),$B$3,$B$5,$B$6,$B$7,$B$9,AD$16,AD$17,AD$18),"")))</f>
        <v>0.18999998298552601</v>
      </c>
      <c r="AF134" s="137">
        <f t="shared" si="58"/>
        <v>-38459.909999999996</v>
      </c>
      <c r="AG134" s="134">
        <v>-1033.6300000000001</v>
      </c>
      <c r="AH134" s="454" t="str">
        <f>IF(_epmOfflineCondition_,"",IF(AG134=0,"",IFERROR(AG134/_xll.EVGTS($B$1,1,_xll.EVPRO($B$1,$H134,"COSBASIS"),$B$3,$B$5,$B$6,$B$7,$B$9,AG$16,AG$17,AG$18),"")))</f>
        <v/>
      </c>
      <c r="AI134" s="137">
        <f t="shared" si="59"/>
        <v>5306.78</v>
      </c>
    </row>
    <row r="135" spans="1:35" x14ac:dyDescent="0.25">
      <c r="A135" s="11"/>
      <c r="B135" s="11"/>
      <c r="C135" s="204"/>
      <c r="D135" s="11"/>
      <c r="E135" s="11"/>
      <c r="F135" s="11"/>
      <c r="G135" s="11"/>
      <c r="H135" s="181" t="s">
        <v>759</v>
      </c>
      <c r="I135" s="118"/>
      <c r="J135" s="118"/>
      <c r="K135" s="11"/>
      <c r="L135" s="86" t="str">
        <f>IF(_epmOfflineCondition_,"",_xll.EVPRO($B$1,H135,"JDEID"))</f>
        <v/>
      </c>
      <c r="M135" s="86" t="str">
        <f>IF(_epmOfflineCondition_,"",IF(AND(I135="N",J135="N"),_xll.EVPRO($B$1,H135,"PSFTID"),""))</f>
        <v/>
      </c>
      <c r="N135" s="488" t="str">
        <f>IF(_epmOfflineCondition_,"Liquor Cost %",IF(_xll.EVDES(H135,$B$1)="#NODATA","",_xll.EVDES(H135,$B$1)))</f>
        <v>Liquor Cost %</v>
      </c>
      <c r="O135" s="503"/>
      <c r="P135" s="503"/>
      <c r="Q135" s="503"/>
      <c r="R135" s="503"/>
      <c r="S135" s="503"/>
      <c r="T135" s="503"/>
      <c r="U135" s="503"/>
      <c r="V135" s="503"/>
      <c r="W135" s="503"/>
      <c r="X135" s="503">
        <v>-20.167317670378399</v>
      </c>
      <c r="Y135" s="503">
        <v>1.24802114060964</v>
      </c>
      <c r="Z135" s="503">
        <v>0.238768097480729</v>
      </c>
      <c r="AA135" s="503">
        <v>0.358420188254162</v>
      </c>
      <c r="AB135" s="454"/>
      <c r="AC135" s="136"/>
      <c r="AD135" s="503">
        <v>0.18999998298552601</v>
      </c>
      <c r="AE135" s="454"/>
      <c r="AF135" s="516">
        <f t="shared" si="58"/>
        <v>0.16842020526863599</v>
      </c>
      <c r="AG135" s="503"/>
      <c r="AH135" s="454"/>
      <c r="AI135" s="516">
        <f t="shared" si="59"/>
        <v>0.358420188254162</v>
      </c>
    </row>
    <row r="136" spans="1:35" x14ac:dyDescent="0.25">
      <c r="A136" s="11"/>
      <c r="B136" s="11"/>
      <c r="C136" s="204"/>
      <c r="D136" s="11"/>
      <c r="E136" s="11"/>
      <c r="F136" s="11"/>
      <c r="G136" s="11"/>
      <c r="H136" s="181">
        <v>561400</v>
      </c>
      <c r="I136" s="118"/>
      <c r="J136" s="118"/>
      <c r="K136" s="11"/>
      <c r="L136" s="86" t="str">
        <f>IF(_epmOfflineCondition_,"561400",_xll.EVPRO($B$1,H136,"JDEID"))</f>
        <v>561400</v>
      </c>
      <c r="M136" s="86" t="str">
        <f>IF(_epmOfflineCondition_,"",IF(AND(I136="N",J136="N"),_xll.EVPRO($B$1,H136,"PSFTID"),""))</f>
        <v/>
      </c>
      <c r="N136" s="86" t="str">
        <f>IF(_epmOfflineCondition_,"Beer Cost of Sales",IF(_xll.EVDES(H136,$B$1)="#NODATA","",_xll.EVDES(H136,$B$1)))</f>
        <v>Beer Cost of Sales</v>
      </c>
      <c r="O136" s="134"/>
      <c r="P136" s="134"/>
      <c r="Q136" s="134"/>
      <c r="R136" s="134"/>
      <c r="S136" s="134"/>
      <c r="T136" s="134"/>
      <c r="U136" s="134"/>
      <c r="V136" s="134"/>
      <c r="W136" s="134"/>
      <c r="X136" s="134">
        <v>-83.52</v>
      </c>
      <c r="Y136" s="134">
        <v>640.75</v>
      </c>
      <c r="Z136" s="134">
        <v>200.58</v>
      </c>
      <c r="AA136" s="134">
        <f>SUM(O136:Z136)</f>
        <v>757.81000000000006</v>
      </c>
      <c r="AB136" s="454">
        <f>IF(_epmOfflineCondition_,0.383973449533847,IF(AA136=0,"",IFERROR(AA136/_xll.EVGTS($B$1,1,_xll.EVPRO($B$1,$H136,"COSBASIS"),$B$3,$B$5,$B$6,$B$7,$B$9,AA$16,AA$17,AA$11),"")))</f>
        <v>0.38397344953384699</v>
      </c>
      <c r="AC136" s="136"/>
      <c r="AD136" s="134">
        <v>12411.26</v>
      </c>
      <c r="AE136" s="454">
        <f>IF(_epmOfflineCondition_,0.210000020787215,IF(AD136=0,"",IFERROR(AD136/_xll.EVGTS($B$1,1,_xll.EVPRO($B$1,$H136,"COSBASIS"),$B$3,$B$5,$B$6,$B$7,$B$9,AD$16,AD$17,AD$18),"")))</f>
        <v>0.210000020787215</v>
      </c>
      <c r="AF136" s="137">
        <f t="shared" si="58"/>
        <v>-11653.45</v>
      </c>
      <c r="AG136" s="134">
        <v>-32.479999999999997</v>
      </c>
      <c r="AH136" s="454" t="str">
        <f>IF(_epmOfflineCondition_,"",IF(AG136=0,"",IFERROR(AG136/_xll.EVGTS($B$1,1,_xll.EVPRO($B$1,$H136,"COSBASIS"),$B$3,$B$5,$B$6,$B$7,$B$9,AG$16,AG$17,AG$18),"")))</f>
        <v/>
      </c>
      <c r="AI136" s="137">
        <f t="shared" si="59"/>
        <v>790.29000000000008</v>
      </c>
    </row>
    <row r="137" spans="1:35" x14ac:dyDescent="0.25">
      <c r="A137" s="11"/>
      <c r="B137" s="11"/>
      <c r="C137" s="204"/>
      <c r="D137" s="11"/>
      <c r="E137" s="11"/>
      <c r="F137" s="11"/>
      <c r="G137" s="11"/>
      <c r="H137" s="181" t="s">
        <v>760</v>
      </c>
      <c r="I137" s="118"/>
      <c r="J137" s="118"/>
      <c r="K137" s="11"/>
      <c r="L137" s="86" t="str">
        <f>IF(_epmOfflineCondition_,"",_xll.EVPRO($B$1,H137,"JDEID"))</f>
        <v/>
      </c>
      <c r="M137" s="86" t="str">
        <f>IF(_epmOfflineCondition_,"",IF(AND(I137="N",J137="N"),_xll.EVPRO($B$1,H137,"PSFTID"),""))</f>
        <v/>
      </c>
      <c r="N137" s="488" t="str">
        <f>IF(_epmOfflineCondition_,"Beer Cost %",IF(_xll.EVDES(H137,$B$1)="#NODATA","",_xll.EVDES(H137,$B$1)))</f>
        <v>Beer Cost %</v>
      </c>
      <c r="O137" s="503"/>
      <c r="P137" s="503"/>
      <c r="Q137" s="503"/>
      <c r="R137" s="503"/>
      <c r="S137" s="503"/>
      <c r="T137" s="503"/>
      <c r="U137" s="503"/>
      <c r="V137" s="503"/>
      <c r="W137" s="503"/>
      <c r="X137" s="503">
        <v>-2.1978947368421098</v>
      </c>
      <c r="Y137" s="503">
        <v>0.57517953321364501</v>
      </c>
      <c r="Z137" s="503">
        <v>0.244133398247322</v>
      </c>
      <c r="AA137" s="503">
        <v>0.38397344953384699</v>
      </c>
      <c r="AB137" s="454"/>
      <c r="AC137" s="136"/>
      <c r="AD137" s="503">
        <v>0.210000020787215</v>
      </c>
      <c r="AE137" s="454"/>
      <c r="AF137" s="516">
        <f t="shared" si="58"/>
        <v>0.17397342874663199</v>
      </c>
      <c r="AG137" s="503"/>
      <c r="AH137" s="454"/>
      <c r="AI137" s="516">
        <f t="shared" si="59"/>
        <v>0.38397344953384699</v>
      </c>
    </row>
    <row r="138" spans="1:35" x14ac:dyDescent="0.25">
      <c r="A138" s="11"/>
      <c r="B138" s="11"/>
      <c r="C138" s="11"/>
      <c r="D138" s="11"/>
      <c r="E138" s="11"/>
      <c r="F138" s="11"/>
      <c r="G138" s="11"/>
      <c r="H138" s="181">
        <v>561500</v>
      </c>
      <c r="I138" s="118"/>
      <c r="J138" s="118"/>
      <c r="K138" s="11"/>
      <c r="L138" s="86" t="str">
        <f>IF(_epmOfflineCondition_,"561500",_xll.EVPRO($B$1,H138,"JDEID"))</f>
        <v>561500</v>
      </c>
      <c r="M138" s="86" t="str">
        <f>IF(_epmOfflineCondition_,"",IF(AND(I138="N",J138="N"),_xll.EVPRO($B$1,H138,"PSFTID"),""))</f>
        <v/>
      </c>
      <c r="N138" s="86" t="str">
        <f>IF(_epmOfflineCondition_,"Wine Cost of Sales",IF(_xll.EVDES(H138,$B$1)="#NODATA","",_xll.EVDES(H138,$B$1)))</f>
        <v>Wine Cost of Sales</v>
      </c>
      <c r="O138" s="134"/>
      <c r="P138" s="134"/>
      <c r="Q138" s="134"/>
      <c r="R138" s="134"/>
      <c r="S138" s="134"/>
      <c r="T138" s="134"/>
      <c r="U138" s="134"/>
      <c r="V138" s="134"/>
      <c r="W138" s="134"/>
      <c r="X138" s="134">
        <v>-1120.07</v>
      </c>
      <c r="Y138" s="134">
        <v>4263.5600000000004</v>
      </c>
      <c r="Z138" s="134">
        <v>2136.2600000000002</v>
      </c>
      <c r="AA138" s="134">
        <f>SUM(O138:Z138)</f>
        <v>5279.7500000000009</v>
      </c>
      <c r="AB138" s="454">
        <f>IF(_epmOfflineCondition_,0.32080689184164,IF(AA138=0,"",IFERROR(AA138/_xll.EVGTS($B$1,1,_xll.EVPRO($B$1,$H138,"COSBASIS"),$B$3,$B$5,$B$6,$B$7,$B$9,AA$16,AA$17,AA$11),"")))</f>
        <v>0.32080689184164002</v>
      </c>
      <c r="AC138" s="136"/>
      <c r="AD138" s="134">
        <v>43743.3</v>
      </c>
      <c r="AE138" s="454">
        <f>IF(_epmOfflineCondition_,0.264999980938858,IF(AD138=0,"",IFERROR(AD138/_xll.EVGTS($B$1,1,_xll.EVPRO($B$1,$H138,"COSBASIS"),$B$3,$B$5,$B$6,$B$7,$B$9,AD$16,AD$17,AD$18),"")))</f>
        <v>0.26499998093885802</v>
      </c>
      <c r="AF138" s="137">
        <f t="shared" si="58"/>
        <v>-38463.550000000003</v>
      </c>
      <c r="AG138" s="134">
        <v>-1316.28</v>
      </c>
      <c r="AH138" s="454" t="str">
        <f>IF(_epmOfflineCondition_,"",IF(AG138=0,"",IFERROR(AG138/_xll.EVGTS($B$1,1,_xll.EVPRO($B$1,$H138,"COSBASIS"),$B$3,$B$5,$B$6,$B$7,$B$9,AG$16,AG$17,AG$18),"")))</f>
        <v/>
      </c>
      <c r="AI138" s="137">
        <f t="shared" si="59"/>
        <v>6596.0300000000007</v>
      </c>
    </row>
    <row r="139" spans="1:35" x14ac:dyDescent="0.25">
      <c r="A139" s="11"/>
      <c r="B139" s="11"/>
      <c r="C139" s="204"/>
      <c r="D139" s="11"/>
      <c r="E139" s="11"/>
      <c r="F139" s="11"/>
      <c r="G139" s="11"/>
      <c r="H139" s="181" t="s">
        <v>761</v>
      </c>
      <c r="I139" s="118"/>
      <c r="J139" s="118"/>
      <c r="K139" s="11"/>
      <c r="L139" s="86" t="str">
        <f>IF(_epmOfflineCondition_,"",_xll.EVPRO($B$1,H139,"JDEID"))</f>
        <v/>
      </c>
      <c r="M139" s="86" t="str">
        <f>IF(_epmOfflineCondition_,"",IF(AND(I139="N",J139="N"),_xll.EVPRO($B$1,H139,"PSFTID"),""))</f>
        <v/>
      </c>
      <c r="N139" s="488" t="str">
        <f>IF(_epmOfflineCondition_,"Wine Cost %",IF(_xll.EVDES(H139,$B$1)="#NODATA","",_xll.EVDES(H139,$B$1)))</f>
        <v>Wine Cost %</v>
      </c>
      <c r="O139" s="503"/>
      <c r="P139" s="503"/>
      <c r="Q139" s="503"/>
      <c r="R139" s="503"/>
      <c r="S139" s="503"/>
      <c r="T139" s="503"/>
      <c r="U139" s="503"/>
      <c r="V139" s="503"/>
      <c r="W139" s="503"/>
      <c r="X139" s="503">
        <v>-6.4743930635838103</v>
      </c>
      <c r="Y139" s="503">
        <v>0.65869680752450299</v>
      </c>
      <c r="Z139" s="503">
        <v>0.21771911944557701</v>
      </c>
      <c r="AA139" s="503">
        <v>0.32080689184164002</v>
      </c>
      <c r="AB139" s="454"/>
      <c r="AC139" s="136"/>
      <c r="AD139" s="503">
        <v>0.26499998093885802</v>
      </c>
      <c r="AE139" s="454"/>
      <c r="AF139" s="516">
        <f t="shared" si="58"/>
        <v>5.5806910902782003E-2</v>
      </c>
      <c r="AG139" s="503"/>
      <c r="AH139" s="454"/>
      <c r="AI139" s="516">
        <f t="shared" si="59"/>
        <v>0.32080689184164002</v>
      </c>
    </row>
    <row r="140" spans="1:35" x14ac:dyDescent="0.25">
      <c r="A140" s="11"/>
      <c r="B140" s="11"/>
      <c r="C140" s="204"/>
      <c r="D140" s="11"/>
      <c r="E140" s="11"/>
      <c r="F140" s="11"/>
      <c r="G140" s="11"/>
      <c r="H140" s="181" t="s">
        <v>286</v>
      </c>
      <c r="I140" s="118"/>
      <c r="J140" s="118"/>
      <c r="K140" s="11"/>
      <c r="L140" s="86" t="str">
        <f>IF(_epmOfflineCondition_,"",_xll.EVPRO($B$1,H140,"JDEID"))</f>
        <v/>
      </c>
      <c r="M140" s="86" t="str">
        <f>IF(_epmOfflineCondition_,"",IF(AND(I140="N",J140="N"),_xll.EVPRO($B$1,H140,"PSFTID"),""))</f>
        <v/>
      </c>
      <c r="N140" s="86" t="str">
        <f>IF(_epmOfflineCondition_,"Total Cost of Food &amp; Beverage Sales",IF(_xll.EVDES(H140,$B$1)="#NODATA","",_xll.EVDES(H140,$B$1)))</f>
        <v>Total Cost of Food &amp; Beverage Sales</v>
      </c>
      <c r="O140" s="134"/>
      <c r="P140" s="134"/>
      <c r="Q140" s="134"/>
      <c r="R140" s="134"/>
      <c r="S140" s="134"/>
      <c r="T140" s="134"/>
      <c r="U140" s="134"/>
      <c r="V140" s="134"/>
      <c r="W140" s="134"/>
      <c r="X140" s="134">
        <v>21507.200000000001</v>
      </c>
      <c r="Y140" s="134">
        <v>47189.52</v>
      </c>
      <c r="Z140" s="134">
        <v>39160.47</v>
      </c>
      <c r="AA140" s="134">
        <f>SUM(O140:Z140)</f>
        <v>107857.19</v>
      </c>
      <c r="AB140" s="454">
        <f>IF(_epmOfflineCondition_,0.706718614611962,IF(AA140=0,"",IFERROR(AA140/_xll.EVGTS($B$1,1,_xll.EVPRO($B$1,$H140,"COSBASIS"),$B$3,$B$5,$B$6,$B$7,$B$9,AA$16,AA$17,AA$11),"")))</f>
        <v>0.70671861461196195</v>
      </c>
      <c r="AC140" s="136"/>
      <c r="AD140" s="134">
        <v>337192.46</v>
      </c>
      <c r="AE140" s="454">
        <f>IF(_epmOfflineCondition_,0.258129310672156,IF(AD140=0,"",IFERROR(AD140/_xll.EVGTS($B$1,1,_xll.EVPRO($B$1,$H140,"COSBASIS"),$B$3,$B$5,$B$6,$B$7,$B$9,AD$16,AD$17,AD$18),"")))</f>
        <v>0.258129310672156</v>
      </c>
      <c r="AF140" s="137">
        <f t="shared" si="58"/>
        <v>-229335.27000000002</v>
      </c>
      <c r="AG140" s="134">
        <v>1628.33</v>
      </c>
      <c r="AH140" s="454" t="str">
        <f>IF(_epmOfflineCondition_,"",IF(AG140=0,"",IFERROR(AG140/_xll.EVGTS($B$1,1,_xll.EVPRO($B$1,$H140,"COSBASIS"),$B$3,$B$5,$B$6,$B$7,$B$9,AG$16,AG$17,AG$18),"")))</f>
        <v/>
      </c>
      <c r="AI140" s="137">
        <f t="shared" si="59"/>
        <v>106228.86</v>
      </c>
    </row>
    <row r="141" spans="1:35" x14ac:dyDescent="0.25">
      <c r="A141" s="11"/>
      <c r="B141" s="11"/>
      <c r="C141" s="204"/>
      <c r="D141" s="11"/>
      <c r="E141" s="11"/>
      <c r="F141" s="11"/>
      <c r="G141" s="11"/>
      <c r="H141" s="181"/>
      <c r="I141" s="118"/>
      <c r="J141" s="118"/>
      <c r="K141" s="11"/>
      <c r="L141" s="86"/>
      <c r="M141" s="86"/>
      <c r="N141" s="488" t="s">
        <v>763</v>
      </c>
      <c r="O141" s="503" t="str">
        <f t="shared" ref="O141:AA141" si="60">IFERROR(O140/O85,"")</f>
        <v/>
      </c>
      <c r="P141" s="503" t="str">
        <f t="shared" si="60"/>
        <v/>
      </c>
      <c r="Q141" s="503" t="str">
        <f t="shared" si="60"/>
        <v/>
      </c>
      <c r="R141" s="503" t="str">
        <f t="shared" si="60"/>
        <v/>
      </c>
      <c r="S141" s="503" t="str">
        <f t="shared" si="60"/>
        <v/>
      </c>
      <c r="T141" s="503" t="str">
        <f t="shared" si="60"/>
        <v/>
      </c>
      <c r="U141" s="503" t="str">
        <f t="shared" si="60"/>
        <v/>
      </c>
      <c r="V141" s="503" t="str">
        <f t="shared" si="60"/>
        <v/>
      </c>
      <c r="W141" s="503" t="str">
        <f t="shared" si="60"/>
        <v/>
      </c>
      <c r="X141" s="503">
        <f t="shared" si="60"/>
        <v>1.4028359107521053</v>
      </c>
      <c r="Y141" s="503">
        <f t="shared" si="60"/>
        <v>0.81323804386601339</v>
      </c>
      <c r="Z141" s="503">
        <f t="shared" si="60"/>
        <v>0.4940826241074352</v>
      </c>
      <c r="AA141" s="503">
        <f t="shared" si="60"/>
        <v>0.70671861461196162</v>
      </c>
      <c r="AB141" s="454"/>
      <c r="AC141" s="136"/>
      <c r="AD141" s="503">
        <f>IFERROR(AD140/AD85,"")</f>
        <v>0.25812931067215561</v>
      </c>
      <c r="AE141" s="454"/>
      <c r="AF141" s="516">
        <f t="shared" si="58"/>
        <v>0.44858930393980601</v>
      </c>
      <c r="AG141" s="503" t="str">
        <f>IFERROR(AG140/AG85,"")</f>
        <v/>
      </c>
      <c r="AH141" s="454"/>
      <c r="AI141" s="516" t="e">
        <f t="shared" si="59"/>
        <v>#VALUE!</v>
      </c>
    </row>
    <row r="142" spans="1:35" x14ac:dyDescent="0.25">
      <c r="A142" s="11"/>
      <c r="B142" s="11"/>
      <c r="C142" s="204"/>
      <c r="D142" s="11"/>
      <c r="E142" s="11"/>
      <c r="F142" s="11"/>
      <c r="G142" s="11"/>
      <c r="H142" s="11"/>
      <c r="I142" s="55"/>
      <c r="J142" s="55"/>
      <c r="K142" s="11"/>
      <c r="L142" s="11"/>
      <c r="M142" s="11"/>
      <c r="N142" s="11"/>
      <c r="O142" s="136"/>
      <c r="P142" s="136"/>
      <c r="Q142" s="136"/>
      <c r="R142" s="136"/>
      <c r="S142" s="136"/>
      <c r="T142" s="136"/>
      <c r="U142" s="136"/>
      <c r="V142" s="136"/>
      <c r="W142" s="136"/>
      <c r="X142" s="136"/>
      <c r="Y142" s="136"/>
      <c r="Z142" s="136"/>
      <c r="AA142" s="136"/>
      <c r="AB142" s="136"/>
      <c r="AC142" s="136"/>
      <c r="AD142" s="136"/>
      <c r="AE142" s="136"/>
      <c r="AF142" s="136"/>
      <c r="AG142" s="136"/>
      <c r="AH142" s="136"/>
      <c r="AI142" s="136"/>
    </row>
    <row r="143" spans="1:35" x14ac:dyDescent="0.25">
      <c r="A143" s="11"/>
      <c r="B143" s="11"/>
      <c r="C143" s="204"/>
      <c r="D143" s="11"/>
      <c r="E143" s="11"/>
      <c r="F143" s="11"/>
      <c r="G143" s="11"/>
      <c r="H143" s="181"/>
      <c r="I143" s="118"/>
      <c r="J143" s="118"/>
      <c r="K143" s="11"/>
      <c r="L143" s="11"/>
      <c r="M143" s="11"/>
      <c r="N143" s="100" t="str">
        <f>N85&amp;" - Check"</f>
        <v>Total Food &amp; Beverage Revenue - Check</v>
      </c>
      <c r="O143" s="506">
        <f t="shared" ref="O143:AA143" si="61">O39+O49+O59+O69+O79+O83-O85</f>
        <v>0</v>
      </c>
      <c r="P143" s="506">
        <f t="shared" si="61"/>
        <v>0</v>
      </c>
      <c r="Q143" s="506">
        <f t="shared" si="61"/>
        <v>0</v>
      </c>
      <c r="R143" s="506">
        <f t="shared" si="61"/>
        <v>0</v>
      </c>
      <c r="S143" s="506">
        <f t="shared" si="61"/>
        <v>0</v>
      </c>
      <c r="T143" s="506">
        <f t="shared" si="61"/>
        <v>0</v>
      </c>
      <c r="U143" s="506">
        <f t="shared" si="61"/>
        <v>0</v>
      </c>
      <c r="V143" s="506">
        <f t="shared" si="61"/>
        <v>0</v>
      </c>
      <c r="W143" s="506">
        <f t="shared" si="61"/>
        <v>0</v>
      </c>
      <c r="X143" s="506">
        <f t="shared" si="61"/>
        <v>0</v>
      </c>
      <c r="Y143" s="506">
        <f t="shared" si="61"/>
        <v>0</v>
      </c>
      <c r="Z143" s="506">
        <f t="shared" si="61"/>
        <v>0</v>
      </c>
      <c r="AA143" s="506">
        <f t="shared" si="61"/>
        <v>0</v>
      </c>
      <c r="AB143" s="138"/>
      <c r="AC143" s="136"/>
      <c r="AD143" s="506">
        <f>AD39+AD49+AD59+AD69+AD79+AD83-AD85</f>
        <v>0</v>
      </c>
      <c r="AE143" s="138"/>
      <c r="AF143" s="134"/>
      <c r="AG143" s="506">
        <f>AG39+AG49+AG59+AG69+AG79+AG83-AG85</f>
        <v>0</v>
      </c>
      <c r="AH143" s="138"/>
      <c r="AI143" s="134"/>
    </row>
    <row r="144" spans="1:35" x14ac:dyDescent="0.25">
      <c r="A144" s="11"/>
      <c r="B144" s="11"/>
      <c r="C144" s="204"/>
      <c r="D144" s="11"/>
      <c r="E144" s="11"/>
      <c r="F144" s="11"/>
      <c r="G144" s="11"/>
      <c r="H144" s="181"/>
      <c r="I144" s="118"/>
      <c r="J144" s="118"/>
      <c r="K144" s="11"/>
      <c r="L144" s="11"/>
      <c r="M144" s="11"/>
      <c r="N144" s="100" t="str">
        <f>N87&amp;" - Check"</f>
        <v>Total Customers - Check</v>
      </c>
      <c r="O144" s="506">
        <f t="shared" ref="O144:AA144" si="62">O41+O51+O61+O71+O80-O87</f>
        <v>0</v>
      </c>
      <c r="P144" s="506">
        <f t="shared" si="62"/>
        <v>0</v>
      </c>
      <c r="Q144" s="506">
        <f t="shared" si="62"/>
        <v>0</v>
      </c>
      <c r="R144" s="506">
        <f t="shared" si="62"/>
        <v>0</v>
      </c>
      <c r="S144" s="506">
        <f t="shared" si="62"/>
        <v>0</v>
      </c>
      <c r="T144" s="506">
        <f t="shared" si="62"/>
        <v>0</v>
      </c>
      <c r="U144" s="506">
        <f t="shared" si="62"/>
        <v>0</v>
      </c>
      <c r="V144" s="506">
        <f t="shared" si="62"/>
        <v>0</v>
      </c>
      <c r="W144" s="506">
        <f t="shared" si="62"/>
        <v>0</v>
      </c>
      <c r="X144" s="506">
        <f t="shared" si="62"/>
        <v>0</v>
      </c>
      <c r="Y144" s="506">
        <f t="shared" si="62"/>
        <v>0</v>
      </c>
      <c r="Z144" s="506">
        <f t="shared" si="62"/>
        <v>0</v>
      </c>
      <c r="AA144" s="506">
        <f t="shared" si="62"/>
        <v>0</v>
      </c>
      <c r="AB144" s="138"/>
      <c r="AC144" s="136"/>
      <c r="AD144" s="506">
        <f>AD41+AD51+AD61+AD71+AD80-AD87</f>
        <v>0</v>
      </c>
      <c r="AE144" s="138"/>
      <c r="AF144" s="134"/>
      <c r="AG144" s="506">
        <f>AG41+AG51+AG61+AG71+AG80-AG87</f>
        <v>0</v>
      </c>
      <c r="AH144" s="138"/>
      <c r="AI144" s="134"/>
    </row>
    <row r="145" spans="1:35" x14ac:dyDescent="0.25">
      <c r="A145" s="11"/>
      <c r="B145" s="11"/>
      <c r="C145" s="204"/>
      <c r="D145" s="11"/>
      <c r="E145" s="11"/>
      <c r="F145" s="11"/>
      <c r="G145" s="11"/>
      <c r="H145" s="181"/>
      <c r="I145" s="118"/>
      <c r="J145" s="118"/>
      <c r="K145" s="11"/>
      <c r="L145" s="11"/>
      <c r="M145" s="11"/>
      <c r="N145" s="100" t="str">
        <f>N88&amp;" - Check"</f>
        <v>Total Average Check - Check</v>
      </c>
      <c r="O145" s="505" t="e">
        <f t="shared" ref="O145:AA145" si="63">IFERROR(O$85/O87,"")-O88</f>
        <v>#VALUE!</v>
      </c>
      <c r="P145" s="505" t="e">
        <f t="shared" si="63"/>
        <v>#VALUE!</v>
      </c>
      <c r="Q145" s="505" t="e">
        <f t="shared" si="63"/>
        <v>#VALUE!</v>
      </c>
      <c r="R145" s="505" t="e">
        <f t="shared" si="63"/>
        <v>#VALUE!</v>
      </c>
      <c r="S145" s="505" t="e">
        <f t="shared" si="63"/>
        <v>#VALUE!</v>
      </c>
      <c r="T145" s="505" t="e">
        <f t="shared" si="63"/>
        <v>#VALUE!</v>
      </c>
      <c r="U145" s="505" t="e">
        <f t="shared" si="63"/>
        <v>#VALUE!</v>
      </c>
      <c r="V145" s="505" t="e">
        <f t="shared" si="63"/>
        <v>#VALUE!</v>
      </c>
      <c r="W145" s="505" t="e">
        <f t="shared" si="63"/>
        <v>#VALUE!</v>
      </c>
      <c r="X145" s="505">
        <f t="shared" si="63"/>
        <v>0</v>
      </c>
      <c r="Y145" s="505">
        <f t="shared" si="63"/>
        <v>2.8421709430404007E-14</v>
      </c>
      <c r="Z145" s="505">
        <f t="shared" si="63"/>
        <v>-4.6185277824406512E-14</v>
      </c>
      <c r="AA145" s="505">
        <f t="shared" si="63"/>
        <v>0</v>
      </c>
      <c r="AB145" s="138"/>
      <c r="AC145" s="136"/>
      <c r="AD145" s="505">
        <f>IFERROR(AD$85/AD87,"")-AD88</f>
        <v>0</v>
      </c>
      <c r="AE145" s="138"/>
      <c r="AF145" s="134"/>
      <c r="AG145" s="505" t="e">
        <f>IFERROR(AG$85/AG87,"")-AG88</f>
        <v>#VALUE!</v>
      </c>
      <c r="AH145" s="138"/>
      <c r="AI145" s="134"/>
    </row>
    <row r="146" spans="1:35" x14ac:dyDescent="0.25">
      <c r="A146" s="11"/>
      <c r="B146" s="11"/>
      <c r="C146" s="204"/>
      <c r="D146" s="11"/>
      <c r="E146" s="11"/>
      <c r="F146" s="11"/>
      <c r="G146" s="11"/>
      <c r="H146" s="181"/>
      <c r="I146" s="118"/>
      <c r="J146" s="118"/>
      <c r="K146" s="11"/>
      <c r="L146" s="11"/>
      <c r="M146" s="11"/>
      <c r="N146" s="100" t="s">
        <v>769</v>
      </c>
      <c r="O146" s="506">
        <f t="shared" ref="O146:AA146" si="64">(O130+O132)-O140</f>
        <v>0</v>
      </c>
      <c r="P146" s="506">
        <f t="shared" si="64"/>
        <v>0</v>
      </c>
      <c r="Q146" s="506">
        <f t="shared" si="64"/>
        <v>0</v>
      </c>
      <c r="R146" s="506">
        <f t="shared" si="64"/>
        <v>0</v>
      </c>
      <c r="S146" s="506">
        <f t="shared" si="64"/>
        <v>0</v>
      </c>
      <c r="T146" s="506">
        <f t="shared" si="64"/>
        <v>0</v>
      </c>
      <c r="U146" s="506">
        <f t="shared" si="64"/>
        <v>0</v>
      </c>
      <c r="V146" s="506">
        <f t="shared" si="64"/>
        <v>0</v>
      </c>
      <c r="W146" s="506">
        <f t="shared" si="64"/>
        <v>0</v>
      </c>
      <c r="X146" s="506">
        <f t="shared" si="64"/>
        <v>0</v>
      </c>
      <c r="Y146" s="506">
        <f t="shared" si="64"/>
        <v>0</v>
      </c>
      <c r="Z146" s="506">
        <f t="shared" si="64"/>
        <v>0</v>
      </c>
      <c r="AA146" s="506">
        <f t="shared" si="64"/>
        <v>0</v>
      </c>
      <c r="AB146" s="138"/>
      <c r="AC146" s="136"/>
      <c r="AD146" s="506">
        <f>(AD130+AD132)-AD140</f>
        <v>0</v>
      </c>
      <c r="AE146" s="138"/>
      <c r="AF146" s="134"/>
      <c r="AG146" s="506">
        <f>(AG130+AG132)-AG140</f>
        <v>0</v>
      </c>
      <c r="AH146" s="138"/>
      <c r="AI146" s="134"/>
    </row>
    <row r="147" spans="1:35" x14ac:dyDescent="0.25">
      <c r="A147" s="11"/>
      <c r="B147" s="11"/>
      <c r="C147" s="204"/>
      <c r="D147" s="11"/>
      <c r="E147" s="11"/>
      <c r="F147" s="11"/>
      <c r="G147" s="11"/>
      <c r="H147" s="11"/>
      <c r="I147" s="55"/>
      <c r="J147" s="55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</row>
    <row r="148" spans="1:35" x14ac:dyDescent="0.25">
      <c r="A148" s="11"/>
      <c r="B148" s="11"/>
      <c r="C148" s="204"/>
      <c r="D148" s="11"/>
      <c r="E148" s="11"/>
      <c r="F148" s="11"/>
      <c r="G148" s="11"/>
      <c r="H148" s="11"/>
      <c r="I148" s="55"/>
      <c r="J148" s="55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</row>
    <row r="149" spans="1:35" x14ac:dyDescent="0.25">
      <c r="A149" s="11"/>
      <c r="B149" s="11"/>
      <c r="C149" s="204"/>
      <c r="D149" s="11"/>
      <c r="E149" s="11"/>
      <c r="F149" s="11"/>
      <c r="G149" s="11"/>
      <c r="H149" s="11"/>
      <c r="I149" s="55"/>
      <c r="J149" s="55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</row>
    <row r="150" spans="1:35" x14ac:dyDescent="0.25">
      <c r="A150" s="11"/>
      <c r="B150" s="11"/>
      <c r="C150" s="204"/>
      <c r="D150" s="11"/>
      <c r="E150" s="11"/>
      <c r="F150" s="11"/>
      <c r="G150" s="11"/>
      <c r="H150" s="11"/>
      <c r="I150" s="55"/>
      <c r="J150" s="55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</row>
    <row r="151" spans="1:35" x14ac:dyDescent="0.25">
      <c r="A151" s="11"/>
      <c r="B151" s="11"/>
      <c r="C151" s="204"/>
      <c r="D151" s="11"/>
      <c r="E151" s="11"/>
      <c r="F151" s="11"/>
      <c r="G151" s="11"/>
      <c r="H151" s="11"/>
      <c r="I151" s="55"/>
      <c r="J151" s="55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</row>
    <row r="152" spans="1:35" x14ac:dyDescent="0.25">
      <c r="A152" s="11"/>
      <c r="B152" s="11"/>
      <c r="C152" s="204"/>
      <c r="D152" s="11"/>
      <c r="E152" s="11"/>
      <c r="F152" s="11"/>
      <c r="G152" s="11"/>
      <c r="H152" s="11"/>
      <c r="I152" s="55"/>
      <c r="J152" s="55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</row>
    <row r="153" spans="1:35" x14ac:dyDescent="0.25">
      <c r="A153" s="11"/>
      <c r="B153" s="11"/>
      <c r="C153" s="204"/>
      <c r="D153" s="11"/>
      <c r="E153" s="11"/>
      <c r="F153" s="11"/>
      <c r="G153" s="11"/>
      <c r="H153" s="11"/>
      <c r="I153" s="55"/>
      <c r="J153" s="55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</row>
    <row r="154" spans="1:35" x14ac:dyDescent="0.25">
      <c r="A154" s="11"/>
      <c r="B154" s="11"/>
      <c r="C154" s="11"/>
      <c r="D154" s="11"/>
      <c r="E154" s="11"/>
      <c r="F154" s="11"/>
      <c r="G154" s="11"/>
      <c r="H154" s="11"/>
      <c r="I154" s="55"/>
      <c r="J154" s="55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</row>
    <row r="155" spans="1:35" x14ac:dyDescent="0.25">
      <c r="A155" s="11"/>
      <c r="B155" s="11"/>
      <c r="C155" s="11"/>
      <c r="D155" s="11"/>
      <c r="E155" s="11"/>
      <c r="F155" s="11"/>
      <c r="G155" s="11"/>
      <c r="H155" s="11"/>
      <c r="I155" s="55"/>
      <c r="J155" s="55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</row>
    <row r="156" spans="1:35" x14ac:dyDescent="0.25">
      <c r="A156" s="11"/>
      <c r="B156" s="11"/>
      <c r="C156" s="11"/>
      <c r="D156" s="11"/>
      <c r="E156" s="11"/>
      <c r="F156" s="11"/>
      <c r="G156" s="11"/>
      <c r="H156" s="11"/>
      <c r="I156" s="55"/>
      <c r="J156" s="55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</row>
    <row r="157" spans="1:35" x14ac:dyDescent="0.25">
      <c r="A157" s="11"/>
      <c r="B157" s="11"/>
      <c r="C157" s="11"/>
      <c r="D157" s="11"/>
      <c r="E157" s="11"/>
      <c r="F157" s="11"/>
      <c r="G157" s="11"/>
      <c r="H157" s="11"/>
      <c r="I157" s="55"/>
      <c r="J157" s="55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</row>
    <row r="158" spans="1:35" x14ac:dyDescent="0.25">
      <c r="A158" s="11"/>
      <c r="B158" s="11"/>
      <c r="C158" s="11"/>
      <c r="D158" s="11"/>
      <c r="E158" s="11"/>
      <c r="F158" s="11"/>
      <c r="G158" s="11"/>
      <c r="H158" s="11"/>
      <c r="I158" s="55"/>
      <c r="J158" s="55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</row>
    <row r="159" spans="1:35" x14ac:dyDescent="0.25">
      <c r="A159" s="11"/>
      <c r="B159" s="11"/>
      <c r="C159" s="11"/>
      <c r="D159" s="11"/>
      <c r="E159" s="11"/>
      <c r="F159" s="11"/>
      <c r="G159" s="11"/>
      <c r="H159" s="11"/>
      <c r="I159" s="55"/>
      <c r="J159" s="55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</row>
    <row r="160" spans="1:35" x14ac:dyDescent="0.25">
      <c r="A160" s="11"/>
      <c r="B160" s="11"/>
      <c r="C160" s="11"/>
      <c r="D160" s="11"/>
      <c r="E160" s="11"/>
      <c r="F160" s="11"/>
      <c r="G160" s="11"/>
      <c r="H160" s="11"/>
      <c r="I160" s="55"/>
      <c r="J160" s="55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</row>
    <row r="161" spans="1:35" x14ac:dyDescent="0.25">
      <c r="A161" s="11"/>
      <c r="B161" s="11"/>
      <c r="C161" s="11"/>
      <c r="D161" s="11"/>
      <c r="E161" s="11"/>
      <c r="F161" s="11"/>
      <c r="G161" s="11"/>
      <c r="H161" s="11"/>
      <c r="I161" s="55"/>
      <c r="J161" s="55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</row>
    <row r="162" spans="1:35" x14ac:dyDescent="0.25">
      <c r="A162" s="11"/>
      <c r="B162" s="11"/>
      <c r="C162" s="11"/>
      <c r="D162" s="11"/>
      <c r="E162" s="11"/>
      <c r="F162" s="11"/>
      <c r="G162" s="11"/>
      <c r="H162" s="11"/>
      <c r="I162" s="55"/>
      <c r="J162" s="55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</row>
    <row r="163" spans="1:35" x14ac:dyDescent="0.25">
      <c r="A163" s="11"/>
      <c r="B163" s="11"/>
      <c r="C163" s="11"/>
      <c r="D163" s="11"/>
      <c r="E163" s="11"/>
      <c r="F163" s="11"/>
      <c r="G163" s="11"/>
      <c r="H163" s="11"/>
      <c r="I163" s="55"/>
      <c r="J163" s="55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</row>
    <row r="164" spans="1:35" x14ac:dyDescent="0.25">
      <c r="A164" s="11"/>
      <c r="B164" s="11"/>
      <c r="C164" s="11"/>
      <c r="D164" s="11"/>
      <c r="E164" s="11"/>
      <c r="F164" s="11"/>
      <c r="G164" s="11"/>
      <c r="H164" s="11"/>
      <c r="I164" s="55"/>
      <c r="J164" s="55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</row>
    <row r="165" spans="1:35" x14ac:dyDescent="0.25">
      <c r="A165" s="11"/>
      <c r="B165" s="11"/>
      <c r="C165" s="11"/>
      <c r="D165" s="11"/>
      <c r="E165" s="11"/>
      <c r="F165" s="11"/>
      <c r="G165" s="11"/>
      <c r="H165" s="11"/>
      <c r="I165" s="55"/>
      <c r="J165" s="55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</row>
    <row r="166" spans="1:35" x14ac:dyDescent="0.25">
      <c r="A166" s="11"/>
      <c r="B166" s="11"/>
      <c r="C166" s="11"/>
      <c r="D166" s="11"/>
      <c r="E166" s="11"/>
      <c r="F166" s="11"/>
      <c r="G166" s="11"/>
      <c r="H166" s="11"/>
      <c r="I166" s="55"/>
      <c r="J166" s="55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</row>
    <row r="167" spans="1:35" x14ac:dyDescent="0.25">
      <c r="A167" s="11"/>
      <c r="B167" s="11"/>
      <c r="C167" s="11"/>
      <c r="D167" s="11"/>
      <c r="E167" s="11"/>
      <c r="F167" s="11"/>
      <c r="G167" s="11"/>
      <c r="H167" s="11"/>
      <c r="I167" s="55"/>
      <c r="J167" s="55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</row>
    <row r="168" spans="1:35" x14ac:dyDescent="0.25">
      <c r="A168" s="11"/>
      <c r="B168" s="11"/>
      <c r="C168" s="11"/>
      <c r="D168" s="11"/>
      <c r="E168" s="11"/>
      <c r="F168" s="11"/>
      <c r="G168" s="11"/>
      <c r="H168" s="11"/>
      <c r="I168" s="55"/>
      <c r="J168" s="55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</row>
    <row r="169" spans="1:35" x14ac:dyDescent="0.25">
      <c r="A169" s="11"/>
      <c r="B169" s="11"/>
      <c r="C169" s="11"/>
      <c r="D169" s="11"/>
      <c r="E169" s="11"/>
      <c r="F169" s="11"/>
      <c r="G169" s="11"/>
      <c r="H169" s="11"/>
      <c r="I169" s="263"/>
      <c r="J169" s="11"/>
      <c r="K169" s="263"/>
      <c r="L169" s="263"/>
      <c r="M169" s="263"/>
      <c r="N169" s="11"/>
      <c r="O169" s="263"/>
      <c r="P169" s="263"/>
      <c r="Q169" s="263"/>
      <c r="R169" s="263"/>
      <c r="S169" s="263"/>
      <c r="T169" s="263"/>
      <c r="U169" s="263"/>
      <c r="V169" s="263"/>
      <c r="W169" s="263"/>
      <c r="X169" s="263"/>
      <c r="Y169" s="263"/>
      <c r="Z169" s="263"/>
      <c r="AA169" s="263"/>
      <c r="AB169" s="11"/>
      <c r="AC169" s="11"/>
      <c r="AD169" s="263"/>
      <c r="AE169" s="11"/>
      <c r="AF169" s="263"/>
      <c r="AG169" s="11"/>
      <c r="AH169" s="263"/>
      <c r="AI169" s="11"/>
    </row>
    <row r="170" spans="1:35" x14ac:dyDescent="0.25">
      <c r="A170" s="11"/>
      <c r="B170" s="11"/>
      <c r="C170" s="11"/>
      <c r="D170" s="11"/>
      <c r="E170" s="11"/>
      <c r="F170" s="11"/>
      <c r="G170" s="11"/>
      <c r="H170" s="11"/>
      <c r="I170" s="55"/>
      <c r="J170" s="55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</row>
    <row r="171" spans="1:35" x14ac:dyDescent="0.25">
      <c r="A171" s="11"/>
      <c r="B171" s="11"/>
      <c r="C171" s="11"/>
      <c r="D171" s="11"/>
      <c r="E171" s="11"/>
      <c r="F171" s="11"/>
      <c r="G171" s="11"/>
      <c r="H171" s="11"/>
      <c r="I171" s="55"/>
      <c r="J171" s="55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</row>
    <row r="172" spans="1:35" x14ac:dyDescent="0.25">
      <c r="A172" s="11"/>
      <c r="B172" s="11"/>
      <c r="C172" s="11"/>
      <c r="D172" s="11"/>
      <c r="E172" s="11"/>
      <c r="F172" s="11"/>
      <c r="G172" s="11"/>
      <c r="H172" s="11"/>
      <c r="I172" s="55"/>
      <c r="J172" s="55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</row>
    <row r="173" spans="1:35" x14ac:dyDescent="0.25">
      <c r="A173" s="11"/>
      <c r="B173" s="11"/>
      <c r="C173" s="11"/>
      <c r="D173" s="11"/>
      <c r="E173" s="11"/>
      <c r="F173" s="11"/>
      <c r="G173" s="11"/>
      <c r="H173" s="11"/>
      <c r="I173" s="263"/>
      <c r="J173" s="11"/>
      <c r="K173" s="263"/>
      <c r="L173" s="263"/>
      <c r="M173" s="263"/>
      <c r="N173" s="11"/>
      <c r="O173" s="263"/>
      <c r="P173" s="263"/>
      <c r="Q173" s="263"/>
      <c r="R173" s="263"/>
      <c r="S173" s="263"/>
      <c r="T173" s="263"/>
      <c r="U173" s="263"/>
      <c r="V173" s="263"/>
      <c r="W173" s="263"/>
      <c r="X173" s="263"/>
      <c r="Y173" s="263"/>
      <c r="Z173" s="263"/>
      <c r="AA173" s="263"/>
      <c r="AB173" s="11"/>
      <c r="AC173" s="11"/>
      <c r="AD173" s="263"/>
      <c r="AE173" s="11"/>
      <c r="AF173" s="263"/>
      <c r="AG173" s="11"/>
      <c r="AH173" s="263"/>
      <c r="AI173" s="11"/>
    </row>
    <row r="174" spans="1:35" x14ac:dyDescent="0.25">
      <c r="A174" s="11"/>
      <c r="B174" s="11"/>
      <c r="C174" s="11"/>
      <c r="D174" s="11"/>
      <c r="E174" s="11"/>
      <c r="F174" s="11"/>
      <c r="G174" s="11"/>
      <c r="H174" s="11"/>
      <c r="I174" s="55"/>
      <c r="J174" s="55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</row>
    <row r="175" spans="1:35" x14ac:dyDescent="0.25">
      <c r="A175" s="11"/>
      <c r="B175" s="11"/>
      <c r="C175" s="11"/>
      <c r="D175" s="11"/>
      <c r="E175" s="11"/>
      <c r="F175" s="11"/>
      <c r="G175" s="11"/>
      <c r="H175" s="11"/>
      <c r="I175" s="55"/>
      <c r="J175" s="55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</row>
    <row r="176" spans="1:35" x14ac:dyDescent="0.25">
      <c r="A176" s="11"/>
      <c r="B176" s="11"/>
      <c r="C176" s="11"/>
      <c r="D176" s="11"/>
      <c r="E176" s="11"/>
      <c r="F176" s="11"/>
      <c r="G176" s="11"/>
      <c r="H176" s="11"/>
      <c r="I176" s="55"/>
      <c r="J176" s="55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</row>
    <row r="177" spans="1:35" x14ac:dyDescent="0.25">
      <c r="A177" s="11"/>
      <c r="B177" s="11"/>
      <c r="C177" s="11"/>
      <c r="D177" s="11"/>
      <c r="E177" s="11"/>
      <c r="F177" s="11"/>
      <c r="G177" s="11"/>
      <c r="H177" s="11"/>
      <c r="I177" s="55"/>
      <c r="J177" s="55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</row>
    <row r="178" spans="1:35" x14ac:dyDescent="0.25">
      <c r="A178" s="11"/>
      <c r="B178" s="11"/>
      <c r="C178" s="11"/>
      <c r="D178" s="11"/>
      <c r="E178" s="11"/>
      <c r="F178" s="11"/>
      <c r="G178" s="11"/>
      <c r="H178" s="11"/>
      <c r="I178" s="55"/>
      <c r="J178" s="55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</row>
    <row r="179" spans="1:35" x14ac:dyDescent="0.25">
      <c r="A179" s="11"/>
      <c r="B179" s="11"/>
      <c r="C179" s="11"/>
      <c r="D179" s="11"/>
      <c r="E179" s="11"/>
      <c r="F179" s="11"/>
      <c r="G179" s="11"/>
      <c r="H179" s="11"/>
      <c r="I179" s="55"/>
      <c r="J179" s="55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</row>
    <row r="180" spans="1:35" x14ac:dyDescent="0.25">
      <c r="A180" s="11"/>
      <c r="B180" s="11"/>
      <c r="C180" s="11"/>
      <c r="D180" s="11"/>
      <c r="E180" s="11"/>
      <c r="F180" s="11"/>
      <c r="G180" s="11"/>
      <c r="H180" s="11"/>
      <c r="I180" s="55"/>
      <c r="J180" s="55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</row>
    <row r="181" spans="1:35" x14ac:dyDescent="0.25">
      <c r="A181" s="11"/>
      <c r="B181" s="11"/>
      <c r="C181" s="11"/>
      <c r="D181" s="11"/>
      <c r="E181" s="11"/>
      <c r="F181" s="11"/>
      <c r="G181" s="11"/>
      <c r="H181" s="11"/>
      <c r="I181" s="55"/>
      <c r="J181" s="55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</row>
    <row r="182" spans="1:35" x14ac:dyDescent="0.25">
      <c r="A182" s="11"/>
      <c r="B182" s="11"/>
      <c r="C182" s="11"/>
      <c r="D182" s="11"/>
      <c r="E182" s="11"/>
      <c r="F182" s="11"/>
      <c r="G182" s="11"/>
      <c r="H182" s="11"/>
      <c r="I182" s="55"/>
      <c r="J182" s="55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</row>
    <row r="183" spans="1:35" x14ac:dyDescent="0.25">
      <c r="A183" s="11"/>
      <c r="B183" s="11"/>
      <c r="C183" s="11"/>
      <c r="D183" s="11"/>
      <c r="E183" s="11"/>
      <c r="F183" s="11"/>
      <c r="G183" s="11"/>
      <c r="H183" s="11"/>
      <c r="I183" s="55"/>
      <c r="J183" s="55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</row>
    <row r="184" spans="1:35" x14ac:dyDescent="0.25">
      <c r="A184" s="11"/>
      <c r="B184" s="11"/>
      <c r="C184" s="11"/>
      <c r="D184" s="11"/>
      <c r="E184" s="11"/>
      <c r="F184" s="11"/>
      <c r="G184" s="11"/>
      <c r="H184" s="11"/>
      <c r="I184" s="55"/>
      <c r="J184" s="55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</row>
    <row r="185" spans="1:35" x14ac:dyDescent="0.25">
      <c r="A185" s="11"/>
      <c r="B185" s="11"/>
      <c r="C185" s="11"/>
      <c r="D185" s="11"/>
      <c r="E185" s="11"/>
      <c r="F185" s="11"/>
      <c r="G185" s="11"/>
      <c r="H185" s="11"/>
      <c r="I185" s="55"/>
      <c r="J185" s="55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</row>
    <row r="186" spans="1:35" x14ac:dyDescent="0.25">
      <c r="A186" s="11"/>
      <c r="B186" s="11"/>
      <c r="C186" s="11"/>
      <c r="D186" s="11"/>
      <c r="E186" s="11"/>
      <c r="F186" s="11"/>
      <c r="G186" s="11"/>
      <c r="H186" s="11"/>
      <c r="I186" s="55"/>
      <c r="J186" s="55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</row>
    <row r="187" spans="1:35" x14ac:dyDescent="0.25">
      <c r="A187" s="11"/>
      <c r="B187" s="11"/>
      <c r="C187" s="11"/>
      <c r="D187" s="11"/>
      <c r="E187" s="11"/>
      <c r="F187" s="11"/>
      <c r="G187" s="11"/>
      <c r="H187" s="11"/>
      <c r="I187" s="55"/>
      <c r="J187" s="55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</row>
    <row r="188" spans="1:35" x14ac:dyDescent="0.25">
      <c r="A188" s="11"/>
      <c r="B188" s="11"/>
      <c r="C188" s="11"/>
      <c r="D188" s="11"/>
      <c r="E188" s="11"/>
      <c r="F188" s="11"/>
      <c r="G188" s="11"/>
      <c r="H188" s="11"/>
      <c r="I188" s="55"/>
      <c r="J188" s="55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</row>
    <row r="189" spans="1:35" x14ac:dyDescent="0.25">
      <c r="A189" s="11"/>
      <c r="B189" s="11"/>
      <c r="C189" s="11"/>
      <c r="D189" s="11"/>
      <c r="E189" s="11"/>
      <c r="F189" s="11"/>
      <c r="G189" s="11"/>
      <c r="H189" s="11"/>
      <c r="I189" s="55"/>
      <c r="J189" s="55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</row>
    <row r="190" spans="1:35" x14ac:dyDescent="0.25">
      <c r="A190" s="11"/>
      <c r="B190" s="11"/>
      <c r="C190" s="11"/>
      <c r="D190" s="11"/>
      <c r="E190" s="11"/>
      <c r="F190" s="11"/>
      <c r="G190" s="11"/>
      <c r="H190" s="11"/>
      <c r="I190" s="55"/>
      <c r="J190" s="55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</row>
    <row r="191" spans="1:35" x14ac:dyDescent="0.25">
      <c r="A191" s="11"/>
      <c r="B191" s="11"/>
      <c r="C191" s="11"/>
      <c r="D191" s="11"/>
      <c r="E191" s="11"/>
      <c r="F191" s="11"/>
      <c r="G191" s="11"/>
      <c r="H191" s="11"/>
      <c r="I191" s="55"/>
      <c r="J191" s="55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</row>
    <row r="192" spans="1:35" x14ac:dyDescent="0.25">
      <c r="A192" s="11"/>
      <c r="B192" s="11"/>
      <c r="C192" s="11"/>
      <c r="D192" s="11"/>
      <c r="E192" s="11"/>
      <c r="F192" s="11"/>
      <c r="G192" s="11"/>
      <c r="H192" s="11"/>
      <c r="I192" s="55"/>
      <c r="J192" s="55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</row>
    <row r="193" spans="1:35" x14ac:dyDescent="0.25">
      <c r="A193" s="11"/>
      <c r="B193" s="11"/>
      <c r="C193" s="11"/>
      <c r="D193" s="11"/>
      <c r="E193" s="11"/>
      <c r="F193" s="11"/>
      <c r="G193" s="11"/>
      <c r="H193" s="11"/>
      <c r="I193" s="55"/>
      <c r="J193" s="55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</row>
    <row r="194" spans="1:35" x14ac:dyDescent="0.25">
      <c r="A194" s="11"/>
      <c r="B194" s="11"/>
      <c r="C194" s="11"/>
      <c r="D194" s="11"/>
      <c r="E194" s="11"/>
      <c r="F194" s="11"/>
      <c r="G194" s="11"/>
      <c r="H194" s="11"/>
      <c r="I194" s="55"/>
      <c r="J194" s="55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</row>
    <row r="195" spans="1:35" x14ac:dyDescent="0.25">
      <c r="A195" s="11"/>
      <c r="B195" s="11"/>
      <c r="C195" s="11"/>
      <c r="D195" s="11"/>
      <c r="E195" s="11"/>
      <c r="F195" s="11"/>
      <c r="G195" s="11"/>
      <c r="H195" s="11"/>
      <c r="I195" s="55"/>
      <c r="J195" s="55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</row>
    <row r="196" spans="1:35" x14ac:dyDescent="0.25">
      <c r="A196" s="11"/>
      <c r="B196" s="11"/>
      <c r="C196" s="11"/>
      <c r="D196" s="11"/>
      <c r="E196" s="11"/>
      <c r="F196" s="11"/>
      <c r="G196" s="11"/>
      <c r="H196" s="11"/>
      <c r="I196" s="55"/>
      <c r="J196" s="55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</row>
    <row r="197" spans="1:35" x14ac:dyDescent="0.25">
      <c r="A197" s="11"/>
      <c r="B197" s="11"/>
      <c r="C197" s="11"/>
      <c r="D197" s="11"/>
      <c r="E197" s="11"/>
      <c r="F197" s="11"/>
      <c r="G197" s="11"/>
      <c r="H197" s="11"/>
      <c r="I197" s="55"/>
      <c r="J197" s="55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</row>
    <row r="198" spans="1:35" x14ac:dyDescent="0.25">
      <c r="A198" s="11"/>
      <c r="B198" s="11"/>
      <c r="C198" s="11"/>
      <c r="D198" s="11"/>
      <c r="E198" s="11"/>
      <c r="F198" s="11"/>
      <c r="G198" s="11"/>
      <c r="H198" s="11"/>
      <c r="I198" s="55"/>
      <c r="J198" s="55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</row>
    <row r="199" spans="1:35" x14ac:dyDescent="0.25">
      <c r="A199" s="11"/>
      <c r="B199" s="11"/>
      <c r="C199" s="11"/>
      <c r="D199" s="11"/>
      <c r="E199" s="11"/>
      <c r="F199" s="11"/>
      <c r="G199" s="11"/>
      <c r="H199" s="11"/>
      <c r="I199" s="55"/>
      <c r="J199" s="55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</row>
    <row r="200" spans="1:35" x14ac:dyDescent="0.25">
      <c r="A200" s="11"/>
      <c r="B200" s="11"/>
      <c r="C200" s="11"/>
      <c r="D200" s="11"/>
      <c r="E200" s="11"/>
      <c r="F200" s="11"/>
      <c r="G200" s="11"/>
      <c r="H200" s="11"/>
      <c r="I200" s="55"/>
      <c r="J200" s="55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</row>
    <row r="201" spans="1:35" x14ac:dyDescent="0.25">
      <c r="A201" s="11"/>
      <c r="B201" s="11"/>
      <c r="C201" s="11"/>
      <c r="D201" s="11"/>
      <c r="E201" s="11"/>
      <c r="F201" s="11"/>
      <c r="G201" s="11"/>
      <c r="H201" s="11"/>
      <c r="I201" s="55"/>
      <c r="J201" s="55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</row>
    <row r="202" spans="1:35" x14ac:dyDescent="0.25">
      <c r="A202" s="11"/>
      <c r="B202" s="11"/>
      <c r="C202" s="11"/>
      <c r="D202" s="11"/>
      <c r="E202" s="11"/>
      <c r="F202" s="11"/>
      <c r="G202" s="11"/>
      <c r="H202" s="11"/>
      <c r="I202" s="55"/>
      <c r="J202" s="55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</row>
    <row r="203" spans="1:35" x14ac:dyDescent="0.25">
      <c r="A203" s="11"/>
      <c r="B203" s="11"/>
      <c r="C203" s="11"/>
      <c r="D203" s="11"/>
      <c r="E203" s="11"/>
      <c r="F203" s="11"/>
      <c r="G203" s="11"/>
      <c r="H203" s="11"/>
      <c r="I203" s="55"/>
      <c r="J203" s="55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</row>
    <row r="204" spans="1:35" x14ac:dyDescent="0.25">
      <c r="A204" s="11"/>
      <c r="B204" s="11"/>
      <c r="C204" s="11"/>
      <c r="D204" s="11"/>
      <c r="E204" s="11"/>
      <c r="F204" s="11"/>
      <c r="G204" s="11"/>
      <c r="H204" s="11"/>
      <c r="I204" s="55"/>
      <c r="J204" s="55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</row>
    <row r="205" spans="1:35" x14ac:dyDescent="0.25">
      <c r="A205" s="11"/>
      <c r="B205" s="11"/>
      <c r="C205" s="11"/>
      <c r="D205" s="11"/>
      <c r="E205" s="11"/>
      <c r="F205" s="11"/>
      <c r="G205" s="11"/>
      <c r="H205" s="11"/>
      <c r="I205" s="55"/>
      <c r="J205" s="55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</row>
    <row r="206" spans="1:35" x14ac:dyDescent="0.25">
      <c r="A206" s="11"/>
      <c r="B206" s="11"/>
      <c r="C206" s="11"/>
      <c r="D206" s="11"/>
      <c r="E206" s="11"/>
      <c r="F206" s="11"/>
      <c r="G206" s="11"/>
      <c r="H206" s="11"/>
      <c r="I206" s="55"/>
      <c r="J206" s="55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</row>
    <row r="207" spans="1:35" x14ac:dyDescent="0.25">
      <c r="A207" s="11"/>
      <c r="B207" s="11"/>
      <c r="C207" s="11"/>
      <c r="D207" s="11"/>
      <c r="E207" s="263"/>
      <c r="F207" s="11"/>
      <c r="G207" s="11"/>
      <c r="H207" s="11"/>
      <c r="I207" s="55"/>
      <c r="J207" s="55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</row>
    <row r="208" spans="1:35" x14ac:dyDescent="0.25">
      <c r="A208" s="11"/>
      <c r="B208" s="11"/>
      <c r="C208" s="11"/>
      <c r="D208" s="11"/>
      <c r="E208" s="11"/>
      <c r="F208" s="11"/>
      <c r="G208" s="11"/>
      <c r="H208" s="11"/>
      <c r="I208" s="55"/>
      <c r="J208" s="55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</row>
    <row r="209" spans="1:35" x14ac:dyDescent="0.25">
      <c r="A209" s="11"/>
      <c r="B209" s="11"/>
      <c r="C209" s="11"/>
      <c r="D209" s="11"/>
      <c r="E209" s="11"/>
      <c r="F209" s="11"/>
      <c r="G209" s="11"/>
      <c r="H209" s="11"/>
      <c r="I209" s="55"/>
      <c r="J209" s="55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</row>
    <row r="210" spans="1:35" x14ac:dyDescent="0.25">
      <c r="A210" s="11"/>
      <c r="B210" s="11"/>
      <c r="C210" s="11"/>
      <c r="D210" s="11"/>
      <c r="E210" s="11"/>
      <c r="F210" s="11"/>
      <c r="G210" s="11"/>
      <c r="H210" s="11"/>
      <c r="I210" s="55"/>
      <c r="J210" s="55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</row>
    <row r="211" spans="1:35" x14ac:dyDescent="0.25">
      <c r="A211" s="11"/>
      <c r="B211" s="11"/>
      <c r="C211" s="11"/>
      <c r="D211" s="11"/>
      <c r="E211" s="263"/>
      <c r="F211" s="11"/>
      <c r="G211" s="11"/>
      <c r="H211" s="11"/>
      <c r="I211" s="55"/>
      <c r="J211" s="55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</row>
  </sheetData>
  <sheetProtection algorithmName="SHA-512" hashValue="bOeS3UEnuEHa3vCMIq7OUTGmngmC3z7P1z1DX0NNjDkowwtfyShHN2Yfe6T4mb2saOwsd+Fd3JvLVMeBxcY2pQ==" saltValue="GTC1lM8H9xlyxOEiiPKcrA==" spinCount="100000" sheet="1" scenarios="1"/>
  <mergeCells count="2">
    <mergeCell ref="AD31:AE31"/>
    <mergeCell ref="AG31:AH31"/>
  </mergeCells>
  <conditionalFormatting sqref="AD43 AF43:AG43 O43:AA43">
    <cfRule type="expression" dxfId="104" priority="15">
      <formula>ROUND(O42,2)&lt;&gt;ROUND(O43,2)</formula>
    </cfRule>
  </conditionalFormatting>
  <conditionalFormatting sqref="N43">
    <cfRule type="expression" dxfId="103" priority="14">
      <formula>$G43&lt;&gt;0</formula>
    </cfRule>
  </conditionalFormatting>
  <conditionalFormatting sqref="O53:AA53 AD53 AF53:AG53">
    <cfRule type="expression" dxfId="102" priority="13">
      <formula>ROUND(O52,2)&lt;&gt;ROUND(O53,2)</formula>
    </cfRule>
  </conditionalFormatting>
  <conditionalFormatting sqref="N53">
    <cfRule type="expression" dxfId="101" priority="12">
      <formula>$G53&lt;&gt;0</formula>
    </cfRule>
  </conditionalFormatting>
  <conditionalFormatting sqref="O63:AA63 AD63 AF63:AG63">
    <cfRule type="expression" dxfId="100" priority="11">
      <formula>ROUND(O62,2)&lt;&gt;ROUND(O63,2)</formula>
    </cfRule>
  </conditionalFormatting>
  <conditionalFormatting sqref="N63">
    <cfRule type="expression" dxfId="99" priority="10">
      <formula>$G63&lt;&gt;0</formula>
    </cfRule>
  </conditionalFormatting>
  <conditionalFormatting sqref="O73:AA73 AD73 AF73:AG73">
    <cfRule type="expression" dxfId="98" priority="9">
      <formula>ROUND(O72,2)&lt;&gt;ROUND(O73,2)</formula>
    </cfRule>
  </conditionalFormatting>
  <conditionalFormatting sqref="N73">
    <cfRule type="expression" dxfId="97" priority="8">
      <formula>$G73&lt;&gt;0</formula>
    </cfRule>
  </conditionalFormatting>
  <conditionalFormatting sqref="N82">
    <cfRule type="expression" dxfId="96" priority="7">
      <formula>$G82&lt;&gt;0</formula>
    </cfRule>
  </conditionalFormatting>
  <conditionalFormatting sqref="AD82 AF82:AG82 O82:AA82">
    <cfRule type="expression" dxfId="95" priority="6">
      <formula>ROUND(O81,2)&lt;&gt;ROUND(O82,2)</formula>
    </cfRule>
  </conditionalFormatting>
  <conditionalFormatting sqref="AI43">
    <cfRule type="expression" dxfId="94" priority="5">
      <formula>ROUND(AI42,2)&lt;&gt;ROUND(AI43,2)</formula>
    </cfRule>
  </conditionalFormatting>
  <conditionalFormatting sqref="AI53">
    <cfRule type="expression" dxfId="93" priority="4">
      <formula>ROUND(AI52,2)&lt;&gt;ROUND(AI53,2)</formula>
    </cfRule>
  </conditionalFormatting>
  <conditionalFormatting sqref="AI63">
    <cfRule type="expression" dxfId="92" priority="3">
      <formula>ROUND(AI62,2)&lt;&gt;ROUND(AI63,2)</formula>
    </cfRule>
  </conditionalFormatting>
  <conditionalFormatting sqref="AI73">
    <cfRule type="expression" dxfId="91" priority="2">
      <formula>ROUND(AI72,2)&lt;&gt;ROUND(AI73,2)</formula>
    </cfRule>
  </conditionalFormatting>
  <conditionalFormatting sqref="AI82">
    <cfRule type="expression" dxfId="90" priority="1">
      <formula>ROUND(AI81,2)&lt;&gt;ROUND(AI82,2)</formula>
    </cfRule>
  </conditionalFormatting>
  <dataValidations disablePrompts="1" count="2">
    <dataValidation type="list" allowBlank="1" sqref="B29" xr:uid="{00000000-0002-0000-0800-000000000000}">
      <formula1>"SELF,ALL,BAS,DEP,BASMEMBERS,MEMBERS,NOEXPAND,GDEP"</formula1>
    </dataValidation>
    <dataValidation type="list" allowBlank="1" sqref="B28" xr:uid="{00000000-0002-0000-0800-000001000000}">
      <formula1>"ACCOUNT,BUSINESSUNIT,CATEGORY,DATASRC,DEPARTMENT,INTCO,MEASURES,RPTCURRENCY,TIME"</formula1>
    </dataValidation>
  </dataValidations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rowBreaks count="1" manualBreakCount="1">
    <brk id="95" min="13" max="34" man="1"/>
  </rowBreaks>
  <customProperties>
    <customPr name="EpmWorksheetKeyString_GUID" r:id="rId2"/>
    <customPr name="FPMExcelClientCellBasedFunctionStatus" r:id="rId3"/>
    <customPr name="FPMExcelClientRefreshTime" r:id="rId4"/>
  </customProperties>
  <legacyDrawing r:id="rId5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2">
    <tabColor theme="6" tint="0.39997558519241921"/>
    <pageSetUpPr fitToPage="1"/>
  </sheetPr>
  <dimension ref="A1:AO194"/>
  <sheetViews>
    <sheetView topLeftCell="K1" zoomScale="85" zoomScaleNormal="85" workbookViewId="0">
      <pane xSplit="4" ySplit="32" topLeftCell="O33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3" width="9.7109375" style="1" hidden="1" customWidth="1" outlineLevel="1"/>
    <col min="14" max="14" width="36.7109375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40" width="0" style="1" hidden="1" customWidth="1" outlineLevel="1"/>
    <col min="41" max="41" width="9.140625" style="1" collapsed="1"/>
    <col min="42" max="16384" width="9.140625" style="1"/>
  </cols>
  <sheetData>
    <row r="1" spans="1:41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517" t="s">
        <v>22</v>
      </c>
      <c r="H1" s="54" t="s">
        <v>729</v>
      </c>
      <c r="I1" s="11"/>
      <c r="J1" s="11"/>
      <c r="K1" s="11"/>
      <c r="L1" s="11"/>
      <c r="M1" s="11"/>
      <c r="N1" s="63" t="str">
        <f>IF(_epmOfflineCondition_,"Pool Bar",IF(OR(_xll.EVCGT($B$1,$B$6,$H$1,$H$2,$H$3,$H$4,$H$5,$H$6,$H$7,$H$8)="#RFR",_xll.EVCGT($B$1,$B$6,$H$1,$H$2,$H$3,$H$4,$H$5,$H$6,$H$7,$H$8)="#NODATA"),"",_xll.EVCGT($B$1,$B$6,$H$1,$H$2,$H$3,$H$4,$H$5,$H$6,$H$7,$H$8)))</f>
        <v>Pool Bar</v>
      </c>
      <c r="O1" s="11" t="s">
        <v>732</v>
      </c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</row>
    <row r="2" spans="1:41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517" t="s">
        <v>50</v>
      </c>
      <c r="H2" s="54" t="str">
        <f>"BU"&amp;RIGHT(B3,4)</f>
        <v>BU1334</v>
      </c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</row>
    <row r="3" spans="1:41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517" t="s">
        <v>19</v>
      </c>
      <c r="H3" s="54" t="s">
        <v>684</v>
      </c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517" t="s">
        <v>51</v>
      </c>
      <c r="H4" s="54" t="s">
        <v>731</v>
      </c>
      <c r="I4" s="55"/>
      <c r="J4" s="55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517" t="s">
        <v>53</v>
      </c>
      <c r="H5" s="54" t="s">
        <v>730</v>
      </c>
      <c r="I5" s="55"/>
      <c r="J5" s="55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idden="1" outlineLevel="1" x14ac:dyDescent="0.25">
      <c r="A6" s="49" t="s">
        <v>52</v>
      </c>
      <c r="B6" s="52" t="s">
        <v>727</v>
      </c>
      <c r="C6" s="11" t="str">
        <f>IF(_epmOfflineCondition_,"Venue 2",_xll.EVDES(B6,$B$1))</f>
        <v>Venue 2</v>
      </c>
      <c r="D6" s="11"/>
      <c r="E6" s="54" t="str">
        <f>IF(_epmOfflineCondition_,"D_VENUES",_xll.EVPRO($B$1,$B$6,$F$6))</f>
        <v>D_VENUES</v>
      </c>
      <c r="F6" s="11" t="s">
        <v>278</v>
      </c>
      <c r="G6" s="517" t="s">
        <v>20</v>
      </c>
      <c r="H6" s="54" t="s">
        <v>55</v>
      </c>
      <c r="I6" s="55"/>
      <c r="J6" s="55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517" t="s">
        <v>54</v>
      </c>
      <c r="H7" s="54" t="s">
        <v>62</v>
      </c>
      <c r="I7" s="55"/>
      <c r="J7" s="55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517" t="s">
        <v>18</v>
      </c>
      <c r="H8" s="54" t="s">
        <v>728</v>
      </c>
      <c r="I8" s="55"/>
      <c r="J8" s="55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59" t="str">
        <f>IF(SetUp!$O$1=TRUE,"TRAILING12",IF(AA17="CURRENT","ROLLINGFORECAST","PERIODIC"))</f>
        <v>PERIODIC</v>
      </c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11"/>
      <c r="M12" s="11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  <c r="AJ12" s="11"/>
      <c r="AK12" s="11"/>
      <c r="AL12" s="11"/>
      <c r="AM12" s="11"/>
      <c r="AN12" s="11"/>
      <c r="AO12" s="11"/>
    </row>
    <row r="13" spans="1:41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11"/>
      <c r="M13" s="11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  <c r="AJ13" s="11"/>
      <c r="AK13" s="11"/>
      <c r="AL13" s="11"/>
      <c r="AM13" s="11"/>
      <c r="AN13" s="11"/>
      <c r="AO13" s="11"/>
    </row>
    <row r="14" spans="1:41" hidden="1" outlineLevel="1" x14ac:dyDescent="0.25">
      <c r="A14" s="56" t="str">
        <f>IF(_epmOfflineCondition_,"Evdre:Ok",_xll.EVDRE($B$1,A17:B24,A27:B33))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11"/>
      <c r="M14" s="11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  <c r="AJ14" s="11"/>
      <c r="AK14" s="11"/>
      <c r="AL14" s="11"/>
      <c r="AM14" s="11"/>
      <c r="AN14" s="11"/>
      <c r="AO14" s="11"/>
    </row>
    <row r="15" spans="1:41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11"/>
      <c r="M15" s="11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  <c r="AJ15" s="11"/>
      <c r="AK15" s="11"/>
      <c r="AL15" s="11"/>
      <c r="AM15" s="11"/>
      <c r="AN15" s="11"/>
      <c r="AO15" s="11"/>
    </row>
    <row r="16" spans="1:41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11"/>
      <c r="M16" s="11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  <c r="AJ16" s="11"/>
      <c r="AK16" s="11"/>
      <c r="AL16" s="11"/>
      <c r="AM16" s="11"/>
      <c r="AN16" s="11"/>
      <c r="AO16" s="11"/>
    </row>
    <row r="17" spans="1:41" hidden="1" outlineLevel="1" x14ac:dyDescent="0.25">
      <c r="A17" s="61" t="s">
        <v>2</v>
      </c>
      <c r="B17" s="62" t="str">
        <f>IF(_epmOfflineCondition_,"'Venue2'!$B$2:$B$10",_xll.EVRNG($B$2:$B$10))</f>
        <v>'Venue2'!$B$2:$B$10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11"/>
      <c r="M17" s="11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 t="str">
        <f>Z17</f>
        <v>ACTUAL_CON</v>
      </c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  <c r="AJ17" s="11"/>
      <c r="AK17" s="11"/>
      <c r="AL17" s="11"/>
      <c r="AM17" s="11"/>
      <c r="AN17" s="11"/>
      <c r="AO17" s="11"/>
    </row>
    <row r="18" spans="1:41" hidden="1" outlineLevel="1" x14ac:dyDescent="0.25">
      <c r="A18" s="61" t="s">
        <v>3</v>
      </c>
      <c r="B18" s="62" t="str">
        <f>IF(_epmOfflineCondition_,"'Venue2'!$O$16:$AN$18",_xll.EVRNG($O$16:$AN$18))</f>
        <v>'Venue2'!$O$16:$AN$18</v>
      </c>
      <c r="C18" s="11"/>
      <c r="D18" s="11"/>
      <c r="E18" s="11"/>
      <c r="F18" s="11"/>
      <c r="G18" s="11"/>
      <c r="H18" s="11"/>
      <c r="I18" s="55"/>
      <c r="J18" s="55"/>
      <c r="K18" s="11"/>
      <c r="L18" s="11"/>
      <c r="M18" s="11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11"/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  <c r="AJ18" s="11"/>
      <c r="AK18" s="11"/>
      <c r="AL18" s="11"/>
      <c r="AM18" s="11"/>
      <c r="AN18" s="11"/>
      <c r="AO18" s="11"/>
    </row>
    <row r="19" spans="1:41" hidden="1" outlineLevel="1" x14ac:dyDescent="0.25">
      <c r="A19" s="61" t="s">
        <v>4</v>
      </c>
      <c r="B19" s="62" t="str">
        <f>IF(_epmOfflineCondition_,"'Venue2'!$H$35:$H$58",_xll.EVRNG(H35:H58))</f>
        <v>'Venue2'!$H$35:$H$58</v>
      </c>
      <c r="C19" s="11"/>
      <c r="D19" s="11"/>
      <c r="E19" s="11"/>
      <c r="F19" s="11"/>
      <c r="G19" s="63" t="str">
        <f>$B$6</f>
        <v>D2141</v>
      </c>
      <c r="H19" s="63">
        <v>400000</v>
      </c>
      <c r="I19" s="64"/>
      <c r="J19" s="64"/>
      <c r="K19" s="63"/>
      <c r="L19" s="63"/>
      <c r="M19" s="63"/>
      <c r="N19" s="63" t="str">
        <f>IF(_epmOfflineCondition_,"Total Revenue",_xll.EVDES(H19))</f>
        <v>Total Revenue</v>
      </c>
      <c r="O19" s="65">
        <f>IF(_epmOfflineCondition_,1582.38,_xll.EVGTS($B$1,1,$B$3,$B$5,$B$7,$B$9,O$16,O$17,O$18,$G$19,$H$19))</f>
        <v>1582.38</v>
      </c>
      <c r="P19" s="65">
        <f>IF(_epmOfflineCondition_,3404.3,_xll.EVGTS($B$1,1,$B$3,$B$5,$B$7,$B$9,P$16,P$17,P$18,$G$19,$H$19))</f>
        <v>3404.3</v>
      </c>
      <c r="Q19" s="65">
        <f>IF(_epmOfflineCondition_,4559.5,_xll.EVGTS($B$1,1,$B$3,$B$5,$B$7,$B$9,Q$16,Q$17,Q$18,$G$19,$H$19))</f>
        <v>4559.5</v>
      </c>
      <c r="R19" s="65">
        <f>IF(_epmOfflineCondition_,3249.72,_xll.EVGTS($B$1,1,$B$3,$B$5,$B$7,$B$9,R$16,R$17,R$18,$G$19,$H$19))</f>
        <v>3249.72</v>
      </c>
      <c r="S19" s="65">
        <f>IF(_epmOfflineCondition_,3779.54,_xll.EVGTS($B$1,1,$B$3,$B$5,$B$7,$B$9,S$16,S$17,S$18,$G$19,$H$19))</f>
        <v>3779.54</v>
      </c>
      <c r="T19" s="65">
        <f>IF(_epmOfflineCondition_,2190.38,_xll.EVGTS($B$1,1,$B$3,$B$5,$B$7,$B$9,T$16,T$17,T$18,$G$19,$H$19))</f>
        <v>2190.38</v>
      </c>
      <c r="U19" s="65">
        <f>IF(_epmOfflineCondition_,5031.12,_xll.EVGTS($B$1,1,$B$3,$B$5,$B$7,$B$9,U$16,U$17,U$18,$G$19,$H$19))</f>
        <v>5031.12</v>
      </c>
      <c r="V19" s="65">
        <f>IF(_epmOfflineCondition_,2429.46,_xll.EVGTS($B$1,1,$B$3,$B$5,$B$7,$B$9,V$16,V$17,V$18,$G$19,$H$19))</f>
        <v>2429.46</v>
      </c>
      <c r="W19" s="65">
        <f>IF(_epmOfflineCondition_,3267.09,_xll.EVGTS($B$1,1,$B$3,$B$5,$B$7,$B$9,W$16,W$17,W$18,$G$19,$H$19))</f>
        <v>3267.09</v>
      </c>
      <c r="X19" s="65">
        <f>IF(_epmOfflineCondition_,1192.16,_xll.EVGTS($B$1,1,$B$3,$B$5,$B$7,$B$9,X$16,X$17,X$18,$G$19,$H$19))</f>
        <v>1192.1600000000001</v>
      </c>
      <c r="Y19" s="65">
        <f>IF(_epmOfflineCondition_,3896.78,_xll.EVGTS($B$1,1,$B$3,$B$5,$B$7,$B$9,Y$16,Y$17,Y$18,$G$19,$H$19))</f>
        <v>3896.78</v>
      </c>
      <c r="Z19" s="65">
        <f>IF(_epmOfflineCondition_,6494.11,_xll.EVGTS($B$1,1,$B$3,$B$5,$B$7,$B$9,Z$16,Z$17,Z$18,$G$19,$H$19))</f>
        <v>6494.11</v>
      </c>
      <c r="AA19" s="65">
        <f>SUM(O19:Z19)</f>
        <v>41076.54</v>
      </c>
      <c r="AB19" s="63"/>
      <c r="AC19" s="63"/>
      <c r="AD19" s="65">
        <f>IF(_epmOfflineCondition_,255435.1428,_xll.EVGTS($B$1,1,$B$3,$B$5,$B$7,$B$9,AD$16,AD$17,AD$18,$G$19,$H$19))</f>
        <v>255435.1428</v>
      </c>
      <c r="AE19" s="63"/>
      <c r="AF19" s="63"/>
      <c r="AG19" s="65">
        <f>IF(_epmOfflineCondition_,18915.32,_xll.EVGTS($B$1,1,$B$3,$B$5,$B$7,$B$9,AG$16,AG$17,AG$18,$G$19,$H$19))</f>
        <v>18915.32</v>
      </c>
      <c r="AH19" s="63"/>
      <c r="AI19" s="63"/>
      <c r="AJ19" s="11"/>
      <c r="AK19" s="11"/>
      <c r="AL19" s="11"/>
      <c r="AM19" s="11"/>
      <c r="AN19" s="11"/>
      <c r="AO19" s="11"/>
    </row>
    <row r="20" spans="1:41" hidden="1" outlineLevel="1" x14ac:dyDescent="0.25">
      <c r="A20" s="61" t="s">
        <v>5</v>
      </c>
      <c r="B20" s="62"/>
      <c r="C20" s="11"/>
      <c r="D20" s="11"/>
      <c r="E20" s="11"/>
      <c r="F20" s="11"/>
      <c r="G20" s="63" t="str">
        <f>$B$6</f>
        <v>D2141</v>
      </c>
      <c r="H20" s="63">
        <v>946000</v>
      </c>
      <c r="I20" s="64"/>
      <c r="J20" s="64"/>
      <c r="K20" s="63"/>
      <c r="L20" s="64"/>
      <c r="M20" s="64"/>
      <c r="N20" s="63" t="str">
        <f>IF(_epmOfflineCondition_,"Total Customers",_xll.EVDES(H20))</f>
        <v>Total Customers</v>
      </c>
      <c r="O20" s="65">
        <f>IF(_epmOfflineCondition_,113,_xll.EVGTS($B$1,1,$B$3,$B$5,$B$7,$B$9,O$16,O$17,O$18,$G$20,$H$20))</f>
        <v>113</v>
      </c>
      <c r="P20" s="65">
        <f>IF(_epmOfflineCondition_,163,_xll.EVGTS($B$1,1,$B$3,$B$5,$B$7,$B$9,P$16,P$17,P$18,$G$20,$H$20))</f>
        <v>163</v>
      </c>
      <c r="Q20" s="65">
        <f>IF(_epmOfflineCondition_,272,_xll.EVGTS($B$1,1,$B$3,$B$5,$B$7,$B$9,Q$16,Q$17,Q$18,$G$20,$H$20))</f>
        <v>272</v>
      </c>
      <c r="R20" s="65">
        <f>IF(_epmOfflineCondition_,193,_xll.EVGTS($B$1,1,$B$3,$B$5,$B$7,$B$9,R$16,R$17,R$18,$G$20,$H$20))</f>
        <v>193</v>
      </c>
      <c r="S20" s="65">
        <f>IF(_epmOfflineCondition_,232,_xll.EVGTS($B$1,1,$B$3,$B$5,$B$7,$B$9,S$16,S$17,S$18,$G$20,$H$20))</f>
        <v>232</v>
      </c>
      <c r="T20" s="65">
        <f>IF(_epmOfflineCondition_,99,_xll.EVGTS($B$1,1,$B$3,$B$5,$B$7,$B$9,T$16,T$17,T$18,$G$20,$H$20))</f>
        <v>99</v>
      </c>
      <c r="U20" s="65">
        <f>IF(_epmOfflineCondition_,260,_xll.EVGTS($B$1,1,$B$3,$B$5,$B$7,$B$9,U$16,U$17,U$18,$G$20,$H$20))</f>
        <v>260</v>
      </c>
      <c r="V20" s="65">
        <f>IF(_epmOfflineCondition_,123,_xll.EVGTS($B$1,1,$B$3,$B$5,$B$7,$B$9,V$16,V$17,V$18,$G$20,$H$20))</f>
        <v>123</v>
      </c>
      <c r="W20" s="65">
        <f>IF(_epmOfflineCondition_,189,_xll.EVGTS($B$1,1,$B$3,$B$5,$B$7,$B$9,W$16,W$17,W$18,$G$20,$H$20))</f>
        <v>189</v>
      </c>
      <c r="X20" s="65">
        <f>IF(_epmOfflineCondition_,58,_xll.EVGTS($B$1,1,$B$3,$B$5,$B$7,$B$9,X$16,X$17,X$18,$G$20,$H$20))</f>
        <v>58</v>
      </c>
      <c r="Y20" s="65">
        <f>IF(_epmOfflineCondition_,191,_xll.EVGTS($B$1,1,$B$3,$B$5,$B$7,$B$9,Y$16,Y$17,Y$18,$G$20,$H$20))</f>
        <v>191</v>
      </c>
      <c r="Z20" s="65">
        <f>IF(_epmOfflineCondition_,341,_xll.EVGTS($B$1,1,$B$3,$B$5,$B$7,$B$9,Z$16,Z$17,Z$18,$G$20,$H$20))</f>
        <v>341</v>
      </c>
      <c r="AA20" s="65">
        <f>SUM(O20:Z20)</f>
        <v>2234</v>
      </c>
      <c r="AB20" s="63"/>
      <c r="AC20" s="63"/>
      <c r="AD20" s="65">
        <f>IF(_epmOfflineCondition_,10076,_xll.EVGTS($B$1,1,$B$3,$B$5,$B$7,$B$9,AD$16,AD$17,AD$18,$G$20,$H$20))</f>
        <v>10076</v>
      </c>
      <c r="AE20" s="63"/>
      <c r="AF20" s="63"/>
      <c r="AG20" s="65">
        <f>IF(_epmOfflineCondition_,1020,_xll.EVGTS($B$1,1,$B$3,$B$5,$B$7,$B$9,AG$16,AG$17,AG$18,$G$20,$H$20))</f>
        <v>1020</v>
      </c>
      <c r="AH20" s="63"/>
      <c r="AI20" s="63"/>
      <c r="AJ20" s="11"/>
      <c r="AK20" s="11"/>
      <c r="AL20" s="11"/>
      <c r="AM20" s="11"/>
      <c r="AN20" s="11"/>
      <c r="AO20" s="11"/>
    </row>
    <row r="21" spans="1:41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idden="1" outlineLevel="1" x14ac:dyDescent="0.25">
      <c r="A22" s="61" t="s">
        <v>7</v>
      </c>
      <c r="B22" s="62" t="str">
        <f>IF(_epmOfflineCondition_,"'Venue2'!$A$36:$F$44",_xll.EVRNG(A36:F44))</f>
        <v>'Venue2'!$A$36:$F$44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idden="1" outlineLevel="1" x14ac:dyDescent="0.25">
      <c r="A23" s="61" t="s">
        <v>47</v>
      </c>
      <c r="B23" s="62" t="str">
        <f>IF(_epmOfflineCondition_,"'Venue2'!$A$125:$B$146",_xll.EVRNG($A$125:$B$146))</f>
        <v>'Venue2'!$A$125:$B$146</v>
      </c>
      <c r="C23" s="11"/>
      <c r="D23" s="11"/>
      <c r="E23" s="11"/>
      <c r="F23" s="11"/>
      <c r="G23" s="11"/>
      <c r="H23" s="11"/>
      <c r="I23" s="55"/>
      <c r="J23" s="55"/>
      <c r="K23" s="6"/>
      <c r="L23" s="6"/>
      <c r="M23" s="6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380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22.5" x14ac:dyDescent="0.3">
      <c r="A26" s="57" t="s">
        <v>9</v>
      </c>
      <c r="B26" s="58" t="s">
        <v>10</v>
      </c>
      <c r="C26" s="11"/>
      <c r="D26" s="11"/>
      <c r="E26" s="11"/>
      <c r="F26" s="11"/>
      <c r="G26" s="11"/>
      <c r="H26" s="11"/>
      <c r="I26" s="55"/>
      <c r="J26" s="55"/>
      <c r="K26" s="11"/>
      <c r="L26" s="11"/>
      <c r="M26" s="11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8" x14ac:dyDescent="0.25">
      <c r="A27" s="61" t="s">
        <v>11</v>
      </c>
      <c r="B27" s="62" t="s">
        <v>21</v>
      </c>
      <c r="C27" s="11"/>
      <c r="D27" s="11"/>
      <c r="E27" s="11"/>
      <c r="F27" s="11"/>
      <c r="G27" s="11"/>
      <c r="H27" s="11"/>
      <c r="I27" s="55"/>
      <c r="J27" s="55"/>
      <c r="K27" s="11"/>
      <c r="L27" s="11"/>
      <c r="M27" s="11"/>
      <c r="N27" s="67" t="str">
        <f>IF(_epmOfflineCondition_,"Pool Bar",IF($N$1="",IF(_xll.EVDES(B6,$B$1)="#NODATA","",_xll.EVDES(B6,$B$1)&amp;" Department"),$N$1))</f>
        <v>Pool Bar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x14ac:dyDescent="0.25">
      <c r="A28" s="61" t="s">
        <v>12</v>
      </c>
      <c r="B28" s="62" t="s">
        <v>22</v>
      </c>
      <c r="C28" s="11"/>
      <c r="D28" s="11"/>
      <c r="E28" s="11"/>
      <c r="F28" s="11"/>
      <c r="G28" s="11"/>
      <c r="H28" s="11"/>
      <c r="I28" s="55"/>
      <c r="J28" s="55"/>
      <c r="K28" s="11"/>
      <c r="L28" s="11"/>
      <c r="M28" s="11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" customHeight="1" x14ac:dyDescent="0.25">
      <c r="A29" s="61" t="s">
        <v>13</v>
      </c>
      <c r="B29" s="62" t="str">
        <f>"DEP(REV_F) AND "&amp;$E$6&amp;"=Y,REV_F,BEV,DEP(REV_BEV) AND "&amp;$E$6&amp;"=Y,REV_BEV,ALLOW_FB,REV_FB,OTHR_REV,DEP(REV_OTHR) AND "&amp;$E$6&amp;"=Y,REV_OTHR,400000"</f>
        <v>DEP(REV_F) AND D_VENUES=Y,REV_F,BEV,DEP(REV_BEV) AND D_VENUES=Y,REV_BEV,ALLOW_FB,REV_FB,OTHR_REV,DEP(REV_OTHR) AND D_VENUES=Y,REV_OTHR,400000</v>
      </c>
      <c r="C29" s="11"/>
      <c r="D29" s="11"/>
      <c r="E29" s="11"/>
      <c r="F29" s="11"/>
      <c r="G29" s="11"/>
      <c r="H29" s="11"/>
      <c r="I29" s="55"/>
      <c r="J29" s="55"/>
      <c r="K29" s="11"/>
      <c r="L29" s="11"/>
      <c r="M29" s="11"/>
      <c r="N29" s="68" t="str">
        <f>IF(_epmOfflineCondition_,"Local Currency",_xll.EVDES(B9,B1))</f>
        <v>Local Currency</v>
      </c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x14ac:dyDescent="0.25">
      <c r="A30" s="61" t="s">
        <v>14</v>
      </c>
      <c r="B30" s="62"/>
      <c r="C30" s="11"/>
      <c r="D30" s="11"/>
      <c r="E30" s="11"/>
      <c r="F30" s="11"/>
      <c r="G30" s="11"/>
      <c r="H30" s="11"/>
      <c r="I30" s="55"/>
      <c r="J30" s="55"/>
      <c r="K30" s="11"/>
      <c r="L30" s="11"/>
      <c r="M30" s="11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  <c r="AJ30" s="69" t="s">
        <v>752</v>
      </c>
      <c r="AK30" s="70"/>
      <c r="AL30" s="71"/>
      <c r="AM30" s="70" t="s">
        <v>751</v>
      </c>
      <c r="AN30" s="70"/>
      <c r="AO30" s="11"/>
    </row>
    <row r="31" spans="1:41" x14ac:dyDescent="0.25">
      <c r="A31" s="61" t="s">
        <v>15</v>
      </c>
      <c r="B31" s="62"/>
      <c r="C31" s="11"/>
      <c r="D31" s="11"/>
      <c r="E31" s="11"/>
      <c r="F31" s="11"/>
      <c r="G31" s="72"/>
      <c r="H31" s="11"/>
      <c r="I31" s="55"/>
      <c r="J31" s="55"/>
      <c r="K31" s="55"/>
      <c r="L31" s="55"/>
      <c r="M31" s="55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  <c r="AJ31" s="73" t="str">
        <f>IF(_epmOfflineCondition_,"2019",_xll.EVPRO($B$1,AA$16,"YEAR"))</f>
        <v>2019</v>
      </c>
      <c r="AK31" s="76" t="str">
        <f>IF(_epmOfflineCondition_,"2019",_xll.EVPRO($B$1,AD$16,"YEAR"))</f>
        <v>2019</v>
      </c>
      <c r="AL31" s="76" t="str">
        <f>IF(_epmOfflineCondition_,"2018",_xll.EVPRO($B$1,AG$16,"YEAR"))</f>
        <v>2018</v>
      </c>
      <c r="AM31" s="73" t="str">
        <f>"vs "&amp;AK31</f>
        <v>vs 2019</v>
      </c>
      <c r="AN31" s="73" t="str">
        <f>"vs "&amp;AL31</f>
        <v>vs 2018</v>
      </c>
      <c r="AO31" s="11"/>
    </row>
    <row r="32" spans="1:41" s="8" customFormat="1" ht="30" customHeight="1" x14ac:dyDescent="0.25">
      <c r="A32" s="77" t="s">
        <v>16</v>
      </c>
      <c r="B32" s="78"/>
      <c r="C32" s="79"/>
      <c r="D32" s="79"/>
      <c r="E32" s="79"/>
      <c r="F32" s="79"/>
      <c r="G32" s="359"/>
      <c r="H32" s="80"/>
      <c r="I32" s="81"/>
      <c r="J32" s="81"/>
      <c r="K32" s="174" t="s">
        <v>117</v>
      </c>
      <c r="L32" s="174"/>
      <c r="M32" s="174"/>
      <c r="N32" s="82" t="s">
        <v>120</v>
      </c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  <c r="AJ32" s="83" t="str">
        <f>Z32</f>
        <v>Actual</v>
      </c>
      <c r="AK32" s="76" t="str">
        <f>AD32</f>
        <v>Budget</v>
      </c>
      <c r="AL32" s="83" t="str">
        <f>AG32</f>
        <v>Actual</v>
      </c>
      <c r="AM32" s="73" t="s">
        <v>748</v>
      </c>
      <c r="AN32" s="73" t="s">
        <v>748</v>
      </c>
      <c r="AO32" s="79"/>
    </row>
    <row r="33" spans="1:41" x14ac:dyDescent="0.25">
      <c r="A33" s="61" t="s">
        <v>17</v>
      </c>
      <c r="B33" s="62"/>
      <c r="C33" s="11"/>
      <c r="D33" s="11"/>
      <c r="E33" s="11"/>
      <c r="F33" s="11"/>
      <c r="G33" s="11"/>
      <c r="H33" s="11" t="s">
        <v>69</v>
      </c>
      <c r="I33" s="55" t="str">
        <f>IF(_epmOfflineCondition_,"B1",_xll.EVPRO($B$1,$H33,"STYLE"))</f>
        <v>B1</v>
      </c>
      <c r="J33" s="55" t="str">
        <f>IF(_epmOfflineCondition_,"Y",_xll.EVPRO($B$1,$H33,"CALC"))</f>
        <v>Y</v>
      </c>
      <c r="K33" s="11"/>
      <c r="L33" s="11"/>
      <c r="M33" s="11"/>
      <c r="N33" s="101" t="str">
        <f>IF(_epmOfflineCondition_,"Revenues",IF(_xll.EVDES(H33,$B$1)="#NODATA","",_xll.EVDES(H33,$B$1)))</f>
        <v>Revenues</v>
      </c>
      <c r="O33" s="125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7"/>
      <c r="AC33" s="11"/>
      <c r="AD33" s="125"/>
      <c r="AE33" s="126"/>
      <c r="AF33" s="127"/>
      <c r="AG33" s="125"/>
      <c r="AH33" s="126"/>
      <c r="AI33" s="127"/>
      <c r="AJ33" s="11"/>
      <c r="AK33" s="11"/>
      <c r="AL33" s="11"/>
      <c r="AM33" s="11"/>
      <c r="AN33" s="11"/>
      <c r="AO33" s="11"/>
    </row>
    <row r="34" spans="1:41" x14ac:dyDescent="0.25">
      <c r="A34" s="11"/>
      <c r="B34" s="11"/>
      <c r="C34" s="11"/>
      <c r="D34" s="11"/>
      <c r="E34" s="11"/>
      <c r="F34" s="11"/>
      <c r="G34" s="11"/>
      <c r="H34" s="11" t="s">
        <v>259</v>
      </c>
      <c r="I34" s="55" t="str">
        <f>IF(_epmOfflineCondition_,"B1",_xll.EVPRO($B$1,$H34,"STYLE"))</f>
        <v>B1</v>
      </c>
      <c r="J34" s="55" t="str">
        <f>IF(_epmOfflineCondition_,"Y",_xll.EVPRO($B$1,$H34,"CALC"))</f>
        <v>Y</v>
      </c>
      <c r="K34" s="11"/>
      <c r="L34" s="129" t="s">
        <v>364</v>
      </c>
      <c r="M34" s="129" t="s">
        <v>783</v>
      </c>
      <c r="N34" s="49" t="str">
        <f>IF(_epmOfflineCondition_,"Food Revenue",IF(_xll.EVDES(H34,$B$1)="#NODATA","",_xll.EVDES(H34,$B$1)))</f>
        <v>Food Revenue</v>
      </c>
      <c r="O34" s="199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114"/>
      <c r="AC34" s="11"/>
      <c r="AD34" s="199"/>
      <c r="AE34" s="200"/>
      <c r="AF34" s="114"/>
      <c r="AG34" s="199"/>
      <c r="AH34" s="200"/>
      <c r="AI34" s="114"/>
      <c r="AJ34" s="11"/>
      <c r="AK34" s="11"/>
      <c r="AL34" s="11"/>
      <c r="AM34" s="11"/>
      <c r="AN34" s="11"/>
      <c r="AO34" s="11"/>
    </row>
    <row r="35" spans="1:41" x14ac:dyDescent="0.25">
      <c r="A35" s="93" t="s">
        <v>92</v>
      </c>
      <c r="B35" s="94" t="s">
        <v>93</v>
      </c>
      <c r="C35" s="94" t="s">
        <v>94</v>
      </c>
      <c r="D35" s="94" t="s">
        <v>95</v>
      </c>
      <c r="E35" s="94" t="s">
        <v>96</v>
      </c>
      <c r="F35" s="95" t="s">
        <v>97</v>
      </c>
      <c r="G35" s="11"/>
      <c r="H35" s="84" t="s">
        <v>260</v>
      </c>
      <c r="I35" s="118" t="str">
        <f>IF(_epmOfflineCondition_,"T5",_xll.EVPRO($B$1,$H35,"STYLE"))</f>
        <v>T5</v>
      </c>
      <c r="J35" s="118" t="str">
        <f>IF(_epmOfflineCondition_,"Y",_xll.EVPRO($B$1,$H35,"CALC"))</f>
        <v>Y</v>
      </c>
      <c r="K35" s="175" t="str">
        <f t="shared" ref="K35:K58" si="0">IF(AND(I35&gt;="T5"),"&gt;","")</f>
        <v>&gt;</v>
      </c>
      <c r="L35" s="86" t="str">
        <f>IF(_epmOfflineCondition_,"461100",_xll.EVPRO($B$1,H35,"JDEID"))</f>
        <v>461100</v>
      </c>
      <c r="M35" s="86" t="str">
        <f>IF(_epmOfflineCondition_,"",IF(AND(I35="N",J35="N"),_xll.EVPRO($B$1,H35,"PSFTID"),""))</f>
        <v/>
      </c>
      <c r="N35" s="86" t="str">
        <f>IF(_epmOfflineCondition_,"Breakfast Food",IF(_xll.EVDES(H35,$B$1)="#NODATA","",_xll.EVDES(H35,$B$1)))</f>
        <v>Breakfast Food</v>
      </c>
      <c r="O35" s="453"/>
      <c r="P35" s="223"/>
      <c r="Q35" s="223">
        <v>0.42</v>
      </c>
      <c r="R35" s="223"/>
      <c r="S35" s="223"/>
      <c r="T35" s="223"/>
      <c r="U35" s="223"/>
      <c r="V35" s="223"/>
      <c r="W35" s="223"/>
      <c r="X35" s="223"/>
      <c r="Y35" s="223"/>
      <c r="Z35" s="223"/>
      <c r="AA35" s="223">
        <f t="shared" ref="AA35:AA58" si="1">IF($I35="B1","",SUM(O35:Z35))</f>
        <v>0.42</v>
      </c>
      <c r="AB35" s="454">
        <f t="shared" ref="AB35:AB58" si="2">IF(AA35=0,"",IFERROR(AA35/AA$19,""))</f>
        <v>1.0224814456134815E-5</v>
      </c>
      <c r="AC35" s="528"/>
      <c r="AD35" s="223"/>
      <c r="AE35" s="454" t="str">
        <f t="shared" ref="AE35:AE58" si="3">IF(AD35=0,"",IFERROR(AD35/AD$19,""))</f>
        <v/>
      </c>
      <c r="AF35" s="456">
        <f t="shared" ref="AF35:AF58" si="4">IF(AND($AA35="",AD35=""),"",$AA35-AD35)</f>
        <v>0.42</v>
      </c>
      <c r="AG35" s="223">
        <v>36.799999999999997</v>
      </c>
      <c r="AH35" s="454">
        <f t="shared" ref="AH35:AH58" si="5">IF(AG35=0,"",IFERROR(AG35/AG$19,""))</f>
        <v>1.9455129492918965E-3</v>
      </c>
      <c r="AI35" s="457">
        <f t="shared" ref="AI35:AI58" si="6">IF(AND($AA35="",AG35=""),"",$AA35-AG35)</f>
        <v>-36.379999999999995</v>
      </c>
      <c r="AJ35" s="458">
        <f t="shared" ref="AJ35:AJ58" si="7">IFERROR(AA35/AA$20,0)</f>
        <v>1.8800358102059086E-4</v>
      </c>
      <c r="AK35" s="459">
        <f t="shared" ref="AK35:AK58" si="8">IFERROR(AD35/AD$20,0)</f>
        <v>0</v>
      </c>
      <c r="AL35" s="460">
        <f t="shared" ref="AL35:AL58" si="9">IFERROR(AG35/AG$20,0)</f>
        <v>3.6078431372549014E-2</v>
      </c>
      <c r="AM35" s="461">
        <f t="shared" ref="AM35:AM58" si="10">+IFERROR(ROUND(($AB35-AE35)*100,2)&amp;" pts.",0)</f>
        <v>0</v>
      </c>
      <c r="AN35" s="462" t="str">
        <f t="shared" ref="AN35:AN58" si="11">+IFERROR(ROUND(($AB35-AH35)*100,2)&amp;" pts.",0)</f>
        <v>-0.19 pts.</v>
      </c>
      <c r="AO35" s="11"/>
    </row>
    <row r="36" spans="1:41" x14ac:dyDescent="0.25">
      <c r="A36" s="11"/>
      <c r="B36" s="11"/>
      <c r="C36" s="11"/>
      <c r="D36" s="11"/>
      <c r="E36" s="11"/>
      <c r="F36" s="11"/>
      <c r="G36" s="11"/>
      <c r="H36" s="181" t="s">
        <v>261</v>
      </c>
      <c r="I36" s="118" t="str">
        <f>IF(_epmOfflineCondition_,"T5",_xll.EVPRO($B$1,$H36,"STYLE"))</f>
        <v>T5</v>
      </c>
      <c r="J36" s="118" t="str">
        <f>IF(_epmOfflineCondition_,"Y",_xll.EVPRO($B$1,$H36,"CALC"))</f>
        <v>Y</v>
      </c>
      <c r="K36" s="175" t="str">
        <f t="shared" si="0"/>
        <v>&gt;</v>
      </c>
      <c r="L36" s="86" t="str">
        <f>IF(_epmOfflineCondition_,"462100",_xll.EVPRO($B$1,H36,"JDEID"))</f>
        <v>462100</v>
      </c>
      <c r="M36" s="86" t="str">
        <f>IF(_epmOfflineCondition_,"",IF(AND(I36="N",J36="N"),_xll.EVPRO($B$1,H36,"PSFTID"),""))</f>
        <v/>
      </c>
      <c r="N36" s="86" t="str">
        <f>IF(_epmOfflineCondition_,"Lunch Food",IF(_xll.EVDES(H36,$B$1)="#NODATA","",_xll.EVDES(H36,$B$1)))</f>
        <v>Lunch Food</v>
      </c>
      <c r="O36" s="453">
        <v>69</v>
      </c>
      <c r="P36" s="223">
        <v>138</v>
      </c>
      <c r="Q36" s="223">
        <v>139</v>
      </c>
      <c r="R36" s="223">
        <v>180</v>
      </c>
      <c r="S36" s="223">
        <v>192</v>
      </c>
      <c r="T36" s="223">
        <v>290</v>
      </c>
      <c r="U36" s="223">
        <v>1047</v>
      </c>
      <c r="V36" s="223">
        <v>710</v>
      </c>
      <c r="W36" s="223">
        <v>313</v>
      </c>
      <c r="X36" s="223">
        <v>15</v>
      </c>
      <c r="Y36" s="223">
        <v>1241</v>
      </c>
      <c r="Z36" s="223">
        <v>2511</v>
      </c>
      <c r="AA36" s="223">
        <f t="shared" si="1"/>
        <v>6845</v>
      </c>
      <c r="AB36" s="454">
        <f t="shared" si="2"/>
        <v>0.16664013083867335</v>
      </c>
      <c r="AC36" s="528"/>
      <c r="AD36" s="223">
        <v>108405.834264</v>
      </c>
      <c r="AE36" s="454">
        <f t="shared" si="3"/>
        <v>0.42439671016168418</v>
      </c>
      <c r="AF36" s="456">
        <f t="shared" si="4"/>
        <v>-101560.834264</v>
      </c>
      <c r="AG36" s="223">
        <v>2721.5</v>
      </c>
      <c r="AH36" s="454">
        <f t="shared" si="5"/>
        <v>0.14387808400809501</v>
      </c>
      <c r="AI36" s="457">
        <f t="shared" si="6"/>
        <v>4123.5</v>
      </c>
      <c r="AJ36" s="458">
        <f t="shared" si="7"/>
        <v>3.0640107430617727</v>
      </c>
      <c r="AK36" s="459">
        <f t="shared" si="8"/>
        <v>10.758816421595872</v>
      </c>
      <c r="AL36" s="460">
        <f t="shared" si="9"/>
        <v>2.6681372549019606</v>
      </c>
      <c r="AM36" s="461" t="str">
        <f t="shared" si="10"/>
        <v>-25.78 pts.</v>
      </c>
      <c r="AN36" s="462" t="str">
        <f t="shared" si="11"/>
        <v>2.28 pts.</v>
      </c>
      <c r="AO36" s="11"/>
    </row>
    <row r="37" spans="1:41" x14ac:dyDescent="0.25">
      <c r="A37" s="11" t="s">
        <v>209</v>
      </c>
      <c r="B37" s="11" t="s">
        <v>21</v>
      </c>
      <c r="C37" s="391"/>
      <c r="D37" s="11" t="s">
        <v>590</v>
      </c>
      <c r="E37" s="11"/>
      <c r="F37" s="11" t="s">
        <v>99</v>
      </c>
      <c r="G37" s="11"/>
      <c r="H37" s="181" t="s">
        <v>262</v>
      </c>
      <c r="I37" s="118" t="str">
        <f>IF(_epmOfflineCondition_,"T5",_xll.EVPRO($B$1,$H37,"STYLE"))</f>
        <v>T5</v>
      </c>
      <c r="J37" s="118" t="str">
        <f>IF(_epmOfflineCondition_,"Y",_xll.EVPRO($B$1,$H37,"CALC"))</f>
        <v>Y</v>
      </c>
      <c r="K37" s="175" t="str">
        <f t="shared" si="0"/>
        <v>&gt;</v>
      </c>
      <c r="L37" s="86" t="str">
        <f>IF(_epmOfflineCondition_,"463100",_xll.EVPRO($B$1,H37,"JDEID"))</f>
        <v>463100</v>
      </c>
      <c r="M37" s="86" t="str">
        <f>IF(_epmOfflineCondition_,"",IF(AND(I37="N",J37="N"),_xll.EVPRO($B$1,H37,"PSFTID"),""))</f>
        <v/>
      </c>
      <c r="N37" s="86" t="str">
        <f>IF(_epmOfflineCondition_,"Dinner Food",IF(_xll.EVDES(H37,$B$1)="#NODATA","",_xll.EVDES(H37,$B$1)))</f>
        <v>Dinner Food</v>
      </c>
      <c r="O37" s="453"/>
      <c r="P37" s="223"/>
      <c r="Q37" s="223"/>
      <c r="R37" s="223"/>
      <c r="S37" s="223"/>
      <c r="T37" s="223"/>
      <c r="U37" s="223"/>
      <c r="V37" s="223"/>
      <c r="W37" s="223"/>
      <c r="X37" s="223"/>
      <c r="Y37" s="223"/>
      <c r="Z37" s="223"/>
      <c r="AA37" s="223">
        <f t="shared" si="1"/>
        <v>0</v>
      </c>
      <c r="AB37" s="454" t="str">
        <f t="shared" si="2"/>
        <v/>
      </c>
      <c r="AC37" s="528"/>
      <c r="AD37" s="223"/>
      <c r="AE37" s="454" t="str">
        <f t="shared" si="3"/>
        <v/>
      </c>
      <c r="AF37" s="456">
        <f t="shared" si="4"/>
        <v>0</v>
      </c>
      <c r="AG37" s="223"/>
      <c r="AH37" s="454" t="str">
        <f t="shared" si="5"/>
        <v/>
      </c>
      <c r="AI37" s="457">
        <f t="shared" si="6"/>
        <v>0</v>
      </c>
      <c r="AJ37" s="458">
        <f t="shared" si="7"/>
        <v>0</v>
      </c>
      <c r="AK37" s="459">
        <f t="shared" si="8"/>
        <v>0</v>
      </c>
      <c r="AL37" s="460">
        <f t="shared" si="9"/>
        <v>0</v>
      </c>
      <c r="AM37" s="461">
        <f t="shared" si="10"/>
        <v>0</v>
      </c>
      <c r="AN37" s="462">
        <f t="shared" si="11"/>
        <v>0</v>
      </c>
      <c r="AO37" s="11"/>
    </row>
    <row r="38" spans="1:41" x14ac:dyDescent="0.25">
      <c r="A38" s="11" t="s">
        <v>105</v>
      </c>
      <c r="B38" s="11"/>
      <c r="C38" s="100" t="s">
        <v>101</v>
      </c>
      <c r="D38" s="11" t="s">
        <v>106</v>
      </c>
      <c r="E38" s="11"/>
      <c r="F38" s="11" t="s">
        <v>98</v>
      </c>
      <c r="G38" s="11"/>
      <c r="H38" s="84" t="s">
        <v>263</v>
      </c>
      <c r="I38" s="118" t="str">
        <f>IF(_epmOfflineCondition_,"T5",_xll.EVPRO($B$1,$H38,"STYLE"))</f>
        <v>T5</v>
      </c>
      <c r="J38" s="118" t="str">
        <f>IF(_epmOfflineCondition_,"Y",_xll.EVPRO($B$1,$H38,"CALC"))</f>
        <v>Y</v>
      </c>
      <c r="K38" s="175" t="str">
        <f t="shared" si="0"/>
        <v>&gt;</v>
      </c>
      <c r="L38" s="86" t="str">
        <f>IF(_epmOfflineCondition_,"464100",_xll.EVPRO($B$1,H38,"JDEID"))</f>
        <v>464100</v>
      </c>
      <c r="M38" s="86" t="str">
        <f>IF(_epmOfflineCondition_,"",IF(AND(I38="N",J38="N"),_xll.EVPRO($B$1,H38,"PSFTID"),""))</f>
        <v/>
      </c>
      <c r="N38" s="86" t="str">
        <f>IF(_epmOfflineCondition_,"Bar Food",IF(_xll.EVDES(H38,$B$1)="#NODATA","",_xll.EVDES(H38,$B$1)))</f>
        <v>Bar Food</v>
      </c>
      <c r="O38" s="453"/>
      <c r="P38" s="223"/>
      <c r="Q38" s="223"/>
      <c r="R38" s="223"/>
      <c r="S38" s="223"/>
      <c r="T38" s="223"/>
      <c r="U38" s="223"/>
      <c r="V38" s="223"/>
      <c r="W38" s="223"/>
      <c r="X38" s="223"/>
      <c r="Y38" s="223"/>
      <c r="Z38" s="223"/>
      <c r="AA38" s="223">
        <f t="shared" si="1"/>
        <v>0</v>
      </c>
      <c r="AB38" s="454" t="str">
        <f t="shared" si="2"/>
        <v/>
      </c>
      <c r="AC38" s="528"/>
      <c r="AD38" s="223"/>
      <c r="AE38" s="454" t="str">
        <f t="shared" si="3"/>
        <v/>
      </c>
      <c r="AF38" s="456">
        <f t="shared" si="4"/>
        <v>0</v>
      </c>
      <c r="AG38" s="223"/>
      <c r="AH38" s="454" t="str">
        <f t="shared" si="5"/>
        <v/>
      </c>
      <c r="AI38" s="457">
        <f t="shared" si="6"/>
        <v>0</v>
      </c>
      <c r="AJ38" s="458">
        <f t="shared" si="7"/>
        <v>0</v>
      </c>
      <c r="AK38" s="459">
        <f t="shared" si="8"/>
        <v>0</v>
      </c>
      <c r="AL38" s="460">
        <f t="shared" si="9"/>
        <v>0</v>
      </c>
      <c r="AM38" s="461">
        <f t="shared" si="10"/>
        <v>0</v>
      </c>
      <c r="AN38" s="462">
        <f t="shared" si="11"/>
        <v>0</v>
      </c>
      <c r="AO38" s="11"/>
    </row>
    <row r="39" spans="1:41" x14ac:dyDescent="0.25">
      <c r="A39" s="11" t="s">
        <v>104</v>
      </c>
      <c r="B39" s="11"/>
      <c r="C39" s="100" t="s">
        <v>101</v>
      </c>
      <c r="D39" s="11" t="s">
        <v>106</v>
      </c>
      <c r="E39" s="11"/>
      <c r="F39" s="11" t="s">
        <v>98</v>
      </c>
      <c r="G39" s="11"/>
      <c r="H39" s="84" t="s">
        <v>264</v>
      </c>
      <c r="I39" s="118" t="str">
        <f>IF(_epmOfflineCondition_,"T5",_xll.EVPRO($B$1,$H39,"STYLE"))</f>
        <v>T5</v>
      </c>
      <c r="J39" s="118" t="str">
        <f>IF(_epmOfflineCondition_,"Y",_xll.EVPRO($B$1,$H39,"CALC"))</f>
        <v>Y</v>
      </c>
      <c r="K39" s="175" t="str">
        <f t="shared" si="0"/>
        <v>&gt;</v>
      </c>
      <c r="L39" s="86" t="str">
        <f>IF(_epmOfflineCondition_,"465100",_xll.EVPRO($B$1,H39,"JDEID"))</f>
        <v>465100</v>
      </c>
      <c r="M39" s="86" t="str">
        <f>IF(_epmOfflineCondition_,"",IF(AND(I39="N",J39="N"),_xll.EVPRO($B$1,H39,"PSFTID"),""))</f>
        <v/>
      </c>
      <c r="N39" s="86" t="str">
        <f>IF(_epmOfflineCondition_,"Private Dining Food",IF(_xll.EVDES(H39,$B$1)="#NODATA","",_xll.EVDES(H39,$B$1)))</f>
        <v>Private Dining Food</v>
      </c>
      <c r="O39" s="463"/>
      <c r="P39" s="229"/>
      <c r="Q39" s="229"/>
      <c r="R39" s="229"/>
      <c r="S39" s="229"/>
      <c r="T39" s="229"/>
      <c r="U39" s="229"/>
      <c r="V39" s="229"/>
      <c r="W39" s="229"/>
      <c r="X39" s="229"/>
      <c r="Y39" s="229"/>
      <c r="Z39" s="229"/>
      <c r="AA39" s="229">
        <f t="shared" si="1"/>
        <v>0</v>
      </c>
      <c r="AB39" s="464" t="str">
        <f t="shared" si="2"/>
        <v/>
      </c>
      <c r="AC39" s="455"/>
      <c r="AD39" s="229"/>
      <c r="AE39" s="464" t="str">
        <f t="shared" si="3"/>
        <v/>
      </c>
      <c r="AF39" s="465">
        <f t="shared" si="4"/>
        <v>0</v>
      </c>
      <c r="AG39" s="229"/>
      <c r="AH39" s="464" t="str">
        <f t="shared" si="5"/>
        <v/>
      </c>
      <c r="AI39" s="466">
        <f t="shared" si="6"/>
        <v>0</v>
      </c>
      <c r="AJ39" s="467">
        <f t="shared" si="7"/>
        <v>0</v>
      </c>
      <c r="AK39" s="468">
        <f t="shared" si="8"/>
        <v>0</v>
      </c>
      <c r="AL39" s="469">
        <f t="shared" si="9"/>
        <v>0</v>
      </c>
      <c r="AM39" s="470">
        <f t="shared" si="10"/>
        <v>0</v>
      </c>
      <c r="AN39" s="471">
        <f t="shared" si="11"/>
        <v>0</v>
      </c>
      <c r="AO39" s="11"/>
    </row>
    <row r="40" spans="1:41" x14ac:dyDescent="0.25">
      <c r="A40" s="11" t="s">
        <v>100</v>
      </c>
      <c r="B40" s="11"/>
      <c r="C40" s="49" t="s">
        <v>101</v>
      </c>
      <c r="D40" s="11" t="s">
        <v>106</v>
      </c>
      <c r="E40" s="11"/>
      <c r="F40" s="11" t="s">
        <v>98</v>
      </c>
      <c r="G40" s="11"/>
      <c r="H40" s="84" t="s">
        <v>265</v>
      </c>
      <c r="I40" s="184" t="str">
        <f>IF(_epmOfflineCondition_,"T4",_xll.EVPRO($B$1,$H40,"STYLE"))</f>
        <v>T4</v>
      </c>
      <c r="J40" s="184" t="str">
        <f>IF(_epmOfflineCondition_,"Y",_xll.EVPRO($B$1,$H40,"CALC"))</f>
        <v>Y</v>
      </c>
      <c r="K40" s="185" t="str">
        <f t="shared" si="0"/>
        <v/>
      </c>
      <c r="L40" s="186" t="str">
        <f>IF(_epmOfflineCondition_,"",_xll.EVPRO($B$1,H40,"JDEID"))</f>
        <v/>
      </c>
      <c r="M40" s="186" t="str">
        <f>IF(_epmOfflineCondition_,"",IF(AND(I40="N",J40="N"),_xll.EVPRO($B$1,H40,"PSFTID"),""))</f>
        <v/>
      </c>
      <c r="N40" s="186" t="str">
        <f>IF(_epmOfflineCondition_,"Total Food Revenue",IF(_xll.EVDES(H40,$B$1)="#NODATA","",_xll.EVDES(H40,$B$1)))</f>
        <v>Total Food Revenue</v>
      </c>
      <c r="O40" s="472">
        <v>69</v>
      </c>
      <c r="P40" s="236">
        <v>138</v>
      </c>
      <c r="Q40" s="236">
        <v>139.41999999999999</v>
      </c>
      <c r="R40" s="236">
        <v>180</v>
      </c>
      <c r="S40" s="236">
        <v>192</v>
      </c>
      <c r="T40" s="236">
        <v>290</v>
      </c>
      <c r="U40" s="236">
        <v>1047</v>
      </c>
      <c r="V40" s="236">
        <v>710</v>
      </c>
      <c r="W40" s="236">
        <v>313</v>
      </c>
      <c r="X40" s="236">
        <v>15</v>
      </c>
      <c r="Y40" s="236">
        <v>1241</v>
      </c>
      <c r="Z40" s="236">
        <v>2511</v>
      </c>
      <c r="AA40" s="236">
        <f t="shared" si="1"/>
        <v>6845.42</v>
      </c>
      <c r="AB40" s="237">
        <f t="shared" si="2"/>
        <v>0.16665035565312949</v>
      </c>
      <c r="AC40" s="238"/>
      <c r="AD40" s="236">
        <v>108405.834264</v>
      </c>
      <c r="AE40" s="237">
        <f t="shared" si="3"/>
        <v>0.42439671016168418</v>
      </c>
      <c r="AF40" s="239">
        <f t="shared" si="4"/>
        <v>-101560.41426400001</v>
      </c>
      <c r="AG40" s="236">
        <v>2758.3</v>
      </c>
      <c r="AH40" s="237">
        <f t="shared" si="5"/>
        <v>0.14582359695738695</v>
      </c>
      <c r="AI40" s="473">
        <f t="shared" si="6"/>
        <v>4087.12</v>
      </c>
      <c r="AJ40" s="215">
        <f t="shared" si="7"/>
        <v>3.0641987466427931</v>
      </c>
      <c r="AK40" s="216">
        <f t="shared" si="8"/>
        <v>10.758816421595872</v>
      </c>
      <c r="AL40" s="218">
        <f t="shared" si="9"/>
        <v>2.7042156862745101</v>
      </c>
      <c r="AM40" s="423" t="str">
        <f t="shared" si="10"/>
        <v>-25.77 pts.</v>
      </c>
      <c r="AN40" s="474" t="str">
        <f t="shared" si="11"/>
        <v>2.08 pts.</v>
      </c>
      <c r="AO40" s="11"/>
    </row>
    <row r="41" spans="1:41" x14ac:dyDescent="0.25">
      <c r="A41" s="11" t="s">
        <v>102</v>
      </c>
      <c r="B41" s="11"/>
      <c r="C41" s="102" t="s">
        <v>101</v>
      </c>
      <c r="D41" s="11" t="s">
        <v>106</v>
      </c>
      <c r="E41" s="11"/>
      <c r="F41" s="11" t="s">
        <v>98</v>
      </c>
      <c r="G41" s="11"/>
      <c r="H41" s="84" t="s">
        <v>266</v>
      </c>
      <c r="I41" s="184" t="str">
        <f>IF(_epmOfflineCondition_,"B1",_xll.EVPRO($B$1,$H41,"STYLE"))</f>
        <v>B1</v>
      </c>
      <c r="J41" s="184" t="str">
        <f>IF(_epmOfflineCondition_,"Y",_xll.EVPRO($B$1,$H41,"CALC"))</f>
        <v>Y</v>
      </c>
      <c r="K41" s="185" t="str">
        <f t="shared" si="0"/>
        <v/>
      </c>
      <c r="L41" s="186" t="str">
        <f>IF(_epmOfflineCondition_,"",_xll.EVPRO($B$1,H41,"JDEID"))</f>
        <v/>
      </c>
      <c r="M41" s="186" t="str">
        <f>IF(_epmOfflineCondition_,"",IF(AND(I41="N",J41="N"),_xll.EVPRO($B$1,H41,"PSFTID"),""))</f>
        <v/>
      </c>
      <c r="N41" s="186" t="str">
        <f>IF(_epmOfflineCondition_,"Beverage Revenue",IF(_xll.EVDES(H41,$B$1)="#NODATA","",_xll.EVDES(H41,$B$1)))</f>
        <v>Beverage Revenue</v>
      </c>
      <c r="O41" s="475"/>
      <c r="P41" s="241"/>
      <c r="Q41" s="241"/>
      <c r="R41" s="241"/>
      <c r="S41" s="241"/>
      <c r="T41" s="241"/>
      <c r="U41" s="241"/>
      <c r="V41" s="241"/>
      <c r="W41" s="241"/>
      <c r="X41" s="241"/>
      <c r="Y41" s="241"/>
      <c r="Z41" s="241"/>
      <c r="AA41" s="241" t="str">
        <f t="shared" si="1"/>
        <v/>
      </c>
      <c r="AB41" s="476" t="str">
        <f t="shared" si="2"/>
        <v/>
      </c>
      <c r="AC41" s="529"/>
      <c r="AD41" s="241"/>
      <c r="AE41" s="476" t="str">
        <f t="shared" si="3"/>
        <v/>
      </c>
      <c r="AF41" s="478" t="str">
        <f t="shared" si="4"/>
        <v/>
      </c>
      <c r="AG41" s="241"/>
      <c r="AH41" s="476" t="str">
        <f t="shared" si="5"/>
        <v/>
      </c>
      <c r="AI41" s="479" t="str">
        <f t="shared" si="6"/>
        <v/>
      </c>
      <c r="AJ41" s="244">
        <f t="shared" si="7"/>
        <v>0</v>
      </c>
      <c r="AK41" s="245">
        <f t="shared" si="8"/>
        <v>0</v>
      </c>
      <c r="AL41" s="247">
        <f t="shared" si="9"/>
        <v>0</v>
      </c>
      <c r="AM41" s="425">
        <f t="shared" si="10"/>
        <v>0</v>
      </c>
      <c r="AN41" s="480">
        <f t="shared" si="11"/>
        <v>0</v>
      </c>
      <c r="AO41" s="11"/>
    </row>
    <row r="42" spans="1:41" x14ac:dyDescent="0.25">
      <c r="A42" s="11" t="s">
        <v>102</v>
      </c>
      <c r="B42" s="11"/>
      <c r="C42" s="192" t="s">
        <v>101</v>
      </c>
      <c r="D42" s="11" t="s">
        <v>107</v>
      </c>
      <c r="E42" s="11"/>
      <c r="F42" s="11" t="s">
        <v>99</v>
      </c>
      <c r="G42" s="11"/>
      <c r="H42" s="84" t="s">
        <v>267</v>
      </c>
      <c r="I42" s="118" t="str">
        <f>IF(_epmOfflineCondition_,"T5",_xll.EVPRO($B$1,$H42,"STYLE"))</f>
        <v>T5</v>
      </c>
      <c r="J42" s="118" t="str">
        <f>IF(_epmOfflineCondition_,"Y",_xll.EVPRO($B$1,$H42,"CALC"))</f>
        <v>Y</v>
      </c>
      <c r="K42" s="175" t="str">
        <f t="shared" si="0"/>
        <v>&gt;</v>
      </c>
      <c r="L42" s="86" t="str">
        <f>IF(_epmOfflineCondition_,"",_xll.EVPRO($B$1,H42,"JDEID"))</f>
        <v/>
      </c>
      <c r="M42" s="86" t="str">
        <f>IF(_epmOfflineCondition_,"",IF(AND(I42="N",J42="N"),_xll.EVPRO($B$1,H42,"PSFTID"),""))</f>
        <v/>
      </c>
      <c r="N42" s="86" t="str">
        <f>IF(_epmOfflineCondition_,"Breakfast  Beverage Revenue",IF(_xll.EVDES(H42,$B$1)="#NODATA","",_xll.EVDES(H42,$B$1)))</f>
        <v>Breakfast  Beverage Revenue</v>
      </c>
      <c r="O42" s="453"/>
      <c r="P42" s="223"/>
      <c r="Q42" s="223"/>
      <c r="R42" s="223"/>
      <c r="S42" s="223"/>
      <c r="T42" s="223"/>
      <c r="U42" s="223"/>
      <c r="V42" s="223"/>
      <c r="W42" s="223"/>
      <c r="X42" s="223"/>
      <c r="Y42" s="223"/>
      <c r="Z42" s="223"/>
      <c r="AA42" s="223">
        <f t="shared" si="1"/>
        <v>0</v>
      </c>
      <c r="AB42" s="454" t="str">
        <f t="shared" si="2"/>
        <v/>
      </c>
      <c r="AC42" s="528"/>
      <c r="AD42" s="223"/>
      <c r="AE42" s="454" t="str">
        <f t="shared" si="3"/>
        <v/>
      </c>
      <c r="AF42" s="456">
        <f t="shared" si="4"/>
        <v>0</v>
      </c>
      <c r="AG42" s="223"/>
      <c r="AH42" s="454" t="str">
        <f t="shared" si="5"/>
        <v/>
      </c>
      <c r="AI42" s="457">
        <f t="shared" si="6"/>
        <v>0</v>
      </c>
      <c r="AJ42" s="458">
        <f t="shared" si="7"/>
        <v>0</v>
      </c>
      <c r="AK42" s="459">
        <f t="shared" si="8"/>
        <v>0</v>
      </c>
      <c r="AL42" s="460">
        <f t="shared" si="9"/>
        <v>0</v>
      </c>
      <c r="AM42" s="461">
        <f t="shared" si="10"/>
        <v>0</v>
      </c>
      <c r="AN42" s="462">
        <f t="shared" si="11"/>
        <v>0</v>
      </c>
      <c r="AO42" s="11"/>
    </row>
    <row r="43" spans="1:41" x14ac:dyDescent="0.25">
      <c r="A43" s="11" t="s">
        <v>108</v>
      </c>
      <c r="B43" s="11"/>
      <c r="C43" s="102" t="s">
        <v>101</v>
      </c>
      <c r="D43" s="11" t="s">
        <v>106</v>
      </c>
      <c r="E43" s="11"/>
      <c r="F43" s="11" t="s">
        <v>98</v>
      </c>
      <c r="G43" s="11"/>
      <c r="H43" s="84" t="s">
        <v>268</v>
      </c>
      <c r="I43" s="118" t="str">
        <f>IF(_epmOfflineCondition_,"T5",_xll.EVPRO($B$1,$H43,"STYLE"))</f>
        <v>T5</v>
      </c>
      <c r="J43" s="118" t="str">
        <f>IF(_epmOfflineCondition_,"Y",_xll.EVPRO($B$1,$H43,"CALC"))</f>
        <v>Y</v>
      </c>
      <c r="K43" s="175" t="str">
        <f t="shared" si="0"/>
        <v>&gt;</v>
      </c>
      <c r="L43" s="86" t="str">
        <f>IF(_epmOfflineCondition_,"",_xll.EVPRO($B$1,H43,"JDEID"))</f>
        <v/>
      </c>
      <c r="M43" s="86" t="str">
        <f>IF(_epmOfflineCondition_,"",IF(AND(I43="N",J43="N"),_xll.EVPRO($B$1,H43,"PSFTID"),""))</f>
        <v/>
      </c>
      <c r="N43" s="86" t="str">
        <f>IF(_epmOfflineCondition_,"Lunch Beverage Revenue",IF(_xll.EVDES(H43,$B$1)="#NODATA","",_xll.EVDES(H43,$B$1)))</f>
        <v>Lunch Beverage Revenue</v>
      </c>
      <c r="O43" s="453">
        <v>1520</v>
      </c>
      <c r="P43" s="223">
        <v>2747</v>
      </c>
      <c r="Q43" s="223">
        <v>3794</v>
      </c>
      <c r="R43" s="223">
        <v>2574</v>
      </c>
      <c r="S43" s="223">
        <v>3011</v>
      </c>
      <c r="T43" s="223">
        <v>1560</v>
      </c>
      <c r="U43" s="223">
        <v>3213</v>
      </c>
      <c r="V43" s="223">
        <v>1403</v>
      </c>
      <c r="W43" s="223">
        <v>2502</v>
      </c>
      <c r="X43" s="223">
        <v>984.2</v>
      </c>
      <c r="Y43" s="223">
        <v>2056</v>
      </c>
      <c r="Z43" s="223">
        <v>3228</v>
      </c>
      <c r="AA43" s="223">
        <f t="shared" si="1"/>
        <v>28592.2</v>
      </c>
      <c r="AB43" s="454">
        <f t="shared" si="2"/>
        <v>0.69607128545880448</v>
      </c>
      <c r="AC43" s="528"/>
      <c r="AD43" s="223">
        <v>108064.625736</v>
      </c>
      <c r="AE43" s="454">
        <f t="shared" si="3"/>
        <v>0.42306091695695991</v>
      </c>
      <c r="AF43" s="456">
        <f t="shared" si="4"/>
        <v>-79472.425736000005</v>
      </c>
      <c r="AG43" s="223">
        <v>13555.78</v>
      </c>
      <c r="AH43" s="454">
        <f t="shared" si="5"/>
        <v>0.71665612847152471</v>
      </c>
      <c r="AI43" s="457">
        <f t="shared" si="6"/>
        <v>15036.42</v>
      </c>
      <c r="AJ43" s="458">
        <f t="shared" si="7"/>
        <v>12.798657117278424</v>
      </c>
      <c r="AK43" s="459">
        <f t="shared" si="8"/>
        <v>10.724952931321953</v>
      </c>
      <c r="AL43" s="460">
        <f t="shared" si="9"/>
        <v>13.289980392156863</v>
      </c>
      <c r="AM43" s="461" t="str">
        <f t="shared" si="10"/>
        <v>27.3 pts.</v>
      </c>
      <c r="AN43" s="462" t="str">
        <f t="shared" si="11"/>
        <v>-2.06 pts.</v>
      </c>
      <c r="AO43" s="11"/>
    </row>
    <row r="44" spans="1:41" x14ac:dyDescent="0.25">
      <c r="A44" s="11" t="s">
        <v>108</v>
      </c>
      <c r="B44" s="11"/>
      <c r="C44" s="192" t="s">
        <v>101</v>
      </c>
      <c r="D44" s="11" t="s">
        <v>107</v>
      </c>
      <c r="E44" s="11"/>
      <c r="F44" s="11" t="s">
        <v>99</v>
      </c>
      <c r="G44" s="11"/>
      <c r="H44" s="84" t="s">
        <v>269</v>
      </c>
      <c r="I44" s="118" t="str">
        <f>IF(_epmOfflineCondition_,"T5",_xll.EVPRO($B$1,$H44,"STYLE"))</f>
        <v>T5</v>
      </c>
      <c r="J44" s="118" t="str">
        <f>IF(_epmOfflineCondition_,"Y",_xll.EVPRO($B$1,$H44,"CALC"))</f>
        <v>Y</v>
      </c>
      <c r="K44" s="175" t="str">
        <f t="shared" si="0"/>
        <v>&gt;</v>
      </c>
      <c r="L44" s="86" t="str">
        <f>IF(_epmOfflineCondition_,"",_xll.EVPRO($B$1,H44,"JDEID"))</f>
        <v/>
      </c>
      <c r="M44" s="86" t="str">
        <f>IF(_epmOfflineCondition_,"",IF(AND(I44="N",J44="N"),_xll.EVPRO($B$1,H44,"PSFTID"),""))</f>
        <v/>
      </c>
      <c r="N44" s="86" t="str">
        <f>IF(_epmOfflineCondition_,"Dinner Beverage Revenue",IF(_xll.EVDES(H44,$B$1)="#NODATA","",_xll.EVDES(H44,$B$1)))</f>
        <v>Dinner Beverage Revenue</v>
      </c>
      <c r="O44" s="453"/>
      <c r="P44" s="223"/>
      <c r="Q44" s="223"/>
      <c r="R44" s="223"/>
      <c r="S44" s="223"/>
      <c r="T44" s="223"/>
      <c r="U44" s="223"/>
      <c r="V44" s="223"/>
      <c r="W44" s="223"/>
      <c r="X44" s="223"/>
      <c r="Y44" s="223"/>
      <c r="Z44" s="223"/>
      <c r="AA44" s="223">
        <f t="shared" si="1"/>
        <v>0</v>
      </c>
      <c r="AB44" s="454" t="str">
        <f t="shared" si="2"/>
        <v/>
      </c>
      <c r="AC44" s="528"/>
      <c r="AD44" s="223"/>
      <c r="AE44" s="454" t="str">
        <f t="shared" si="3"/>
        <v/>
      </c>
      <c r="AF44" s="456">
        <f t="shared" si="4"/>
        <v>0</v>
      </c>
      <c r="AG44" s="223"/>
      <c r="AH44" s="454" t="str">
        <f t="shared" si="5"/>
        <v/>
      </c>
      <c r="AI44" s="457">
        <f t="shared" si="6"/>
        <v>0</v>
      </c>
      <c r="AJ44" s="458">
        <f t="shared" si="7"/>
        <v>0</v>
      </c>
      <c r="AK44" s="459">
        <f t="shared" si="8"/>
        <v>0</v>
      </c>
      <c r="AL44" s="460">
        <f t="shared" si="9"/>
        <v>0</v>
      </c>
      <c r="AM44" s="461">
        <f t="shared" si="10"/>
        <v>0</v>
      </c>
      <c r="AN44" s="462">
        <f t="shared" si="11"/>
        <v>0</v>
      </c>
      <c r="AO44" s="11"/>
    </row>
    <row r="45" spans="1:41" x14ac:dyDescent="0.25">
      <c r="A45" s="11"/>
      <c r="B45" s="11"/>
      <c r="C45" s="11"/>
      <c r="D45" s="11"/>
      <c r="E45" s="11"/>
      <c r="F45" s="11"/>
      <c r="G45" s="11"/>
      <c r="H45" s="84" t="s">
        <v>270</v>
      </c>
      <c r="I45" s="118" t="str">
        <f>IF(_epmOfflineCondition_,"T5",_xll.EVPRO($B$1,$H45,"STYLE"))</f>
        <v>T5</v>
      </c>
      <c r="J45" s="118" t="str">
        <f>IF(_epmOfflineCondition_,"Y",_xll.EVPRO($B$1,$H45,"CALC"))</f>
        <v>Y</v>
      </c>
      <c r="K45" s="175" t="str">
        <f t="shared" si="0"/>
        <v>&gt;</v>
      </c>
      <c r="L45" s="86" t="str">
        <f>IF(_epmOfflineCondition_,"",_xll.EVPRO($B$1,H45,"JDEID"))</f>
        <v/>
      </c>
      <c r="M45" s="86" t="str">
        <f>IF(_epmOfflineCondition_,"",IF(AND(I45="N",J45="N"),_xll.EVPRO($B$1,H45,"PSFTID"),""))</f>
        <v/>
      </c>
      <c r="N45" s="86" t="str">
        <f>IF(_epmOfflineCondition_,"Bar Beverage Revenue",IF(_xll.EVDES(H45,$B$1)="#NODATA","",_xll.EVDES(H45,$B$1)))</f>
        <v>Bar Beverage Revenue</v>
      </c>
      <c r="O45" s="453"/>
      <c r="P45" s="223"/>
      <c r="Q45" s="223"/>
      <c r="R45" s="223"/>
      <c r="S45" s="223"/>
      <c r="T45" s="223"/>
      <c r="U45" s="223"/>
      <c r="V45" s="223"/>
      <c r="W45" s="223"/>
      <c r="X45" s="223"/>
      <c r="Y45" s="223"/>
      <c r="Z45" s="223"/>
      <c r="AA45" s="223">
        <f t="shared" si="1"/>
        <v>0</v>
      </c>
      <c r="AB45" s="454" t="str">
        <f t="shared" si="2"/>
        <v/>
      </c>
      <c r="AC45" s="528"/>
      <c r="AD45" s="223"/>
      <c r="AE45" s="454" t="str">
        <f t="shared" si="3"/>
        <v/>
      </c>
      <c r="AF45" s="456">
        <f t="shared" si="4"/>
        <v>0</v>
      </c>
      <c r="AG45" s="223"/>
      <c r="AH45" s="454" t="str">
        <f t="shared" si="5"/>
        <v/>
      </c>
      <c r="AI45" s="457">
        <f t="shared" si="6"/>
        <v>0</v>
      </c>
      <c r="AJ45" s="458">
        <f t="shared" si="7"/>
        <v>0</v>
      </c>
      <c r="AK45" s="459">
        <f t="shared" si="8"/>
        <v>0</v>
      </c>
      <c r="AL45" s="460">
        <f t="shared" si="9"/>
        <v>0</v>
      </c>
      <c r="AM45" s="461">
        <f t="shared" si="10"/>
        <v>0</v>
      </c>
      <c r="AN45" s="462">
        <f t="shared" si="11"/>
        <v>0</v>
      </c>
      <c r="AO45" s="11"/>
    </row>
    <row r="46" spans="1:41" x14ac:dyDescent="0.25">
      <c r="A46" s="11"/>
      <c r="B46" s="11"/>
      <c r="C46" s="11"/>
      <c r="D46" s="11"/>
      <c r="E46" s="11"/>
      <c r="F46" s="11"/>
      <c r="G46" s="11"/>
      <c r="H46" s="84" t="s">
        <v>271</v>
      </c>
      <c r="I46" s="118" t="str">
        <f>IF(_epmOfflineCondition_,"T5",_xll.EVPRO($B$1,$H46,"STYLE"))</f>
        <v>T5</v>
      </c>
      <c r="J46" s="118" t="str">
        <f>IF(_epmOfflineCondition_,"Y",_xll.EVPRO($B$1,$H46,"CALC"))</f>
        <v>Y</v>
      </c>
      <c r="K46" s="175" t="str">
        <f t="shared" si="0"/>
        <v>&gt;</v>
      </c>
      <c r="L46" s="86" t="str">
        <f>IF(_epmOfflineCondition_,"",_xll.EVPRO($B$1,H46,"JDEID"))</f>
        <v/>
      </c>
      <c r="M46" s="86" t="str">
        <f>IF(_epmOfflineCondition_,"",IF(AND(I46="N",J46="N"),_xll.EVPRO($B$1,H46,"PSFTID"),""))</f>
        <v/>
      </c>
      <c r="N46" s="86" t="str">
        <f>IF(_epmOfflineCondition_,"Private Dining Beverage Revenue",IF(_xll.EVDES(H46,$B$1)="#NODATA","",_xll.EVDES(H46,$B$1)))</f>
        <v>Private Dining Beverage Revenue</v>
      </c>
      <c r="O46" s="463"/>
      <c r="P46" s="229"/>
      <c r="Q46" s="229"/>
      <c r="R46" s="229"/>
      <c r="S46" s="229"/>
      <c r="T46" s="229"/>
      <c r="U46" s="229"/>
      <c r="V46" s="229"/>
      <c r="W46" s="229"/>
      <c r="X46" s="229"/>
      <c r="Y46" s="229"/>
      <c r="Z46" s="229"/>
      <c r="AA46" s="229">
        <f t="shared" si="1"/>
        <v>0</v>
      </c>
      <c r="AB46" s="464" t="str">
        <f t="shared" si="2"/>
        <v/>
      </c>
      <c r="AC46" s="455"/>
      <c r="AD46" s="229"/>
      <c r="AE46" s="464" t="str">
        <f t="shared" si="3"/>
        <v/>
      </c>
      <c r="AF46" s="465">
        <f t="shared" si="4"/>
        <v>0</v>
      </c>
      <c r="AG46" s="229"/>
      <c r="AH46" s="464" t="str">
        <f t="shared" si="5"/>
        <v/>
      </c>
      <c r="AI46" s="466">
        <f t="shared" si="6"/>
        <v>0</v>
      </c>
      <c r="AJ46" s="467">
        <f t="shared" si="7"/>
        <v>0</v>
      </c>
      <c r="AK46" s="468">
        <f t="shared" si="8"/>
        <v>0</v>
      </c>
      <c r="AL46" s="469">
        <f t="shared" si="9"/>
        <v>0</v>
      </c>
      <c r="AM46" s="470">
        <f t="shared" si="10"/>
        <v>0</v>
      </c>
      <c r="AN46" s="471">
        <f t="shared" si="11"/>
        <v>0</v>
      </c>
      <c r="AO46" s="11"/>
    </row>
    <row r="47" spans="1:41" x14ac:dyDescent="0.25">
      <c r="A47" s="56" t="str">
        <f>IF(_epmOfflineCondition_,"Evdre:Ok",_xll.EVDRE($B$1,A50:B57,A60:B66))</f>
        <v>Evdre:Ok</v>
      </c>
      <c r="B47" s="11"/>
      <c r="C47" s="11"/>
      <c r="D47" s="11"/>
      <c r="E47" s="11"/>
      <c r="F47" s="11"/>
      <c r="G47" s="11"/>
      <c r="H47" s="84" t="s">
        <v>272</v>
      </c>
      <c r="I47" s="184" t="str">
        <f>IF(_epmOfflineCondition_,"T4",_xll.EVPRO($B$1,$H47,"STYLE"))</f>
        <v>T4</v>
      </c>
      <c r="J47" s="184" t="str">
        <f>IF(_epmOfflineCondition_,"Y",_xll.EVPRO($B$1,$H47,"CALC"))</f>
        <v>Y</v>
      </c>
      <c r="K47" s="185" t="str">
        <f t="shared" si="0"/>
        <v/>
      </c>
      <c r="L47" s="186" t="str">
        <f>IF(_epmOfflineCondition_,"",_xll.EVPRO($B$1,H47,"JDEID"))</f>
        <v/>
      </c>
      <c r="M47" s="186" t="str">
        <f>IF(_epmOfflineCondition_,"",IF(AND(I47="N",J47="N"),_xll.EVPRO($B$1,H47,"PSFTID"),""))</f>
        <v/>
      </c>
      <c r="N47" s="186" t="str">
        <f>IF(_epmOfflineCondition_,"Total Beverage Revenue",IF(_xll.EVDES(H47,$B$1)="#NODATA","",_xll.EVDES(H47,$B$1)))</f>
        <v>Total Beverage Revenue</v>
      </c>
      <c r="O47" s="472">
        <v>1520</v>
      </c>
      <c r="P47" s="236">
        <v>2747</v>
      </c>
      <c r="Q47" s="236">
        <v>3794</v>
      </c>
      <c r="R47" s="236">
        <v>2574</v>
      </c>
      <c r="S47" s="236">
        <v>3011</v>
      </c>
      <c r="T47" s="236">
        <v>1560</v>
      </c>
      <c r="U47" s="236">
        <v>3213</v>
      </c>
      <c r="V47" s="236">
        <v>1403</v>
      </c>
      <c r="W47" s="236">
        <v>2502</v>
      </c>
      <c r="X47" s="236">
        <v>984.2</v>
      </c>
      <c r="Y47" s="236">
        <v>2056</v>
      </c>
      <c r="Z47" s="236">
        <v>3228</v>
      </c>
      <c r="AA47" s="236">
        <f t="shared" si="1"/>
        <v>28592.2</v>
      </c>
      <c r="AB47" s="237">
        <f t="shared" si="2"/>
        <v>0.69607128545880448</v>
      </c>
      <c r="AC47" s="238"/>
      <c r="AD47" s="236">
        <v>108064.625736</v>
      </c>
      <c r="AE47" s="237">
        <f t="shared" si="3"/>
        <v>0.42306091695695991</v>
      </c>
      <c r="AF47" s="239">
        <f t="shared" si="4"/>
        <v>-79472.425736000005</v>
      </c>
      <c r="AG47" s="236">
        <v>13555.78</v>
      </c>
      <c r="AH47" s="237">
        <f t="shared" si="5"/>
        <v>0.71665612847152471</v>
      </c>
      <c r="AI47" s="473">
        <f t="shared" si="6"/>
        <v>15036.42</v>
      </c>
      <c r="AJ47" s="215">
        <f t="shared" si="7"/>
        <v>12.798657117278424</v>
      </c>
      <c r="AK47" s="216">
        <f t="shared" si="8"/>
        <v>10.724952931321953</v>
      </c>
      <c r="AL47" s="218">
        <f t="shared" si="9"/>
        <v>13.289980392156863</v>
      </c>
      <c r="AM47" s="423" t="str">
        <f t="shared" si="10"/>
        <v>27.3 pts.</v>
      </c>
      <c r="AN47" s="474" t="str">
        <f t="shared" si="11"/>
        <v>-2.06 pts.</v>
      </c>
      <c r="AO47" s="11"/>
    </row>
    <row r="48" spans="1:41" x14ac:dyDescent="0.25">
      <c r="A48" s="11"/>
      <c r="B48" s="11"/>
      <c r="C48" s="11"/>
      <c r="D48" s="11"/>
      <c r="E48" s="11"/>
      <c r="F48" s="11"/>
      <c r="G48" s="11"/>
      <c r="H48" s="84" t="s">
        <v>486</v>
      </c>
      <c r="I48" s="118" t="str">
        <f>IF(_epmOfflineCondition_,"T5",_xll.EVPRO($B$1,$H48,"STYLE"))</f>
        <v>T5</v>
      </c>
      <c r="J48" s="118" t="str">
        <f>IF(_epmOfflineCondition_,"Y",_xll.EVPRO($B$1,$H48,"CALC"))</f>
        <v>Y</v>
      </c>
      <c r="K48" s="175" t="str">
        <f t="shared" si="0"/>
        <v>&gt;</v>
      </c>
      <c r="L48" s="86" t="str">
        <f>IF(_epmOfflineCondition_,"",_xll.EVPRO($B$1,H48,"JDEID"))</f>
        <v/>
      </c>
      <c r="M48" s="86" t="str">
        <f>IF(_epmOfflineCondition_,"",IF(AND(I48="N",J48="N"),_xll.EVPRO($B$1,H48,"PSFTID"),""))</f>
        <v/>
      </c>
      <c r="N48" s="86" t="str">
        <f>IF(_epmOfflineCondition_,"Food &amp; Beverage: Allowances",IF(_xll.EVDES(H48,$B$1)="#NODATA","",_xll.EVDES(H48,$B$1)))</f>
        <v>Food &amp; Beverage: Allowances</v>
      </c>
      <c r="O48" s="530">
        <v>-292.64</v>
      </c>
      <c r="P48" s="248"/>
      <c r="Q48" s="248">
        <v>-86.36</v>
      </c>
      <c r="R48" s="248"/>
      <c r="S48" s="248"/>
      <c r="T48" s="248"/>
      <c r="U48" s="248"/>
      <c r="V48" s="248">
        <v>-65.319999999999993</v>
      </c>
      <c r="W48" s="248">
        <v>-54.61</v>
      </c>
      <c r="X48" s="248"/>
      <c r="Y48" s="248">
        <v>-20.32</v>
      </c>
      <c r="Z48" s="248">
        <v>-286.19</v>
      </c>
      <c r="AA48" s="248">
        <f t="shared" si="1"/>
        <v>-805.44</v>
      </c>
      <c r="AB48" s="249">
        <f t="shared" si="2"/>
        <v>-1.9608272751307682E-2</v>
      </c>
      <c r="AC48" s="477"/>
      <c r="AD48" s="248"/>
      <c r="AE48" s="249" t="str">
        <f t="shared" si="3"/>
        <v/>
      </c>
      <c r="AF48" s="250">
        <f t="shared" si="4"/>
        <v>-805.44</v>
      </c>
      <c r="AG48" s="248">
        <v>-257.97000000000003</v>
      </c>
      <c r="AH48" s="249">
        <f t="shared" si="5"/>
        <v>-1.3638151508935615E-2</v>
      </c>
      <c r="AI48" s="531">
        <f t="shared" si="6"/>
        <v>-547.47</v>
      </c>
      <c r="AJ48" s="532">
        <f t="shared" si="7"/>
        <v>-0.36053715308863027</v>
      </c>
      <c r="AK48" s="533">
        <f t="shared" si="8"/>
        <v>0</v>
      </c>
      <c r="AL48" s="534">
        <f t="shared" si="9"/>
        <v>-0.25291176470588239</v>
      </c>
      <c r="AM48" s="535">
        <f t="shared" si="10"/>
        <v>0</v>
      </c>
      <c r="AN48" s="536" t="str">
        <f t="shared" si="11"/>
        <v>-0.6 pts.</v>
      </c>
      <c r="AO48" s="11"/>
    </row>
    <row r="49" spans="1:41" x14ac:dyDescent="0.25">
      <c r="A49" s="57" t="s">
        <v>0</v>
      </c>
      <c r="B49" s="58" t="s">
        <v>1</v>
      </c>
      <c r="C49" s="11"/>
      <c r="D49" s="11"/>
      <c r="E49" s="11"/>
      <c r="F49" s="11"/>
      <c r="G49" s="11"/>
      <c r="H49" s="84" t="s">
        <v>273</v>
      </c>
      <c r="I49" s="184" t="str">
        <f>IF(_epmOfflineCondition_,"T4",_xll.EVPRO($B$1,$H49,"STYLE"))</f>
        <v>T4</v>
      </c>
      <c r="J49" s="184" t="str">
        <f>IF(_epmOfflineCondition_,"Y",_xll.EVPRO($B$1,$H49,"CALC"))</f>
        <v>Y</v>
      </c>
      <c r="K49" s="185" t="str">
        <f t="shared" si="0"/>
        <v/>
      </c>
      <c r="L49" s="186" t="str">
        <f>IF(_epmOfflineCondition_,"",_xll.EVPRO($B$1,H49,"JDEID"))</f>
        <v/>
      </c>
      <c r="M49" s="186" t="str">
        <f>IF(_epmOfflineCondition_,"",IF(AND(I49="N",J49="N"),_xll.EVPRO($B$1,H49,"PSFTID"),""))</f>
        <v/>
      </c>
      <c r="N49" s="186" t="str">
        <f>IF(_epmOfflineCondition_,"Total Food &amp; Beverage Revenue",IF(_xll.EVDES(H49,$B$1)="#NODATA","",_xll.EVDES(H49,$B$1)))</f>
        <v>Total Food &amp; Beverage Revenue</v>
      </c>
      <c r="O49" s="472">
        <v>1296.3599999999999</v>
      </c>
      <c r="P49" s="236">
        <v>2885</v>
      </c>
      <c r="Q49" s="236">
        <v>3847.06</v>
      </c>
      <c r="R49" s="236">
        <v>2754</v>
      </c>
      <c r="S49" s="236">
        <v>3203</v>
      </c>
      <c r="T49" s="236">
        <v>1850</v>
      </c>
      <c r="U49" s="236">
        <v>4260</v>
      </c>
      <c r="V49" s="236">
        <v>2047.68</v>
      </c>
      <c r="W49" s="236">
        <v>2760.39</v>
      </c>
      <c r="X49" s="236">
        <v>999.2</v>
      </c>
      <c r="Y49" s="236">
        <v>3276.68</v>
      </c>
      <c r="Z49" s="236">
        <v>5452.81</v>
      </c>
      <c r="AA49" s="236">
        <f t="shared" si="1"/>
        <v>34632.18</v>
      </c>
      <c r="AB49" s="237">
        <f t="shared" si="2"/>
        <v>0.84311336836062623</v>
      </c>
      <c r="AC49" s="238"/>
      <c r="AD49" s="236">
        <v>216470.46</v>
      </c>
      <c r="AE49" s="237">
        <f t="shared" si="3"/>
        <v>0.84745762711864403</v>
      </c>
      <c r="AF49" s="239">
        <f t="shared" si="4"/>
        <v>-181838.28</v>
      </c>
      <c r="AG49" s="236">
        <v>16056.11</v>
      </c>
      <c r="AH49" s="237">
        <f t="shared" si="5"/>
        <v>0.84884157391997606</v>
      </c>
      <c r="AI49" s="473">
        <f t="shared" si="6"/>
        <v>18576.07</v>
      </c>
      <c r="AJ49" s="215">
        <f t="shared" si="7"/>
        <v>15.502318710832588</v>
      </c>
      <c r="AK49" s="216">
        <f t="shared" si="8"/>
        <v>21.483769352917825</v>
      </c>
      <c r="AL49" s="218">
        <f t="shared" si="9"/>
        <v>15.74128431372549</v>
      </c>
      <c r="AM49" s="423" t="str">
        <f t="shared" si="10"/>
        <v>-0.43 pts.</v>
      </c>
      <c r="AN49" s="474" t="str">
        <f t="shared" si="11"/>
        <v>-0.57 pts.</v>
      </c>
      <c r="AO49" s="11"/>
    </row>
    <row r="50" spans="1:41" x14ac:dyDescent="0.25">
      <c r="A50" s="61" t="s">
        <v>2</v>
      </c>
      <c r="B50" s="62" t="str">
        <f>IF(_epmOfflineCondition_,"'Venue2'!$B$2:$B$10",_xll.EVRNG($B$2:$B$10))</f>
        <v>'Venue2'!$B$2:$B$10</v>
      </c>
      <c r="C50" s="11"/>
      <c r="D50" s="11"/>
      <c r="E50" s="11"/>
      <c r="F50" s="11"/>
      <c r="G50" s="11"/>
      <c r="H50" s="84" t="s">
        <v>279</v>
      </c>
      <c r="I50" s="184" t="str">
        <f>IF(_epmOfflineCondition_,"B1",_xll.EVPRO($B$1,$H50,"STYLE"))</f>
        <v>B1</v>
      </c>
      <c r="J50" s="184" t="str">
        <f>IF(_epmOfflineCondition_,"Y",_xll.EVPRO($B$1,$H50,"CALC"))</f>
        <v>Y</v>
      </c>
      <c r="K50" s="185" t="str">
        <f t="shared" si="0"/>
        <v/>
      </c>
      <c r="L50" s="186" t="str">
        <f>IF(_epmOfflineCondition_,"",_xll.EVPRO($B$1,H50,"JDEID"))</f>
        <v/>
      </c>
      <c r="M50" s="186" t="str">
        <f>IF(_epmOfflineCondition_,"",IF(AND(I50="N",J50="N"),_xll.EVPRO($B$1,H50,"PSFTID"),""))</f>
        <v/>
      </c>
      <c r="N50" s="186" t="str">
        <f>IF(_epmOfflineCondition_,"Other Revenue",IF(_xll.EVDES(H50,$B$1)="#NODATA","",_xll.EVDES(H50,$B$1)))</f>
        <v>Other Revenue</v>
      </c>
      <c r="O50" s="475"/>
      <c r="P50" s="241"/>
      <c r="Q50" s="241"/>
      <c r="R50" s="241"/>
      <c r="S50" s="241"/>
      <c r="T50" s="241"/>
      <c r="U50" s="241"/>
      <c r="V50" s="241"/>
      <c r="W50" s="241"/>
      <c r="X50" s="241"/>
      <c r="Y50" s="241"/>
      <c r="Z50" s="241"/>
      <c r="AA50" s="241" t="str">
        <f t="shared" si="1"/>
        <v/>
      </c>
      <c r="AB50" s="476" t="str">
        <f t="shared" si="2"/>
        <v/>
      </c>
      <c r="AC50" s="529"/>
      <c r="AD50" s="241"/>
      <c r="AE50" s="476" t="str">
        <f t="shared" si="3"/>
        <v/>
      </c>
      <c r="AF50" s="478" t="str">
        <f t="shared" si="4"/>
        <v/>
      </c>
      <c r="AG50" s="241"/>
      <c r="AH50" s="476" t="str">
        <f t="shared" si="5"/>
        <v/>
      </c>
      <c r="AI50" s="479" t="str">
        <f t="shared" si="6"/>
        <v/>
      </c>
      <c r="AJ50" s="244">
        <f t="shared" si="7"/>
        <v>0</v>
      </c>
      <c r="AK50" s="245">
        <f t="shared" si="8"/>
        <v>0</v>
      </c>
      <c r="AL50" s="247">
        <f t="shared" si="9"/>
        <v>0</v>
      </c>
      <c r="AM50" s="425">
        <f t="shared" si="10"/>
        <v>0</v>
      </c>
      <c r="AN50" s="480">
        <f t="shared" si="11"/>
        <v>0</v>
      </c>
      <c r="AO50" s="11"/>
    </row>
    <row r="51" spans="1:41" x14ac:dyDescent="0.25">
      <c r="A51" s="61" t="s">
        <v>3</v>
      </c>
      <c r="B51" s="62" t="str">
        <f>IF(_epmOfflineCondition_,"'Venue2'!$O$16:$AN$18",_xll.EVRNG($O$16:$AN$18))</f>
        <v>'Venue2'!$O$16:$AN$18</v>
      </c>
      <c r="C51" s="11"/>
      <c r="D51" s="11"/>
      <c r="E51" s="11"/>
      <c r="F51" s="11"/>
      <c r="G51" s="11"/>
      <c r="H51" s="84" t="s">
        <v>274</v>
      </c>
      <c r="I51" s="118" t="str">
        <f>IF(_epmOfflineCondition_,"T5",_xll.EVPRO($B$1,$H51,"STYLE"))</f>
        <v>T5</v>
      </c>
      <c r="J51" s="118" t="str">
        <f>IF(_epmOfflineCondition_,"Y",_xll.EVPRO($B$1,$H51,"CALC"))</f>
        <v>Y</v>
      </c>
      <c r="K51" s="175" t="str">
        <f t="shared" si="0"/>
        <v>&gt;</v>
      </c>
      <c r="L51" s="86" t="str">
        <f>IF(_epmOfflineCondition_,"468300",_xll.EVPRO($B$1,H51,"JDEID"))</f>
        <v>468300</v>
      </c>
      <c r="M51" s="86" t="str">
        <f>IF(_epmOfflineCondition_,"",IF(AND(I51="N",J51="N"),_xll.EVPRO($B$1,H51,"PSFTID"),""))</f>
        <v/>
      </c>
      <c r="N51" s="86" t="str">
        <f>IF(_epmOfflineCondition_,"Audio/Visual Rentals",IF(_xll.EVDES(H51,$B$1)="#NODATA","",_xll.EVDES(H51,$B$1)))</f>
        <v>Audio/Visual Rentals</v>
      </c>
      <c r="O51" s="453"/>
      <c r="P51" s="223"/>
      <c r="Q51" s="223"/>
      <c r="R51" s="223"/>
      <c r="S51" s="223"/>
      <c r="T51" s="223"/>
      <c r="U51" s="223"/>
      <c r="V51" s="223"/>
      <c r="W51" s="223"/>
      <c r="X51" s="223"/>
      <c r="Y51" s="223"/>
      <c r="Z51" s="223"/>
      <c r="AA51" s="223">
        <f t="shared" si="1"/>
        <v>0</v>
      </c>
      <c r="AB51" s="454" t="str">
        <f t="shared" si="2"/>
        <v/>
      </c>
      <c r="AC51" s="528"/>
      <c r="AD51" s="223"/>
      <c r="AE51" s="454" t="str">
        <f t="shared" si="3"/>
        <v/>
      </c>
      <c r="AF51" s="456">
        <f t="shared" si="4"/>
        <v>0</v>
      </c>
      <c r="AG51" s="223"/>
      <c r="AH51" s="454" t="str">
        <f t="shared" si="5"/>
        <v/>
      </c>
      <c r="AI51" s="457">
        <f t="shared" si="6"/>
        <v>0</v>
      </c>
      <c r="AJ51" s="458">
        <f t="shared" si="7"/>
        <v>0</v>
      </c>
      <c r="AK51" s="459">
        <f t="shared" si="8"/>
        <v>0</v>
      </c>
      <c r="AL51" s="460">
        <f t="shared" si="9"/>
        <v>0</v>
      </c>
      <c r="AM51" s="461">
        <f t="shared" si="10"/>
        <v>0</v>
      </c>
      <c r="AN51" s="462">
        <f t="shared" si="11"/>
        <v>0</v>
      </c>
      <c r="AO51" s="11"/>
    </row>
    <row r="52" spans="1:41" x14ac:dyDescent="0.25">
      <c r="A52" s="61" t="s">
        <v>4</v>
      </c>
      <c r="B52" s="62" t="str">
        <f>IF(_epmOfflineCondition_,"'Venue2'!$H$62:$H$70",_xll.EVRNG(H62:H70))</f>
        <v>'Venue2'!$H$62:$H$70</v>
      </c>
      <c r="C52" s="11"/>
      <c r="D52" s="11"/>
      <c r="E52" s="11"/>
      <c r="F52" s="11"/>
      <c r="G52" s="11"/>
      <c r="H52" s="84" t="s">
        <v>275</v>
      </c>
      <c r="I52" s="118" t="str">
        <f>IF(_epmOfflineCondition_,"T5",_xll.EVPRO($B$1,$H52,"STYLE"))</f>
        <v>T5</v>
      </c>
      <c r="J52" s="118" t="str">
        <f>IF(_epmOfflineCondition_,"Y",_xll.EVPRO($B$1,$H52,"CALC"))</f>
        <v>Y</v>
      </c>
      <c r="K52" s="175" t="str">
        <f t="shared" si="0"/>
        <v>&gt;</v>
      </c>
      <c r="L52" s="86" t="str">
        <f>IF(_epmOfflineCondition_,"468350",_xll.EVPRO($B$1,H52,"JDEID"))</f>
        <v>468350</v>
      </c>
      <c r="M52" s="86" t="str">
        <f>IF(_epmOfflineCondition_,"",IF(AND(I52="N",J52="N"),_xll.EVPRO($B$1,H52,"PSFTID"),""))</f>
        <v/>
      </c>
      <c r="N52" s="86" t="str">
        <f>IF(_epmOfflineCondition_,"Public Room Rental",IF(_xll.EVDES(H52,$B$1)="#NODATA","",_xll.EVDES(H52,$B$1)))</f>
        <v>Public Room Rental</v>
      </c>
      <c r="O52" s="453"/>
      <c r="P52" s="223"/>
      <c r="Q52" s="223"/>
      <c r="R52" s="223"/>
      <c r="S52" s="223"/>
      <c r="T52" s="223"/>
      <c r="U52" s="223"/>
      <c r="V52" s="223"/>
      <c r="W52" s="223"/>
      <c r="X52" s="223"/>
      <c r="Y52" s="223"/>
      <c r="Z52" s="223"/>
      <c r="AA52" s="223">
        <f t="shared" si="1"/>
        <v>0</v>
      </c>
      <c r="AB52" s="454" t="str">
        <f t="shared" si="2"/>
        <v/>
      </c>
      <c r="AC52" s="528"/>
      <c r="AD52" s="223"/>
      <c r="AE52" s="454" t="str">
        <f t="shared" si="3"/>
        <v/>
      </c>
      <c r="AF52" s="456">
        <f t="shared" si="4"/>
        <v>0</v>
      </c>
      <c r="AG52" s="223"/>
      <c r="AH52" s="454" t="str">
        <f t="shared" si="5"/>
        <v/>
      </c>
      <c r="AI52" s="457">
        <f t="shared" si="6"/>
        <v>0</v>
      </c>
      <c r="AJ52" s="458">
        <f t="shared" si="7"/>
        <v>0</v>
      </c>
      <c r="AK52" s="459">
        <f t="shared" si="8"/>
        <v>0</v>
      </c>
      <c r="AL52" s="460">
        <f t="shared" si="9"/>
        <v>0</v>
      </c>
      <c r="AM52" s="461">
        <f t="shared" si="10"/>
        <v>0</v>
      </c>
      <c r="AN52" s="462">
        <f t="shared" si="11"/>
        <v>0</v>
      </c>
      <c r="AO52" s="11"/>
    </row>
    <row r="53" spans="1:41" x14ac:dyDescent="0.25">
      <c r="A53" s="61" t="s">
        <v>5</v>
      </c>
      <c r="B53" s="62"/>
      <c r="C53" s="11"/>
      <c r="D53" s="11"/>
      <c r="E53" s="11"/>
      <c r="F53" s="380"/>
      <c r="G53" s="11"/>
      <c r="H53" s="84" t="s">
        <v>276</v>
      </c>
      <c r="I53" s="118" t="str">
        <f>IF(_epmOfflineCondition_,"T5",_xll.EVPRO($B$1,$H53,"STYLE"))</f>
        <v>T5</v>
      </c>
      <c r="J53" s="118" t="str">
        <f>IF(_epmOfflineCondition_,"Y",_xll.EVPRO($B$1,$H53,"CALC"))</f>
        <v>Y</v>
      </c>
      <c r="K53" s="175" t="str">
        <f t="shared" si="0"/>
        <v>&gt;</v>
      </c>
      <c r="L53" s="86" t="str">
        <f>IF(_epmOfflineCondition_,"468550",_xll.EVPRO($B$1,H53,"JDEID"))</f>
        <v>468550</v>
      </c>
      <c r="M53" s="86" t="str">
        <f>IF(_epmOfflineCondition_,"",IF(AND(I53="N",J53="N"),_xll.EVPRO($B$1,H53,"PSFTID"),""))</f>
        <v/>
      </c>
      <c r="N53" s="86" t="str">
        <f>IF(_epmOfflineCondition_,"Cover Charge",IF(_xll.EVDES(H53,$B$1)="#NODATA","",_xll.EVDES(H53,$B$1)))</f>
        <v>Cover Charge</v>
      </c>
      <c r="O53" s="453"/>
      <c r="P53" s="223"/>
      <c r="Q53" s="223"/>
      <c r="R53" s="223"/>
      <c r="S53" s="223"/>
      <c r="T53" s="223"/>
      <c r="U53" s="223"/>
      <c r="V53" s="223"/>
      <c r="W53" s="223"/>
      <c r="X53" s="223"/>
      <c r="Y53" s="223"/>
      <c r="Z53" s="223"/>
      <c r="AA53" s="223">
        <f t="shared" si="1"/>
        <v>0</v>
      </c>
      <c r="AB53" s="454" t="str">
        <f t="shared" si="2"/>
        <v/>
      </c>
      <c r="AC53" s="528"/>
      <c r="AD53" s="223"/>
      <c r="AE53" s="454" t="str">
        <f t="shared" si="3"/>
        <v/>
      </c>
      <c r="AF53" s="456">
        <f t="shared" si="4"/>
        <v>0</v>
      </c>
      <c r="AG53" s="223"/>
      <c r="AH53" s="454" t="str">
        <f t="shared" si="5"/>
        <v/>
      </c>
      <c r="AI53" s="457">
        <f t="shared" si="6"/>
        <v>0</v>
      </c>
      <c r="AJ53" s="458">
        <f t="shared" si="7"/>
        <v>0</v>
      </c>
      <c r="AK53" s="459">
        <f t="shared" si="8"/>
        <v>0</v>
      </c>
      <c r="AL53" s="460">
        <f t="shared" si="9"/>
        <v>0</v>
      </c>
      <c r="AM53" s="461">
        <f t="shared" si="10"/>
        <v>0</v>
      </c>
      <c r="AN53" s="462">
        <f t="shared" si="11"/>
        <v>0</v>
      </c>
      <c r="AO53" s="11"/>
    </row>
    <row r="54" spans="1:41" x14ac:dyDescent="0.25">
      <c r="A54" s="61" t="s">
        <v>6</v>
      </c>
      <c r="B54" s="62"/>
      <c r="C54" s="11"/>
      <c r="D54" s="11"/>
      <c r="E54" s="11"/>
      <c r="F54" s="380"/>
      <c r="G54" s="11"/>
      <c r="H54" s="84" t="s">
        <v>282</v>
      </c>
      <c r="I54" s="118" t="str">
        <f>IF(_epmOfflineCondition_,"T5",_xll.EVPRO($B$1,$H54,"STYLE"))</f>
        <v>T5</v>
      </c>
      <c r="J54" s="118" t="str">
        <f>IF(_epmOfflineCondition_,"Y",_xll.EVPRO($B$1,$H54,"CALC"))</f>
        <v>Y</v>
      </c>
      <c r="K54" s="175" t="str">
        <f t="shared" si="0"/>
        <v>&gt;</v>
      </c>
      <c r="L54" s="86" t="str">
        <f>IF(_epmOfflineCondition_,"",_xll.EVPRO($B$1,H54,"JDEID"))</f>
        <v/>
      </c>
      <c r="M54" s="86" t="str">
        <f>IF(_epmOfflineCondition_,"",IF(AND(I54="N",J54="N"),_xll.EVPRO($B$1,H54,"PSFTID"),""))</f>
        <v/>
      </c>
      <c r="N54" s="86" t="str">
        <f>IF(_epmOfflineCondition_,"Surcharges &amp; Services Charges",IF(_xll.EVDES(H54,$B$1)="#NODATA","",_xll.EVDES(H54,$B$1)))</f>
        <v>Surcharges &amp; Services Charges</v>
      </c>
      <c r="O54" s="453">
        <v>286.02</v>
      </c>
      <c r="P54" s="223">
        <v>519.29999999999995</v>
      </c>
      <c r="Q54" s="223">
        <v>712.44</v>
      </c>
      <c r="R54" s="223">
        <v>495.72</v>
      </c>
      <c r="S54" s="223">
        <v>576.54</v>
      </c>
      <c r="T54" s="223">
        <v>340.38</v>
      </c>
      <c r="U54" s="223">
        <v>771.12</v>
      </c>
      <c r="V54" s="223">
        <v>381.78</v>
      </c>
      <c r="W54" s="223">
        <v>506.7</v>
      </c>
      <c r="X54" s="223">
        <v>192.96</v>
      </c>
      <c r="Y54" s="223">
        <v>620.1</v>
      </c>
      <c r="Z54" s="223">
        <v>1041.3</v>
      </c>
      <c r="AA54" s="223">
        <f t="shared" si="1"/>
        <v>6444.3600000000006</v>
      </c>
      <c r="AB54" s="454">
        <f t="shared" si="2"/>
        <v>0.15688663163937372</v>
      </c>
      <c r="AC54" s="528"/>
      <c r="AD54" s="223">
        <v>38964.682800000002</v>
      </c>
      <c r="AE54" s="454">
        <f t="shared" si="3"/>
        <v>0.15254237288135594</v>
      </c>
      <c r="AF54" s="456">
        <f t="shared" si="4"/>
        <v>-32520.322800000002</v>
      </c>
      <c r="AG54" s="223">
        <v>2859.21</v>
      </c>
      <c r="AH54" s="454">
        <f t="shared" si="5"/>
        <v>0.15115842608002403</v>
      </c>
      <c r="AI54" s="457">
        <f t="shared" si="6"/>
        <v>3585.1500000000005</v>
      </c>
      <c r="AJ54" s="458">
        <f t="shared" si="7"/>
        <v>2.8846732318710835</v>
      </c>
      <c r="AK54" s="459">
        <f t="shared" si="8"/>
        <v>3.8670784835252086</v>
      </c>
      <c r="AL54" s="460">
        <f t="shared" si="9"/>
        <v>2.8031470588235297</v>
      </c>
      <c r="AM54" s="461" t="str">
        <f t="shared" si="10"/>
        <v>0.43 pts.</v>
      </c>
      <c r="AN54" s="462" t="str">
        <f t="shared" si="11"/>
        <v>0.57 pts.</v>
      </c>
      <c r="AO54" s="11"/>
    </row>
    <row r="55" spans="1:41" x14ac:dyDescent="0.25">
      <c r="A55" s="61" t="s">
        <v>7</v>
      </c>
      <c r="B55" s="62" t="str">
        <f>IF(_epmOfflineCondition_,"'Venue2'!$A$69:$F$77",_xll.EVRNG(A69:F77))</f>
        <v>'Venue2'!$A$69:$F$77</v>
      </c>
      <c r="C55" s="11"/>
      <c r="D55" s="11"/>
      <c r="E55" s="11"/>
      <c r="F55" s="380"/>
      <c r="G55" s="11"/>
      <c r="H55" s="84" t="s">
        <v>283</v>
      </c>
      <c r="I55" s="118" t="str">
        <f>IF(_epmOfflineCondition_,"T5",_xll.EVPRO($B$1,$H55,"STYLE"))</f>
        <v>T5</v>
      </c>
      <c r="J55" s="118" t="str">
        <f>IF(_epmOfflineCondition_,"Y",_xll.EVPRO($B$1,$H55,"CALC"))</f>
        <v>Y</v>
      </c>
      <c r="K55" s="175" t="str">
        <f t="shared" si="0"/>
        <v>&gt;</v>
      </c>
      <c r="L55" s="86" t="str">
        <f>IF(_epmOfflineCondition_,"",_xll.EVPRO($B$1,H55,"JDEID"))</f>
        <v/>
      </c>
      <c r="M55" s="86" t="str">
        <f>IF(_epmOfflineCondition_,"",IF(AND(I55="N",J55="N"),_xll.EVPRO($B$1,H55,"PSFTID"),""))</f>
        <v/>
      </c>
      <c r="N55" s="86" t="str">
        <f>IF(_epmOfflineCondition_,"Miscellaneous Other Revenue",IF(_xll.EVDES(H55,$B$1)="#NODATA","",_xll.EVDES(H55,$B$1)))</f>
        <v>Miscellaneous Other Revenue</v>
      </c>
      <c r="O55" s="453"/>
      <c r="P55" s="223"/>
      <c r="Q55" s="223"/>
      <c r="R55" s="223"/>
      <c r="S55" s="223"/>
      <c r="T55" s="223"/>
      <c r="U55" s="223"/>
      <c r="V55" s="223"/>
      <c r="W55" s="223"/>
      <c r="X55" s="223"/>
      <c r="Y55" s="223"/>
      <c r="Z55" s="223"/>
      <c r="AA55" s="223">
        <f t="shared" si="1"/>
        <v>0</v>
      </c>
      <c r="AB55" s="454" t="str">
        <f t="shared" si="2"/>
        <v/>
      </c>
      <c r="AC55" s="528"/>
      <c r="AD55" s="223"/>
      <c r="AE55" s="454" t="str">
        <f t="shared" si="3"/>
        <v/>
      </c>
      <c r="AF55" s="456">
        <f t="shared" si="4"/>
        <v>0</v>
      </c>
      <c r="AG55" s="223"/>
      <c r="AH55" s="454" t="str">
        <f t="shared" si="5"/>
        <v/>
      </c>
      <c r="AI55" s="457">
        <f t="shared" si="6"/>
        <v>0</v>
      </c>
      <c r="AJ55" s="458">
        <f t="shared" si="7"/>
        <v>0</v>
      </c>
      <c r="AK55" s="459">
        <f t="shared" si="8"/>
        <v>0</v>
      </c>
      <c r="AL55" s="460">
        <f t="shared" si="9"/>
        <v>0</v>
      </c>
      <c r="AM55" s="461">
        <f t="shared" si="10"/>
        <v>0</v>
      </c>
      <c r="AN55" s="462">
        <f t="shared" si="11"/>
        <v>0</v>
      </c>
      <c r="AO55" s="11"/>
    </row>
    <row r="56" spans="1:41" x14ac:dyDescent="0.25">
      <c r="A56" s="61" t="s">
        <v>47</v>
      </c>
      <c r="B56" s="62" t="str">
        <f>IF(_epmOfflineCondition_,"'Venue2'!$A$125:$B$146",_xll.EVRNG($A$125:$B$146))</f>
        <v>'Venue2'!$A$125:$B$146</v>
      </c>
      <c r="C56" s="11"/>
      <c r="D56" s="11"/>
      <c r="E56" s="11"/>
      <c r="F56" s="11"/>
      <c r="G56" s="11"/>
      <c r="H56" s="84" t="s">
        <v>473</v>
      </c>
      <c r="I56" s="118" t="str">
        <f>IF(_epmOfflineCondition_,"N",_xll.EVPRO($B$1,$H56,"STYLE"))</f>
        <v>N</v>
      </c>
      <c r="J56" s="118" t="str">
        <f>IF(_epmOfflineCondition_,"N",_xll.EVPRO($B$1,$H56,"CALC"))</f>
        <v>N</v>
      </c>
      <c r="K56" s="175" t="str">
        <f t="shared" si="0"/>
        <v/>
      </c>
      <c r="L56" s="86" t="str">
        <f>IF(_epmOfflineCondition_,"468990",_xll.EVPRO($B$1,H56,"JDEID"))</f>
        <v>468990</v>
      </c>
      <c r="M56" s="86" t="str">
        <f>IF(_epmOfflineCondition_,"206022",IF(AND(I56="N",J56="N"),_xll.EVPRO($B$1,H56,"PSFTID"),""))</f>
        <v>206022</v>
      </c>
      <c r="N56" s="86" t="str">
        <f>IF(_epmOfflineCondition_,"Other Revenue: Allowances",IF(_xll.EVDES(H56,$B$1)="#NODATA","",_xll.EVDES(H56,$B$1)))</f>
        <v>Other Revenue: Allowances</v>
      </c>
      <c r="O56" s="463"/>
      <c r="P56" s="229"/>
      <c r="Q56" s="229"/>
      <c r="R56" s="229"/>
      <c r="S56" s="229"/>
      <c r="T56" s="229"/>
      <c r="U56" s="229"/>
      <c r="V56" s="229"/>
      <c r="W56" s="229"/>
      <c r="X56" s="229"/>
      <c r="Y56" s="229"/>
      <c r="Z56" s="229"/>
      <c r="AA56" s="229">
        <f t="shared" si="1"/>
        <v>0</v>
      </c>
      <c r="AB56" s="464" t="str">
        <f t="shared" si="2"/>
        <v/>
      </c>
      <c r="AC56" s="455"/>
      <c r="AD56" s="229"/>
      <c r="AE56" s="464" t="str">
        <f t="shared" si="3"/>
        <v/>
      </c>
      <c r="AF56" s="465">
        <f t="shared" si="4"/>
        <v>0</v>
      </c>
      <c r="AG56" s="229"/>
      <c r="AH56" s="464" t="str">
        <f t="shared" si="5"/>
        <v/>
      </c>
      <c r="AI56" s="466">
        <f t="shared" si="6"/>
        <v>0</v>
      </c>
      <c r="AJ56" s="467">
        <f t="shared" si="7"/>
        <v>0</v>
      </c>
      <c r="AK56" s="468">
        <f t="shared" si="8"/>
        <v>0</v>
      </c>
      <c r="AL56" s="469">
        <f t="shared" si="9"/>
        <v>0</v>
      </c>
      <c r="AM56" s="470">
        <f t="shared" si="10"/>
        <v>0</v>
      </c>
      <c r="AN56" s="471">
        <f t="shared" si="11"/>
        <v>0</v>
      </c>
      <c r="AO56" s="11"/>
    </row>
    <row r="57" spans="1:41" x14ac:dyDescent="0.25">
      <c r="A57" s="61" t="s">
        <v>8</v>
      </c>
      <c r="B57" s="62"/>
      <c r="C57" s="11"/>
      <c r="D57" s="11"/>
      <c r="E57" s="11"/>
      <c r="F57" s="11"/>
      <c r="G57" s="11"/>
      <c r="H57" s="84" t="s">
        <v>277</v>
      </c>
      <c r="I57" s="184" t="str">
        <f>IF(_epmOfflineCondition_,"T4",_xll.EVPRO($B$1,$H57,"STYLE"))</f>
        <v>T4</v>
      </c>
      <c r="J57" s="184" t="str">
        <f>IF(_epmOfflineCondition_,"Y",_xll.EVPRO($B$1,$H57,"CALC"))</f>
        <v>Y</v>
      </c>
      <c r="K57" s="185" t="str">
        <f t="shared" si="0"/>
        <v/>
      </c>
      <c r="L57" s="186" t="str">
        <f>IF(_epmOfflineCondition_,"",_xll.EVPRO($B$1,H57,"JDEID"))</f>
        <v/>
      </c>
      <c r="M57" s="186" t="str">
        <f>IF(_epmOfflineCondition_,"",IF(AND(I57="N",J57="N"),_xll.EVPRO($B$1,H57,"PSFTID"),""))</f>
        <v/>
      </c>
      <c r="N57" s="186" t="str">
        <f>IF(_epmOfflineCondition_,"Total Other Revenue",IF(_xll.EVDES(H57,$B$1)="#NODATA","",_xll.EVDES(H57,$B$1)))</f>
        <v>Total Other Revenue</v>
      </c>
      <c r="O57" s="481">
        <v>286.02</v>
      </c>
      <c r="P57" s="210">
        <v>519.29999999999995</v>
      </c>
      <c r="Q57" s="210">
        <v>712.44</v>
      </c>
      <c r="R57" s="210">
        <v>495.72</v>
      </c>
      <c r="S57" s="210">
        <v>576.54</v>
      </c>
      <c r="T57" s="210">
        <v>340.38</v>
      </c>
      <c r="U57" s="210">
        <v>771.12</v>
      </c>
      <c r="V57" s="210">
        <v>381.78</v>
      </c>
      <c r="W57" s="210">
        <v>506.7</v>
      </c>
      <c r="X57" s="210">
        <v>192.96</v>
      </c>
      <c r="Y57" s="210">
        <v>620.1</v>
      </c>
      <c r="Z57" s="210">
        <v>1041.3</v>
      </c>
      <c r="AA57" s="210">
        <f t="shared" si="1"/>
        <v>6444.3600000000006</v>
      </c>
      <c r="AB57" s="211">
        <f t="shared" si="2"/>
        <v>0.15688663163937372</v>
      </c>
      <c r="AC57" s="251"/>
      <c r="AD57" s="210">
        <v>38964.682800000002</v>
      </c>
      <c r="AE57" s="211">
        <f t="shared" si="3"/>
        <v>0.15254237288135594</v>
      </c>
      <c r="AF57" s="252">
        <f t="shared" si="4"/>
        <v>-32520.322800000002</v>
      </c>
      <c r="AG57" s="210">
        <v>2859.21</v>
      </c>
      <c r="AH57" s="211">
        <f t="shared" si="5"/>
        <v>0.15115842608002403</v>
      </c>
      <c r="AI57" s="482">
        <f t="shared" si="6"/>
        <v>3585.1500000000005</v>
      </c>
      <c r="AJ57" s="253">
        <f t="shared" si="7"/>
        <v>2.8846732318710835</v>
      </c>
      <c r="AK57" s="254">
        <f t="shared" si="8"/>
        <v>3.8670784835252086</v>
      </c>
      <c r="AL57" s="256">
        <f t="shared" si="9"/>
        <v>2.8031470588235297</v>
      </c>
      <c r="AM57" s="427" t="str">
        <f t="shared" si="10"/>
        <v>0.43 pts.</v>
      </c>
      <c r="AN57" s="483" t="str">
        <f t="shared" si="11"/>
        <v>0.57 pts.</v>
      </c>
      <c r="AO57" s="11"/>
    </row>
    <row r="58" spans="1:41" x14ac:dyDescent="0.25">
      <c r="A58" s="11"/>
      <c r="B58" s="11"/>
      <c r="C58" s="11"/>
      <c r="D58" s="11"/>
      <c r="E58" s="11"/>
      <c r="F58" s="11"/>
      <c r="G58" s="72"/>
      <c r="H58" s="84" t="s">
        <v>280</v>
      </c>
      <c r="I58" s="184" t="str">
        <f>IF(_epmOfflineCondition_,"T3",_xll.EVPRO($B$1,$H58,"STYLE"))</f>
        <v>T3</v>
      </c>
      <c r="J58" s="184" t="str">
        <f>IF(_epmOfflineCondition_,"Y",_xll.EVPRO($B$1,$H58,"CALC"))</f>
        <v>Y</v>
      </c>
      <c r="K58" s="185" t="str">
        <f t="shared" si="0"/>
        <v/>
      </c>
      <c r="L58" s="186" t="str">
        <f>IF(_epmOfflineCondition_,"400000",_xll.EVPRO($B$1,H58,"JDEID"))</f>
        <v>400000</v>
      </c>
      <c r="M58" s="186" t="str">
        <f>IF(_epmOfflineCondition_,"",IF(AND(I58="N",J58="N"),_xll.EVPRO($B$1,H58,"PSFTID"),""))</f>
        <v/>
      </c>
      <c r="N58" s="186" t="str">
        <f>IF(_epmOfflineCondition_,"Total Revenue",IF(_xll.EVDES(H58,$B$1)="#NODATA","",_xll.EVDES(H58,$B$1)))</f>
        <v>Total Revenue</v>
      </c>
      <c r="O58" s="472">
        <v>1582.38</v>
      </c>
      <c r="P58" s="236">
        <v>3404.3</v>
      </c>
      <c r="Q58" s="236">
        <v>4559.5</v>
      </c>
      <c r="R58" s="236">
        <v>3249.72</v>
      </c>
      <c r="S58" s="236">
        <v>3779.54</v>
      </c>
      <c r="T58" s="236">
        <v>2190.38</v>
      </c>
      <c r="U58" s="236">
        <v>5031.12</v>
      </c>
      <c r="V58" s="236">
        <v>2429.46</v>
      </c>
      <c r="W58" s="236">
        <v>3267.09</v>
      </c>
      <c r="X58" s="236">
        <v>1192.1600000000001</v>
      </c>
      <c r="Y58" s="236">
        <v>3896.78</v>
      </c>
      <c r="Z58" s="236">
        <v>6494.11</v>
      </c>
      <c r="AA58" s="236">
        <f t="shared" si="1"/>
        <v>41076.54</v>
      </c>
      <c r="AB58" s="237">
        <f t="shared" si="2"/>
        <v>1</v>
      </c>
      <c r="AC58" s="238"/>
      <c r="AD58" s="236">
        <v>255435.1428</v>
      </c>
      <c r="AE58" s="237">
        <f t="shared" si="3"/>
        <v>1</v>
      </c>
      <c r="AF58" s="239">
        <f t="shared" si="4"/>
        <v>-214358.60279999999</v>
      </c>
      <c r="AG58" s="236">
        <v>18915.32</v>
      </c>
      <c r="AH58" s="237">
        <f t="shared" si="5"/>
        <v>1</v>
      </c>
      <c r="AI58" s="473">
        <f t="shared" si="6"/>
        <v>22161.22</v>
      </c>
      <c r="AJ58" s="215">
        <f t="shared" si="7"/>
        <v>18.38699194270367</v>
      </c>
      <c r="AK58" s="216">
        <f t="shared" si="8"/>
        <v>25.350847836443034</v>
      </c>
      <c r="AL58" s="218">
        <f t="shared" si="9"/>
        <v>18.54443137254902</v>
      </c>
      <c r="AM58" s="423" t="str">
        <f t="shared" si="10"/>
        <v>0 pts.</v>
      </c>
      <c r="AN58" s="474" t="str">
        <f t="shared" si="11"/>
        <v>0 pts.</v>
      </c>
      <c r="AO58" s="11"/>
    </row>
    <row r="59" spans="1:41" x14ac:dyDescent="0.25">
      <c r="A59" s="57" t="s">
        <v>9</v>
      </c>
      <c r="B59" s="58" t="s">
        <v>10</v>
      </c>
      <c r="C59" s="11"/>
      <c r="D59" s="11"/>
      <c r="E59" s="11"/>
      <c r="F59" s="11"/>
      <c r="G59" s="11"/>
      <c r="H59" s="11"/>
      <c r="I59" s="55"/>
      <c r="J59" s="55"/>
      <c r="K59" s="11"/>
      <c r="L59" s="11"/>
      <c r="M59" s="11"/>
      <c r="N59" s="11"/>
      <c r="O59" s="199"/>
      <c r="P59" s="200"/>
      <c r="Q59" s="200"/>
      <c r="R59" s="200"/>
      <c r="S59" s="200"/>
      <c r="T59" s="200"/>
      <c r="U59" s="200"/>
      <c r="V59" s="200"/>
      <c r="W59" s="200"/>
      <c r="X59" s="200"/>
      <c r="Y59" s="200"/>
      <c r="Z59" s="200"/>
      <c r="AA59" s="200"/>
      <c r="AB59" s="114"/>
      <c r="AC59" s="11"/>
      <c r="AD59" s="199"/>
      <c r="AE59" s="200"/>
      <c r="AF59" s="114"/>
      <c r="AG59" s="199"/>
      <c r="AH59" s="200"/>
      <c r="AI59" s="114"/>
      <c r="AJ59" s="11"/>
      <c r="AK59" s="11"/>
      <c r="AL59" s="11"/>
      <c r="AM59" s="11"/>
      <c r="AN59" s="11"/>
      <c r="AO59" s="11"/>
    </row>
    <row r="60" spans="1:41" x14ac:dyDescent="0.25">
      <c r="A60" s="61" t="s">
        <v>11</v>
      </c>
      <c r="B60" s="62" t="s">
        <v>21</v>
      </c>
      <c r="C60" s="11"/>
      <c r="D60" s="11"/>
      <c r="E60" s="11"/>
      <c r="F60" s="11"/>
      <c r="G60" s="11"/>
      <c r="H60" s="11" t="s">
        <v>281</v>
      </c>
      <c r="I60" s="55" t="str">
        <f>IF(_epmOfflineCondition_,"B1",_xll.EVPRO($B$1,$H60,"STYLE"))</f>
        <v>B1</v>
      </c>
      <c r="J60" s="55" t="str">
        <f>IF(_epmOfflineCondition_,"Y",_xll.EVPRO($B$1,$H60,"CALC"))</f>
        <v>Y</v>
      </c>
      <c r="K60" s="11"/>
      <c r="L60" s="11"/>
      <c r="M60" s="11"/>
      <c r="N60" s="101" t="str">
        <f>IF(_epmOfflineCondition_,"Cost of Sales",IF(_xll.EVDES(H60,$B$1)="#NODATA","",_xll.EVDES(H60,$B$1)))</f>
        <v>Cost of Sales</v>
      </c>
      <c r="O60" s="199"/>
      <c r="P60" s="200"/>
      <c r="Q60" s="200"/>
      <c r="R60" s="200"/>
      <c r="S60" s="200"/>
      <c r="T60" s="200"/>
      <c r="U60" s="200"/>
      <c r="V60" s="200"/>
      <c r="W60" s="200"/>
      <c r="X60" s="200"/>
      <c r="Y60" s="200"/>
      <c r="Z60" s="200"/>
      <c r="AA60" s="200"/>
      <c r="AB60" s="114"/>
      <c r="AC60" s="11"/>
      <c r="AD60" s="199"/>
      <c r="AE60" s="200"/>
      <c r="AF60" s="114"/>
      <c r="AG60" s="199"/>
      <c r="AH60" s="200"/>
      <c r="AI60" s="114"/>
      <c r="AJ60" s="11"/>
      <c r="AK60" s="11"/>
      <c r="AL60" s="11"/>
      <c r="AM60" s="11"/>
      <c r="AN60" s="11"/>
      <c r="AO60" s="11"/>
    </row>
    <row r="61" spans="1:41" x14ac:dyDescent="0.25">
      <c r="A61" s="61" t="s">
        <v>12</v>
      </c>
      <c r="B61" s="62" t="s">
        <v>22</v>
      </c>
      <c r="C61" s="11"/>
      <c r="D61" s="11"/>
      <c r="E61" s="11"/>
      <c r="F61" s="11"/>
      <c r="G61" s="11"/>
      <c r="H61" s="11" t="s">
        <v>284</v>
      </c>
      <c r="I61" s="55" t="str">
        <f>IF(_epmOfflineCondition_,"B1",_xll.EVPRO($B$1,$H61,"STYLE"))</f>
        <v>B1</v>
      </c>
      <c r="J61" s="55" t="str">
        <f>IF(_epmOfflineCondition_,"Y",_xll.EVPRO($B$1,$H61,"CALC"))</f>
        <v>Y</v>
      </c>
      <c r="K61" s="11"/>
      <c r="L61" s="11"/>
      <c r="M61" s="11"/>
      <c r="N61" s="49" t="str">
        <f>IF(_epmOfflineCondition_,"Cost of Food &amp; Beverage Sales",IF(_xll.EVDES(H61,$B$1)="#NODATA","",_xll.EVDES(H61,$B$1)))</f>
        <v>Cost of Food &amp; Beverage Sales</v>
      </c>
      <c r="O61" s="199"/>
      <c r="P61" s="200"/>
      <c r="Q61" s="200"/>
      <c r="R61" s="200"/>
      <c r="S61" s="200"/>
      <c r="T61" s="200"/>
      <c r="U61" s="200"/>
      <c r="V61" s="200"/>
      <c r="W61" s="200"/>
      <c r="X61" s="200"/>
      <c r="Y61" s="200"/>
      <c r="Z61" s="200"/>
      <c r="AA61" s="200"/>
      <c r="AB61" s="114"/>
      <c r="AC61" s="11"/>
      <c r="AD61" s="199"/>
      <c r="AE61" s="200"/>
      <c r="AF61" s="114"/>
      <c r="AG61" s="199"/>
      <c r="AH61" s="200"/>
      <c r="AI61" s="114"/>
      <c r="AJ61" s="11"/>
      <c r="AK61" s="11"/>
      <c r="AL61" s="11"/>
      <c r="AM61" s="11"/>
      <c r="AN61" s="11"/>
      <c r="AO61" s="11"/>
    </row>
    <row r="62" spans="1:41" x14ac:dyDescent="0.25">
      <c r="A62" s="61" t="s">
        <v>13</v>
      </c>
      <c r="B62" s="62" t="str">
        <f>"DEP(COS_FB) AND "&amp;$E$6&amp;"=Y,COS_FB,COSOTH,DEP(COS_OTHR) AND "&amp;$E$6&amp;"=Y,COS_OTHR,500001"</f>
        <v>DEP(COS_FB) AND D_VENUES=Y,COS_FB,COSOTH,DEP(COS_OTHR) AND D_VENUES=Y,COS_OTHR,500001</v>
      </c>
      <c r="C62" s="11"/>
      <c r="D62" s="11"/>
      <c r="E62" s="11"/>
      <c r="F62" s="11"/>
      <c r="G62" s="11"/>
      <c r="H62" s="84" t="s">
        <v>285</v>
      </c>
      <c r="I62" s="118" t="str">
        <f>IF(_epmOfflineCondition_,"T5",_xll.EVPRO($B$1,$H62,"STYLE"))</f>
        <v>T5</v>
      </c>
      <c r="J62" s="118" t="str">
        <f>IF(_epmOfflineCondition_,"Y",_xll.EVPRO($B$1,$H62,"CALC"))</f>
        <v>Y</v>
      </c>
      <c r="K62" s="175" t="str">
        <f t="shared" ref="K62:K72" si="12">IF(AND(I62&gt;="T5"),"&gt;","")</f>
        <v>&gt;</v>
      </c>
      <c r="L62" s="86" t="str">
        <f>IF(_epmOfflineCondition_,"561100",_xll.EVPRO($B$1,H62,"JDEID"))</f>
        <v>561100</v>
      </c>
      <c r="M62" s="86" t="str">
        <f>IF(_epmOfflineCondition_,"",IF(AND(I62="N",J62="N"),_xll.EVPRO($B$1,H62,"PSFTID"),""))</f>
        <v/>
      </c>
      <c r="N62" s="86" t="str">
        <f>IF(_epmOfflineCondition_,"Cost of Food Sales",IF(_xll.EVDES(H62,$B$1)="#NODATA","",_xll.EVDES(H62,$B$1)))</f>
        <v>Cost of Food Sales</v>
      </c>
      <c r="O62" s="453">
        <v>14</v>
      </c>
      <c r="P62" s="223">
        <v>27.05</v>
      </c>
      <c r="Q62" s="223">
        <v>27.24</v>
      </c>
      <c r="R62" s="223">
        <v>35.28</v>
      </c>
      <c r="S62" s="223">
        <v>37.630000000000003</v>
      </c>
      <c r="T62" s="223">
        <v>63.44</v>
      </c>
      <c r="U62" s="223">
        <v>205.21</v>
      </c>
      <c r="V62" s="223">
        <v>139.16</v>
      </c>
      <c r="W62" s="223">
        <v>61.35</v>
      </c>
      <c r="X62" s="223">
        <v>4.17</v>
      </c>
      <c r="Y62" s="223">
        <v>345</v>
      </c>
      <c r="Z62" s="223">
        <v>698.06</v>
      </c>
      <c r="AA62" s="223">
        <f t="shared" ref="AA62:AA70" si="13">IF($I62="B1","",SUM(O62:Z62))</f>
        <v>1657.59</v>
      </c>
      <c r="AB62" s="454">
        <f>IF(_epmOfflineCondition_,0.242145843498281,IF(AA62=0,"",IFERROR(AA62/_xll.EVGTS($B$1,1,_xll.EVPRO($B$1,$H62,"COSBASIS"),$B$3,$B$5,$B$6,$B$7,$B$9,AA$16,AA$17,AA$11),"")))</f>
        <v>0.242145843498281</v>
      </c>
      <c r="AC62" s="528"/>
      <c r="AD62" s="223">
        <v>30136.81</v>
      </c>
      <c r="AE62" s="454">
        <f>IF(_epmOfflineCondition_,0.277999889993079,IF(AD62=0,"",IFERROR(AD62/_xll.EVGTS($B$1,1,_xll.EVPRO($B$1,$H62,"COSBASIS"),$B$3,$B$5,$B$6,$B$7,$B$9,AD$16,AD$17,AD$18),"")))</f>
        <v>0.27799988999307901</v>
      </c>
      <c r="AF62" s="456">
        <f t="shared" ref="AF62:AF72" si="14">IF(AND($AA62="",AD62=""),"",$AA62-AD62)</f>
        <v>-28479.22</v>
      </c>
      <c r="AG62" s="223">
        <v>750</v>
      </c>
      <c r="AH62" s="454">
        <f>IF(_epmOfflineCondition_,0.271906609143313,IF(AG62=0,"",IFERROR(AG62/_xll.EVGTS($B$1,1,_xll.EVPRO($B$1,$H62,"COSBASIS"),$B$3,$B$5,$B$6,$B$7,$B$9,AG$16,AG$17,AG$18),"")))</f>
        <v>0.27190660914331299</v>
      </c>
      <c r="AI62" s="457">
        <f t="shared" ref="AI62:AI72" si="15">IF(AND($AA62="",AG62=""),"",$AA62-AG62)</f>
        <v>907.58999999999992</v>
      </c>
      <c r="AJ62" s="458">
        <f t="shared" ref="AJ62:AJ70" si="16">IFERROR(AA62/AA$20,0)</f>
        <v>0.74198299015219338</v>
      </c>
      <c r="AK62" s="459">
        <f t="shared" ref="AK62:AK70" si="17">IFERROR(AD62/AD$20,0)</f>
        <v>2.9909497816593889</v>
      </c>
      <c r="AL62" s="460">
        <f t="shared" ref="AL62:AL70" si="18">IFERROR(AG62/AG$20,0)</f>
        <v>0.73529411764705888</v>
      </c>
      <c r="AM62" s="461" t="str">
        <f t="shared" ref="AM62:AM70" si="19">+IFERROR(ROUND(($AB62-AE62)*100,2)&amp;" pts.",0)</f>
        <v>-3.59 pts.</v>
      </c>
      <c r="AN62" s="462" t="str">
        <f t="shared" ref="AN62:AN70" si="20">+IFERROR(ROUND(($AB62-AH62)*100,2)&amp;" pts.",0)</f>
        <v>-2.98 pts.</v>
      </c>
      <c r="AO62" s="11"/>
    </row>
    <row r="63" spans="1:41" x14ac:dyDescent="0.25">
      <c r="A63" s="61" t="s">
        <v>14</v>
      </c>
      <c r="B63" s="62"/>
      <c r="C63" s="11"/>
      <c r="D63" s="11"/>
      <c r="E63" s="11"/>
      <c r="F63" s="11"/>
      <c r="G63" s="11"/>
      <c r="H63" s="84" t="s">
        <v>637</v>
      </c>
      <c r="I63" s="118" t="str">
        <f>IF(_epmOfflineCondition_,"T5",_xll.EVPRO($B$1,$H63,"STYLE"))</f>
        <v>T5</v>
      </c>
      <c r="J63" s="118" t="str">
        <f>IF(_epmOfflineCondition_,"Y",_xll.EVPRO($B$1,$H63,"CALC"))</f>
        <v>Y</v>
      </c>
      <c r="K63" s="175" t="str">
        <f t="shared" si="12"/>
        <v>&gt;</v>
      </c>
      <c r="L63" s="86" t="str">
        <f>IF(_epmOfflineCondition_,"",_xll.EVPRO($B$1,H63,"JDEID"))</f>
        <v/>
      </c>
      <c r="M63" s="86" t="str">
        <f>IF(_epmOfflineCondition_,"",IF(AND(I63="N",J63="N"),_xll.EVPRO($B$1,H63,"PSFTID"),""))</f>
        <v/>
      </c>
      <c r="N63" s="86" t="str">
        <f>IF(_epmOfflineCondition_,"Cost of Beverage Sales",IF(_xll.EVDES(H63,$B$1)="#NODATA","",_xll.EVDES(H63,$B$1)))</f>
        <v>Cost of Beverage Sales</v>
      </c>
      <c r="O63" s="463">
        <v>300</v>
      </c>
      <c r="P63" s="229">
        <v>545.14</v>
      </c>
      <c r="Q63" s="229">
        <v>750.68</v>
      </c>
      <c r="R63" s="229">
        <v>509.46</v>
      </c>
      <c r="S63" s="229">
        <v>597.59</v>
      </c>
      <c r="T63" s="229">
        <v>305.48</v>
      </c>
      <c r="U63" s="229">
        <v>634.26</v>
      </c>
      <c r="V63" s="229">
        <v>278.47000000000003</v>
      </c>
      <c r="W63" s="229">
        <v>493.89</v>
      </c>
      <c r="X63" s="229">
        <v>194.42</v>
      </c>
      <c r="Y63" s="229">
        <v>406.59</v>
      </c>
      <c r="Z63" s="229">
        <v>643.35</v>
      </c>
      <c r="AA63" s="229">
        <f t="shared" si="13"/>
        <v>5659.3300000000008</v>
      </c>
      <c r="AB63" s="464">
        <f>IF(_epmOfflineCondition_,0.197932652961297,IF(AA63=0,"",IFERROR(AA63/_xll.EVGTS($B$1,1,_xll.EVPRO($B$1,$H63,"COSBASIS"),$B$3,$B$5,$B$6,$B$7,$B$9,AA$16,AA$17,AA$11),"")))</f>
        <v>0.197932652961297</v>
      </c>
      <c r="AC63" s="455"/>
      <c r="AD63" s="229">
        <v>21135.75</v>
      </c>
      <c r="AE63" s="464">
        <f>IF(_epmOfflineCondition_,0.195584353862792,IF(AD63=0,"",IFERROR(AD63/_xll.EVGTS($B$1,1,_xll.EVPRO($B$1,$H63,"COSBASIS"),$B$3,$B$5,$B$6,$B$7,$B$9,AD$16,AD$17,AD$18),"")))</f>
        <v>0.19558435386279199</v>
      </c>
      <c r="AF63" s="465">
        <f t="shared" si="14"/>
        <v>-15476.419999999998</v>
      </c>
      <c r="AG63" s="229">
        <v>2701.66</v>
      </c>
      <c r="AH63" s="464">
        <f>IF(_epmOfflineCondition_,0.199299487008494,IF(AG63=0,"",IFERROR(AG63/_xll.EVGTS($B$1,1,_xll.EVPRO($B$1,$H63,"COSBASIS"),$B$3,$B$5,$B$6,$B$7,$B$9,AG$16,AG$17,AG$18),"")))</f>
        <v>0.19929948700849401</v>
      </c>
      <c r="AI63" s="466">
        <f t="shared" si="15"/>
        <v>2957.670000000001</v>
      </c>
      <c r="AJ63" s="467">
        <f t="shared" si="16"/>
        <v>2.5332721575649062</v>
      </c>
      <c r="AK63" s="468">
        <f t="shared" si="17"/>
        <v>2.0976329892814607</v>
      </c>
      <c r="AL63" s="469">
        <f t="shared" si="18"/>
        <v>2.6486862745098039</v>
      </c>
      <c r="AM63" s="470" t="str">
        <f t="shared" si="19"/>
        <v>0.23 pts.</v>
      </c>
      <c r="AN63" s="471" t="str">
        <f t="shared" si="20"/>
        <v>-0.14 pts.</v>
      </c>
      <c r="AO63" s="11"/>
    </row>
    <row r="64" spans="1:41" x14ac:dyDescent="0.25">
      <c r="A64" s="61" t="s">
        <v>15</v>
      </c>
      <c r="B64" s="62"/>
      <c r="C64" s="11"/>
      <c r="D64" s="11"/>
      <c r="E64" s="11"/>
      <c r="F64" s="11"/>
      <c r="G64" s="11"/>
      <c r="H64" s="84" t="s">
        <v>286</v>
      </c>
      <c r="I64" s="184" t="str">
        <f>IF(_epmOfflineCondition_,"T4",_xll.EVPRO($B$1,$H64,"STYLE"))</f>
        <v>T4</v>
      </c>
      <c r="J64" s="184" t="str">
        <f>IF(_epmOfflineCondition_,"Y",_xll.EVPRO($B$1,$H64,"CALC"))</f>
        <v>Y</v>
      </c>
      <c r="K64" s="185" t="str">
        <f t="shared" si="12"/>
        <v/>
      </c>
      <c r="L64" s="186" t="str">
        <f>IF(_epmOfflineCondition_,"",_xll.EVPRO($B$1,H64,"JDEID"))</f>
        <v/>
      </c>
      <c r="M64" s="186" t="str">
        <f>IF(_epmOfflineCondition_,"",IF(AND(I64="N",J64="N"),_xll.EVPRO($B$1,H64,"PSFTID"),""))</f>
        <v/>
      </c>
      <c r="N64" s="186" t="str">
        <f>IF(_epmOfflineCondition_,"Total Cost of Food &amp; Beverage Sales",IF(_xll.EVDES(H64,$B$1)="#NODATA","",_xll.EVDES(H64,$B$1)))</f>
        <v>Total Cost of Food &amp; Beverage Sales</v>
      </c>
      <c r="O64" s="472">
        <v>314</v>
      </c>
      <c r="P64" s="236">
        <v>572.19000000000005</v>
      </c>
      <c r="Q64" s="236">
        <v>777.92</v>
      </c>
      <c r="R64" s="236">
        <v>544.74</v>
      </c>
      <c r="S64" s="236">
        <v>635.22</v>
      </c>
      <c r="T64" s="236">
        <v>368.92</v>
      </c>
      <c r="U64" s="236">
        <v>839.47</v>
      </c>
      <c r="V64" s="236">
        <v>417.63</v>
      </c>
      <c r="W64" s="236">
        <v>555.24</v>
      </c>
      <c r="X64" s="236">
        <v>198.59</v>
      </c>
      <c r="Y64" s="236">
        <v>751.59</v>
      </c>
      <c r="Z64" s="236">
        <v>1341.41</v>
      </c>
      <c r="AA64" s="236">
        <f t="shared" si="13"/>
        <v>7316.920000000001</v>
      </c>
      <c r="AB64" s="237">
        <f>IF(_epmOfflineCondition_,0.21127517817244,IF(AA64=0,"",IFERROR(AA64/_xll.EVGTS($B$1,1,_xll.EVPRO($B$1,$H64,"COSBASIS"),$B$3,$B$5,$B$6,$B$7,$B$9,AA$16,AA$17,AA$11),"")))</f>
        <v>0.21127517817243999</v>
      </c>
      <c r="AC64" s="238"/>
      <c r="AD64" s="236">
        <v>51272.56</v>
      </c>
      <c r="AE64" s="237">
        <f>IF(_epmOfflineCondition_,0.23685707509468,IF(AD64=0,"",IFERROR(AD64/_xll.EVGTS($B$1,1,_xll.EVPRO($B$1,$H64,"COSBASIS"),$B$3,$B$5,$B$6,$B$7,$B$9,AD$16,AD$17,AD$18),"")))</f>
        <v>0.23685707509467999</v>
      </c>
      <c r="AF64" s="239">
        <f t="shared" si="14"/>
        <v>-43955.64</v>
      </c>
      <c r="AG64" s="236">
        <v>3451.66</v>
      </c>
      <c r="AH64" s="237">
        <f>IF(_epmOfflineCondition_,0.214974860037705,IF(AG64=0,"",IFERROR(AG64/_xll.EVGTS($B$1,1,_xll.EVPRO($B$1,$H64,"COSBASIS"),$B$3,$B$5,$B$6,$B$7,$B$9,AG$16,AG$17,AG$18),"")))</f>
        <v>0.214974860037705</v>
      </c>
      <c r="AI64" s="473">
        <f t="shared" si="15"/>
        <v>3865.2600000000011</v>
      </c>
      <c r="AJ64" s="215">
        <f t="shared" si="16"/>
        <v>3.2752551477170999</v>
      </c>
      <c r="AK64" s="216">
        <f t="shared" si="17"/>
        <v>5.0885827709408495</v>
      </c>
      <c r="AL64" s="218">
        <f t="shared" si="18"/>
        <v>3.3839803921568627</v>
      </c>
      <c r="AM64" s="423" t="str">
        <f t="shared" si="19"/>
        <v>-2.56 pts.</v>
      </c>
      <c r="AN64" s="474" t="str">
        <f t="shared" si="20"/>
        <v>-0.37 pts.</v>
      </c>
      <c r="AO64" s="11"/>
    </row>
    <row r="65" spans="1:41" x14ac:dyDescent="0.25">
      <c r="A65" s="61" t="s">
        <v>16</v>
      </c>
      <c r="B65" s="62"/>
      <c r="C65" s="11"/>
      <c r="D65" s="11"/>
      <c r="E65" s="11"/>
      <c r="F65" s="11"/>
      <c r="G65" s="11"/>
      <c r="H65" s="84" t="s">
        <v>287</v>
      </c>
      <c r="I65" s="184" t="str">
        <f>IF(_epmOfflineCondition_,"B1",_xll.EVPRO($B$1,$H65,"STYLE"))</f>
        <v>B1</v>
      </c>
      <c r="J65" s="184" t="str">
        <f>IF(_epmOfflineCondition_,"Y",_xll.EVPRO($B$1,$H65,"CALC"))</f>
        <v>Y</v>
      </c>
      <c r="K65" s="185" t="str">
        <f t="shared" si="12"/>
        <v/>
      </c>
      <c r="L65" s="186" t="str">
        <f>IF(_epmOfflineCondition_,"",_xll.EVPRO($B$1,H65,"JDEID"))</f>
        <v/>
      </c>
      <c r="M65" s="186" t="str">
        <f>IF(_epmOfflineCondition_,"",IF(AND(I65="N",J65="N"),_xll.EVPRO($B$1,H65,"PSFTID"),""))</f>
        <v/>
      </c>
      <c r="N65" s="186" t="str">
        <f>IF(_epmOfflineCondition_,"Cost of Other Revenue",IF(_xll.EVDES(H65,$B$1)="#NODATA","",_xll.EVDES(H65,$B$1)))</f>
        <v>Cost of Other Revenue</v>
      </c>
      <c r="O65" s="475"/>
      <c r="P65" s="241"/>
      <c r="Q65" s="241"/>
      <c r="R65" s="241"/>
      <c r="S65" s="241"/>
      <c r="T65" s="241"/>
      <c r="U65" s="241"/>
      <c r="V65" s="241"/>
      <c r="W65" s="241"/>
      <c r="X65" s="241"/>
      <c r="Y65" s="241"/>
      <c r="Z65" s="241"/>
      <c r="AA65" s="241" t="str">
        <f t="shared" si="13"/>
        <v/>
      </c>
      <c r="AB65" s="476" t="str">
        <f>IF(_epmOfflineCondition_,"",IF(AA65=0,"",IFERROR(AA65/_xll.EVGTS($B$1,1,_xll.EVPRO($B$1,$H65,"COSBASIS"),$B$3,$B$5,$B$6,$B$7,$B$9,AA$16,AA$17,AA$11),"")))</f>
        <v/>
      </c>
      <c r="AC65" s="529"/>
      <c r="AD65" s="241"/>
      <c r="AE65" s="476" t="str">
        <f>IF(_epmOfflineCondition_,"",IF(AD65=0,"",IFERROR(AD65/_xll.EVGTS($B$1,1,_xll.EVPRO($B$1,$H65,"COSBASIS"),$B$3,$B$5,$B$6,$B$7,$B$9,AD$16,AD$17,AD$18),"")))</f>
        <v/>
      </c>
      <c r="AF65" s="478" t="str">
        <f t="shared" si="14"/>
        <v/>
      </c>
      <c r="AG65" s="241"/>
      <c r="AH65" s="476" t="str">
        <f>IF(_epmOfflineCondition_,"",IF(AG65=0,"",IFERROR(AG65/_xll.EVGTS($B$1,1,_xll.EVPRO($B$1,$H65,"COSBASIS"),$B$3,$B$5,$B$6,$B$7,$B$9,AG$16,AG$17,AG$18),"")))</f>
        <v/>
      </c>
      <c r="AI65" s="479" t="str">
        <f t="shared" si="15"/>
        <v/>
      </c>
      <c r="AJ65" s="244">
        <f t="shared" si="16"/>
        <v>0</v>
      </c>
      <c r="AK65" s="245">
        <f t="shared" si="17"/>
        <v>0</v>
      </c>
      <c r="AL65" s="247">
        <f t="shared" si="18"/>
        <v>0</v>
      </c>
      <c r="AM65" s="425">
        <f t="shared" si="19"/>
        <v>0</v>
      </c>
      <c r="AN65" s="480">
        <f t="shared" si="20"/>
        <v>0</v>
      </c>
      <c r="AO65" s="11"/>
    </row>
    <row r="66" spans="1:41" x14ac:dyDescent="0.25">
      <c r="A66" s="61" t="s">
        <v>17</v>
      </c>
      <c r="B66" s="62"/>
      <c r="C66" s="11"/>
      <c r="D66" s="11"/>
      <c r="E66" s="11"/>
      <c r="F66" s="11"/>
      <c r="G66" s="11"/>
      <c r="H66" s="84" t="s">
        <v>638</v>
      </c>
      <c r="I66" s="118" t="str">
        <f>IF(_epmOfflineCondition_,"N",_xll.EVPRO($B$1,$H66,"STYLE"))</f>
        <v>N</v>
      </c>
      <c r="J66" s="118" t="str">
        <f>IF(_epmOfflineCondition_,"N",_xll.EVPRO($B$1,$H66,"CALC"))</f>
        <v>N</v>
      </c>
      <c r="K66" s="175" t="str">
        <f t="shared" si="12"/>
        <v/>
      </c>
      <c r="L66" s="86" t="str">
        <f>IF(_epmOfflineCondition_,"568300",_xll.EVPRO($B$1,H66,"JDEID"))</f>
        <v>568300</v>
      </c>
      <c r="M66" s="86" t="str">
        <f>IF(_epmOfflineCondition_,"306005",IF(AND(I66="N",J66="N"),_xll.EVPRO($B$1,H66,"PSFTID"),""))</f>
        <v>306005</v>
      </c>
      <c r="N66" s="86" t="str">
        <f>IF(_epmOfflineCondition_,"A/V Cost of Sales",IF(_xll.EVDES(H66,$B$1)="#NODATA","",_xll.EVDES(H66,$B$1)))</f>
        <v>A/V Cost of Sales</v>
      </c>
      <c r="O66" s="453"/>
      <c r="P66" s="223"/>
      <c r="Q66" s="223"/>
      <c r="R66" s="223"/>
      <c r="S66" s="223"/>
      <c r="T66" s="223"/>
      <c r="U66" s="223"/>
      <c r="V66" s="223"/>
      <c r="W66" s="223"/>
      <c r="X66" s="223"/>
      <c r="Y66" s="223"/>
      <c r="Z66" s="223"/>
      <c r="AA66" s="223">
        <f t="shared" si="13"/>
        <v>0</v>
      </c>
      <c r="AB66" s="454" t="str">
        <f>IF(_epmOfflineCondition_,"",IF(AA66=0,"",IFERROR(AA66/_xll.EVGTS($B$1,1,_xll.EVPRO($B$1,$H66,"COSBASIS"),$B$3,$B$5,$B$6,$B$7,$B$9,AA$16,AA$17,AA$11),"")))</f>
        <v/>
      </c>
      <c r="AC66" s="528"/>
      <c r="AD66" s="223"/>
      <c r="AE66" s="454" t="str">
        <f>IF(_epmOfflineCondition_,"",IF(AD66=0,"",IFERROR(AD66/_xll.EVGTS($B$1,1,_xll.EVPRO($B$1,$H66,"COSBASIS"),$B$3,$B$5,$B$6,$B$7,$B$9,AD$16,AD$17,AD$18),"")))</f>
        <v/>
      </c>
      <c r="AF66" s="456">
        <f t="shared" si="14"/>
        <v>0</v>
      </c>
      <c r="AG66" s="223"/>
      <c r="AH66" s="454" t="str">
        <f>IF(_epmOfflineCondition_,"",IF(AG66=0,"",IFERROR(AG66/_xll.EVGTS($B$1,1,_xll.EVPRO($B$1,$H66,"COSBASIS"),$B$3,$B$5,$B$6,$B$7,$B$9,AG$16,AG$17,AG$18),"")))</f>
        <v/>
      </c>
      <c r="AI66" s="457">
        <f t="shared" si="15"/>
        <v>0</v>
      </c>
      <c r="AJ66" s="458">
        <f t="shared" si="16"/>
        <v>0</v>
      </c>
      <c r="AK66" s="459">
        <f t="shared" si="17"/>
        <v>0</v>
      </c>
      <c r="AL66" s="460">
        <f t="shared" si="18"/>
        <v>0</v>
      </c>
      <c r="AM66" s="461">
        <f t="shared" si="19"/>
        <v>0</v>
      </c>
      <c r="AN66" s="462">
        <f t="shared" si="20"/>
        <v>0</v>
      </c>
      <c r="AO66" s="11"/>
    </row>
    <row r="67" spans="1:41" x14ac:dyDescent="0.25">
      <c r="A67" s="11"/>
      <c r="B67" s="11"/>
      <c r="C67" s="11"/>
      <c r="D67" s="11"/>
      <c r="E67" s="11"/>
      <c r="F67" s="11"/>
      <c r="G67" s="11"/>
      <c r="H67" s="84" t="s">
        <v>639</v>
      </c>
      <c r="I67" s="118" t="str">
        <f>IF(_epmOfflineCondition_,"N",_xll.EVPRO($B$1,$H67,"STYLE"))</f>
        <v>N</v>
      </c>
      <c r="J67" s="118" t="str">
        <f>IF(_epmOfflineCondition_,"N",_xll.EVPRO($B$1,$H67,"CALC"))</f>
        <v>N</v>
      </c>
      <c r="K67" s="175" t="str">
        <f t="shared" si="12"/>
        <v/>
      </c>
      <c r="L67" s="86" t="str">
        <f>IF(_epmOfflineCondition_,"568350",_xll.EVPRO($B$1,H67,"JDEID"))</f>
        <v>568350</v>
      </c>
      <c r="M67" s="86" t="str">
        <f>IF(_epmOfflineCondition_,"306099",IF(AND(I67="N",J67="N"),_xll.EVPRO($B$1,H67,"PSFTID"),""))</f>
        <v>306099</v>
      </c>
      <c r="N67" s="86" t="str">
        <f>IF(_epmOfflineCondition_,"Public Room Rental",IF(_xll.EVDES(H67,$B$1)="#NODATA","",_xll.EVDES(H67,$B$1)))</f>
        <v>Public Room Rental</v>
      </c>
      <c r="O67" s="453"/>
      <c r="P67" s="223"/>
      <c r="Q67" s="223"/>
      <c r="R67" s="223"/>
      <c r="S67" s="223"/>
      <c r="T67" s="223"/>
      <c r="U67" s="223"/>
      <c r="V67" s="223"/>
      <c r="W67" s="223"/>
      <c r="X67" s="223"/>
      <c r="Y67" s="223"/>
      <c r="Z67" s="223"/>
      <c r="AA67" s="223">
        <f t="shared" si="13"/>
        <v>0</v>
      </c>
      <c r="AB67" s="454" t="str">
        <f>IF(_epmOfflineCondition_,"",IF(AA67=0,"",IFERROR(AA67/_xll.EVGTS($B$1,1,_xll.EVPRO($B$1,$H67,"COSBASIS"),$B$3,$B$5,$B$6,$B$7,$B$9,AA$16,AA$17,AA$11),"")))</f>
        <v/>
      </c>
      <c r="AC67" s="528"/>
      <c r="AD67" s="223"/>
      <c r="AE67" s="454" t="str">
        <f>IF(_epmOfflineCondition_,"",IF(AD67=0,"",IFERROR(AD67/_xll.EVGTS($B$1,1,_xll.EVPRO($B$1,$H67,"COSBASIS"),$B$3,$B$5,$B$6,$B$7,$B$9,AD$16,AD$17,AD$18),"")))</f>
        <v/>
      </c>
      <c r="AF67" s="456">
        <f t="shared" si="14"/>
        <v>0</v>
      </c>
      <c r="AG67" s="223"/>
      <c r="AH67" s="454" t="str">
        <f>IF(_epmOfflineCondition_,"",IF(AG67=0,"",IFERROR(AG67/_xll.EVGTS($B$1,1,_xll.EVPRO($B$1,$H67,"COSBASIS"),$B$3,$B$5,$B$6,$B$7,$B$9,AG$16,AG$17,AG$18),"")))</f>
        <v/>
      </c>
      <c r="AI67" s="457">
        <f t="shared" si="15"/>
        <v>0</v>
      </c>
      <c r="AJ67" s="458">
        <f t="shared" si="16"/>
        <v>0</v>
      </c>
      <c r="AK67" s="459">
        <f t="shared" si="17"/>
        <v>0</v>
      </c>
      <c r="AL67" s="460">
        <f t="shared" si="18"/>
        <v>0</v>
      </c>
      <c r="AM67" s="461">
        <f t="shared" si="19"/>
        <v>0</v>
      </c>
      <c r="AN67" s="462">
        <f t="shared" si="20"/>
        <v>0</v>
      </c>
      <c r="AO67" s="11"/>
    </row>
    <row r="68" spans="1:41" x14ac:dyDescent="0.25">
      <c r="A68" s="93" t="s">
        <v>92</v>
      </c>
      <c r="B68" s="94" t="s">
        <v>93</v>
      </c>
      <c r="C68" s="94" t="s">
        <v>94</v>
      </c>
      <c r="D68" s="94" t="s">
        <v>95</v>
      </c>
      <c r="E68" s="94" t="s">
        <v>96</v>
      </c>
      <c r="F68" s="95" t="s">
        <v>97</v>
      </c>
      <c r="G68" s="11"/>
      <c r="H68" s="84" t="s">
        <v>640</v>
      </c>
      <c r="I68" s="118" t="str">
        <f>IF(_epmOfflineCondition_,"T5",_xll.EVPRO($B$1,$H68,"STYLE"))</f>
        <v>T5</v>
      </c>
      <c r="J68" s="118" t="str">
        <f>IF(_epmOfflineCondition_,"Y",_xll.EVPRO($B$1,$H68,"CALC"))</f>
        <v>Y</v>
      </c>
      <c r="K68" s="175" t="str">
        <f t="shared" si="12"/>
        <v>&gt;</v>
      </c>
      <c r="L68" s="86" t="str">
        <f>IF(_epmOfflineCondition_,"",_xll.EVPRO($B$1,H68,"JDEID"))</f>
        <v/>
      </c>
      <c r="M68" s="86" t="str">
        <f>IF(_epmOfflineCondition_,"",IF(AND(I68="N",J68="N"),_xll.EVPRO($B$1,H68,"PSFTID"),""))</f>
        <v/>
      </c>
      <c r="N68" s="86" t="str">
        <f>IF(_epmOfflineCondition_,"Miscellaneous Cost",IF(_xll.EVDES(H68,$B$1)="#NODATA","",_xll.EVDES(H68,$B$1)))</f>
        <v>Miscellaneous Cost</v>
      </c>
      <c r="O68" s="463"/>
      <c r="P68" s="229"/>
      <c r="Q68" s="229"/>
      <c r="R68" s="229"/>
      <c r="S68" s="229"/>
      <c r="T68" s="229"/>
      <c r="U68" s="229"/>
      <c r="V68" s="229"/>
      <c r="W68" s="229"/>
      <c r="X68" s="229"/>
      <c r="Y68" s="229"/>
      <c r="Z68" s="229"/>
      <c r="AA68" s="229">
        <f t="shared" si="13"/>
        <v>0</v>
      </c>
      <c r="AB68" s="464" t="str">
        <f>IF(_epmOfflineCondition_,"",IF(AA68=0,"",IFERROR(AA68/_xll.EVGTS($B$1,1,_xll.EVPRO($B$1,$H68,"COSBASIS"),$B$3,$B$5,$B$6,$B$7,$B$9,AA$16,AA$17,AA$11),"")))</f>
        <v/>
      </c>
      <c r="AC68" s="455"/>
      <c r="AD68" s="229"/>
      <c r="AE68" s="464" t="str">
        <f>IF(_epmOfflineCondition_,"",IF(AD68=0,"",IFERROR(AD68/_xll.EVGTS($B$1,1,_xll.EVPRO($B$1,$H68,"COSBASIS"),$B$3,$B$5,$B$6,$B$7,$B$9,AD$16,AD$17,AD$18),"")))</f>
        <v/>
      </c>
      <c r="AF68" s="465">
        <f t="shared" si="14"/>
        <v>0</v>
      </c>
      <c r="AG68" s="229"/>
      <c r="AH68" s="464" t="str">
        <f>IF(_epmOfflineCondition_,"",IF(AG68=0,"",IFERROR(AG68/_xll.EVGTS($B$1,1,_xll.EVPRO($B$1,$H68,"COSBASIS"),$B$3,$B$5,$B$6,$B$7,$B$9,AG$16,AG$17,AG$18),"")))</f>
        <v/>
      </c>
      <c r="AI68" s="466">
        <f t="shared" si="15"/>
        <v>0</v>
      </c>
      <c r="AJ68" s="467">
        <f t="shared" si="16"/>
        <v>0</v>
      </c>
      <c r="AK68" s="468">
        <f t="shared" si="17"/>
        <v>0</v>
      </c>
      <c r="AL68" s="469">
        <f t="shared" si="18"/>
        <v>0</v>
      </c>
      <c r="AM68" s="470">
        <f t="shared" si="19"/>
        <v>0</v>
      </c>
      <c r="AN68" s="471">
        <f t="shared" si="20"/>
        <v>0</v>
      </c>
      <c r="AO68" s="11"/>
    </row>
    <row r="69" spans="1:41" x14ac:dyDescent="0.25">
      <c r="A69" s="11"/>
      <c r="B69" s="11"/>
      <c r="C69" s="11"/>
      <c r="D69" s="11"/>
      <c r="E69" s="11"/>
      <c r="F69" s="11"/>
      <c r="G69" s="11"/>
      <c r="H69" s="84" t="s">
        <v>288</v>
      </c>
      <c r="I69" s="184" t="str">
        <f>IF(_epmOfflineCondition_,"T4",_xll.EVPRO($B$1,$H69,"STYLE"))</f>
        <v>T4</v>
      </c>
      <c r="J69" s="184" t="str">
        <f>IF(_epmOfflineCondition_,"Y",_xll.EVPRO($B$1,$H69,"CALC"))</f>
        <v>Y</v>
      </c>
      <c r="K69" s="185" t="str">
        <f t="shared" si="12"/>
        <v/>
      </c>
      <c r="L69" s="186" t="str">
        <f>IF(_epmOfflineCondition_,"",_xll.EVPRO($B$1,H69,"JDEID"))</f>
        <v/>
      </c>
      <c r="M69" s="186" t="str">
        <f>IF(_epmOfflineCondition_,"",IF(AND(I69="N",J69="N"),_xll.EVPRO($B$1,H69,"PSFTID"),""))</f>
        <v/>
      </c>
      <c r="N69" s="186" t="str">
        <f>IF(_epmOfflineCondition_,"Total Cost of Other Revenue",IF(_xll.EVDES(H69,$B$1)="#NODATA","",_xll.EVDES(H69,$B$1)))</f>
        <v>Total Cost of Other Revenue</v>
      </c>
      <c r="O69" s="481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>
        <f t="shared" si="13"/>
        <v>0</v>
      </c>
      <c r="AB69" s="211" t="str">
        <f>IF(_epmOfflineCondition_,"",IF(AA69=0,"",IFERROR(AA69/_xll.EVGTS($B$1,1,_xll.EVPRO($B$1,$H69,"COSBASIS"),$B$3,$B$5,$B$6,$B$7,$B$9,AA$16,AA$17,AA$11),"")))</f>
        <v/>
      </c>
      <c r="AC69" s="251"/>
      <c r="AD69" s="210"/>
      <c r="AE69" s="211" t="str">
        <f>IF(_epmOfflineCondition_,"",IF(AD69=0,"",IFERROR(AD69/_xll.EVGTS($B$1,1,_xll.EVPRO($B$1,$H69,"COSBASIS"),$B$3,$B$5,$B$6,$B$7,$B$9,AD$16,AD$17,AD$18),"")))</f>
        <v/>
      </c>
      <c r="AF69" s="252">
        <f t="shared" si="14"/>
        <v>0</v>
      </c>
      <c r="AG69" s="210"/>
      <c r="AH69" s="211" t="str">
        <f>IF(_epmOfflineCondition_,"",IF(AG69=0,"",IFERROR(AG69/_xll.EVGTS($B$1,1,_xll.EVPRO($B$1,$H69,"COSBASIS"),$B$3,$B$5,$B$6,$B$7,$B$9,AG$16,AG$17,AG$18),"")))</f>
        <v/>
      </c>
      <c r="AI69" s="482">
        <f t="shared" si="15"/>
        <v>0</v>
      </c>
      <c r="AJ69" s="253">
        <f t="shared" si="16"/>
        <v>0</v>
      </c>
      <c r="AK69" s="254">
        <f t="shared" si="17"/>
        <v>0</v>
      </c>
      <c r="AL69" s="256">
        <f t="shared" si="18"/>
        <v>0</v>
      </c>
      <c r="AM69" s="427">
        <f t="shared" si="19"/>
        <v>0</v>
      </c>
      <c r="AN69" s="483">
        <f t="shared" si="20"/>
        <v>0</v>
      </c>
      <c r="AO69" s="11"/>
    </row>
    <row r="70" spans="1:41" x14ac:dyDescent="0.25">
      <c r="A70" s="11" t="s">
        <v>209</v>
      </c>
      <c r="B70" s="11" t="s">
        <v>21</v>
      </c>
      <c r="C70" s="391"/>
      <c r="D70" s="11" t="s">
        <v>590</v>
      </c>
      <c r="E70" s="11"/>
      <c r="F70" s="11" t="s">
        <v>99</v>
      </c>
      <c r="G70" s="11"/>
      <c r="H70" s="84" t="s">
        <v>289</v>
      </c>
      <c r="I70" s="184" t="str">
        <f>IF(_epmOfflineCondition_,"T3",_xll.EVPRO($B$1,$H70,"STYLE"))</f>
        <v>T3</v>
      </c>
      <c r="J70" s="184" t="str">
        <f>IF(_epmOfflineCondition_,"Y",_xll.EVPRO($B$1,$H70,"CALC"))</f>
        <v>Y</v>
      </c>
      <c r="K70" s="185" t="str">
        <f t="shared" si="12"/>
        <v/>
      </c>
      <c r="L70" s="186" t="str">
        <f>IF(_epmOfflineCondition_,"500001",_xll.EVPRO($B$1,H70,"JDEID"))</f>
        <v>500001</v>
      </c>
      <c r="M70" s="186" t="str">
        <f>IF(_epmOfflineCondition_,"",IF(AND(I70="N",J70="N"),_xll.EVPRO($B$1,H70,"PSFTID"),""))</f>
        <v/>
      </c>
      <c r="N70" s="186" t="str">
        <f>IF(_epmOfflineCondition_,"Total Cost of Sales",IF(_xll.EVDES(H70,$B$1)="#NODATA","",_xll.EVDES(H70,$B$1)))</f>
        <v>Total Cost of Sales</v>
      </c>
      <c r="O70" s="472">
        <v>314</v>
      </c>
      <c r="P70" s="236">
        <v>572.19000000000005</v>
      </c>
      <c r="Q70" s="236">
        <v>777.92</v>
      </c>
      <c r="R70" s="236">
        <v>544.74</v>
      </c>
      <c r="S70" s="236">
        <v>635.22</v>
      </c>
      <c r="T70" s="236">
        <v>368.92</v>
      </c>
      <c r="U70" s="236">
        <v>839.47</v>
      </c>
      <c r="V70" s="236">
        <v>417.63</v>
      </c>
      <c r="W70" s="236">
        <v>555.24</v>
      </c>
      <c r="X70" s="236">
        <v>198.59</v>
      </c>
      <c r="Y70" s="236">
        <v>751.59</v>
      </c>
      <c r="Z70" s="236">
        <v>1341.41</v>
      </c>
      <c r="AA70" s="236">
        <f t="shared" si="13"/>
        <v>7316.920000000001</v>
      </c>
      <c r="AB70" s="237">
        <f>IF(_epmOfflineCondition_,0.178128927119957,IF(AA70=0,"",IFERROR(AA70/_xll.EVGTS($B$1,1,_xll.EVPRO($B$1,$H70,"COSBASIS"),$B$3,$B$5,$B$6,$B$7,$B$9,AA$16,AA$17,AA$11),"")))</f>
        <v>0.17812892711995701</v>
      </c>
      <c r="AC70" s="238"/>
      <c r="AD70" s="236">
        <v>51272.56</v>
      </c>
      <c r="AE70" s="237">
        <f>IF(_epmOfflineCondition_,0.200726334826,IF(AD70=0,"",IFERROR(AD70/_xll.EVGTS($B$1,1,_xll.EVPRO($B$1,$H70,"COSBASIS"),$B$3,$B$5,$B$6,$B$7,$B$9,AD$16,AD$17,AD$18),"")))</f>
        <v>0.200726334826</v>
      </c>
      <c r="AF70" s="239">
        <f t="shared" si="14"/>
        <v>-43955.64</v>
      </c>
      <c r="AG70" s="236">
        <v>3451.66</v>
      </c>
      <c r="AH70" s="237">
        <f>IF(_epmOfflineCondition_,0.182479598547632,IF(AG70=0,"",IFERROR(AG70/_xll.EVGTS($B$1,1,_xll.EVPRO($B$1,$H70,"COSBASIS"),$B$3,$B$5,$B$6,$B$7,$B$9,AG$16,AG$17,AG$18),"")))</f>
        <v>0.18247959854763199</v>
      </c>
      <c r="AI70" s="473">
        <f t="shared" si="15"/>
        <v>3865.2600000000011</v>
      </c>
      <c r="AJ70" s="215">
        <f t="shared" si="16"/>
        <v>3.2752551477170999</v>
      </c>
      <c r="AK70" s="216">
        <f t="shared" si="17"/>
        <v>5.0885827709408495</v>
      </c>
      <c r="AL70" s="218">
        <f t="shared" si="18"/>
        <v>3.3839803921568627</v>
      </c>
      <c r="AM70" s="423" t="str">
        <f t="shared" si="19"/>
        <v>-2.26 pts.</v>
      </c>
      <c r="AN70" s="474" t="str">
        <f t="shared" si="20"/>
        <v>-0.44 pts.</v>
      </c>
      <c r="AO70" s="11"/>
    </row>
    <row r="71" spans="1:41" x14ac:dyDescent="0.25">
      <c r="A71" s="11" t="s">
        <v>105</v>
      </c>
      <c r="B71" s="11"/>
      <c r="C71" s="100" t="s">
        <v>101</v>
      </c>
      <c r="D71" s="11" t="s">
        <v>106</v>
      </c>
      <c r="E71" s="11"/>
      <c r="F71" s="11" t="s">
        <v>98</v>
      </c>
      <c r="G71" s="11"/>
      <c r="H71" s="181" t="s">
        <v>175</v>
      </c>
      <c r="I71" s="85" t="str">
        <f>IF(_epmOfflineCondition_,"B1",_xll.EVPRO($B$1,$H71,"STYLE"))</f>
        <v>B1</v>
      </c>
      <c r="J71" s="85" t="str">
        <f>IF(_epmOfflineCondition_,"Y",_xll.EVPRO($B$1,$H71,"CALC"))</f>
        <v>Y</v>
      </c>
      <c r="K71" s="261" t="str">
        <f t="shared" si="12"/>
        <v/>
      </c>
      <c r="L71" s="261"/>
      <c r="M71" s="261"/>
      <c r="N71" s="102" t="str">
        <f>IF(_epmOfflineCondition_,"BLANKROW",IF(_xll.EVDES(H71,$B$1)="#NODATA","",_xll.EVDES(H71,$B$1)))</f>
        <v>BLANKROW</v>
      </c>
      <c r="O71" s="201"/>
      <c r="P71" s="201"/>
      <c r="Q71" s="201"/>
      <c r="R71" s="201"/>
      <c r="S71" s="201"/>
      <c r="T71" s="201"/>
      <c r="U71" s="201"/>
      <c r="V71" s="201"/>
      <c r="W71" s="201"/>
      <c r="X71" s="201"/>
      <c r="Y71" s="201"/>
      <c r="Z71" s="201"/>
      <c r="AA71" s="201"/>
      <c r="AB71" s="202" t="str">
        <f>IF(_epmOfflineCondition_,"",IF(O71=0,"",IFERROR(O71/_xll.EVGTS($B$1,1,INDEX($C$152:$C$175,MATCH($H71,$A$152:$A$175,0)),$B$3,$B$5,$B$6,$B$7,$B$9,O$16,O$17,O$18),"")))</f>
        <v/>
      </c>
      <c r="AC71" s="11"/>
      <c r="AD71" s="201"/>
      <c r="AE71" s="202" t="str">
        <f>IF(_epmOfflineCondition_,"",IF(AD71=0,"",IFERROR(AD71/_xll.EVGTS($B$1,1,INDEX($C$152:$C$175,MATCH($H71,$A$152:$A$175,0)),$B$3,$B$5,$B$6,$B$7,$B$9,AD$16,AD$17,AD$18),"")))</f>
        <v/>
      </c>
      <c r="AF71" s="203" t="str">
        <f t="shared" si="14"/>
        <v/>
      </c>
      <c r="AG71" s="201"/>
      <c r="AH71" s="202" t="str">
        <f>IF(_epmOfflineCondition_,"",IF(AG71=0,"",IFERROR(AG71/_xll.EVGTS($B$1,1,INDEX($C$152:$C$175,MATCH($H71,$A$152:$A$175,0)),$B$3,$B$5,$B$6,$B$7,$B$9,AG$16,AG$17,AG$18),"")))</f>
        <v/>
      </c>
      <c r="AI71" s="203" t="str">
        <f t="shared" si="15"/>
        <v/>
      </c>
      <c r="AJ71" s="11"/>
      <c r="AK71" s="11"/>
      <c r="AL71" s="11"/>
      <c r="AM71" s="11"/>
      <c r="AN71" s="11"/>
      <c r="AO71" s="11"/>
    </row>
    <row r="72" spans="1:41" x14ac:dyDescent="0.25">
      <c r="A72" s="11" t="s">
        <v>104</v>
      </c>
      <c r="B72" s="11"/>
      <c r="C72" s="100" t="s">
        <v>101</v>
      </c>
      <c r="D72" s="11" t="s">
        <v>106</v>
      </c>
      <c r="E72" s="11"/>
      <c r="F72" s="11" t="s">
        <v>98</v>
      </c>
      <c r="G72" s="11"/>
      <c r="H72" s="181" t="s">
        <v>292</v>
      </c>
      <c r="I72" s="85" t="str">
        <f>IF(_epmOfflineCondition_,"T3",_xll.EVPRO($B$1,$H72,"STYLE"))</f>
        <v>T3</v>
      </c>
      <c r="J72" s="85" t="str">
        <f>IF(_epmOfflineCondition_,"Y",_xll.EVPRO($B$1,$H72,"CALC"))</f>
        <v>Y</v>
      </c>
      <c r="K72" s="261" t="str">
        <f t="shared" si="12"/>
        <v/>
      </c>
      <c r="L72" s="261"/>
      <c r="M72" s="261"/>
      <c r="N72" s="102" t="str">
        <f>IF(_epmOfflineCondition_,"Gross Profit",IF(_xll.EVDES(H72,$B$1)="#NODATA","",_xll.EVDES(H72,$B$1)))</f>
        <v>Gross Profit</v>
      </c>
      <c r="O72" s="119">
        <f t="shared" ref="O72:Z72" si="21">SUMIF($H$35:$H$70,"400000",O35:O70)-SUMIF($H$35:$H$70,"500001",O35:O70)</f>
        <v>1268.3800000000001</v>
      </c>
      <c r="P72" s="119">
        <f t="shared" si="21"/>
        <v>2832.11</v>
      </c>
      <c r="Q72" s="119">
        <f t="shared" si="21"/>
        <v>3781.58</v>
      </c>
      <c r="R72" s="119">
        <f t="shared" si="21"/>
        <v>2704.9799999999996</v>
      </c>
      <c r="S72" s="119">
        <f t="shared" si="21"/>
        <v>3144.3199999999997</v>
      </c>
      <c r="T72" s="119">
        <f t="shared" si="21"/>
        <v>1821.46</v>
      </c>
      <c r="U72" s="119">
        <f t="shared" si="21"/>
        <v>4191.6499999999996</v>
      </c>
      <c r="V72" s="119">
        <f t="shared" si="21"/>
        <v>2011.83</v>
      </c>
      <c r="W72" s="119">
        <f t="shared" si="21"/>
        <v>2711.8500000000004</v>
      </c>
      <c r="X72" s="119">
        <f t="shared" si="21"/>
        <v>993.57</v>
      </c>
      <c r="Y72" s="119">
        <f t="shared" si="21"/>
        <v>3145.19</v>
      </c>
      <c r="Z72" s="119">
        <f t="shared" si="21"/>
        <v>5152.7</v>
      </c>
      <c r="AA72" s="187">
        <f>IF($I72="B1","",SUM(O72:Z72))</f>
        <v>33759.619999999995</v>
      </c>
      <c r="AB72" s="188">
        <f>IF(AA72=0,"",IFERROR(AA72/AA$19,""))</f>
        <v>0.8218710728800428</v>
      </c>
      <c r="AC72" s="11"/>
      <c r="AD72" s="119">
        <f>SUMIF($H$35:$H$70,"400000",AD35:AD70)-SUMIF($H$35:$H$70,"500001",AD35:AD70)</f>
        <v>204162.5828</v>
      </c>
      <c r="AE72" s="188">
        <f>IF(AD72=0,"",IFERROR(AD72/AD$19,""))</f>
        <v>0.79927366517399967</v>
      </c>
      <c r="AF72" s="121">
        <f t="shared" si="14"/>
        <v>-170402.96280000001</v>
      </c>
      <c r="AG72" s="119">
        <f>SUMIF($H$35:$H$70,"400000",AG35:AG70)-SUMIF($H$35:$H$70,"500001",AG35:AG70)</f>
        <v>15463.66</v>
      </c>
      <c r="AH72" s="188">
        <f>IF(AG72=0,"",IFERROR(AG72/AG$19,""))</f>
        <v>0.81752040145236771</v>
      </c>
      <c r="AI72" s="121">
        <f t="shared" si="15"/>
        <v>18295.959999999995</v>
      </c>
      <c r="AJ72" s="189">
        <f>IFERROR(AA72/AA$20,0)</f>
        <v>15.11173679498657</v>
      </c>
      <c r="AK72" s="190">
        <f>IFERROR(AD72/AD$20,0)</f>
        <v>20.262265065502184</v>
      </c>
      <c r="AL72" s="191">
        <f>IFERROR(AG72/AG$20,0)</f>
        <v>15.160450980392156</v>
      </c>
      <c r="AM72" s="403" t="str">
        <f>+IFERROR(ROUND(($AB72-AE72)*100,2)&amp;" pts.",0)</f>
        <v>2.26 pts.</v>
      </c>
      <c r="AN72" s="404" t="str">
        <f>+IFERROR(ROUND(($AB72-AH72)*100,2)&amp;" pts.",0)</f>
        <v>0.44 pts.</v>
      </c>
      <c r="AO72" s="11"/>
    </row>
    <row r="73" spans="1:41" x14ac:dyDescent="0.25">
      <c r="A73" s="11" t="s">
        <v>100</v>
      </c>
      <c r="B73" s="11"/>
      <c r="C73" s="49" t="s">
        <v>101</v>
      </c>
      <c r="D73" s="11" t="s">
        <v>106</v>
      </c>
      <c r="E73" s="11"/>
      <c r="F73" s="11" t="s">
        <v>98</v>
      </c>
      <c r="G73" s="11"/>
      <c r="H73" s="11"/>
      <c r="I73" s="55"/>
      <c r="J73" s="55"/>
      <c r="K73" s="11"/>
      <c r="L73" s="11"/>
      <c r="M73" s="11"/>
      <c r="N73" s="11"/>
      <c r="O73" s="389"/>
      <c r="P73" s="390"/>
      <c r="Q73" s="390"/>
      <c r="R73" s="390"/>
      <c r="S73" s="390"/>
      <c r="T73" s="390"/>
      <c r="U73" s="390"/>
      <c r="V73" s="390"/>
      <c r="W73" s="390"/>
      <c r="X73" s="390"/>
      <c r="Y73" s="390"/>
      <c r="Z73" s="390"/>
      <c r="AA73" s="390"/>
      <c r="AB73" s="114"/>
      <c r="AC73" s="11"/>
      <c r="AD73" s="199"/>
      <c r="AE73" s="200"/>
      <c r="AF73" s="114"/>
      <c r="AG73" s="200"/>
      <c r="AH73" s="200"/>
      <c r="AI73" s="114"/>
      <c r="AJ73" s="11"/>
      <c r="AK73" s="11"/>
      <c r="AL73" s="11"/>
      <c r="AM73" s="11"/>
      <c r="AN73" s="11"/>
      <c r="AO73" s="11"/>
    </row>
    <row r="74" spans="1:41" x14ac:dyDescent="0.25">
      <c r="A74" s="11" t="s">
        <v>102</v>
      </c>
      <c r="B74" s="11"/>
      <c r="C74" s="102" t="s">
        <v>101</v>
      </c>
      <c r="D74" s="11" t="s">
        <v>106</v>
      </c>
      <c r="E74" s="11"/>
      <c r="F74" s="11" t="s">
        <v>98</v>
      </c>
      <c r="G74" s="11"/>
      <c r="H74" s="11" t="s">
        <v>73</v>
      </c>
      <c r="I74" s="55" t="str">
        <f>IF(_epmOfflineCondition_,"B1",_xll.EVPRO($B$1,$H74,"STYLE"))</f>
        <v>B1</v>
      </c>
      <c r="J74" s="55" t="str">
        <f>IF(_epmOfflineCondition_,"Y",_xll.EVPRO($B$1,$H74,"CALC"))</f>
        <v>Y</v>
      </c>
      <c r="K74" s="11"/>
      <c r="L74" s="11"/>
      <c r="M74" s="86"/>
      <c r="N74" s="101" t="str">
        <f>IF(_epmOfflineCondition_,"Labor &amp; Related Expenses",IF(_xll.EVDES(H74,$B$1)="#NODATA","",_xll.EVDES(H74,$B$1)))</f>
        <v>Labor &amp; Related Expenses</v>
      </c>
      <c r="O74" s="199"/>
      <c r="P74" s="200"/>
      <c r="Q74" s="200"/>
      <c r="R74" s="200"/>
      <c r="S74" s="200"/>
      <c r="T74" s="200"/>
      <c r="U74" s="200"/>
      <c r="V74" s="200"/>
      <c r="W74" s="200"/>
      <c r="X74" s="200"/>
      <c r="Y74" s="200"/>
      <c r="Z74" s="200"/>
      <c r="AA74" s="200"/>
      <c r="AB74" s="406"/>
      <c r="AC74" s="11"/>
      <c r="AD74" s="407"/>
      <c r="AE74" s="408"/>
      <c r="AF74" s="114"/>
      <c r="AG74" s="200"/>
      <c r="AH74" s="408"/>
      <c r="AI74" s="114"/>
      <c r="AJ74" s="11"/>
      <c r="AK74" s="11"/>
      <c r="AL74" s="11"/>
      <c r="AM74" s="11"/>
      <c r="AN74" s="11"/>
      <c r="AO74" s="11"/>
    </row>
    <row r="75" spans="1:41" x14ac:dyDescent="0.25">
      <c r="A75" s="11" t="s">
        <v>102</v>
      </c>
      <c r="B75" s="11"/>
      <c r="C75" s="192" t="s">
        <v>101</v>
      </c>
      <c r="D75" s="11" t="s">
        <v>107</v>
      </c>
      <c r="E75" s="11"/>
      <c r="F75" s="11" t="s">
        <v>99</v>
      </c>
      <c r="G75" s="11"/>
      <c r="H75" s="11" t="s">
        <v>74</v>
      </c>
      <c r="I75" s="55" t="str">
        <f>IF(_epmOfflineCondition_,"B1",_xll.EVPRO($B$1,$H75,"STYLE"))</f>
        <v>B1</v>
      </c>
      <c r="J75" s="55" t="str">
        <f>IF(_epmOfflineCondition_,"Y",_xll.EVPRO($B$1,$H75,"CALC"))</f>
        <v>Y</v>
      </c>
      <c r="K75" s="11"/>
      <c r="L75" s="11"/>
      <c r="M75" s="86"/>
      <c r="N75" s="49" t="str">
        <f>IF(_epmOfflineCondition_,"Salaries &amp; Wages",IF(_xll.EVDES(H75,$B$1)="#NODATA","",_xll.EVDES(H75,$B$1)))</f>
        <v>Salaries &amp; Wages</v>
      </c>
      <c r="O75" s="115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7"/>
      <c r="AC75" s="11"/>
      <c r="AD75" s="115"/>
      <c r="AE75" s="116"/>
      <c r="AF75" s="117"/>
      <c r="AG75" s="116"/>
      <c r="AH75" s="116"/>
      <c r="AI75" s="117"/>
      <c r="AJ75" s="11"/>
      <c r="AK75" s="11"/>
      <c r="AL75" s="11"/>
      <c r="AM75" s="11"/>
      <c r="AN75" s="11"/>
      <c r="AO75" s="11"/>
    </row>
    <row r="76" spans="1:41" hidden="1" x14ac:dyDescent="0.25">
      <c r="A76" s="11" t="s">
        <v>108</v>
      </c>
      <c r="B76" s="11"/>
      <c r="C76" s="102" t="s">
        <v>101</v>
      </c>
      <c r="D76" s="11" t="s">
        <v>106</v>
      </c>
      <c r="E76" s="11"/>
      <c r="F76" s="11" t="s">
        <v>98</v>
      </c>
      <c r="G76" s="11"/>
      <c r="H76" s="84" t="s">
        <v>668</v>
      </c>
      <c r="I76" s="118" t="str">
        <f>IF(_epmOfflineCondition_,"",_xll.EVPRO($B$1,$H76,"STYLE"))</f>
        <v/>
      </c>
      <c r="J76" s="118" t="str">
        <f>IF(_epmOfflineCondition_,"",_xll.EVPRO($B$1,$H76,"CALC"))</f>
        <v/>
      </c>
      <c r="K76" s="175" t="str">
        <f t="shared" ref="K76:K89" si="22">IF(AND(I76&gt;="T3"),"&gt;","")</f>
        <v/>
      </c>
      <c r="L76" s="86" t="str">
        <f>IF(_epmOfflineCondition_,"",_xll.EVPRO($B$1,H76,"JDEID"))</f>
        <v/>
      </c>
      <c r="M76" s="86" t="str">
        <f>IF(_epmOfflineCondition_,"",IF(AND(I76="N",J76="N"),_xll.EVPRO($B$1,H76,"PSFTID"),""))</f>
        <v/>
      </c>
      <c r="N76" s="86" t="str">
        <f>IF(_epmOfflineCondition_,"",IF(_xll.EVDES(H76,$B$1)="#NODATA","",_xll.EVDES(H76,$B$1)))</f>
        <v/>
      </c>
      <c r="O76" s="240"/>
      <c r="P76" s="240"/>
      <c r="Q76" s="240"/>
      <c r="R76" s="240"/>
      <c r="S76" s="240"/>
      <c r="T76" s="240"/>
      <c r="U76" s="240"/>
      <c r="V76" s="240"/>
      <c r="W76" s="240"/>
      <c r="X76" s="240"/>
      <c r="Y76" s="240"/>
      <c r="Z76" s="240"/>
      <c r="AA76" s="223">
        <f t="shared" ref="AA76:AA89" si="23">IF($I76="B1","",SUM(O76:Z76))</f>
        <v>0</v>
      </c>
      <c r="AB76" s="242" t="str">
        <f t="shared" ref="AB76:AB89" si="24">IF(AA76=0,"",IFERROR(AA76/AA$19,""))</f>
        <v/>
      </c>
      <c r="AC76" s="136"/>
      <c r="AD76" s="240"/>
      <c r="AE76" s="242" t="str">
        <f t="shared" ref="AE76:AE89" si="25">IF(AD76=0,"",IFERROR(AD76/AD$19,""))</f>
        <v/>
      </c>
      <c r="AF76" s="243">
        <f t="shared" ref="AF76:AF89" si="26">IF(AND($AA76="",AD76=""),"",$AA76-AD76)</f>
        <v>0</v>
      </c>
      <c r="AG76" s="240"/>
      <c r="AH76" s="242" t="str">
        <f t="shared" ref="AH76:AH89" si="27">IF(AG76=0,"",IFERROR(AG76/AG$19,""))</f>
        <v/>
      </c>
      <c r="AI76" s="243">
        <f t="shared" ref="AI76:AI89" si="28">IF(AND($AA76="",AG76=""),"",$AA76-AG76)</f>
        <v>0</v>
      </c>
      <c r="AJ76" s="458">
        <f t="shared" ref="AJ76:AJ89" si="29">IFERROR(AA76/AA$20,0)</f>
        <v>0</v>
      </c>
      <c r="AK76" s="459">
        <f t="shared" ref="AK76:AK89" si="30">IFERROR(AD76/AD$20,0)</f>
        <v>0</v>
      </c>
      <c r="AL76" s="460">
        <f t="shared" ref="AL76:AL89" si="31">IFERROR(AG76/AG$20,0)</f>
        <v>0</v>
      </c>
      <c r="AM76" s="461">
        <f t="shared" ref="AM76:AM89" si="32">+IFERROR(ROUND(($AB76-AE76)*100,2)&amp;" pts.",0)</f>
        <v>0</v>
      </c>
      <c r="AN76" s="462">
        <f t="shared" ref="AN76:AN89" si="33">+IFERROR(ROUND(($AB76-AH76)*100,2)&amp;" pts.",0)</f>
        <v>0</v>
      </c>
      <c r="AO76" s="11"/>
    </row>
    <row r="77" spans="1:41" hidden="1" x14ac:dyDescent="0.25">
      <c r="A77" s="11" t="s">
        <v>108</v>
      </c>
      <c r="B77" s="11"/>
      <c r="C77" s="192" t="s">
        <v>101</v>
      </c>
      <c r="D77" s="11" t="s">
        <v>107</v>
      </c>
      <c r="E77" s="11"/>
      <c r="F77" s="11" t="s">
        <v>99</v>
      </c>
      <c r="G77" s="11"/>
      <c r="H77" s="84"/>
      <c r="I77" s="118" t="str">
        <f>IF(_epmOfflineCondition_,"",_xll.EVPRO($B$1,$H77,"STYLE"))</f>
        <v/>
      </c>
      <c r="J77" s="118" t="str">
        <f>IF(_epmOfflineCondition_,"",_xll.EVPRO($B$1,$H77,"CALC"))</f>
        <v/>
      </c>
      <c r="K77" s="175" t="str">
        <f t="shared" si="22"/>
        <v/>
      </c>
      <c r="L77" s="86" t="str">
        <f>IF(_epmOfflineCondition_,"",_xll.EVPRO($B$1,H77,"JDEID"))</f>
        <v/>
      </c>
      <c r="M77" s="86" t="str">
        <f>IF(_epmOfflineCondition_,"",IF(AND(I77="N",J77="N"),_xll.EVPRO($B$1,H77,"PSFTID"),""))</f>
        <v/>
      </c>
      <c r="N77" s="86" t="str">
        <f>IF(_epmOfflineCondition_,"",IF(_xll.EVDES(H77,$B$1)="#NODATA","",_xll.EVDES(H77,$B$1)))</f>
        <v/>
      </c>
      <c r="O77" s="240"/>
      <c r="P77" s="240"/>
      <c r="Q77" s="240"/>
      <c r="R77" s="240"/>
      <c r="S77" s="240"/>
      <c r="T77" s="240"/>
      <c r="U77" s="240"/>
      <c r="V77" s="240"/>
      <c r="W77" s="240"/>
      <c r="X77" s="240"/>
      <c r="Y77" s="240"/>
      <c r="Z77" s="240"/>
      <c r="AA77" s="223">
        <f t="shared" si="23"/>
        <v>0</v>
      </c>
      <c r="AB77" s="242" t="str">
        <f t="shared" si="24"/>
        <v/>
      </c>
      <c r="AC77" s="136"/>
      <c r="AD77" s="240"/>
      <c r="AE77" s="242" t="str">
        <f t="shared" si="25"/>
        <v/>
      </c>
      <c r="AF77" s="243">
        <f t="shared" si="26"/>
        <v>0</v>
      </c>
      <c r="AG77" s="240"/>
      <c r="AH77" s="242" t="str">
        <f t="shared" si="27"/>
        <v/>
      </c>
      <c r="AI77" s="243">
        <f t="shared" si="28"/>
        <v>0</v>
      </c>
      <c r="AJ77" s="458">
        <f t="shared" si="29"/>
        <v>0</v>
      </c>
      <c r="AK77" s="459">
        <f t="shared" si="30"/>
        <v>0</v>
      </c>
      <c r="AL77" s="460">
        <f t="shared" si="31"/>
        <v>0</v>
      </c>
      <c r="AM77" s="461">
        <f t="shared" si="32"/>
        <v>0</v>
      </c>
      <c r="AN77" s="462">
        <f t="shared" si="33"/>
        <v>0</v>
      </c>
      <c r="AO77" s="11"/>
    </row>
    <row r="78" spans="1:41" x14ac:dyDescent="0.25">
      <c r="A78" s="11"/>
      <c r="B78" s="11"/>
      <c r="C78" s="11"/>
      <c r="D78" s="11"/>
      <c r="E78" s="11"/>
      <c r="F78" s="11"/>
      <c r="G78" s="11"/>
      <c r="H78" s="84" t="s">
        <v>75</v>
      </c>
      <c r="I78" s="85" t="str">
        <f>IF(_epmOfflineCondition_,"B1",_xll.EVPRO($B$1,$H78,"STYLE"))</f>
        <v>B1</v>
      </c>
      <c r="J78" s="85" t="str">
        <f>IF(_epmOfflineCondition_,"Y",_xll.EVPRO($B$1,$H78,"CALC"))</f>
        <v>Y</v>
      </c>
      <c r="K78" s="261" t="str">
        <f t="shared" si="22"/>
        <v/>
      </c>
      <c r="L78" s="102" t="str">
        <f>IF(_epmOfflineCondition_,"",_xll.EVPRO($B$1,H78,"JDEID"))</f>
        <v/>
      </c>
      <c r="M78" s="86" t="str">
        <f>IF(_epmOfflineCondition_,"",IF(AND(I78="N",J78="N"),_xll.EVPRO($B$1,H78,"PSFTID"),""))</f>
        <v/>
      </c>
      <c r="N78" s="102" t="str">
        <f>IF(_epmOfflineCondition_,"Non-Management",IF(_xll.EVDES(H78,$B$1)="#NODATA","",_xll.EVDES(H78,$B$1)))</f>
        <v>Non-Management</v>
      </c>
      <c r="O78" s="201"/>
      <c r="P78" s="201"/>
      <c r="Q78" s="201"/>
      <c r="R78" s="201"/>
      <c r="S78" s="201"/>
      <c r="T78" s="201"/>
      <c r="U78" s="201"/>
      <c r="V78" s="201"/>
      <c r="W78" s="201"/>
      <c r="X78" s="201"/>
      <c r="Y78" s="201"/>
      <c r="Z78" s="201"/>
      <c r="AA78" s="182" t="str">
        <f t="shared" si="23"/>
        <v/>
      </c>
      <c r="AB78" s="202" t="str">
        <f t="shared" si="24"/>
        <v/>
      </c>
      <c r="AC78" s="11"/>
      <c r="AD78" s="201"/>
      <c r="AE78" s="202" t="str">
        <f t="shared" si="25"/>
        <v/>
      </c>
      <c r="AF78" s="203" t="str">
        <f t="shared" si="26"/>
        <v/>
      </c>
      <c r="AG78" s="201"/>
      <c r="AH78" s="202" t="str">
        <f t="shared" si="27"/>
        <v/>
      </c>
      <c r="AI78" s="203" t="str">
        <f t="shared" si="28"/>
        <v/>
      </c>
      <c r="AJ78" s="398">
        <f t="shared" si="29"/>
        <v>0</v>
      </c>
      <c r="AK78" s="399">
        <f t="shared" si="30"/>
        <v>0</v>
      </c>
      <c r="AL78" s="400">
        <f t="shared" si="31"/>
        <v>0</v>
      </c>
      <c r="AM78" s="401">
        <f t="shared" si="32"/>
        <v>0</v>
      </c>
      <c r="AN78" s="402">
        <f t="shared" si="33"/>
        <v>0</v>
      </c>
      <c r="AO78" s="11"/>
    </row>
    <row r="79" spans="1:41" x14ac:dyDescent="0.25">
      <c r="A79" s="11"/>
      <c r="B79" s="11"/>
      <c r="C79" s="204"/>
      <c r="D79" s="11"/>
      <c r="E79" s="11"/>
      <c r="F79" s="11"/>
      <c r="G79" s="11"/>
      <c r="H79" s="84" t="s">
        <v>834</v>
      </c>
      <c r="I79" s="537" t="str">
        <f>IF(_epmOfflineCondition_,"T3",_xll.EVPRO($B$1,$H79,"STYLE"))</f>
        <v>T3</v>
      </c>
      <c r="J79" s="537" t="str">
        <f>IF(_epmOfflineCondition_,"Y",_xll.EVPRO($B$1,$H79,"CALC"))</f>
        <v>Y</v>
      </c>
      <c r="K79" s="113" t="str">
        <f t="shared" si="22"/>
        <v>&gt;</v>
      </c>
      <c r="L79" s="365" t="str">
        <f>IF(_epmOfflineCondition_,"",_xll.EVPRO($B$1,H79,"JDEID"))</f>
        <v/>
      </c>
      <c r="M79" s="86" t="str">
        <f>IF(_epmOfflineCondition_,"",IF(AND(I79="N",J79="N"),_xll.EVPRO($B$1,H79,"PSFTID"),""))</f>
        <v/>
      </c>
      <c r="N79" s="365" t="str">
        <f>IF(_epmOfflineCondition_,"F&amp;B Kitchen",IF(_xll.EVDES(H79,$B$1)="#NODATA","",_xll.EVDES(H79,$B$1)))</f>
        <v>F&amp;B Kitchen</v>
      </c>
      <c r="O79" s="210">
        <v>24.75</v>
      </c>
      <c r="P79" s="210"/>
      <c r="Q79" s="210"/>
      <c r="R79" s="210"/>
      <c r="S79" s="210"/>
      <c r="T79" s="210"/>
      <c r="U79" s="210"/>
      <c r="V79" s="210"/>
      <c r="W79" s="210"/>
      <c r="X79" s="210"/>
      <c r="Y79" s="210"/>
      <c r="Z79" s="210"/>
      <c r="AA79" s="210">
        <f t="shared" si="23"/>
        <v>24.75</v>
      </c>
      <c r="AB79" s="211">
        <f t="shared" si="24"/>
        <v>6.0253370902223018E-4</v>
      </c>
      <c r="AC79" s="251"/>
      <c r="AD79" s="210"/>
      <c r="AE79" s="211" t="str">
        <f t="shared" si="25"/>
        <v/>
      </c>
      <c r="AF79" s="252">
        <f t="shared" si="26"/>
        <v>24.75</v>
      </c>
      <c r="AG79" s="210"/>
      <c r="AH79" s="211" t="str">
        <f t="shared" si="27"/>
        <v/>
      </c>
      <c r="AI79" s="252">
        <f t="shared" si="28"/>
        <v>24.75</v>
      </c>
      <c r="AJ79" s="253">
        <f t="shared" si="29"/>
        <v>1.1078782452999104E-2</v>
      </c>
      <c r="AK79" s="254">
        <f t="shared" si="30"/>
        <v>0</v>
      </c>
      <c r="AL79" s="256">
        <f t="shared" si="31"/>
        <v>0</v>
      </c>
      <c r="AM79" s="427">
        <f t="shared" si="32"/>
        <v>0</v>
      </c>
      <c r="AN79" s="483">
        <f t="shared" si="33"/>
        <v>0</v>
      </c>
      <c r="AO79" s="11"/>
    </row>
    <row r="80" spans="1:41" x14ac:dyDescent="0.25">
      <c r="A80" s="56" t="str">
        <f>IF(_epmOfflineCondition_,"Evdre:Ok",_xll.EVDRE($B$1,A83:B90,A93:B99))</f>
        <v>Evdre:Ok</v>
      </c>
      <c r="B80" s="11"/>
      <c r="C80" s="11"/>
      <c r="D80" s="11"/>
      <c r="E80" s="11"/>
      <c r="F80" s="11"/>
      <c r="G80" s="11"/>
      <c r="H80" s="84" t="s">
        <v>835</v>
      </c>
      <c r="I80" s="537" t="str">
        <f>IF(_epmOfflineCondition_,"T3",_xll.EVPRO($B$1,$H80,"STYLE"))</f>
        <v>T3</v>
      </c>
      <c r="J80" s="537" t="str">
        <f>IF(_epmOfflineCondition_,"Y",_xll.EVPRO($B$1,$H80,"CALC"))</f>
        <v>Y</v>
      </c>
      <c r="K80" s="113" t="str">
        <f t="shared" si="22"/>
        <v>&gt;</v>
      </c>
      <c r="L80" s="365" t="str">
        <f>IF(_epmOfflineCondition_,"",_xll.EVPRO($B$1,H80,"JDEID"))</f>
        <v/>
      </c>
      <c r="M80" s="86" t="str">
        <f>IF(_epmOfflineCondition_,"",IF(AND(I80="N",J80="N"),_xll.EVPRO($B$1,H80,"PSFTID"),""))</f>
        <v/>
      </c>
      <c r="N80" s="365" t="str">
        <f>IF(_epmOfflineCondition_,"F&amp;B Venues",IF(_xll.EVDES(H80,$B$1)="#NODATA","",_xll.EVDES(H80,$B$1)))</f>
        <v>F&amp;B Venues</v>
      </c>
      <c r="O80" s="210">
        <v>1331.19</v>
      </c>
      <c r="P80" s="210">
        <v>1270.22</v>
      </c>
      <c r="Q80" s="210">
        <v>1113.74</v>
      </c>
      <c r="R80" s="210">
        <v>941.58</v>
      </c>
      <c r="S80" s="210">
        <v>816.76</v>
      </c>
      <c r="T80" s="210">
        <v>579.41</v>
      </c>
      <c r="U80" s="210">
        <v>920.39</v>
      </c>
      <c r="V80" s="210">
        <v>610.5</v>
      </c>
      <c r="W80" s="210">
        <v>2790.75</v>
      </c>
      <c r="X80" s="210">
        <v>-1093.1199999999999</v>
      </c>
      <c r="Y80" s="210">
        <v>1202.03</v>
      </c>
      <c r="Z80" s="210">
        <v>1524.15</v>
      </c>
      <c r="AA80" s="210">
        <f t="shared" si="23"/>
        <v>12007.600000000002</v>
      </c>
      <c r="AB80" s="211">
        <f t="shared" si="24"/>
        <v>0.29232257634162961</v>
      </c>
      <c r="AC80" s="251"/>
      <c r="AD80" s="210">
        <v>29688.400000000001</v>
      </c>
      <c r="AE80" s="211">
        <f t="shared" si="25"/>
        <v>0.11622676376697844</v>
      </c>
      <c r="AF80" s="252">
        <f t="shared" si="26"/>
        <v>-17680.8</v>
      </c>
      <c r="AG80" s="210">
        <v>18648.48</v>
      </c>
      <c r="AH80" s="211">
        <f t="shared" si="27"/>
        <v>0.98589291642964538</v>
      </c>
      <c r="AI80" s="252">
        <f t="shared" si="28"/>
        <v>-6640.8799999999974</v>
      </c>
      <c r="AJ80" s="253">
        <f t="shared" si="29"/>
        <v>5.3749328558639222</v>
      </c>
      <c r="AK80" s="254">
        <f t="shared" si="30"/>
        <v>2.9464470027788807</v>
      </c>
      <c r="AL80" s="256">
        <f t="shared" si="31"/>
        <v>18.282823529411765</v>
      </c>
      <c r="AM80" s="427" t="str">
        <f t="shared" si="32"/>
        <v>17.61 pts.</v>
      </c>
      <c r="AN80" s="483" t="str">
        <f t="shared" si="33"/>
        <v>-69.36 pts.</v>
      </c>
      <c r="AO80" s="11"/>
    </row>
    <row r="81" spans="1:41" x14ac:dyDescent="0.25">
      <c r="A81" s="11"/>
      <c r="B81" s="11"/>
      <c r="C81" s="11"/>
      <c r="D81" s="11"/>
      <c r="E81" s="11"/>
      <c r="F81" s="11"/>
      <c r="G81" s="11"/>
      <c r="H81" s="84" t="s">
        <v>812</v>
      </c>
      <c r="I81" s="85" t="str">
        <f>IF(_epmOfflineCondition_,"T2",_xll.EVPRO($B$1,$H81,"STYLE"))</f>
        <v>T2</v>
      </c>
      <c r="J81" s="85" t="str">
        <f>IF(_epmOfflineCondition_,"Y",_xll.EVPRO($B$1,$H81,"CALC"))</f>
        <v>Y</v>
      </c>
      <c r="K81" s="261" t="str">
        <f t="shared" si="22"/>
        <v/>
      </c>
      <c r="L81" s="102" t="str">
        <f>IF(_epmOfflineCondition_,"",_xll.EVPRO($B$1,H81,"JDEID"))</f>
        <v/>
      </c>
      <c r="M81" s="186" t="str">
        <f>IF(_epmOfflineCondition_,"",IF(AND(I81="N",J81="N"),_xll.EVPRO($B$1,H81,"PSFTID"),""))</f>
        <v/>
      </c>
      <c r="N81" s="102" t="str">
        <f>IF(_epmOfflineCondition_,"Total Salaries and Wages",IF(_xll.EVDES(H81,$B$1)="#NODATA","",_xll.EVDES(H81,$B$1)))</f>
        <v>Total Salaries and Wages</v>
      </c>
      <c r="O81" s="236">
        <v>1355.94</v>
      </c>
      <c r="P81" s="236">
        <v>1270.22</v>
      </c>
      <c r="Q81" s="236">
        <v>1113.74</v>
      </c>
      <c r="R81" s="236">
        <v>941.58</v>
      </c>
      <c r="S81" s="236">
        <v>816.76</v>
      </c>
      <c r="T81" s="236">
        <v>579.41</v>
      </c>
      <c r="U81" s="236">
        <v>920.39</v>
      </c>
      <c r="V81" s="236">
        <v>610.5</v>
      </c>
      <c r="W81" s="236">
        <v>2790.75</v>
      </c>
      <c r="X81" s="236">
        <v>-1093.1199999999999</v>
      </c>
      <c r="Y81" s="236">
        <v>1202.03</v>
      </c>
      <c r="Z81" s="236">
        <v>1524.15</v>
      </c>
      <c r="AA81" s="236">
        <f t="shared" si="23"/>
        <v>12032.350000000002</v>
      </c>
      <c r="AB81" s="237">
        <f t="shared" si="24"/>
        <v>0.2929251100506518</v>
      </c>
      <c r="AC81" s="238"/>
      <c r="AD81" s="236">
        <v>29688.400000000001</v>
      </c>
      <c r="AE81" s="237">
        <f t="shared" si="25"/>
        <v>0.11622676376697844</v>
      </c>
      <c r="AF81" s="239">
        <f t="shared" si="26"/>
        <v>-17656.05</v>
      </c>
      <c r="AG81" s="236">
        <v>18648.48</v>
      </c>
      <c r="AH81" s="237">
        <f t="shared" si="27"/>
        <v>0.98589291642964538</v>
      </c>
      <c r="AI81" s="239">
        <f t="shared" si="28"/>
        <v>-6616.1299999999974</v>
      </c>
      <c r="AJ81" s="215">
        <f t="shared" si="29"/>
        <v>5.386011638316921</v>
      </c>
      <c r="AK81" s="216">
        <f t="shared" si="30"/>
        <v>2.9464470027788807</v>
      </c>
      <c r="AL81" s="218">
        <f t="shared" si="31"/>
        <v>18.282823529411765</v>
      </c>
      <c r="AM81" s="423" t="str">
        <f t="shared" si="32"/>
        <v>17.67 pts.</v>
      </c>
      <c r="AN81" s="474" t="str">
        <f t="shared" si="33"/>
        <v>-69.3 pts.</v>
      </c>
      <c r="AO81" s="11"/>
    </row>
    <row r="82" spans="1:41" x14ac:dyDescent="0.25">
      <c r="A82" s="57" t="s">
        <v>0</v>
      </c>
      <c r="B82" s="58" t="s">
        <v>1</v>
      </c>
      <c r="C82" s="11"/>
      <c r="D82" s="11"/>
      <c r="E82" s="11"/>
      <c r="F82" s="11"/>
      <c r="G82" s="11"/>
      <c r="H82" s="84" t="s">
        <v>836</v>
      </c>
      <c r="I82" s="537" t="str">
        <f>IF(_epmOfflineCondition_,"T3",_xll.EVPRO($B$1,$H82,"STYLE"))</f>
        <v>T3</v>
      </c>
      <c r="J82" s="537" t="str">
        <f>IF(_epmOfflineCondition_,"Y",_xll.EVPRO($B$1,$H82,"CALC"))</f>
        <v>Y</v>
      </c>
      <c r="K82" s="113" t="str">
        <f t="shared" si="22"/>
        <v>&gt;</v>
      </c>
      <c r="L82" s="365" t="str">
        <f>IF(_epmOfflineCondition_,"",_xll.EVPRO($B$1,H82,"JDEID"))</f>
        <v/>
      </c>
      <c r="M82" s="86" t="str">
        <f>IF(_epmOfflineCondition_,"",IF(AND(I82="N",J82="N"),_xll.EVPRO($B$1,H82,"PSFTID"),""))</f>
        <v/>
      </c>
      <c r="N82" s="365" t="str">
        <f>IF(_epmOfflineCondition_,"Service Charge Distribution",IF(_xll.EVDES(H82,$B$1)="#NODATA","",_xll.EVDES(H82,$B$1)))</f>
        <v>Service Charge Distribution</v>
      </c>
      <c r="O82" s="541">
        <v>286.02</v>
      </c>
      <c r="P82" s="541">
        <v>519.29999999999995</v>
      </c>
      <c r="Q82" s="541">
        <v>713.34</v>
      </c>
      <c r="R82" s="541">
        <v>495.72</v>
      </c>
      <c r="S82" s="541">
        <v>576.54</v>
      </c>
      <c r="T82" s="541">
        <v>348.38</v>
      </c>
      <c r="U82" s="541">
        <v>771.12</v>
      </c>
      <c r="V82" s="541">
        <v>381.78</v>
      </c>
      <c r="W82" s="541">
        <v>506.7</v>
      </c>
      <c r="X82" s="541">
        <v>192.86</v>
      </c>
      <c r="Y82" s="541">
        <v>620.1</v>
      </c>
      <c r="Z82" s="541">
        <v>1041.3</v>
      </c>
      <c r="AA82" s="541">
        <f t="shared" si="23"/>
        <v>6453.16</v>
      </c>
      <c r="AB82" s="542">
        <f t="shared" si="24"/>
        <v>0.15710086584702607</v>
      </c>
      <c r="AC82" s="543"/>
      <c r="AD82" s="541">
        <v>38964.682800000002</v>
      </c>
      <c r="AE82" s="542">
        <f t="shared" si="25"/>
        <v>0.15254237288135594</v>
      </c>
      <c r="AF82" s="544">
        <f t="shared" si="26"/>
        <v>-32511.522800000002</v>
      </c>
      <c r="AG82" s="541">
        <v>2859.21</v>
      </c>
      <c r="AH82" s="542">
        <f t="shared" si="27"/>
        <v>0.15115842608002403</v>
      </c>
      <c r="AI82" s="544">
        <f t="shared" si="28"/>
        <v>3593.95</v>
      </c>
      <c r="AJ82" s="545">
        <f t="shared" si="29"/>
        <v>2.8886123545210385</v>
      </c>
      <c r="AK82" s="546">
        <f t="shared" si="30"/>
        <v>3.8670784835252086</v>
      </c>
      <c r="AL82" s="547">
        <f t="shared" si="31"/>
        <v>2.8031470588235297</v>
      </c>
      <c r="AM82" s="548" t="str">
        <f t="shared" si="32"/>
        <v>0.46 pts.</v>
      </c>
      <c r="AN82" s="549" t="str">
        <f t="shared" si="33"/>
        <v>0.59 pts.</v>
      </c>
      <c r="AO82" s="11"/>
    </row>
    <row r="83" spans="1:41" x14ac:dyDescent="0.25">
      <c r="A83" s="61" t="s">
        <v>2</v>
      </c>
      <c r="B83" s="62" t="str">
        <f>IF(_epmOfflineCondition_,"'Venue2'!$B$2:$B$10",_xll.EVRNG($B$2:$B$10))</f>
        <v>'Venue2'!$B$2:$B$10</v>
      </c>
      <c r="C83" s="11"/>
      <c r="D83" s="11"/>
      <c r="E83" s="11"/>
      <c r="F83" s="11"/>
      <c r="G83" s="11"/>
      <c r="H83" s="84" t="s">
        <v>813</v>
      </c>
      <c r="I83" s="537" t="str">
        <f>IF(_epmOfflineCondition_,"T3",_xll.EVPRO($B$1,$H83,"STYLE"))</f>
        <v>T3</v>
      </c>
      <c r="J83" s="537" t="str">
        <f>IF(_epmOfflineCondition_,"Y",_xll.EVPRO($B$1,$H83,"CALC"))</f>
        <v>Y</v>
      </c>
      <c r="K83" s="113" t="str">
        <f t="shared" si="22"/>
        <v>&gt;</v>
      </c>
      <c r="L83" s="365" t="str">
        <f>IF(_epmOfflineCondition_,"",_xll.EVPRO($B$1,H83,"JDEID"))</f>
        <v/>
      </c>
      <c r="M83" s="86" t="str">
        <f>IF(_epmOfflineCondition_,"",IF(AND(I83="N",J83="N"),_xll.EVPRO($B$1,H83,"PSFTID"),""))</f>
        <v/>
      </c>
      <c r="N83" s="365" t="str">
        <f>IF(_epmOfflineCondition_,"Bonuses &amp; Incentives",IF(_xll.EVDES(H83,$B$1)="#NODATA","",_xll.EVDES(H83,$B$1)))</f>
        <v>Bonuses &amp; Incentives</v>
      </c>
      <c r="O83" s="210"/>
      <c r="P83" s="210"/>
      <c r="Q83" s="210"/>
      <c r="R83" s="210"/>
      <c r="S83" s="210"/>
      <c r="T83" s="210"/>
      <c r="U83" s="210">
        <v>108.28</v>
      </c>
      <c r="V83" s="210"/>
      <c r="W83" s="210"/>
      <c r="X83" s="210">
        <v>-108.28</v>
      </c>
      <c r="Y83" s="210"/>
      <c r="Z83" s="210"/>
      <c r="AA83" s="210">
        <f t="shared" si="23"/>
        <v>0</v>
      </c>
      <c r="AB83" s="211" t="str">
        <f t="shared" si="24"/>
        <v/>
      </c>
      <c r="AC83" s="251"/>
      <c r="AD83" s="210"/>
      <c r="AE83" s="211" t="str">
        <f t="shared" si="25"/>
        <v/>
      </c>
      <c r="AF83" s="252">
        <f t="shared" si="26"/>
        <v>0</v>
      </c>
      <c r="AG83" s="210"/>
      <c r="AH83" s="211" t="str">
        <f t="shared" si="27"/>
        <v/>
      </c>
      <c r="AI83" s="252">
        <f t="shared" si="28"/>
        <v>0</v>
      </c>
      <c r="AJ83" s="253">
        <f t="shared" si="29"/>
        <v>0</v>
      </c>
      <c r="AK83" s="254">
        <f t="shared" si="30"/>
        <v>0</v>
      </c>
      <c r="AL83" s="256">
        <f t="shared" si="31"/>
        <v>0</v>
      </c>
      <c r="AM83" s="427">
        <f t="shared" si="32"/>
        <v>0</v>
      </c>
      <c r="AN83" s="483">
        <f t="shared" si="33"/>
        <v>0</v>
      </c>
      <c r="AO83" s="11"/>
    </row>
    <row r="84" spans="1:41" x14ac:dyDescent="0.25">
      <c r="A84" s="61" t="s">
        <v>3</v>
      </c>
      <c r="B84" s="62" t="str">
        <f>IF(_epmOfflineCondition_,"'Venue2'!$O$16:$AN$18",_xll.EVRNG($O$16:$AN$18))</f>
        <v>'Venue2'!$O$16:$AN$18</v>
      </c>
      <c r="C84" s="11"/>
      <c r="D84" s="11"/>
      <c r="E84" s="11"/>
      <c r="F84" s="11"/>
      <c r="G84" s="11"/>
      <c r="H84" s="84" t="s">
        <v>814</v>
      </c>
      <c r="I84" s="85" t="str">
        <f>IF(_epmOfflineCondition_,"T2",_xll.EVPRO($B$1,$H84,"STYLE"))</f>
        <v>T2</v>
      </c>
      <c r="J84" s="85" t="str">
        <f>IF(_epmOfflineCondition_,"Y",_xll.EVPRO($B$1,$H84,"CALC"))</f>
        <v>Y</v>
      </c>
      <c r="K84" s="261" t="str">
        <f t="shared" si="22"/>
        <v/>
      </c>
      <c r="L84" s="102" t="str">
        <f>IF(_epmOfflineCondition_,"",_xll.EVPRO($B$1,H84,"JDEID"))</f>
        <v/>
      </c>
      <c r="M84" s="186" t="str">
        <f>IF(_epmOfflineCondition_,"",IF(AND(I84="N",J84="N"),_xll.EVPRO($B$1,H84,"PSFTID"),""))</f>
        <v/>
      </c>
      <c r="N84" s="102" t="str">
        <f>IF(_epmOfflineCondition_,"Total Labor Expense",IF(_xll.EVDES(H84,$B$1)="#NODATA","",_xll.EVDES(H84,$B$1)))</f>
        <v>Total Labor Expense</v>
      </c>
      <c r="O84" s="236">
        <v>1641.96</v>
      </c>
      <c r="P84" s="236">
        <v>1789.52</v>
      </c>
      <c r="Q84" s="236">
        <v>1827.08</v>
      </c>
      <c r="R84" s="236">
        <v>1437.3</v>
      </c>
      <c r="S84" s="236">
        <v>1393.3</v>
      </c>
      <c r="T84" s="236">
        <v>927.79</v>
      </c>
      <c r="U84" s="236">
        <v>1799.79</v>
      </c>
      <c r="V84" s="236">
        <v>992.28</v>
      </c>
      <c r="W84" s="236">
        <v>3297.45</v>
      </c>
      <c r="X84" s="236">
        <v>-1008.54</v>
      </c>
      <c r="Y84" s="236">
        <v>1822.13</v>
      </c>
      <c r="Z84" s="236">
        <v>2565.4499999999998</v>
      </c>
      <c r="AA84" s="236">
        <f t="shared" si="23"/>
        <v>18485.510000000002</v>
      </c>
      <c r="AB84" s="237">
        <f t="shared" si="24"/>
        <v>0.4500259758976779</v>
      </c>
      <c r="AC84" s="238"/>
      <c r="AD84" s="236">
        <v>68653.082800000004</v>
      </c>
      <c r="AE84" s="237">
        <f t="shared" si="25"/>
        <v>0.26876913664833435</v>
      </c>
      <c r="AF84" s="239">
        <f t="shared" si="26"/>
        <v>-50167.572800000002</v>
      </c>
      <c r="AG84" s="236">
        <v>21507.69</v>
      </c>
      <c r="AH84" s="237">
        <f t="shared" si="27"/>
        <v>1.1370513425096693</v>
      </c>
      <c r="AI84" s="239">
        <f t="shared" si="28"/>
        <v>-3022.1799999999967</v>
      </c>
      <c r="AJ84" s="215">
        <f t="shared" si="29"/>
        <v>8.2746239928379595</v>
      </c>
      <c r="AK84" s="216">
        <f t="shared" si="30"/>
        <v>6.8135254863040897</v>
      </c>
      <c r="AL84" s="218">
        <f t="shared" si="31"/>
        <v>21.085970588235291</v>
      </c>
      <c r="AM84" s="423" t="str">
        <f t="shared" si="32"/>
        <v>18.13 pts.</v>
      </c>
      <c r="AN84" s="474" t="str">
        <f t="shared" si="33"/>
        <v>-68.7 pts.</v>
      </c>
      <c r="AO84" s="11"/>
    </row>
    <row r="85" spans="1:41" x14ac:dyDescent="0.25">
      <c r="A85" s="61" t="s">
        <v>4</v>
      </c>
      <c r="B85" s="62" t="str">
        <f>IF(_epmOfflineCondition_,"'Venue2'!$H$76:$H$77,'Venue2'!$H$79:$H$89,'Venue2'!$H$92:$H$102",_xll.EVRNG(H76:H77,H79:H89,H92:H102))</f>
        <v>'Venue2'!$H$76:$H$77,'Venue2'!$H$79:$H$89,'Venue2'!$H$92:$H$102</v>
      </c>
      <c r="C85" s="11"/>
      <c r="D85" s="11"/>
      <c r="E85" s="11"/>
      <c r="F85" s="11"/>
      <c r="G85" s="11"/>
      <c r="H85" s="84" t="s">
        <v>815</v>
      </c>
      <c r="I85" s="537" t="str">
        <f>IF(_epmOfflineCondition_,"T3",_xll.EVPRO($B$1,$H85,"STYLE"))</f>
        <v>T3</v>
      </c>
      <c r="J85" s="537" t="str">
        <f>IF(_epmOfflineCondition_,"Y",_xll.EVPRO($B$1,$H85,"CALC"))</f>
        <v>Y</v>
      </c>
      <c r="K85" s="113" t="str">
        <f t="shared" si="22"/>
        <v>&gt;</v>
      </c>
      <c r="L85" s="365" t="str">
        <f>IF(_epmOfflineCondition_,"",_xll.EVPRO($B$1,H85,"JDEID"))</f>
        <v/>
      </c>
      <c r="M85" s="86" t="str">
        <f>IF(_epmOfflineCondition_,"",IF(AND(I85="N",J85="N"),_xll.EVPRO($B$1,H85,"PSFTID"),""))</f>
        <v/>
      </c>
      <c r="N85" s="365" t="str">
        <f>IF(_epmOfflineCondition_,"Payroll Taxes",IF(_xll.EVDES(H85,$B$1)="#NODATA","",_xll.EVDES(H85,$B$1)))</f>
        <v>Payroll Taxes</v>
      </c>
      <c r="O85" s="541">
        <v>932.42</v>
      </c>
      <c r="P85" s="541">
        <v>791.62</v>
      </c>
      <c r="Q85" s="541">
        <v>673.38</v>
      </c>
      <c r="R85" s="541">
        <v>502.31</v>
      </c>
      <c r="S85" s="541">
        <v>444.78</v>
      </c>
      <c r="T85" s="541">
        <v>497.6</v>
      </c>
      <c r="U85" s="541">
        <v>455.63</v>
      </c>
      <c r="V85" s="541">
        <v>470.57</v>
      </c>
      <c r="W85" s="541">
        <v>378.17</v>
      </c>
      <c r="X85" s="541">
        <v>457.87</v>
      </c>
      <c r="Y85" s="541">
        <v>542.51</v>
      </c>
      <c r="Z85" s="541">
        <v>630.39</v>
      </c>
      <c r="AA85" s="541">
        <f t="shared" si="23"/>
        <v>6777.25</v>
      </c>
      <c r="AB85" s="542">
        <f t="shared" si="24"/>
        <v>0.16499077088771352</v>
      </c>
      <c r="AC85" s="543"/>
      <c r="AD85" s="541">
        <v>7869.6402669600002</v>
      </c>
      <c r="AE85" s="542">
        <f t="shared" si="25"/>
        <v>3.0808761005613673E-2</v>
      </c>
      <c r="AF85" s="544">
        <f t="shared" si="26"/>
        <v>-1092.3902669600002</v>
      </c>
      <c r="AG85" s="541">
        <v>3572.61</v>
      </c>
      <c r="AH85" s="542">
        <f t="shared" si="27"/>
        <v>0.18887388635243815</v>
      </c>
      <c r="AI85" s="544">
        <f t="shared" si="28"/>
        <v>3204.64</v>
      </c>
      <c r="AJ85" s="545">
        <f t="shared" si="29"/>
        <v>3.0336839749328557</v>
      </c>
      <c r="AK85" s="546">
        <f t="shared" si="30"/>
        <v>0.78102821228265185</v>
      </c>
      <c r="AL85" s="547">
        <f t="shared" si="31"/>
        <v>3.5025588235294118</v>
      </c>
      <c r="AM85" s="548" t="str">
        <f t="shared" si="32"/>
        <v>13.42 pts.</v>
      </c>
      <c r="AN85" s="549" t="str">
        <f t="shared" si="33"/>
        <v>-2.39 pts.</v>
      </c>
      <c r="AO85" s="11"/>
    </row>
    <row r="86" spans="1:41" x14ac:dyDescent="0.25">
      <c r="A86" s="61" t="s">
        <v>5</v>
      </c>
      <c r="B86" s="62"/>
      <c r="C86" s="11"/>
      <c r="D86" s="11"/>
      <c r="E86" s="11"/>
      <c r="F86" s="11"/>
      <c r="G86" s="11"/>
      <c r="H86" s="84" t="s">
        <v>816</v>
      </c>
      <c r="I86" s="537" t="str">
        <f>IF(_epmOfflineCondition_,"T3",_xll.EVPRO($B$1,$H86,"STYLE"))</f>
        <v>T3</v>
      </c>
      <c r="J86" s="537" t="str">
        <f>IF(_epmOfflineCondition_,"Y",_xll.EVPRO($B$1,$H86,"CALC"))</f>
        <v>Y</v>
      </c>
      <c r="K86" s="113" t="str">
        <f t="shared" si="22"/>
        <v>&gt;</v>
      </c>
      <c r="L86" s="365" t="str">
        <f>IF(_epmOfflineCondition_,"",_xll.EVPRO($B$1,H86,"JDEID"))</f>
        <v/>
      </c>
      <c r="M86" s="86" t="str">
        <f>IF(_epmOfflineCondition_,"",IF(AND(I86="N",J86="N"),_xll.EVPRO($B$1,H86,"PSFTID"),""))</f>
        <v/>
      </c>
      <c r="N86" s="365" t="str">
        <f>IF(_epmOfflineCondition_,"Supplemental Pay",IF(_xll.EVDES(H86,$B$1)="#NODATA","",_xll.EVDES(H86,$B$1)))</f>
        <v>Supplemental Pay</v>
      </c>
      <c r="O86" s="210">
        <v>143.88</v>
      </c>
      <c r="P86" s="210">
        <v>260.17</v>
      </c>
      <c r="Q86" s="210">
        <v>-80.12</v>
      </c>
      <c r="R86" s="210">
        <v>92.78</v>
      </c>
      <c r="S86" s="210">
        <v>80.52</v>
      </c>
      <c r="T86" s="210">
        <v>97.41</v>
      </c>
      <c r="U86" s="210">
        <v>233.51</v>
      </c>
      <c r="V86" s="210">
        <v>136.44</v>
      </c>
      <c r="W86" s="210">
        <v>51.8</v>
      </c>
      <c r="X86" s="210">
        <v>138.91</v>
      </c>
      <c r="Y86" s="210">
        <v>-149.31</v>
      </c>
      <c r="Z86" s="210"/>
      <c r="AA86" s="210">
        <f t="shared" si="23"/>
        <v>1005.99</v>
      </c>
      <c r="AB86" s="211">
        <f t="shared" si="24"/>
        <v>2.4490621654112053E-2</v>
      </c>
      <c r="AC86" s="251"/>
      <c r="AD86" s="210">
        <v>890.65200000000004</v>
      </c>
      <c r="AE86" s="211">
        <f t="shared" si="25"/>
        <v>3.4868029130093528E-3</v>
      </c>
      <c r="AF86" s="252">
        <f t="shared" si="26"/>
        <v>115.33799999999997</v>
      </c>
      <c r="AG86" s="210">
        <v>438.2</v>
      </c>
      <c r="AH86" s="211">
        <f t="shared" si="27"/>
        <v>2.3166406912492096E-2</v>
      </c>
      <c r="AI86" s="252">
        <f t="shared" si="28"/>
        <v>567.79</v>
      </c>
      <c r="AJ86" s="253">
        <f t="shared" si="29"/>
        <v>0.4503088630259624</v>
      </c>
      <c r="AK86" s="254">
        <f t="shared" si="30"/>
        <v>8.8393410083366417E-2</v>
      </c>
      <c r="AL86" s="256">
        <f t="shared" si="31"/>
        <v>0.42960784313725486</v>
      </c>
      <c r="AM86" s="427" t="str">
        <f t="shared" si="32"/>
        <v>2.1 pts.</v>
      </c>
      <c r="AN86" s="483" t="str">
        <f t="shared" si="33"/>
        <v>0.13 pts.</v>
      </c>
      <c r="AO86" s="11"/>
    </row>
    <row r="87" spans="1:41" x14ac:dyDescent="0.25">
      <c r="A87" s="61" t="s">
        <v>6</v>
      </c>
      <c r="B87" s="62"/>
      <c r="C87" s="11"/>
      <c r="D87" s="11"/>
      <c r="E87" s="11"/>
      <c r="F87" s="11"/>
      <c r="G87" s="11"/>
      <c r="H87" s="84" t="s">
        <v>817</v>
      </c>
      <c r="I87" s="537" t="str">
        <f>IF(_epmOfflineCondition_,"T3",_xll.EVPRO($B$1,$H87,"STYLE"))</f>
        <v>T3</v>
      </c>
      <c r="J87" s="537" t="str">
        <f>IF(_epmOfflineCondition_,"Y",_xll.EVPRO($B$1,$H87,"CALC"))</f>
        <v>Y</v>
      </c>
      <c r="K87" s="113" t="str">
        <f t="shared" si="22"/>
        <v>&gt;</v>
      </c>
      <c r="L87" s="365" t="str">
        <f>IF(_epmOfflineCondition_,"",_xll.EVPRO($B$1,H87,"JDEID"))</f>
        <v/>
      </c>
      <c r="M87" s="86" t="str">
        <f>IF(_epmOfflineCondition_,"",IF(AND(I87="N",J87="N"),_xll.EVPRO($B$1,H87,"PSFTID"),""))</f>
        <v/>
      </c>
      <c r="N87" s="365" t="str">
        <f>IF(_epmOfflineCondition_,"Employee Benefits",IF(_xll.EVDES(H87,$B$1)="#NODATA","",_xll.EVDES(H87,$B$1)))</f>
        <v>Employee Benefits</v>
      </c>
      <c r="O87" s="210">
        <v>-82.26</v>
      </c>
      <c r="P87" s="210">
        <v>-126.29</v>
      </c>
      <c r="Q87" s="210">
        <v>295.16000000000003</v>
      </c>
      <c r="R87" s="210">
        <v>584.6</v>
      </c>
      <c r="S87" s="210">
        <v>448.32</v>
      </c>
      <c r="T87" s="210">
        <v>457.86</v>
      </c>
      <c r="U87" s="210">
        <v>446.16</v>
      </c>
      <c r="V87" s="210">
        <v>471.38</v>
      </c>
      <c r="W87" s="210">
        <v>288.51</v>
      </c>
      <c r="X87" s="210">
        <v>63.27</v>
      </c>
      <c r="Y87" s="210">
        <v>423.31</v>
      </c>
      <c r="Z87" s="210">
        <v>119.38</v>
      </c>
      <c r="AA87" s="210">
        <f t="shared" si="23"/>
        <v>3389.3999999999996</v>
      </c>
      <c r="AB87" s="211">
        <f t="shared" si="24"/>
        <v>8.2514252661007953E-2</v>
      </c>
      <c r="AC87" s="251"/>
      <c r="AD87" s="210">
        <v>3109.2190365288002</v>
      </c>
      <c r="AE87" s="211">
        <f t="shared" si="25"/>
        <v>1.2172244595816046E-2</v>
      </c>
      <c r="AF87" s="252">
        <f t="shared" si="26"/>
        <v>280.18096347119945</v>
      </c>
      <c r="AG87" s="210">
        <v>313.33999999999997</v>
      </c>
      <c r="AH87" s="211">
        <f t="shared" si="27"/>
        <v>1.6565408356823991E-2</v>
      </c>
      <c r="AI87" s="252">
        <f t="shared" si="28"/>
        <v>3076.0599999999995</v>
      </c>
      <c r="AJ87" s="253">
        <f t="shared" si="29"/>
        <v>1.5171888988361681</v>
      </c>
      <c r="AK87" s="254">
        <f t="shared" si="30"/>
        <v>0.30857672057649865</v>
      </c>
      <c r="AL87" s="256">
        <f t="shared" si="31"/>
        <v>0.30719607843137253</v>
      </c>
      <c r="AM87" s="427" t="str">
        <f t="shared" si="32"/>
        <v>7.03 pts.</v>
      </c>
      <c r="AN87" s="483" t="str">
        <f t="shared" si="33"/>
        <v>6.59 pts.</v>
      </c>
      <c r="AO87" s="11"/>
    </row>
    <row r="88" spans="1:41" x14ac:dyDescent="0.25">
      <c r="A88" s="61" t="s">
        <v>7</v>
      </c>
      <c r="B88" s="62" t="str">
        <f>IF(_epmOfflineCondition_,"'Venue2'!$A$102:$F$108",_xll.EVRNG(A102:F108))</f>
        <v>'Venue2'!$A$102:$F$108</v>
      </c>
      <c r="C88" s="11"/>
      <c r="D88" s="11"/>
      <c r="E88" s="11"/>
      <c r="F88" s="11"/>
      <c r="G88" s="11"/>
      <c r="H88" s="84" t="s">
        <v>818</v>
      </c>
      <c r="I88" s="85" t="str">
        <f>IF(_epmOfflineCondition_,"T2",_xll.EVPRO($B$1,$H88,"STYLE"))</f>
        <v>T2</v>
      </c>
      <c r="J88" s="85" t="str">
        <f>IF(_epmOfflineCondition_,"Y",_xll.EVPRO($B$1,$H88,"CALC"))</f>
        <v>Y</v>
      </c>
      <c r="K88" s="261" t="str">
        <f t="shared" si="22"/>
        <v/>
      </c>
      <c r="L88" s="102" t="str">
        <f>IF(_epmOfflineCondition_,"",_xll.EVPRO($B$1,H88,"JDEID"))</f>
        <v/>
      </c>
      <c r="M88" s="186" t="str">
        <f>IF(_epmOfflineCondition_,"",IF(AND(I88="N",J88="N"),_xll.EVPRO($B$1,H88,"PSFTID"),""))</f>
        <v/>
      </c>
      <c r="N88" s="102" t="str">
        <f>IF(_epmOfflineCondition_,"Total Payroll Related",IF(_xll.EVDES(H88,$B$1)="#NODATA","",_xll.EVDES(H88,$B$1)))</f>
        <v>Total Payroll Related</v>
      </c>
      <c r="O88" s="210">
        <v>994.04</v>
      </c>
      <c r="P88" s="210">
        <v>925.5</v>
      </c>
      <c r="Q88" s="210">
        <v>888.42</v>
      </c>
      <c r="R88" s="210">
        <v>1179.69</v>
      </c>
      <c r="S88" s="210">
        <v>973.62</v>
      </c>
      <c r="T88" s="210">
        <v>1052.8699999999999</v>
      </c>
      <c r="U88" s="210">
        <v>1135.3</v>
      </c>
      <c r="V88" s="210">
        <v>1078.3900000000001</v>
      </c>
      <c r="W88" s="210">
        <v>718.48</v>
      </c>
      <c r="X88" s="210">
        <v>660.05</v>
      </c>
      <c r="Y88" s="210">
        <v>816.51</v>
      </c>
      <c r="Z88" s="210">
        <v>749.77</v>
      </c>
      <c r="AA88" s="210">
        <f t="shared" si="23"/>
        <v>11172.64</v>
      </c>
      <c r="AB88" s="211">
        <f t="shared" si="24"/>
        <v>0.27199564520283354</v>
      </c>
      <c r="AC88" s="251"/>
      <c r="AD88" s="210">
        <v>11869.5113034888</v>
      </c>
      <c r="AE88" s="211">
        <f t="shared" si="25"/>
        <v>4.6467808514439074E-2</v>
      </c>
      <c r="AF88" s="252">
        <f t="shared" si="26"/>
        <v>-696.87130348880055</v>
      </c>
      <c r="AG88" s="210">
        <v>4324.1499999999996</v>
      </c>
      <c r="AH88" s="211">
        <f t="shared" si="27"/>
        <v>0.2286057016217542</v>
      </c>
      <c r="AI88" s="252">
        <f t="shared" si="28"/>
        <v>6848.49</v>
      </c>
      <c r="AJ88" s="253">
        <f t="shared" si="29"/>
        <v>5.0011817367949867</v>
      </c>
      <c r="AK88" s="254">
        <f t="shared" si="30"/>
        <v>1.1779983429425169</v>
      </c>
      <c r="AL88" s="256">
        <f t="shared" si="31"/>
        <v>4.2393627450980391</v>
      </c>
      <c r="AM88" s="427" t="str">
        <f t="shared" si="32"/>
        <v>22.55 pts.</v>
      </c>
      <c r="AN88" s="483" t="str">
        <f t="shared" si="33"/>
        <v>4.34 pts.</v>
      </c>
      <c r="AO88" s="11"/>
    </row>
    <row r="89" spans="1:41" x14ac:dyDescent="0.25">
      <c r="A89" s="61" t="s">
        <v>47</v>
      </c>
      <c r="B89" s="62" t="str">
        <f>IF(_epmOfflineCondition_,"'Venue2'!$A$125:$B$146",_xll.EVRNG($A$125:$B$146))</f>
        <v>'Venue2'!$A$125:$B$146</v>
      </c>
      <c r="C89" s="11"/>
      <c r="D89" s="11"/>
      <c r="E89" s="11"/>
      <c r="F89" s="11"/>
      <c r="G89" s="11"/>
      <c r="H89" s="84" t="s">
        <v>76</v>
      </c>
      <c r="I89" s="85" t="str">
        <f>IF(_epmOfflineCondition_,"T1",_xll.EVPRO($B$1,$H89,"STYLE"))</f>
        <v>T1</v>
      </c>
      <c r="J89" s="85" t="str">
        <f>IF(_epmOfflineCondition_,"Y",_xll.EVPRO($B$1,$H89,"CALC"))</f>
        <v>Y</v>
      </c>
      <c r="K89" s="261" t="str">
        <f t="shared" si="22"/>
        <v/>
      </c>
      <c r="L89" s="102" t="str">
        <f>IF(_epmOfflineCondition_,"600000",_xll.EVPRO($B$1,H89,"JDEID"))</f>
        <v>600000</v>
      </c>
      <c r="M89" s="186" t="str">
        <f>IF(_epmOfflineCondition_,"",IF(AND(I89="N",J89="N"),_xll.EVPRO($B$1,H89,"PSFTID"),""))</f>
        <v/>
      </c>
      <c r="N89" s="102" t="str">
        <f>IF(_epmOfflineCondition_,"Total Labor &amp; Related Exp",IF(_xll.EVDES(H89,$B$1)="#NODATA","",_xll.EVDES(H89,$B$1)))</f>
        <v>Total Labor &amp; Related Exp</v>
      </c>
      <c r="O89" s="210">
        <v>2636</v>
      </c>
      <c r="P89" s="210">
        <v>2715.02</v>
      </c>
      <c r="Q89" s="210">
        <v>2715.5</v>
      </c>
      <c r="R89" s="210">
        <v>2616.9899999999998</v>
      </c>
      <c r="S89" s="210">
        <v>2366.92</v>
      </c>
      <c r="T89" s="210">
        <v>1980.66</v>
      </c>
      <c r="U89" s="210">
        <v>2935.09</v>
      </c>
      <c r="V89" s="210">
        <v>2070.67</v>
      </c>
      <c r="W89" s="210">
        <v>4015.93</v>
      </c>
      <c r="X89" s="210">
        <v>-348.49</v>
      </c>
      <c r="Y89" s="210">
        <v>2638.64</v>
      </c>
      <c r="Z89" s="210">
        <v>3315.22</v>
      </c>
      <c r="AA89" s="210">
        <f t="shared" si="23"/>
        <v>29658.149999999998</v>
      </c>
      <c r="AB89" s="211">
        <f t="shared" si="24"/>
        <v>0.72202162110051127</v>
      </c>
      <c r="AC89" s="251"/>
      <c r="AD89" s="210">
        <v>80522.594103488795</v>
      </c>
      <c r="AE89" s="211">
        <f t="shared" si="25"/>
        <v>0.3152369451627734</v>
      </c>
      <c r="AF89" s="252">
        <f t="shared" si="26"/>
        <v>-50864.4441034888</v>
      </c>
      <c r="AG89" s="210">
        <v>25831.84</v>
      </c>
      <c r="AH89" s="211">
        <f t="shared" si="27"/>
        <v>1.3656570441314237</v>
      </c>
      <c r="AI89" s="252">
        <f t="shared" si="28"/>
        <v>3826.3099999999977</v>
      </c>
      <c r="AJ89" s="253">
        <f t="shared" si="29"/>
        <v>13.275805729632944</v>
      </c>
      <c r="AK89" s="254">
        <f t="shared" si="30"/>
        <v>7.9915238292466055</v>
      </c>
      <c r="AL89" s="256">
        <f t="shared" si="31"/>
        <v>25.325333333333333</v>
      </c>
      <c r="AM89" s="427" t="str">
        <f t="shared" si="32"/>
        <v>40.68 pts.</v>
      </c>
      <c r="AN89" s="483" t="str">
        <f t="shared" si="33"/>
        <v>-64.36 pts.</v>
      </c>
      <c r="AO89" s="11"/>
    </row>
    <row r="90" spans="1:41" x14ac:dyDescent="0.25">
      <c r="A90" s="61" t="s">
        <v>8</v>
      </c>
      <c r="B90" s="62"/>
      <c r="C90" s="11"/>
      <c r="D90" s="11"/>
      <c r="E90" s="11"/>
      <c r="F90" s="11"/>
      <c r="G90" s="11"/>
      <c r="H90" s="11"/>
      <c r="I90" s="55"/>
      <c r="J90" s="55"/>
      <c r="K90" s="11"/>
      <c r="L90" s="11"/>
      <c r="M90" s="11"/>
      <c r="N90" s="11"/>
      <c r="O90" s="125"/>
      <c r="P90" s="126"/>
      <c r="Q90" s="126"/>
      <c r="R90" s="126"/>
      <c r="S90" s="126"/>
      <c r="T90" s="126"/>
      <c r="U90" s="126"/>
      <c r="V90" s="126"/>
      <c r="W90" s="126"/>
      <c r="X90" s="126"/>
      <c r="Y90" s="126"/>
      <c r="Z90" s="126"/>
      <c r="AA90" s="126"/>
      <c r="AB90" s="127"/>
      <c r="AC90" s="11"/>
      <c r="AD90" s="125"/>
      <c r="AE90" s="126"/>
      <c r="AF90" s="127"/>
      <c r="AG90" s="125"/>
      <c r="AH90" s="126"/>
      <c r="AI90" s="127"/>
      <c r="AJ90" s="11"/>
      <c r="AK90" s="11"/>
      <c r="AL90" s="11"/>
      <c r="AM90" s="11"/>
      <c r="AN90" s="11"/>
      <c r="AO90" s="11"/>
    </row>
    <row r="91" spans="1:41" x14ac:dyDescent="0.25">
      <c r="A91" s="11"/>
      <c r="B91" s="11"/>
      <c r="C91" s="11"/>
      <c r="D91" s="11"/>
      <c r="E91" s="11"/>
      <c r="F91" s="11"/>
      <c r="G91" s="72"/>
      <c r="H91" s="11" t="s">
        <v>82</v>
      </c>
      <c r="I91" s="55" t="str">
        <f>IF(_epmOfflineCondition_,"B1",_xll.EVPRO($B$1,$H91,"STYLE"))</f>
        <v>B1</v>
      </c>
      <c r="J91" s="55" t="str">
        <f>IF(_epmOfflineCondition_,"Y",_xll.EVPRO($B$1,$H91,"CALC"))</f>
        <v>Y</v>
      </c>
      <c r="K91" s="11"/>
      <c r="L91" s="11"/>
      <c r="M91" s="11"/>
      <c r="N91" s="101" t="str">
        <f>IF(_epmOfflineCondition_,"Other Expenses",IF(_xll.EVDES(H91,$B$1)="#NODATA","",_xll.EVDES(H91,$B$1)))</f>
        <v>Other Expenses</v>
      </c>
      <c r="O91" s="115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7"/>
      <c r="AC91" s="11"/>
      <c r="AD91" s="115"/>
      <c r="AE91" s="116"/>
      <c r="AF91" s="117"/>
      <c r="AG91" s="115"/>
      <c r="AH91" s="116"/>
      <c r="AI91" s="117"/>
      <c r="AJ91" s="11"/>
      <c r="AK91" s="11"/>
      <c r="AL91" s="11"/>
      <c r="AM91" s="11"/>
      <c r="AN91" s="11"/>
      <c r="AO91" s="11"/>
    </row>
    <row r="92" spans="1:41" x14ac:dyDescent="0.25">
      <c r="A92" s="57" t="s">
        <v>9</v>
      </c>
      <c r="B92" s="58" t="s">
        <v>10</v>
      </c>
      <c r="C92" s="11"/>
      <c r="D92" s="11"/>
      <c r="E92" s="11"/>
      <c r="F92" s="11"/>
      <c r="G92" s="11"/>
      <c r="H92" s="84" t="s">
        <v>823</v>
      </c>
      <c r="I92" s="118" t="str">
        <f>IF(_epmOfflineCondition_,"N",_xll.EVPRO($B$1,$H92,"STYLE"))</f>
        <v>N</v>
      </c>
      <c r="J92" s="118" t="str">
        <f>IF(_epmOfflineCondition_,"N",_xll.EVPRO($B$1,$H92,"CALC"))</f>
        <v>N</v>
      </c>
      <c r="K92" s="175" t="str">
        <f t="shared" ref="K92:K102" si="34">IF(AND(I92&lt;&gt;"B1",J92="Y"),"&gt;","")</f>
        <v/>
      </c>
      <c r="L92" s="86" t="str">
        <f>IF(_epmOfflineCondition_,"701300",_xll.EVPRO($B$1,H92,"JDEID"))</f>
        <v>701300</v>
      </c>
      <c r="M92" s="86" t="str">
        <f>IF(_epmOfflineCondition_,"690205",IF(AND(I92="N",J92="N"),_xll.EVPRO($B$1,H92,"PSFTID"),""))</f>
        <v>690205</v>
      </c>
      <c r="N92" s="86" t="str">
        <f>IF(_epmOfflineCondition_,"Printing &amp; Stationery",IF(_xll.EVDES(H92,$B$1)="#NODATA","",_xll.EVDES(H92,$B$1)))</f>
        <v>Printing &amp; Stationery</v>
      </c>
      <c r="O92" s="134"/>
      <c r="P92" s="134"/>
      <c r="Q92" s="134"/>
      <c r="R92" s="134"/>
      <c r="S92" s="134"/>
      <c r="T92" s="134"/>
      <c r="U92" s="134"/>
      <c r="V92" s="134"/>
      <c r="W92" s="134"/>
      <c r="X92" s="134"/>
      <c r="Y92" s="134"/>
      <c r="Z92" s="134"/>
      <c r="AA92" s="223">
        <f t="shared" ref="AA92:AA103" si="35">IF($I92="B1","",SUM(O92:Z92))</f>
        <v>0</v>
      </c>
      <c r="AB92" s="138" t="str">
        <f t="shared" ref="AB92:AB103" si="36">IF(AA92=0,"",IFERROR(AA92/AA$19,""))</f>
        <v/>
      </c>
      <c r="AC92" s="136"/>
      <c r="AD92" s="134">
        <v>201.52</v>
      </c>
      <c r="AE92" s="138">
        <f t="shared" ref="AE92:AE103" si="37">IF(AD92=0,"",IFERROR(AD92/AD$19,""))</f>
        <v>7.8892824922601064E-4</v>
      </c>
      <c r="AF92" s="137">
        <f t="shared" ref="AF92:AF103" si="38">IF(AND($AA92="",AD92=""),"",$AA92-AD92)</f>
        <v>-201.52</v>
      </c>
      <c r="AG92" s="134"/>
      <c r="AH92" s="138" t="str">
        <f t="shared" ref="AH92:AH103" si="39">IF(AG92=0,"",IFERROR(AG92/AG$19,""))</f>
        <v/>
      </c>
      <c r="AI92" s="137">
        <f t="shared" ref="AI92:AI103" si="40">IF(AND($AA92="",AG92=""),"",$AA92-AG92)</f>
        <v>0</v>
      </c>
      <c r="AJ92" s="458">
        <f t="shared" ref="AJ92:AJ103" si="41">IFERROR(AA92/AA$20,0)</f>
        <v>0</v>
      </c>
      <c r="AK92" s="459">
        <f t="shared" ref="AK92:AK103" si="42">IFERROR(AD92/AD$20,0)</f>
        <v>0.02</v>
      </c>
      <c r="AL92" s="460">
        <f t="shared" ref="AL92:AL103" si="43">IFERROR(AG92/AG$20,0)</f>
        <v>0</v>
      </c>
      <c r="AM92" s="461">
        <f t="shared" ref="AM92:AM103" si="44">+IFERROR(ROUND(($AB92-AE92)*100,2)&amp;" pts.",0)</f>
        <v>0</v>
      </c>
      <c r="AN92" s="462">
        <f t="shared" ref="AN92:AN103" si="45">+IFERROR(ROUND(($AB92-AH92)*100,2)&amp;" pts.",0)</f>
        <v>0</v>
      </c>
      <c r="AO92" s="11"/>
    </row>
    <row r="93" spans="1:41" x14ac:dyDescent="0.25">
      <c r="A93" s="61" t="s">
        <v>11</v>
      </c>
      <c r="B93" s="62" t="s">
        <v>21</v>
      </c>
      <c r="C93" s="11"/>
      <c r="D93" s="11"/>
      <c r="E93" s="11"/>
      <c r="F93" s="11"/>
      <c r="G93" s="11"/>
      <c r="H93" s="84" t="s">
        <v>792</v>
      </c>
      <c r="I93" s="118" t="str">
        <f>IF(_epmOfflineCondition_,"T4",_xll.EVPRO($B$1,$H93,"STYLE"))</f>
        <v>T4</v>
      </c>
      <c r="J93" s="118" t="str">
        <f>IF(_epmOfflineCondition_,"Y",_xll.EVPRO($B$1,$H93,"CALC"))</f>
        <v>Y</v>
      </c>
      <c r="K93" s="175" t="str">
        <f t="shared" si="34"/>
        <v>&gt;</v>
      </c>
      <c r="L93" s="86" t="str">
        <f>IF(_epmOfflineCondition_,"701500",_xll.EVPRO($B$1,H93,"JDEID"))</f>
        <v>701500</v>
      </c>
      <c r="M93" s="86" t="str">
        <f>IF(_epmOfflineCondition_,"",IF(AND(I93="N",J93="N"),_xll.EVPRO($B$1,H93,"PSFTID"),""))</f>
        <v/>
      </c>
      <c r="N93" s="86" t="str">
        <f>IF(_epmOfflineCondition_,"Operating Supplies",IF(_xll.EVDES(H93,$B$1)="#NODATA","",_xll.EVDES(H93,$B$1)))</f>
        <v>Operating Supplies</v>
      </c>
      <c r="O93" s="134"/>
      <c r="P93" s="134">
        <v>79.349999999999994</v>
      </c>
      <c r="Q93" s="134">
        <v>116.75</v>
      </c>
      <c r="R93" s="134"/>
      <c r="S93" s="134"/>
      <c r="T93" s="134"/>
      <c r="U93" s="134">
        <v>22.95</v>
      </c>
      <c r="V93" s="134"/>
      <c r="W93" s="134"/>
      <c r="X93" s="134">
        <v>55</v>
      </c>
      <c r="Y93" s="134"/>
      <c r="Z93" s="134"/>
      <c r="AA93" s="223">
        <f t="shared" si="35"/>
        <v>274.04999999999995</v>
      </c>
      <c r="AB93" s="138">
        <f t="shared" si="36"/>
        <v>6.671691432627966E-3</v>
      </c>
      <c r="AC93" s="136"/>
      <c r="AD93" s="134">
        <v>604.55999999999995</v>
      </c>
      <c r="AE93" s="138">
        <f t="shared" si="37"/>
        <v>2.3667847476780313E-3</v>
      </c>
      <c r="AF93" s="137">
        <f t="shared" si="38"/>
        <v>-330.51</v>
      </c>
      <c r="AG93" s="134">
        <v>220.3</v>
      </c>
      <c r="AH93" s="138">
        <f t="shared" si="39"/>
        <v>1.1646644095896871E-2</v>
      </c>
      <c r="AI93" s="137">
        <f t="shared" si="40"/>
        <v>53.749999999999943</v>
      </c>
      <c r="AJ93" s="458">
        <f t="shared" si="41"/>
        <v>0.12267233661593552</v>
      </c>
      <c r="AK93" s="459">
        <f t="shared" si="42"/>
        <v>0.06</v>
      </c>
      <c r="AL93" s="460">
        <f t="shared" si="43"/>
        <v>0.21598039215686277</v>
      </c>
      <c r="AM93" s="461" t="str">
        <f t="shared" si="44"/>
        <v>0.43 pts.</v>
      </c>
      <c r="AN93" s="462" t="str">
        <f t="shared" si="45"/>
        <v>-0.5 pts.</v>
      </c>
      <c r="AO93" s="11"/>
    </row>
    <row r="94" spans="1:41" x14ac:dyDescent="0.25">
      <c r="A94" s="61" t="s">
        <v>12</v>
      </c>
      <c r="B94" s="62" t="s">
        <v>22</v>
      </c>
      <c r="C94" s="11"/>
      <c r="D94" s="11"/>
      <c r="E94" s="11"/>
      <c r="F94" s="11"/>
      <c r="G94" s="11"/>
      <c r="H94" s="84" t="s">
        <v>824</v>
      </c>
      <c r="I94" s="118" t="str">
        <f>IF(_epmOfflineCondition_,"N",_xll.EVPRO($B$1,$H94,"STYLE"))</f>
        <v>N</v>
      </c>
      <c r="J94" s="118" t="str">
        <f>IF(_epmOfflineCondition_,"N",_xll.EVPRO($B$1,$H94,"CALC"))</f>
        <v>N</v>
      </c>
      <c r="K94" s="175" t="str">
        <f t="shared" si="34"/>
        <v/>
      </c>
      <c r="L94" s="86" t="str">
        <f>IF(_epmOfflineCondition_,"701600",_xll.EVPRO($B$1,H94,"JDEID"))</f>
        <v>701600</v>
      </c>
      <c r="M94" s="86" t="str">
        <f>IF(_epmOfflineCondition_,"590015",IF(AND(I94="N",J94="N"),_xll.EVPRO($B$1,H94,"PSFTID"),""))</f>
        <v>590015</v>
      </c>
      <c r="N94" s="86" t="str">
        <f>IF(_epmOfflineCondition_,"Cleaning Supplies",IF(_xll.EVDES(H94,$B$1)="#NODATA","",_xll.EVDES(H94,$B$1)))</f>
        <v>Cleaning Supplies</v>
      </c>
      <c r="O94" s="134"/>
      <c r="P94" s="134"/>
      <c r="Q94" s="134"/>
      <c r="R94" s="134"/>
      <c r="S94" s="134"/>
      <c r="T94" s="134"/>
      <c r="U94" s="134"/>
      <c r="V94" s="134"/>
      <c r="W94" s="134"/>
      <c r="X94" s="134"/>
      <c r="Y94" s="134"/>
      <c r="Z94" s="134"/>
      <c r="AA94" s="223">
        <f t="shared" si="35"/>
        <v>0</v>
      </c>
      <c r="AB94" s="138" t="str">
        <f t="shared" si="36"/>
        <v/>
      </c>
      <c r="AC94" s="136"/>
      <c r="AD94" s="134">
        <v>604.55999999999995</v>
      </c>
      <c r="AE94" s="138">
        <f t="shared" si="37"/>
        <v>2.3667847476780313E-3</v>
      </c>
      <c r="AF94" s="137">
        <f t="shared" si="38"/>
        <v>-604.55999999999995</v>
      </c>
      <c r="AG94" s="134"/>
      <c r="AH94" s="138" t="str">
        <f t="shared" si="39"/>
        <v/>
      </c>
      <c r="AI94" s="137">
        <f t="shared" si="40"/>
        <v>0</v>
      </c>
      <c r="AJ94" s="458">
        <f t="shared" si="41"/>
        <v>0</v>
      </c>
      <c r="AK94" s="459">
        <f t="shared" si="42"/>
        <v>0.06</v>
      </c>
      <c r="AL94" s="460">
        <f t="shared" si="43"/>
        <v>0</v>
      </c>
      <c r="AM94" s="461">
        <f t="shared" si="44"/>
        <v>0</v>
      </c>
      <c r="AN94" s="462">
        <f t="shared" si="45"/>
        <v>0</v>
      </c>
      <c r="AO94" s="11"/>
    </row>
    <row r="95" spans="1:41" x14ac:dyDescent="0.25">
      <c r="A95" s="61" t="s">
        <v>13</v>
      </c>
      <c r="B95" s="62" t="s">
        <v>738</v>
      </c>
      <c r="C95" s="11"/>
      <c r="D95" s="11"/>
      <c r="E95" s="11"/>
      <c r="F95" s="11"/>
      <c r="G95" s="11"/>
      <c r="H95" s="84" t="s">
        <v>825</v>
      </c>
      <c r="I95" s="118" t="str">
        <f>IF(_epmOfflineCondition_,"N",_xll.EVPRO($B$1,$H95,"STYLE"))</f>
        <v>N</v>
      </c>
      <c r="J95" s="118" t="str">
        <f>IF(_epmOfflineCondition_,"N",_xll.EVPRO($B$1,$H95,"CALC"))</f>
        <v>N</v>
      </c>
      <c r="K95" s="175" t="str">
        <f t="shared" si="34"/>
        <v/>
      </c>
      <c r="L95" s="86" t="str">
        <f>IF(_epmOfflineCondition_,"701700",_xll.EVPRO($B$1,H95,"JDEID"))</f>
        <v>701700</v>
      </c>
      <c r="M95" s="86" t="str">
        <f>IF(_epmOfflineCondition_,"590026",IF(AND(I95="N",J95="N"),_xll.EVPRO($B$1,H95,"PSFTID"),""))</f>
        <v>590026</v>
      </c>
      <c r="N95" s="86" t="str">
        <f>IF(_epmOfflineCondition_,"Dishwashing Supplies",IF(_xll.EVDES(H95,$B$1)="#NODATA","",_xll.EVDES(H95,$B$1)))</f>
        <v>Dishwashing Supplies</v>
      </c>
      <c r="O95" s="134"/>
      <c r="P95" s="134"/>
      <c r="Q95" s="134"/>
      <c r="R95" s="134"/>
      <c r="S95" s="134"/>
      <c r="T95" s="134"/>
      <c r="U95" s="134"/>
      <c r="V95" s="134"/>
      <c r="W95" s="134"/>
      <c r="X95" s="134"/>
      <c r="Y95" s="134"/>
      <c r="Z95" s="134"/>
      <c r="AA95" s="223">
        <f t="shared" si="35"/>
        <v>0</v>
      </c>
      <c r="AB95" s="138" t="str">
        <f t="shared" si="36"/>
        <v/>
      </c>
      <c r="AC95" s="136"/>
      <c r="AD95" s="134">
        <v>604.55999999999995</v>
      </c>
      <c r="AE95" s="138">
        <f t="shared" si="37"/>
        <v>2.3667847476780313E-3</v>
      </c>
      <c r="AF95" s="137">
        <f t="shared" si="38"/>
        <v>-604.55999999999995</v>
      </c>
      <c r="AG95" s="134"/>
      <c r="AH95" s="138" t="str">
        <f t="shared" si="39"/>
        <v/>
      </c>
      <c r="AI95" s="137">
        <f t="shared" si="40"/>
        <v>0</v>
      </c>
      <c r="AJ95" s="458">
        <f t="shared" si="41"/>
        <v>0</v>
      </c>
      <c r="AK95" s="459">
        <f t="shared" si="42"/>
        <v>0.06</v>
      </c>
      <c r="AL95" s="460">
        <f t="shared" si="43"/>
        <v>0</v>
      </c>
      <c r="AM95" s="461">
        <f t="shared" si="44"/>
        <v>0</v>
      </c>
      <c r="AN95" s="462">
        <f t="shared" si="45"/>
        <v>0</v>
      </c>
      <c r="AO95" s="11"/>
    </row>
    <row r="96" spans="1:41" x14ac:dyDescent="0.25">
      <c r="A96" s="61" t="s">
        <v>14</v>
      </c>
      <c r="B96" s="62"/>
      <c r="C96" s="11"/>
      <c r="D96" s="11"/>
      <c r="E96" s="11"/>
      <c r="F96" s="11"/>
      <c r="G96" s="11"/>
      <c r="H96" s="84" t="s">
        <v>826</v>
      </c>
      <c r="I96" s="118" t="str">
        <f>IF(_epmOfflineCondition_,"N",_xll.EVPRO($B$1,$H96,"STYLE"))</f>
        <v>N</v>
      </c>
      <c r="J96" s="118" t="str">
        <f>IF(_epmOfflineCondition_,"N",_xll.EVPRO($B$1,$H96,"CALC"))</f>
        <v>N</v>
      </c>
      <c r="K96" s="175" t="str">
        <f t="shared" si="34"/>
        <v/>
      </c>
      <c r="L96" s="86" t="str">
        <f>IF(_epmOfflineCondition_,"702000",_xll.EVPRO($B$1,H96,"JDEID"))</f>
        <v>702000</v>
      </c>
      <c r="M96" s="86" t="str">
        <f>IF(_epmOfflineCondition_,"590031",IF(AND(I96="N",J96="N"),_xll.EVPRO($B$1,H96,"PSFTID"),""))</f>
        <v>590031</v>
      </c>
      <c r="N96" s="86" t="str">
        <f>IF(_epmOfflineCondition_,"Paper and Plastics",IF(_xll.EVDES(H96,$B$1)="#NODATA","",_xll.EVDES(H96,$B$1)))</f>
        <v>Paper and Plastics</v>
      </c>
      <c r="O96" s="134"/>
      <c r="P96" s="134"/>
      <c r="Q96" s="134"/>
      <c r="R96" s="134"/>
      <c r="S96" s="134"/>
      <c r="T96" s="134"/>
      <c r="U96" s="134"/>
      <c r="V96" s="134"/>
      <c r="W96" s="134"/>
      <c r="X96" s="134"/>
      <c r="Y96" s="134"/>
      <c r="Z96" s="134"/>
      <c r="AA96" s="223">
        <f t="shared" si="35"/>
        <v>0</v>
      </c>
      <c r="AB96" s="138" t="str">
        <f t="shared" si="36"/>
        <v/>
      </c>
      <c r="AC96" s="136"/>
      <c r="AD96" s="134">
        <v>604.55999999999995</v>
      </c>
      <c r="AE96" s="138">
        <f t="shared" si="37"/>
        <v>2.3667847476780313E-3</v>
      </c>
      <c r="AF96" s="137">
        <f t="shared" si="38"/>
        <v>-604.55999999999995</v>
      </c>
      <c r="AG96" s="134"/>
      <c r="AH96" s="138" t="str">
        <f t="shared" si="39"/>
        <v/>
      </c>
      <c r="AI96" s="137">
        <f t="shared" si="40"/>
        <v>0</v>
      </c>
      <c r="AJ96" s="458">
        <f t="shared" si="41"/>
        <v>0</v>
      </c>
      <c r="AK96" s="459">
        <f t="shared" si="42"/>
        <v>0.06</v>
      </c>
      <c r="AL96" s="460">
        <f t="shared" si="43"/>
        <v>0</v>
      </c>
      <c r="AM96" s="461">
        <f t="shared" si="44"/>
        <v>0</v>
      </c>
      <c r="AN96" s="462">
        <f t="shared" si="45"/>
        <v>0</v>
      </c>
      <c r="AO96" s="11"/>
    </row>
    <row r="97" spans="1:41" x14ac:dyDescent="0.25">
      <c r="A97" s="61" t="s">
        <v>15</v>
      </c>
      <c r="B97" s="62"/>
      <c r="C97" s="11"/>
      <c r="D97" s="11"/>
      <c r="E97" s="11"/>
      <c r="F97" s="11"/>
      <c r="G97" s="11"/>
      <c r="H97" s="84" t="s">
        <v>793</v>
      </c>
      <c r="I97" s="118" t="str">
        <f>IF(_epmOfflineCondition_,"N",_xll.EVPRO($B$1,$H97,"STYLE"))</f>
        <v>N</v>
      </c>
      <c r="J97" s="118" t="str">
        <f>IF(_epmOfflineCondition_,"N",_xll.EVPRO($B$1,$H97,"CALC"))</f>
        <v>N</v>
      </c>
      <c r="K97" s="175" t="str">
        <f t="shared" si="34"/>
        <v/>
      </c>
      <c r="L97" s="86" t="str">
        <f>IF(_epmOfflineCondition_,"702300",_xll.EVPRO($B$1,H97,"JDEID"))</f>
        <v>702300</v>
      </c>
      <c r="M97" s="86" t="str">
        <f>IF(_epmOfflineCondition_,"590040",IF(AND(I97="N",J97="N"),_xll.EVPRO($B$1,H97,"PSFTID"),""))</f>
        <v>590040</v>
      </c>
      <c r="N97" s="86" t="str">
        <f>IF(_epmOfflineCondition_,"Decorations",IF(_xll.EVDES(H97,$B$1)="#NODATA","",_xll.EVDES(H97,$B$1)))</f>
        <v>Decorations</v>
      </c>
      <c r="O97" s="134"/>
      <c r="P97" s="134"/>
      <c r="Q97" s="134"/>
      <c r="R97" s="134"/>
      <c r="S97" s="134"/>
      <c r="T97" s="134"/>
      <c r="U97" s="134"/>
      <c r="V97" s="134"/>
      <c r="W97" s="134"/>
      <c r="X97" s="134"/>
      <c r="Y97" s="134"/>
      <c r="Z97" s="134"/>
      <c r="AA97" s="223">
        <f t="shared" si="35"/>
        <v>0</v>
      </c>
      <c r="AB97" s="138" t="str">
        <f t="shared" si="36"/>
        <v/>
      </c>
      <c r="AC97" s="136"/>
      <c r="AD97" s="134"/>
      <c r="AE97" s="138" t="str">
        <f t="shared" si="37"/>
        <v/>
      </c>
      <c r="AF97" s="137">
        <f t="shared" si="38"/>
        <v>0</v>
      </c>
      <c r="AG97" s="134">
        <v>14.5</v>
      </c>
      <c r="AH97" s="138">
        <f t="shared" si="39"/>
        <v>7.6657439578077459E-4</v>
      </c>
      <c r="AI97" s="137">
        <f t="shared" si="40"/>
        <v>-14.5</v>
      </c>
      <c r="AJ97" s="458">
        <f t="shared" si="41"/>
        <v>0</v>
      </c>
      <c r="AK97" s="459">
        <f t="shared" si="42"/>
        <v>0</v>
      </c>
      <c r="AL97" s="460">
        <f t="shared" si="43"/>
        <v>1.4215686274509804E-2</v>
      </c>
      <c r="AM97" s="461">
        <f t="shared" si="44"/>
        <v>0</v>
      </c>
      <c r="AN97" s="462">
        <f t="shared" si="45"/>
        <v>0</v>
      </c>
      <c r="AO97" s="11"/>
    </row>
    <row r="98" spans="1:41" x14ac:dyDescent="0.25">
      <c r="A98" s="61" t="s">
        <v>16</v>
      </c>
      <c r="B98" s="62" t="s">
        <v>78</v>
      </c>
      <c r="C98" s="11"/>
      <c r="D98" s="11"/>
      <c r="E98" s="11"/>
      <c r="F98" s="11"/>
      <c r="G98" s="11"/>
      <c r="H98" s="84" t="s">
        <v>794</v>
      </c>
      <c r="I98" s="118" t="str">
        <f>IF(_epmOfflineCondition_,"T4",_xll.EVPRO($B$1,$H98,"STYLE"))</f>
        <v>T4</v>
      </c>
      <c r="J98" s="118" t="str">
        <f>IF(_epmOfflineCondition_,"Y",_xll.EVPRO($B$1,$H98,"CALC"))</f>
        <v>Y</v>
      </c>
      <c r="K98" s="175" t="str">
        <f t="shared" si="34"/>
        <v>&gt;</v>
      </c>
      <c r="L98" s="86" t="str">
        <f>IF(_epmOfflineCondition_,"",_xll.EVPRO($B$1,H98,"JDEID"))</f>
        <v/>
      </c>
      <c r="M98" s="86" t="str">
        <f>IF(_epmOfflineCondition_,"",IF(AND(I98="N",J98="N"),_xll.EVPRO($B$1,H98,"PSFTID"),""))</f>
        <v/>
      </c>
      <c r="N98" s="86" t="str">
        <f>IF(_epmOfflineCondition_,"Contract Services",IF(_xll.EVDES(H98,$B$1)="#NODATA","",_xll.EVDES(H98,$B$1)))</f>
        <v>Contract Services</v>
      </c>
      <c r="O98" s="134"/>
      <c r="P98" s="134"/>
      <c r="Q98" s="134"/>
      <c r="R98" s="134"/>
      <c r="S98" s="134">
        <v>150</v>
      </c>
      <c r="T98" s="134"/>
      <c r="U98" s="134">
        <v>150</v>
      </c>
      <c r="V98" s="134">
        <v>150</v>
      </c>
      <c r="W98" s="134">
        <v>150</v>
      </c>
      <c r="X98" s="134">
        <v>150</v>
      </c>
      <c r="Y98" s="134">
        <v>150</v>
      </c>
      <c r="Z98" s="134">
        <v>150</v>
      </c>
      <c r="AA98" s="223">
        <f t="shared" si="35"/>
        <v>1050</v>
      </c>
      <c r="AB98" s="138">
        <f t="shared" si="36"/>
        <v>2.5562036140337037E-2</v>
      </c>
      <c r="AC98" s="136"/>
      <c r="AD98" s="134">
        <v>2275</v>
      </c>
      <c r="AE98" s="138">
        <f t="shared" si="37"/>
        <v>8.906370419755727E-3</v>
      </c>
      <c r="AF98" s="137">
        <f t="shared" si="38"/>
        <v>-1225</v>
      </c>
      <c r="AG98" s="134"/>
      <c r="AH98" s="138" t="str">
        <f t="shared" si="39"/>
        <v/>
      </c>
      <c r="AI98" s="137">
        <f t="shared" si="40"/>
        <v>1050</v>
      </c>
      <c r="AJ98" s="458">
        <f t="shared" si="41"/>
        <v>0.47000895255147718</v>
      </c>
      <c r="AK98" s="459">
        <f t="shared" si="42"/>
        <v>0.2257840412862247</v>
      </c>
      <c r="AL98" s="460">
        <f t="shared" si="43"/>
        <v>0</v>
      </c>
      <c r="AM98" s="461" t="str">
        <f t="shared" si="44"/>
        <v>1.67 pts.</v>
      </c>
      <c r="AN98" s="462">
        <f t="shared" si="45"/>
        <v>0</v>
      </c>
      <c r="AO98" s="11"/>
    </row>
    <row r="99" spans="1:41" x14ac:dyDescent="0.25">
      <c r="A99" s="61" t="s">
        <v>17</v>
      </c>
      <c r="B99" s="62"/>
      <c r="C99" s="11"/>
      <c r="D99" s="11"/>
      <c r="E99" s="11"/>
      <c r="F99" s="11"/>
      <c r="G99" s="11"/>
      <c r="H99" s="84" t="s">
        <v>797</v>
      </c>
      <c r="I99" s="118" t="str">
        <f>IF(_epmOfflineCondition_,"T4",_xll.EVPRO($B$1,$H99,"STYLE"))</f>
        <v>T4</v>
      </c>
      <c r="J99" s="118" t="str">
        <f>IF(_epmOfflineCondition_,"Y",_xll.EVPRO($B$1,$H99,"CALC"))</f>
        <v>Y</v>
      </c>
      <c r="K99" s="175" t="str">
        <f t="shared" si="34"/>
        <v>&gt;</v>
      </c>
      <c r="L99" s="86" t="str">
        <f>IF(_epmOfflineCondition_,"703000",_xll.EVPRO($B$1,H99,"JDEID"))</f>
        <v>703000</v>
      </c>
      <c r="M99" s="86" t="str">
        <f>IF(_epmOfflineCondition_,"",IF(AND(I99="N",J99="N"),_xll.EVPRO($B$1,H99,"PSFTID"),""))</f>
        <v/>
      </c>
      <c r="N99" s="86" t="str">
        <f>IF(_epmOfflineCondition_,"Complimentary Services &amp; Gifts",IF(_xll.EVDES(H99,$B$1)="#NODATA","",_xll.EVDES(H99,$B$1)))</f>
        <v>Complimentary Services &amp; Gifts</v>
      </c>
      <c r="O99" s="134"/>
      <c r="P99" s="134"/>
      <c r="Q99" s="134"/>
      <c r="R99" s="134"/>
      <c r="S99" s="134"/>
      <c r="T99" s="134"/>
      <c r="U99" s="134"/>
      <c r="V99" s="134"/>
      <c r="W99" s="134"/>
      <c r="X99" s="134"/>
      <c r="Y99" s="134"/>
      <c r="Z99" s="134"/>
      <c r="AA99" s="223">
        <f t="shared" si="35"/>
        <v>0</v>
      </c>
      <c r="AB99" s="138" t="str">
        <f t="shared" si="36"/>
        <v/>
      </c>
      <c r="AC99" s="136"/>
      <c r="AD99" s="134">
        <v>93.898233923999996</v>
      </c>
      <c r="AE99" s="138">
        <f t="shared" si="37"/>
        <v>3.6760107828044713E-4</v>
      </c>
      <c r="AF99" s="137">
        <f t="shared" si="38"/>
        <v>-93.898233923999996</v>
      </c>
      <c r="AG99" s="134">
        <v>5526.34</v>
      </c>
      <c r="AH99" s="138">
        <f t="shared" si="39"/>
        <v>0.29216212043993972</v>
      </c>
      <c r="AI99" s="137">
        <f t="shared" si="40"/>
        <v>-5526.34</v>
      </c>
      <c r="AJ99" s="458">
        <f t="shared" si="41"/>
        <v>0</v>
      </c>
      <c r="AK99" s="459">
        <f t="shared" si="42"/>
        <v>9.3189989999999997E-3</v>
      </c>
      <c r="AL99" s="460">
        <f t="shared" si="43"/>
        <v>5.4179803921568626</v>
      </c>
      <c r="AM99" s="461">
        <f t="shared" si="44"/>
        <v>0</v>
      </c>
      <c r="AN99" s="462">
        <f t="shared" si="45"/>
        <v>0</v>
      </c>
      <c r="AO99" s="11"/>
    </row>
    <row r="100" spans="1:41" x14ac:dyDescent="0.25">
      <c r="A100" s="11"/>
      <c r="B100" s="11"/>
      <c r="C100" s="11"/>
      <c r="D100" s="11"/>
      <c r="E100" s="11"/>
      <c r="F100" s="11"/>
      <c r="G100" s="11"/>
      <c r="H100" s="84" t="s">
        <v>799</v>
      </c>
      <c r="I100" s="118" t="str">
        <f>IF(_epmOfflineCondition_,"N",_xll.EVPRO($B$1,$H100,"STYLE"))</f>
        <v>N</v>
      </c>
      <c r="J100" s="118" t="str">
        <f>IF(_epmOfflineCondition_,"N",_xll.EVPRO($B$1,$H100,"CALC"))</f>
        <v>N</v>
      </c>
      <c r="K100" s="175" t="str">
        <f t="shared" si="34"/>
        <v/>
      </c>
      <c r="L100" s="86" t="str">
        <f>IF(_epmOfflineCondition_,"703200",_xll.EVPRO($B$1,H100,"JDEID"))</f>
        <v>703200</v>
      </c>
      <c r="M100" s="86" t="str">
        <f>IF(_epmOfflineCondition_,"590035",IF(AND(I100="N",J100="N"),_xll.EVPRO($B$1,H100,"PSFTID"),""))</f>
        <v>590035</v>
      </c>
      <c r="N100" s="86" t="str">
        <f>IF(_epmOfflineCondition_,"Uniform Costs",IF(_xll.EVDES(H100,$B$1)="#NODATA","",_xll.EVDES(H100,$B$1)))</f>
        <v>Uniform Costs</v>
      </c>
      <c r="O100" s="134"/>
      <c r="P100" s="134"/>
      <c r="Q100" s="134"/>
      <c r="R100" s="134"/>
      <c r="S100" s="134"/>
      <c r="T100" s="134"/>
      <c r="U100" s="134"/>
      <c r="V100" s="134"/>
      <c r="W100" s="134"/>
      <c r="X100" s="134"/>
      <c r="Y100" s="134"/>
      <c r="Z100" s="134"/>
      <c r="AA100" s="223">
        <f t="shared" si="35"/>
        <v>0</v>
      </c>
      <c r="AB100" s="138" t="str">
        <f t="shared" si="36"/>
        <v/>
      </c>
      <c r="AC100" s="136"/>
      <c r="AD100" s="134">
        <v>600</v>
      </c>
      <c r="AE100" s="138">
        <f t="shared" si="37"/>
        <v>2.3489328579575541E-3</v>
      </c>
      <c r="AF100" s="137">
        <f t="shared" si="38"/>
        <v>-600</v>
      </c>
      <c r="AG100" s="134"/>
      <c r="AH100" s="138" t="str">
        <f t="shared" si="39"/>
        <v/>
      </c>
      <c r="AI100" s="137">
        <f t="shared" si="40"/>
        <v>0</v>
      </c>
      <c r="AJ100" s="458">
        <f t="shared" si="41"/>
        <v>0</v>
      </c>
      <c r="AK100" s="459">
        <f t="shared" si="42"/>
        <v>5.9547439460103213E-2</v>
      </c>
      <c r="AL100" s="460">
        <f t="shared" si="43"/>
        <v>0</v>
      </c>
      <c r="AM100" s="461">
        <f t="shared" si="44"/>
        <v>0</v>
      </c>
      <c r="AN100" s="462">
        <f t="shared" si="45"/>
        <v>0</v>
      </c>
      <c r="AO100" s="11"/>
    </row>
    <row r="101" spans="1:41" x14ac:dyDescent="0.25">
      <c r="A101" s="93" t="s">
        <v>92</v>
      </c>
      <c r="B101" s="94" t="s">
        <v>93</v>
      </c>
      <c r="C101" s="94" t="s">
        <v>94</v>
      </c>
      <c r="D101" s="94" t="s">
        <v>95</v>
      </c>
      <c r="E101" s="94" t="s">
        <v>96</v>
      </c>
      <c r="F101" s="95" t="s">
        <v>97</v>
      </c>
      <c r="G101" s="11"/>
      <c r="H101" s="84" t="s">
        <v>800</v>
      </c>
      <c r="I101" s="118" t="str">
        <f>IF(_epmOfflineCondition_,"N",_xll.EVPRO($B$1,$H101,"STYLE"))</f>
        <v>N</v>
      </c>
      <c r="J101" s="118" t="str">
        <f>IF(_epmOfflineCondition_,"N",_xll.EVPRO($B$1,$H101,"CALC"))</f>
        <v>N</v>
      </c>
      <c r="K101" s="175" t="str">
        <f t="shared" si="34"/>
        <v/>
      </c>
      <c r="L101" s="86" t="str">
        <f>IF(_epmOfflineCondition_,"703300",_xll.EVPRO($B$1,H101,"JDEID"))</f>
        <v>703300</v>
      </c>
      <c r="M101" s="86" t="str">
        <f>IF(_epmOfflineCondition_,"590115",IF(AND(I101="N",J101="N"),_xll.EVPRO($B$1,H101,"PSFTID"),""))</f>
        <v>590115</v>
      </c>
      <c r="N101" s="86" t="str">
        <f>IF(_epmOfflineCondition_,"Uniforms Laundry",IF(_xll.EVDES(H101,$B$1)="#NODATA","",_xll.EVDES(H101,$B$1)))</f>
        <v>Uniforms Laundry</v>
      </c>
      <c r="O101" s="134"/>
      <c r="P101" s="134"/>
      <c r="Q101" s="134"/>
      <c r="R101" s="134"/>
      <c r="S101" s="134"/>
      <c r="T101" s="134"/>
      <c r="U101" s="134"/>
      <c r="V101" s="134"/>
      <c r="W101" s="134">
        <v>2392.5</v>
      </c>
      <c r="X101" s="134">
        <v>-2392.5</v>
      </c>
      <c r="Y101" s="134"/>
      <c r="Z101" s="134"/>
      <c r="AA101" s="223">
        <f t="shared" si="35"/>
        <v>0</v>
      </c>
      <c r="AB101" s="138" t="str">
        <f t="shared" si="36"/>
        <v/>
      </c>
      <c r="AC101" s="136"/>
      <c r="AD101" s="134">
        <v>906.84</v>
      </c>
      <c r="AE101" s="138">
        <f t="shared" si="37"/>
        <v>3.5501771215170476E-3</v>
      </c>
      <c r="AF101" s="137">
        <f t="shared" si="38"/>
        <v>-906.84</v>
      </c>
      <c r="AG101" s="134"/>
      <c r="AH101" s="138" t="str">
        <f t="shared" si="39"/>
        <v/>
      </c>
      <c r="AI101" s="137">
        <f t="shared" si="40"/>
        <v>0</v>
      </c>
      <c r="AJ101" s="458">
        <f t="shared" si="41"/>
        <v>0</v>
      </c>
      <c r="AK101" s="459">
        <f t="shared" si="42"/>
        <v>0.09</v>
      </c>
      <c r="AL101" s="460">
        <f t="shared" si="43"/>
        <v>0</v>
      </c>
      <c r="AM101" s="461">
        <f t="shared" si="44"/>
        <v>0</v>
      </c>
      <c r="AN101" s="462">
        <f t="shared" si="45"/>
        <v>0</v>
      </c>
      <c r="AO101" s="11"/>
    </row>
    <row r="102" spans="1:41" x14ac:dyDescent="0.25">
      <c r="A102" s="11"/>
      <c r="B102" s="11"/>
      <c r="C102" s="11"/>
      <c r="D102" s="11"/>
      <c r="E102" s="11"/>
      <c r="F102" s="11"/>
      <c r="G102" s="11"/>
      <c r="H102" s="84" t="s">
        <v>827</v>
      </c>
      <c r="I102" s="118" t="str">
        <f>IF(_epmOfflineCondition_,"N",_xll.EVPRO($B$1,$H102,"STYLE"))</f>
        <v>N</v>
      </c>
      <c r="J102" s="118" t="str">
        <f>IF(_epmOfflineCondition_,"N",_xll.EVPRO($B$1,$H102,"CALC"))</f>
        <v>N</v>
      </c>
      <c r="K102" s="175" t="str">
        <f t="shared" si="34"/>
        <v/>
      </c>
      <c r="L102" s="86" t="str">
        <f>IF(_epmOfflineCondition_,"703400",_xll.EVPRO($B$1,H102,"JDEID"))</f>
        <v>703400</v>
      </c>
      <c r="M102" s="86" t="str">
        <f>IF(_epmOfflineCondition_,"590010",IF(AND(I102="N",J102="N"),_xll.EVPRO($B$1,H102,"PSFTID"),""))</f>
        <v>590010</v>
      </c>
      <c r="N102" s="86" t="str">
        <f>IF(_epmOfflineCondition_,"Linen",IF(_xll.EVDES(H102,$B$1)="#NODATA","",_xll.EVDES(H102,$B$1)))</f>
        <v>Linen</v>
      </c>
      <c r="O102" s="134"/>
      <c r="P102" s="134"/>
      <c r="Q102" s="134"/>
      <c r="R102" s="134"/>
      <c r="S102" s="134"/>
      <c r="T102" s="134"/>
      <c r="U102" s="134"/>
      <c r="V102" s="134"/>
      <c r="W102" s="134">
        <v>66.16</v>
      </c>
      <c r="X102" s="134">
        <v>2454.5300000000002</v>
      </c>
      <c r="Y102" s="134">
        <v>63.47</v>
      </c>
      <c r="Z102" s="134"/>
      <c r="AA102" s="223">
        <f t="shared" si="35"/>
        <v>2584.16</v>
      </c>
      <c r="AB102" s="138">
        <f t="shared" si="36"/>
        <v>6.29108488689651E-2</v>
      </c>
      <c r="AC102" s="136"/>
      <c r="AD102" s="134"/>
      <c r="AE102" s="138" t="str">
        <f t="shared" si="37"/>
        <v/>
      </c>
      <c r="AF102" s="137">
        <f t="shared" si="38"/>
        <v>2584.16</v>
      </c>
      <c r="AG102" s="134"/>
      <c r="AH102" s="138" t="str">
        <f t="shared" si="39"/>
        <v/>
      </c>
      <c r="AI102" s="137">
        <f t="shared" si="40"/>
        <v>2584.16</v>
      </c>
      <c r="AJ102" s="458">
        <f t="shared" si="41"/>
        <v>1.1567412712623097</v>
      </c>
      <c r="AK102" s="459">
        <f t="shared" si="42"/>
        <v>0</v>
      </c>
      <c r="AL102" s="460">
        <f t="shared" si="43"/>
        <v>0</v>
      </c>
      <c r="AM102" s="461">
        <f t="shared" si="44"/>
        <v>0</v>
      </c>
      <c r="AN102" s="462">
        <f t="shared" si="45"/>
        <v>0</v>
      </c>
      <c r="AO102" s="11"/>
    </row>
    <row r="103" spans="1:41" x14ac:dyDescent="0.25">
      <c r="A103" s="11" t="s">
        <v>108</v>
      </c>
      <c r="B103" s="11"/>
      <c r="C103" s="100" t="s">
        <v>101</v>
      </c>
      <c r="D103" s="11" t="s">
        <v>106</v>
      </c>
      <c r="E103" s="11"/>
      <c r="F103" s="11" t="s">
        <v>98</v>
      </c>
      <c r="G103" s="11"/>
      <c r="H103" s="84" t="s">
        <v>79</v>
      </c>
      <c r="I103" s="132" t="str">
        <f>IF(_epmOfflineCondition_,"T3",_xll.EVPRO($B$1,$H103,"STYLE"))</f>
        <v>T3</v>
      </c>
      <c r="J103" s="132" t="str">
        <f>IF(_epmOfflineCondition_,"Y",_xll.EVPRO($B$1,$H103,"CALC"))</f>
        <v>Y</v>
      </c>
      <c r="K103" s="100"/>
      <c r="L103" s="100"/>
      <c r="M103" s="100"/>
      <c r="N103" s="102" t="str">
        <f>IF(_epmOfflineCondition_,"Total Operations Expense",IF(_xll.EVDES(H103,$B$1)="#NODATA","",_xll.EVDES(H103,$B$1)))</f>
        <v>Total Operations Expense</v>
      </c>
      <c r="O103" s="146"/>
      <c r="P103" s="146">
        <v>79.349999999999994</v>
      </c>
      <c r="Q103" s="146">
        <v>116.75</v>
      </c>
      <c r="R103" s="146"/>
      <c r="S103" s="146">
        <v>150</v>
      </c>
      <c r="T103" s="146"/>
      <c r="U103" s="146">
        <v>172.95</v>
      </c>
      <c r="V103" s="146">
        <v>150</v>
      </c>
      <c r="W103" s="146">
        <v>2608.66</v>
      </c>
      <c r="X103" s="146">
        <v>267.02999999999997</v>
      </c>
      <c r="Y103" s="146">
        <v>213.47</v>
      </c>
      <c r="Z103" s="146">
        <v>150</v>
      </c>
      <c r="AA103" s="146">
        <f t="shared" si="35"/>
        <v>3908.2099999999996</v>
      </c>
      <c r="AB103" s="147">
        <f t="shared" si="36"/>
        <v>9.5144576441930098E-2</v>
      </c>
      <c r="AC103" s="136"/>
      <c r="AD103" s="146">
        <v>6495.4982339239996</v>
      </c>
      <c r="AE103" s="147">
        <f t="shared" si="37"/>
        <v>2.5429148717448911E-2</v>
      </c>
      <c r="AF103" s="148">
        <f t="shared" si="38"/>
        <v>-2587.288233924</v>
      </c>
      <c r="AG103" s="146">
        <v>5761.14</v>
      </c>
      <c r="AH103" s="147">
        <f t="shared" si="39"/>
        <v>0.30457533893161737</v>
      </c>
      <c r="AI103" s="148">
        <f t="shared" si="40"/>
        <v>-1852.9300000000007</v>
      </c>
      <c r="AJ103" s="431">
        <f t="shared" si="41"/>
        <v>1.7494225604297222</v>
      </c>
      <c r="AK103" s="432">
        <f t="shared" si="42"/>
        <v>0.64465047974632783</v>
      </c>
      <c r="AL103" s="433">
        <f t="shared" si="43"/>
        <v>5.6481764705882354</v>
      </c>
      <c r="AM103" s="434" t="str">
        <f t="shared" si="44"/>
        <v>6.97 pts.</v>
      </c>
      <c r="AN103" s="550" t="str">
        <f t="shared" si="45"/>
        <v>-20.94 pts.</v>
      </c>
      <c r="AO103" s="11"/>
    </row>
    <row r="104" spans="1:41" x14ac:dyDescent="0.25">
      <c r="A104" s="11" t="s">
        <v>100</v>
      </c>
      <c r="B104" s="11"/>
      <c r="C104" s="49" t="s">
        <v>101</v>
      </c>
      <c r="D104" s="11" t="s">
        <v>106</v>
      </c>
      <c r="E104" s="11"/>
      <c r="F104" s="11" t="s">
        <v>98</v>
      </c>
      <c r="G104" s="11"/>
      <c r="H104" s="11"/>
      <c r="I104" s="55"/>
      <c r="J104" s="55"/>
      <c r="K104" s="11"/>
      <c r="L104" s="11"/>
      <c r="M104" s="11"/>
      <c r="N104" s="11"/>
      <c r="O104" s="136"/>
      <c r="P104" s="136"/>
      <c r="Q104" s="136"/>
      <c r="R104" s="136"/>
      <c r="S104" s="136"/>
      <c r="T104" s="136"/>
      <c r="U104" s="136"/>
      <c r="V104" s="136"/>
      <c r="W104" s="136"/>
      <c r="X104" s="136"/>
      <c r="Y104" s="136"/>
      <c r="Z104" s="136"/>
      <c r="AA104" s="136"/>
      <c r="AB104" s="136"/>
      <c r="AC104" s="136"/>
      <c r="AD104" s="136"/>
      <c r="AE104" s="136"/>
      <c r="AF104" s="136"/>
      <c r="AG104" s="136"/>
      <c r="AH104" s="136"/>
      <c r="AI104" s="136"/>
      <c r="AJ104" s="136"/>
      <c r="AK104" s="136"/>
      <c r="AL104" s="136"/>
      <c r="AM104" s="136"/>
      <c r="AN104" s="136"/>
      <c r="AO104" s="11"/>
    </row>
    <row r="105" spans="1:41" x14ac:dyDescent="0.25">
      <c r="A105" s="11" t="s">
        <v>109</v>
      </c>
      <c r="B105" s="11"/>
      <c r="C105" s="102" t="s">
        <v>101</v>
      </c>
      <c r="D105" s="11" t="s">
        <v>106</v>
      </c>
      <c r="E105" s="11"/>
      <c r="F105" s="11" t="s">
        <v>98</v>
      </c>
      <c r="G105" s="72"/>
      <c r="H105" s="84" t="s">
        <v>80</v>
      </c>
      <c r="I105" s="132" t="str">
        <f>IF(_epmOfflineCondition_,"T3",_xll.EVPRO($B$1,$H105,"STYLE"))</f>
        <v>T3</v>
      </c>
      <c r="J105" s="132" t="str">
        <f>IF(_epmOfflineCondition_,"Y",_xll.EVPRO($B$1,$H105,"CALC"))</f>
        <v>Y</v>
      </c>
      <c r="K105" s="102"/>
      <c r="L105" s="102"/>
      <c r="M105" s="102"/>
      <c r="N105" s="102" t="str">
        <f>IF(_epmOfflineCondition_,"Total Expenses",IF(_xll.EVDES(H105,$B$1)="#NODATA","",_xll.EVDES(H105,$B$1)))</f>
        <v>Total Expenses</v>
      </c>
      <c r="O105" s="210">
        <v>2636</v>
      </c>
      <c r="P105" s="210">
        <v>2794.37</v>
      </c>
      <c r="Q105" s="210">
        <v>2832.25</v>
      </c>
      <c r="R105" s="210">
        <v>2616.9899999999998</v>
      </c>
      <c r="S105" s="210">
        <v>2516.92</v>
      </c>
      <c r="T105" s="210">
        <v>1980.66</v>
      </c>
      <c r="U105" s="210">
        <v>3108.04</v>
      </c>
      <c r="V105" s="210">
        <v>2220.67</v>
      </c>
      <c r="W105" s="210">
        <v>6624.59</v>
      </c>
      <c r="X105" s="210">
        <v>-81.459999999999695</v>
      </c>
      <c r="Y105" s="210">
        <v>2852.11</v>
      </c>
      <c r="Z105" s="210">
        <v>3465.22</v>
      </c>
      <c r="AA105" s="210">
        <f>IF($I105="B1","",SUM(O105:Z105))</f>
        <v>33566.36</v>
      </c>
      <c r="AB105" s="211">
        <f>IF(AA105=0,"",IFERROR(AA105/AA$19,""))</f>
        <v>0.81716619754244146</v>
      </c>
      <c r="AC105" s="136"/>
      <c r="AD105" s="210">
        <v>87018.092337412803</v>
      </c>
      <c r="AE105" s="211">
        <f>IF(AD105=0,"",IFERROR(AD105/AD$19,""))</f>
        <v>0.34066609388022234</v>
      </c>
      <c r="AF105" s="212">
        <f>IF(AND($AA105="",AD105=""),"",$AA105-AD105)</f>
        <v>-53451.732337412803</v>
      </c>
      <c r="AG105" s="213">
        <v>31592.98</v>
      </c>
      <c r="AH105" s="214">
        <f>IF(AG105=0,"",IFERROR(AG105/AG$19,""))</f>
        <v>1.670232383063041</v>
      </c>
      <c r="AI105" s="212">
        <f>IF(AND($AA105="",AG105=""),"",$AA105-AG105)</f>
        <v>1973.380000000001</v>
      </c>
      <c r="AJ105" s="437">
        <f>IFERROR(AA105/AA$20,0)</f>
        <v>15.025228290062667</v>
      </c>
      <c r="AK105" s="438">
        <f>IFERROR(AD105/AD$20,0)</f>
        <v>8.6361743089929348</v>
      </c>
      <c r="AL105" s="439">
        <f>IFERROR(AG105/AG$20,0)</f>
        <v>30.973509803921569</v>
      </c>
      <c r="AM105" s="440" t="str">
        <f>+IFERROR(ROUND(($AB105-AE105)*100,2)&amp;" pts.",0)</f>
        <v>47.65 pts.</v>
      </c>
      <c r="AN105" s="551" t="str">
        <f>+IFERROR(ROUND(($AB105-AH105)*100,2)&amp;" pts.",0)</f>
        <v>-85.31 pts.</v>
      </c>
      <c r="AO105" s="11"/>
    </row>
    <row r="106" spans="1:41" ht="15.75" thickBot="1" x14ac:dyDescent="0.3">
      <c r="A106" s="11" t="s">
        <v>109</v>
      </c>
      <c r="B106" s="11"/>
      <c r="C106" s="192" t="s">
        <v>101</v>
      </c>
      <c r="D106" s="11" t="s">
        <v>107</v>
      </c>
      <c r="E106" s="11"/>
      <c r="F106" s="11" t="s">
        <v>99</v>
      </c>
      <c r="G106" s="11"/>
      <c r="H106" s="84" t="s">
        <v>81</v>
      </c>
      <c r="I106" s="132" t="str">
        <f>IF(_epmOfflineCondition_,"T3",_xll.EVPRO($B$1,$H106,"STYLE"))</f>
        <v>T3</v>
      </c>
      <c r="J106" s="132" t="str">
        <f>IF(_epmOfflineCondition_,"Y",_xll.EVPRO($B$1,$H106,"CALC"))</f>
        <v>Y</v>
      </c>
      <c r="K106" s="102"/>
      <c r="L106" s="102"/>
      <c r="M106" s="102"/>
      <c r="N106" s="102" t="str">
        <f>IF(_epmOfflineCondition_,"Department Profit (Loss)",IF(_xll.EVDES(H106,$B$1)="#NODATA","",_xll.EVDES(H106,$B$1)))</f>
        <v>Department Profit (Loss)</v>
      </c>
      <c r="O106" s="161">
        <v>-1367.62</v>
      </c>
      <c r="P106" s="161">
        <v>37.740000000000101</v>
      </c>
      <c r="Q106" s="161">
        <v>949.33</v>
      </c>
      <c r="R106" s="161">
        <v>87.990000000000094</v>
      </c>
      <c r="S106" s="161">
        <v>627.4</v>
      </c>
      <c r="T106" s="161">
        <v>-159.19999999999999</v>
      </c>
      <c r="U106" s="161">
        <v>1083.6099999999999</v>
      </c>
      <c r="V106" s="161">
        <v>-208.84</v>
      </c>
      <c r="W106" s="161">
        <v>-3912.74</v>
      </c>
      <c r="X106" s="161">
        <v>1075.03</v>
      </c>
      <c r="Y106" s="161">
        <v>293.07999999999902</v>
      </c>
      <c r="Z106" s="161">
        <v>1687.48</v>
      </c>
      <c r="AA106" s="161">
        <f>IF($I106="B1","",SUM(O106:Z106))</f>
        <v>193.25999999999954</v>
      </c>
      <c r="AB106" s="162">
        <f>IF(AA106=0,"",IFERROR(AA106/AA$19,""))</f>
        <v>4.7048753376014519E-3</v>
      </c>
      <c r="AC106" s="136"/>
      <c r="AD106" s="161">
        <v>117144.490462587</v>
      </c>
      <c r="AE106" s="162">
        <f>IF(AD106=0,"",IFERROR(AD106/AD$19,""))</f>
        <v>0.45860757129377655</v>
      </c>
      <c r="AF106" s="163">
        <f>IF(AND($AA106="",AD106=""),"",$AA106-AD106)</f>
        <v>-116951.230462587</v>
      </c>
      <c r="AG106" s="161">
        <v>-16129.32</v>
      </c>
      <c r="AH106" s="162">
        <f>IF(AG106=0,"",IFERROR(AG106/AG$19,""))</f>
        <v>-0.8527119816106733</v>
      </c>
      <c r="AI106" s="163">
        <f>IF(AND($AA106="",AG106=""),"",$AA106-AG106)</f>
        <v>16322.58</v>
      </c>
      <c r="AJ106" s="442">
        <f>IFERROR(AA106/AA$20,0)</f>
        <v>8.6508504923903107E-2</v>
      </c>
      <c r="AK106" s="443">
        <f>IFERROR(AD106/AD$20,0)</f>
        <v>11.62609075650923</v>
      </c>
      <c r="AL106" s="444">
        <f>IFERROR(AG106/AG$20,0)</f>
        <v>-15.813058823529412</v>
      </c>
      <c r="AM106" s="445" t="str">
        <f>+IFERROR(ROUND(($AB106-AE106)*100,2)&amp;" pts.",0)</f>
        <v>-45.39 pts.</v>
      </c>
      <c r="AN106" s="552" t="str">
        <f>+IFERROR(ROUND(($AB106-AH106)*100,2)&amp;" pts.",0)</f>
        <v>85.74 pts.</v>
      </c>
      <c r="AO106" s="11"/>
    </row>
    <row r="107" spans="1:41" ht="15.75" thickTop="1" x14ac:dyDescent="0.25">
      <c r="A107" s="11" t="s">
        <v>110</v>
      </c>
      <c r="B107" s="11"/>
      <c r="C107" s="102" t="s">
        <v>101</v>
      </c>
      <c r="D107" s="11" t="s">
        <v>106</v>
      </c>
      <c r="E107" s="11"/>
      <c r="F107" s="11" t="s">
        <v>98</v>
      </c>
      <c r="G107" s="11"/>
      <c r="H107" s="11"/>
      <c r="I107" s="55"/>
      <c r="J107" s="55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x14ac:dyDescent="0.25">
      <c r="A108" s="11" t="s">
        <v>110</v>
      </c>
      <c r="B108" s="11"/>
      <c r="C108" s="105" t="s">
        <v>101</v>
      </c>
      <c r="D108" s="11" t="s">
        <v>107</v>
      </c>
      <c r="E108" s="11"/>
      <c r="F108" s="11" t="s">
        <v>99</v>
      </c>
      <c r="G108" s="11"/>
      <c r="H108" s="11"/>
      <c r="I108" s="55"/>
      <c r="J108" s="55"/>
      <c r="K108" s="11"/>
      <c r="L108" s="11"/>
      <c r="M108" s="11"/>
      <c r="N108" s="100" t="str">
        <f>N105&amp;" - Check"</f>
        <v>Total Expenses - Check</v>
      </c>
      <c r="O108" s="205">
        <f t="shared" ref="O108:AA108" si="46">SUMIF($H$35:$H$106,"600000",O$35:O$106)+SUMIF($H$35:$H$106,"700000",O$35:O$106)-SUMIF($H$35:$H$106,"TOTDEPTEXP",O$35:O$106)</f>
        <v>0</v>
      </c>
      <c r="P108" s="205">
        <f t="shared" si="46"/>
        <v>0</v>
      </c>
      <c r="Q108" s="205">
        <f t="shared" si="46"/>
        <v>0</v>
      </c>
      <c r="R108" s="205">
        <f t="shared" si="46"/>
        <v>0</v>
      </c>
      <c r="S108" s="205">
        <f t="shared" si="46"/>
        <v>0</v>
      </c>
      <c r="T108" s="205">
        <f t="shared" si="46"/>
        <v>0</v>
      </c>
      <c r="U108" s="205">
        <f t="shared" si="46"/>
        <v>0</v>
      </c>
      <c r="V108" s="205">
        <f t="shared" si="46"/>
        <v>0</v>
      </c>
      <c r="W108" s="205">
        <f t="shared" si="46"/>
        <v>0</v>
      </c>
      <c r="X108" s="205">
        <f t="shared" si="46"/>
        <v>-3.4106051316484809E-13</v>
      </c>
      <c r="Y108" s="205">
        <f t="shared" si="46"/>
        <v>0</v>
      </c>
      <c r="Z108" s="205">
        <f t="shared" si="46"/>
        <v>0</v>
      </c>
      <c r="AA108" s="205">
        <f t="shared" si="46"/>
        <v>0</v>
      </c>
      <c r="AB108" s="96"/>
      <c r="AC108" s="11"/>
      <c r="AD108" s="205">
        <f>SUMIF($H$35:$H$106,"600000",AD$35:AD$106)+SUMIF($H$35:$H$106,"700000",AD$35:AD$106)-SUMIF($H$35:$H$106,"TOTDEPTEXP",AD$35:AD$106)</f>
        <v>0</v>
      </c>
      <c r="AE108" s="96"/>
      <c r="AF108" s="87"/>
      <c r="AG108" s="205">
        <f>SUMIF($H$35:$H$106,"600000",AG$35:AG$106)+SUMIF($H$35:$H$106,"700000",AG$35:AG$106)-SUMIF($H$35:$H$106,"TOTDEPTEXP",AG$35:AG$106)</f>
        <v>0</v>
      </c>
      <c r="AH108" s="96"/>
      <c r="AI108" s="87"/>
      <c r="AJ108" s="11"/>
      <c r="AK108" s="11"/>
      <c r="AL108" s="11"/>
      <c r="AM108" s="11"/>
      <c r="AN108" s="11"/>
      <c r="AO108" s="11"/>
    </row>
    <row r="109" spans="1:41" x14ac:dyDescent="0.25">
      <c r="A109" s="11"/>
      <c r="B109" s="11"/>
      <c r="C109" s="204"/>
      <c r="D109" s="11"/>
      <c r="E109" s="11"/>
      <c r="F109" s="11"/>
      <c r="G109" s="11"/>
      <c r="H109" s="11"/>
      <c r="I109" s="55"/>
      <c r="J109" s="55"/>
      <c r="K109" s="11"/>
      <c r="L109" s="11"/>
      <c r="M109" s="11"/>
      <c r="N109" s="100" t="str">
        <f>N106&amp;" - Check"</f>
        <v>Department Profit (Loss) - Check</v>
      </c>
      <c r="O109" s="205">
        <f t="shared" ref="O109:AA109" si="47">SUMIF($H$35:$H$106,"KPI_GP",O$35:O$106)-SUMIF($H$35:$H$106,"TOTDEPTEXP",O$35:O$106)-SUMIF($H$35:$H$106,"TOTDEPTPL",O$35:O$106)</f>
        <v>0</v>
      </c>
      <c r="P109" s="205">
        <f t="shared" si="47"/>
        <v>1.3500311979441904E-13</v>
      </c>
      <c r="Q109" s="205">
        <f t="shared" si="47"/>
        <v>0</v>
      </c>
      <c r="R109" s="205">
        <f t="shared" si="47"/>
        <v>-3.1263880373444408E-13</v>
      </c>
      <c r="S109" s="205">
        <f t="shared" si="47"/>
        <v>0</v>
      </c>
      <c r="T109" s="205">
        <f t="shared" si="47"/>
        <v>0</v>
      </c>
      <c r="U109" s="205">
        <f t="shared" si="47"/>
        <v>0</v>
      </c>
      <c r="V109" s="205">
        <f t="shared" si="47"/>
        <v>0</v>
      </c>
      <c r="W109" s="205">
        <f t="shared" si="47"/>
        <v>0</v>
      </c>
      <c r="X109" s="205">
        <f t="shared" si="47"/>
        <v>0</v>
      </c>
      <c r="Y109" s="205">
        <f t="shared" si="47"/>
        <v>9.0949470177292824E-13</v>
      </c>
      <c r="Z109" s="205">
        <f t="shared" si="47"/>
        <v>0</v>
      </c>
      <c r="AA109" s="205">
        <f t="shared" si="47"/>
        <v>-4.7748471843078732E-12</v>
      </c>
      <c r="AB109" s="96"/>
      <c r="AC109" s="11"/>
      <c r="AD109" s="205">
        <f>SUMIF($H$35:$H$106,"KPI_GP",AD$35:AD$106)-SUMIF($H$35:$H$106,"TOTDEPTEXP",AD$35:AD$106)-SUMIF($H$35:$H$106,"TOTDEPTPL",AD$35:AD$106)</f>
        <v>2.0372681319713593E-10</v>
      </c>
      <c r="AE109" s="96"/>
      <c r="AF109" s="87"/>
      <c r="AG109" s="205">
        <f>SUMIF($H$35:$H$106,"KPI_GP",AG$35:AG$106)-SUMIF($H$35:$H$106,"TOTDEPTEXP",AG$35:AG$106)-SUMIF($H$35:$H$106,"TOTDEPTPL",AG$35:AG$106)</f>
        <v>0</v>
      </c>
      <c r="AH109" s="96"/>
      <c r="AI109" s="87"/>
      <c r="AJ109" s="11"/>
      <c r="AK109" s="11"/>
      <c r="AL109" s="11"/>
      <c r="AM109" s="11"/>
      <c r="AN109" s="11"/>
      <c r="AO109" s="11"/>
    </row>
    <row r="110" spans="1:41" x14ac:dyDescent="0.25">
      <c r="A110" s="11"/>
      <c r="B110" s="11"/>
      <c r="C110" s="11"/>
      <c r="D110" s="11"/>
      <c r="E110" s="11"/>
      <c r="F110" s="11"/>
      <c r="G110" s="11"/>
      <c r="H110" s="11"/>
      <c r="I110" s="55"/>
      <c r="J110" s="55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x14ac:dyDescent="0.25">
      <c r="A111" s="56" t="str">
        <f>IF(_epmOfflineCondition_,"Evdre:Ok",_xll.EVDRE($B$1,A114:B121))</f>
        <v>Evdre:Ok</v>
      </c>
      <c r="B111" s="11" t="s">
        <v>737</v>
      </c>
      <c r="C111" s="11"/>
      <c r="D111" s="11"/>
      <c r="E111" s="11"/>
      <c r="F111" s="11"/>
      <c r="G111" s="72"/>
      <c r="H111" s="11"/>
      <c r="I111" s="55"/>
      <c r="J111" s="55"/>
      <c r="K111" s="11"/>
      <c r="L111" s="11"/>
      <c r="M111" s="11"/>
      <c r="N111" s="11"/>
      <c r="O111" s="133"/>
      <c r="P111" s="133"/>
      <c r="Q111" s="133"/>
      <c r="R111" s="133"/>
      <c r="S111" s="133"/>
      <c r="T111" s="133"/>
      <c r="U111" s="133"/>
      <c r="V111" s="133"/>
      <c r="W111" s="133"/>
      <c r="X111" s="133"/>
      <c r="Y111" s="133"/>
      <c r="Z111" s="133"/>
      <c r="AA111" s="133"/>
      <c r="AB111" s="11"/>
      <c r="AC111" s="11"/>
      <c r="AD111" s="133"/>
      <c r="AE111" s="11"/>
      <c r="AF111" s="11"/>
      <c r="AG111" s="133"/>
      <c r="AH111" s="11"/>
      <c r="AI111" s="11"/>
      <c r="AJ111" s="11"/>
      <c r="AK111" s="11"/>
      <c r="AL111" s="11"/>
      <c r="AM111" s="11"/>
      <c r="AN111" s="11"/>
      <c r="AO111" s="11"/>
    </row>
    <row r="112" spans="1:41" x14ac:dyDescent="0.25">
      <c r="A112" s="11"/>
      <c r="B112" s="11"/>
      <c r="C112" s="11"/>
      <c r="D112" s="11"/>
      <c r="E112" s="11"/>
      <c r="F112" s="11"/>
      <c r="G112" s="11"/>
      <c r="H112" s="11"/>
      <c r="I112" s="55"/>
      <c r="J112" s="55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x14ac:dyDescent="0.25">
      <c r="A113" s="57" t="s">
        <v>0</v>
      </c>
      <c r="B113" s="58" t="s">
        <v>1</v>
      </c>
      <c r="C113" s="11"/>
      <c r="D113" s="11"/>
      <c r="E113" s="11"/>
      <c r="F113" s="11"/>
      <c r="G113" s="11"/>
      <c r="H113" s="11"/>
      <c r="I113" s="55"/>
      <c r="J113" s="55"/>
      <c r="K113" s="11"/>
      <c r="L113" s="11"/>
      <c r="M113" s="11"/>
      <c r="N113" s="11"/>
      <c r="O113" s="133"/>
      <c r="P113" s="133"/>
      <c r="Q113" s="133"/>
      <c r="R113" s="133"/>
      <c r="S113" s="133"/>
      <c r="T113" s="133"/>
      <c r="U113" s="133"/>
      <c r="V113" s="133"/>
      <c r="W113" s="133"/>
      <c r="X113" s="133"/>
      <c r="Y113" s="133"/>
      <c r="Z113" s="133"/>
      <c r="AA113" s="133"/>
      <c r="AB113" s="11"/>
      <c r="AC113" s="11"/>
      <c r="AD113" s="133"/>
      <c r="AE113" s="11"/>
      <c r="AF113" s="11"/>
      <c r="AG113" s="133"/>
      <c r="AH113" s="11"/>
      <c r="AI113" s="11"/>
      <c r="AJ113" s="11"/>
      <c r="AK113" s="11"/>
      <c r="AL113" s="11"/>
      <c r="AM113" s="11"/>
      <c r="AN113" s="11"/>
      <c r="AO113" s="11"/>
    </row>
    <row r="114" spans="1:41" x14ac:dyDescent="0.25">
      <c r="A114" s="61" t="s">
        <v>2</v>
      </c>
      <c r="B114" s="62" t="str">
        <f>IF(_epmOfflineCondition_,"'Venue2'!$B$2:$B$10",_xll.EVRNG($B$2:$B$10))</f>
        <v>'Venue2'!$B$2:$B$10</v>
      </c>
      <c r="C114" s="11"/>
      <c r="D114" s="11"/>
      <c r="E114" s="11"/>
      <c r="F114" s="11"/>
      <c r="G114" s="11"/>
      <c r="H114" s="11"/>
      <c r="I114" s="55"/>
      <c r="J114" s="55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x14ac:dyDescent="0.25">
      <c r="A115" s="61" t="s">
        <v>3</v>
      </c>
      <c r="B115" s="62" t="str">
        <f>IF(_epmOfflineCondition_,"'Venue2'!$O$16:$AN$18",_xll.EVRNG($O$16:$AN$18))</f>
        <v>'Venue2'!$O$16:$AN$18</v>
      </c>
      <c r="C115" s="11"/>
      <c r="D115" s="11"/>
      <c r="E115" s="11"/>
      <c r="F115" s="11"/>
      <c r="G115" s="11"/>
      <c r="H115" s="11"/>
      <c r="I115" s="55"/>
      <c r="J115" s="55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x14ac:dyDescent="0.25">
      <c r="A116" s="61" t="s">
        <v>4</v>
      </c>
      <c r="B116" s="62" t="str">
        <f>IF(_epmOfflineCondition_,"'Venue2'!$H$103:$H$106",_xll.EVRNG(H103:H106))</f>
        <v>'Venue2'!$H$103:$H$106</v>
      </c>
      <c r="C116" s="11"/>
      <c r="D116" s="11"/>
      <c r="E116" s="11"/>
      <c r="F116" s="11"/>
      <c r="G116" s="11"/>
      <c r="H116" s="55"/>
      <c r="I116" s="55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x14ac:dyDescent="0.25">
      <c r="A117" s="61" t="s">
        <v>5</v>
      </c>
      <c r="B117" s="62"/>
      <c r="C117" s="11"/>
      <c r="D117" s="11"/>
      <c r="E117" s="11"/>
      <c r="F117" s="11"/>
      <c r="G117" s="11"/>
      <c r="H117" s="55"/>
      <c r="I117" s="55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x14ac:dyDescent="0.25">
      <c r="A118" s="61" t="s">
        <v>6</v>
      </c>
      <c r="B118" s="62"/>
      <c r="C118" s="11"/>
      <c r="D118" s="11"/>
      <c r="E118" s="11"/>
      <c r="F118" s="11"/>
      <c r="G118" s="11"/>
      <c r="H118" s="55"/>
      <c r="I118" s="55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x14ac:dyDescent="0.25">
      <c r="A119" s="61" t="s">
        <v>7</v>
      </c>
      <c r="B119" s="62"/>
      <c r="C119" s="11"/>
      <c r="D119" s="11"/>
      <c r="E119" s="11"/>
      <c r="F119" s="11"/>
      <c r="G119" s="11"/>
      <c r="H119" s="55"/>
      <c r="I119" s="55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x14ac:dyDescent="0.25">
      <c r="A120" s="61" t="s">
        <v>47</v>
      </c>
      <c r="B120" s="62" t="str">
        <f>IF(_epmOfflineCondition_,"'Venue2'!$A$125:$B$146",_xll.EVRNG($A$125:$B$146))</f>
        <v>'Venue2'!$A$125:$B$146</v>
      </c>
      <c r="C120" s="11"/>
      <c r="D120" s="11"/>
      <c r="E120" s="11"/>
      <c r="F120" s="11"/>
      <c r="G120" s="11"/>
      <c r="H120" s="55"/>
      <c r="I120" s="55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x14ac:dyDescent="0.25">
      <c r="A121" s="61" t="s">
        <v>8</v>
      </c>
      <c r="B121" s="62"/>
      <c r="C121" s="11"/>
      <c r="D121" s="11"/>
      <c r="E121" s="11"/>
      <c r="F121" s="11"/>
      <c r="G121" s="11"/>
      <c r="H121" s="55"/>
      <c r="I121" s="55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x14ac:dyDescent="0.25">
      <c r="A122" s="11"/>
      <c r="B122" s="11"/>
      <c r="C122" s="11"/>
      <c r="D122" s="11"/>
      <c r="E122" s="11"/>
      <c r="F122" s="11"/>
      <c r="G122" s="11"/>
      <c r="H122" s="55"/>
      <c r="I122" s="55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x14ac:dyDescent="0.25">
      <c r="A123" s="11"/>
      <c r="B123" s="11"/>
      <c r="C123" s="11"/>
      <c r="D123" s="11"/>
      <c r="E123" s="11"/>
      <c r="F123" s="11"/>
      <c r="G123" s="11"/>
      <c r="H123" s="55"/>
      <c r="I123" s="55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x14ac:dyDescent="0.25">
      <c r="A124" s="57" t="s">
        <v>23</v>
      </c>
      <c r="B124" s="58" t="s">
        <v>24</v>
      </c>
      <c r="C124" s="11"/>
      <c r="D124" s="11"/>
      <c r="E124" s="11"/>
      <c r="F124" s="11"/>
      <c r="G124" s="11"/>
      <c r="H124" s="55"/>
      <c r="I124" s="55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x14ac:dyDescent="0.25">
      <c r="A125" s="61" t="s">
        <v>25</v>
      </c>
      <c r="B125" s="62"/>
      <c r="C125" s="11"/>
      <c r="D125" s="11"/>
      <c r="E125" s="11"/>
      <c r="F125" s="11"/>
      <c r="G125" s="11"/>
      <c r="H125" s="55"/>
      <c r="I125" s="55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x14ac:dyDescent="0.25">
      <c r="A126" s="61" t="s">
        <v>26</v>
      </c>
      <c r="B126" s="62"/>
      <c r="C126" s="11"/>
      <c r="D126" s="11"/>
      <c r="E126" s="11"/>
      <c r="F126" s="11"/>
      <c r="G126" s="11"/>
      <c r="H126" s="55"/>
      <c r="I126" s="55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x14ac:dyDescent="0.25">
      <c r="A127" s="61" t="s">
        <v>27</v>
      </c>
      <c r="B127" s="62"/>
      <c r="C127" s="11"/>
      <c r="D127" s="11"/>
      <c r="E127" s="11"/>
      <c r="F127" s="11"/>
      <c r="G127" s="11"/>
      <c r="H127" s="55"/>
      <c r="I127" s="55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x14ac:dyDescent="0.25">
      <c r="A128" s="61" t="s">
        <v>28</v>
      </c>
      <c r="B128" s="62"/>
      <c r="C128" s="11"/>
      <c r="D128" s="11"/>
      <c r="E128" s="11"/>
      <c r="F128" s="11"/>
      <c r="G128" s="11"/>
      <c r="H128" s="55"/>
      <c r="I128" s="55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</row>
    <row r="129" spans="1:41" x14ac:dyDescent="0.25">
      <c r="A129" s="61" t="s">
        <v>29</v>
      </c>
      <c r="B129" s="62"/>
      <c r="C129" s="11"/>
      <c r="D129" s="11"/>
      <c r="E129" s="11"/>
      <c r="F129" s="11"/>
      <c r="G129" s="11"/>
      <c r="H129" s="55"/>
      <c r="I129" s="55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x14ac:dyDescent="0.25">
      <c r="A130" s="61" t="s">
        <v>30</v>
      </c>
      <c r="B130" s="62" t="s">
        <v>78</v>
      </c>
      <c r="C130" s="11"/>
      <c r="D130" s="11"/>
      <c r="E130" s="11"/>
      <c r="F130" s="11"/>
      <c r="G130" s="11"/>
      <c r="H130" s="55"/>
      <c r="I130" s="55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x14ac:dyDescent="0.25">
      <c r="A131" s="61" t="s">
        <v>31</v>
      </c>
      <c r="B131" s="62" t="s">
        <v>78</v>
      </c>
      <c r="C131" s="11"/>
      <c r="D131" s="11"/>
      <c r="E131" s="11"/>
      <c r="F131" s="11"/>
      <c r="G131" s="11"/>
      <c r="H131" s="55"/>
      <c r="I131" s="55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x14ac:dyDescent="0.25">
      <c r="A132" s="61" t="s">
        <v>32</v>
      </c>
      <c r="B132" s="62"/>
      <c r="C132" s="11"/>
      <c r="D132" s="11"/>
      <c r="E132" s="11"/>
      <c r="F132" s="11"/>
      <c r="G132" s="11"/>
      <c r="H132" s="55"/>
      <c r="I132" s="55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x14ac:dyDescent="0.25">
      <c r="A133" s="61" t="s">
        <v>33</v>
      </c>
      <c r="B133" s="62"/>
      <c r="C133" s="11"/>
      <c r="D133" s="11"/>
      <c r="E133" s="11"/>
      <c r="F133" s="11"/>
      <c r="G133" s="11"/>
      <c r="H133" s="55"/>
      <c r="I133" s="55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x14ac:dyDescent="0.25">
      <c r="A134" s="61" t="s">
        <v>34</v>
      </c>
      <c r="B134" s="62"/>
      <c r="C134" s="11"/>
      <c r="D134" s="11"/>
      <c r="E134" s="11"/>
      <c r="F134" s="11"/>
      <c r="G134" s="11"/>
      <c r="H134" s="55"/>
      <c r="I134" s="55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x14ac:dyDescent="0.25">
      <c r="A135" s="61" t="s">
        <v>35</v>
      </c>
      <c r="B135" s="62"/>
      <c r="C135" s="11"/>
      <c r="D135" s="11"/>
      <c r="E135" s="11"/>
      <c r="F135" s="11"/>
      <c r="G135" s="11"/>
      <c r="H135" s="55"/>
      <c r="I135" s="55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x14ac:dyDescent="0.25">
      <c r="A136" s="61" t="s">
        <v>36</v>
      </c>
      <c r="B136" s="62"/>
      <c r="C136" s="11"/>
      <c r="D136" s="11"/>
      <c r="E136" s="11"/>
      <c r="F136" s="11"/>
      <c r="G136" s="11"/>
      <c r="H136" s="55"/>
      <c r="I136" s="55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x14ac:dyDescent="0.25">
      <c r="A137" s="61" t="s">
        <v>37</v>
      </c>
      <c r="B137" s="62"/>
      <c r="C137" s="11"/>
      <c r="D137" s="11"/>
      <c r="E137" s="11"/>
      <c r="F137" s="11"/>
      <c r="G137" s="11"/>
      <c r="H137" s="55"/>
      <c r="I137" s="55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x14ac:dyDescent="0.25">
      <c r="A138" s="61" t="s">
        <v>38</v>
      </c>
      <c r="B138" s="62"/>
      <c r="C138" s="11"/>
      <c r="D138" s="11"/>
      <c r="E138" s="11"/>
      <c r="F138" s="11"/>
      <c r="G138" s="11"/>
      <c r="H138" s="55"/>
      <c r="I138" s="55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x14ac:dyDescent="0.25">
      <c r="A139" s="61" t="s">
        <v>39</v>
      </c>
      <c r="B139" s="62"/>
      <c r="C139" s="11"/>
      <c r="D139" s="11"/>
      <c r="E139" s="11"/>
      <c r="F139" s="11"/>
      <c r="G139" s="11"/>
      <c r="H139" s="11"/>
      <c r="I139" s="55"/>
      <c r="J139" s="55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x14ac:dyDescent="0.25">
      <c r="A140" s="61" t="s">
        <v>40</v>
      </c>
      <c r="B140" s="62"/>
      <c r="C140" s="11"/>
      <c r="D140" s="11"/>
      <c r="E140" s="11"/>
      <c r="F140" s="11"/>
      <c r="G140" s="11"/>
      <c r="H140" s="11"/>
      <c r="I140" s="55"/>
      <c r="J140" s="55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</row>
    <row r="141" spans="1:41" x14ac:dyDescent="0.25">
      <c r="A141" s="61" t="s">
        <v>41</v>
      </c>
      <c r="B141" s="62"/>
      <c r="C141" s="11"/>
      <c r="D141" s="11"/>
      <c r="E141" s="11"/>
      <c r="F141" s="11"/>
      <c r="G141" s="11"/>
      <c r="H141" s="11"/>
      <c r="I141" s="55"/>
      <c r="J141" s="55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x14ac:dyDescent="0.25">
      <c r="A142" s="61" t="s">
        <v>42</v>
      </c>
      <c r="B142" s="62"/>
      <c r="C142" s="11"/>
      <c r="D142" s="11"/>
      <c r="E142" s="11"/>
      <c r="F142" s="11"/>
      <c r="G142" s="11"/>
      <c r="H142" s="11"/>
      <c r="I142" s="55"/>
      <c r="J142" s="55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</row>
    <row r="143" spans="1:41" x14ac:dyDescent="0.25">
      <c r="A143" s="61" t="s">
        <v>43</v>
      </c>
      <c r="B143" s="62"/>
      <c r="C143" s="11"/>
      <c r="D143" s="11"/>
      <c r="E143" s="11"/>
      <c r="F143" s="11"/>
      <c r="G143" s="11"/>
      <c r="H143" s="11"/>
      <c r="I143" s="55"/>
      <c r="J143" s="55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x14ac:dyDescent="0.25">
      <c r="A144" s="61" t="s">
        <v>44</v>
      </c>
      <c r="B144" s="62"/>
      <c r="C144" s="11"/>
      <c r="D144" s="11"/>
      <c r="E144" s="11"/>
      <c r="F144" s="11"/>
      <c r="G144" s="11"/>
      <c r="H144" s="11"/>
      <c r="I144" s="55"/>
      <c r="J144" s="55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</row>
    <row r="145" spans="1:41" x14ac:dyDescent="0.25">
      <c r="A145" s="61" t="s">
        <v>45</v>
      </c>
      <c r="B145" s="62"/>
      <c r="C145" s="11"/>
      <c r="D145" s="11"/>
      <c r="E145" s="11"/>
      <c r="F145" s="11"/>
      <c r="G145" s="11"/>
      <c r="H145" s="11"/>
      <c r="I145" s="55"/>
      <c r="J145" s="55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</row>
    <row r="146" spans="1:41" x14ac:dyDescent="0.25">
      <c r="A146" s="61" t="s">
        <v>46</v>
      </c>
      <c r="B146" s="62"/>
      <c r="C146" s="11"/>
      <c r="D146" s="11"/>
      <c r="E146" s="11"/>
      <c r="F146" s="11"/>
      <c r="G146" s="11"/>
      <c r="H146" s="11"/>
      <c r="I146" s="55"/>
      <c r="J146" s="55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</row>
    <row r="147" spans="1:41" x14ac:dyDescent="0.25">
      <c r="A147" s="11"/>
      <c r="B147" s="11"/>
      <c r="C147" s="11"/>
      <c r="D147" s="11"/>
      <c r="E147" s="11"/>
      <c r="F147" s="11"/>
      <c r="G147" s="11"/>
      <c r="H147" s="11"/>
      <c r="I147" s="55"/>
      <c r="J147" s="55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</row>
    <row r="148" spans="1:41" x14ac:dyDescent="0.25">
      <c r="A148" s="11"/>
      <c r="B148" s="11"/>
      <c r="C148" s="11"/>
      <c r="D148" s="11"/>
      <c r="E148" s="11"/>
      <c r="F148" s="11"/>
      <c r="G148" s="11"/>
      <c r="H148" s="11"/>
      <c r="I148" s="55"/>
      <c r="J148" s="55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x14ac:dyDescent="0.25">
      <c r="A149" s="11"/>
      <c r="B149" s="11"/>
      <c r="C149" s="11"/>
      <c r="D149" s="11"/>
      <c r="E149" s="11"/>
      <c r="F149" s="11"/>
      <c r="G149" s="11"/>
      <c r="H149" s="11"/>
      <c r="I149" s="55"/>
      <c r="J149" s="55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</row>
    <row r="150" spans="1:41" x14ac:dyDescent="0.25">
      <c r="A150" s="11"/>
      <c r="B150" s="11"/>
      <c r="C150" s="11"/>
      <c r="D150" s="11"/>
      <c r="E150" s="11"/>
      <c r="F150" s="11"/>
      <c r="G150" s="11"/>
      <c r="H150" s="11"/>
      <c r="I150" s="55"/>
      <c r="J150" s="55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x14ac:dyDescent="0.25">
      <c r="A151" s="11"/>
      <c r="B151" s="11"/>
      <c r="C151" s="11"/>
      <c r="D151" s="11"/>
      <c r="E151" s="11"/>
      <c r="F151" s="11"/>
      <c r="G151" s="11"/>
      <c r="H151" s="11"/>
      <c r="I151" s="55"/>
      <c r="J151" s="55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</row>
    <row r="152" spans="1:41" x14ac:dyDescent="0.25">
      <c r="A152" s="11"/>
      <c r="B152" s="11"/>
      <c r="C152" s="11"/>
      <c r="D152" s="11"/>
      <c r="E152" s="11"/>
      <c r="F152" s="11"/>
      <c r="G152" s="11"/>
      <c r="H152" s="11"/>
      <c r="I152" s="55"/>
      <c r="J152" s="55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x14ac:dyDescent="0.25">
      <c r="A153" s="11"/>
      <c r="B153" s="11"/>
      <c r="C153" s="11"/>
      <c r="D153" s="11"/>
      <c r="E153" s="11"/>
      <c r="F153" s="11"/>
      <c r="G153" s="11"/>
      <c r="H153" s="11"/>
      <c r="I153" s="55"/>
      <c r="J153" s="55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x14ac:dyDescent="0.25">
      <c r="A154" s="11"/>
      <c r="B154" s="11"/>
      <c r="C154" s="11"/>
      <c r="D154" s="11"/>
      <c r="E154" s="11"/>
      <c r="F154" s="11"/>
      <c r="G154" s="11"/>
      <c r="H154" s="11"/>
      <c r="I154" s="55"/>
      <c r="J154" s="55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x14ac:dyDescent="0.25">
      <c r="A155" s="11"/>
      <c r="B155" s="11"/>
      <c r="C155" s="11"/>
      <c r="D155" s="11"/>
      <c r="E155" s="11"/>
      <c r="F155" s="11"/>
      <c r="G155" s="11"/>
      <c r="H155" s="11"/>
      <c r="I155" s="55"/>
      <c r="J155" s="55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x14ac:dyDescent="0.25">
      <c r="A156" s="11"/>
      <c r="B156" s="11"/>
      <c r="C156" s="11"/>
      <c r="D156" s="11"/>
      <c r="E156" s="11"/>
      <c r="F156" s="11"/>
      <c r="G156" s="11"/>
      <c r="H156" s="11"/>
      <c r="I156" s="55"/>
      <c r="J156" s="55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x14ac:dyDescent="0.25">
      <c r="A157" s="11"/>
      <c r="B157" s="11"/>
      <c r="C157" s="11"/>
      <c r="D157" s="11"/>
      <c r="E157" s="11"/>
      <c r="F157" s="11"/>
      <c r="G157" s="11"/>
      <c r="H157" s="11"/>
      <c r="I157" s="55"/>
      <c r="J157" s="55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</row>
    <row r="158" spans="1:41" x14ac:dyDescent="0.25">
      <c r="A158" s="11"/>
      <c r="B158" s="11"/>
      <c r="C158" s="11"/>
      <c r="D158" s="11"/>
      <c r="E158" s="11"/>
      <c r="F158" s="11"/>
      <c r="G158" s="11"/>
      <c r="H158" s="11"/>
      <c r="I158" s="55"/>
      <c r="J158" s="55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</row>
    <row r="159" spans="1:41" x14ac:dyDescent="0.25">
      <c r="A159" s="11"/>
      <c r="B159" s="11"/>
      <c r="C159" s="11"/>
      <c r="D159" s="11"/>
      <c r="E159" s="11"/>
      <c r="F159" s="11"/>
      <c r="G159" s="11"/>
      <c r="H159" s="11"/>
      <c r="I159" s="55"/>
      <c r="J159" s="55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</row>
    <row r="160" spans="1:41" x14ac:dyDescent="0.25">
      <c r="A160" s="11"/>
      <c r="B160" s="11"/>
      <c r="C160" s="11"/>
      <c r="D160" s="11"/>
      <c r="E160" s="11"/>
      <c r="F160" s="11"/>
      <c r="G160" s="11"/>
      <c r="H160" s="11"/>
      <c r="I160" s="55"/>
      <c r="J160" s="55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</row>
    <row r="161" spans="1:41" x14ac:dyDescent="0.25">
      <c r="A161" s="11"/>
      <c r="B161" s="11"/>
      <c r="C161" s="11"/>
      <c r="D161" s="11"/>
      <c r="E161" s="11"/>
      <c r="F161" s="11"/>
      <c r="G161" s="11"/>
      <c r="H161" s="11"/>
      <c r="I161" s="55"/>
      <c r="J161" s="55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</row>
    <row r="162" spans="1:41" x14ac:dyDescent="0.25">
      <c r="A162" s="11"/>
      <c r="B162" s="11"/>
      <c r="C162" s="11"/>
      <c r="D162" s="11"/>
      <c r="E162" s="11"/>
      <c r="F162" s="11"/>
      <c r="G162" s="11"/>
      <c r="H162" s="11"/>
      <c r="I162" s="55"/>
      <c r="J162" s="55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</row>
    <row r="163" spans="1:41" x14ac:dyDescent="0.25">
      <c r="A163" s="11"/>
      <c r="B163" s="11"/>
      <c r="C163" s="11"/>
      <c r="D163" s="11"/>
      <c r="E163" s="263"/>
      <c r="F163" s="11"/>
      <c r="G163" s="11"/>
      <c r="H163" s="11"/>
      <c r="I163" s="55"/>
      <c r="J163" s="55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</row>
    <row r="164" spans="1:41" x14ac:dyDescent="0.25">
      <c r="A164" s="11"/>
      <c r="B164" s="11"/>
      <c r="C164" s="11"/>
      <c r="D164" s="11"/>
      <c r="E164" s="11"/>
      <c r="F164" s="11"/>
      <c r="G164" s="11"/>
      <c r="H164" s="11"/>
      <c r="I164" s="55"/>
      <c r="J164" s="55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</row>
    <row r="165" spans="1:41" x14ac:dyDescent="0.25">
      <c r="A165" s="11"/>
      <c r="B165" s="11"/>
      <c r="C165" s="11"/>
      <c r="D165" s="11"/>
      <c r="E165" s="11"/>
      <c r="F165" s="11"/>
      <c r="G165" s="11"/>
      <c r="H165" s="11"/>
      <c r="I165" s="55"/>
      <c r="J165" s="55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</row>
    <row r="166" spans="1:41" x14ac:dyDescent="0.25">
      <c r="A166" s="11"/>
      <c r="B166" s="11"/>
      <c r="C166" s="11"/>
      <c r="D166" s="11"/>
      <c r="E166" s="11"/>
      <c r="F166" s="11"/>
      <c r="G166" s="11"/>
      <c r="H166" s="11"/>
      <c r="I166" s="55"/>
      <c r="J166" s="55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</row>
    <row r="167" spans="1:41" x14ac:dyDescent="0.25">
      <c r="A167" s="11"/>
      <c r="B167" s="11"/>
      <c r="C167" s="11"/>
      <c r="D167" s="11"/>
      <c r="E167" s="263"/>
      <c r="F167" s="11"/>
      <c r="G167" s="11"/>
      <c r="H167" s="11"/>
      <c r="I167" s="55"/>
      <c r="J167" s="55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</row>
    <row r="168" spans="1:41" x14ac:dyDescent="0.25">
      <c r="A168" s="11"/>
      <c r="B168" s="11"/>
      <c r="C168" s="11"/>
      <c r="D168" s="11"/>
      <c r="E168" s="11"/>
      <c r="F168" s="11"/>
      <c r="G168" s="11"/>
      <c r="H168" s="11"/>
      <c r="I168" s="55"/>
      <c r="J168" s="55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</row>
    <row r="169" spans="1:41" x14ac:dyDescent="0.25">
      <c r="A169" s="11"/>
      <c r="B169" s="11"/>
      <c r="C169" s="11"/>
      <c r="D169" s="11"/>
      <c r="E169" s="11"/>
      <c r="F169" s="11"/>
      <c r="G169" s="11"/>
      <c r="H169" s="11"/>
      <c r="I169" s="55"/>
      <c r="J169" s="55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</row>
    <row r="170" spans="1:41" x14ac:dyDescent="0.25">
      <c r="A170" s="11"/>
      <c r="B170" s="11"/>
      <c r="C170" s="11"/>
      <c r="D170" s="11"/>
      <c r="E170" s="11"/>
      <c r="F170" s="11"/>
      <c r="G170" s="11"/>
      <c r="H170" s="11"/>
      <c r="I170" s="55"/>
      <c r="J170" s="55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</row>
    <row r="171" spans="1:41" x14ac:dyDescent="0.25">
      <c r="A171" s="11"/>
      <c r="B171" s="11"/>
      <c r="C171" s="11"/>
      <c r="D171" s="11"/>
      <c r="E171" s="11"/>
      <c r="F171" s="11"/>
      <c r="G171" s="11"/>
      <c r="H171" s="11"/>
      <c r="I171" s="55"/>
      <c r="J171" s="55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</row>
    <row r="172" spans="1:41" x14ac:dyDescent="0.25">
      <c r="A172" s="11"/>
      <c r="B172" s="11"/>
      <c r="C172" s="11"/>
      <c r="D172" s="11"/>
      <c r="E172" s="11"/>
      <c r="F172" s="11"/>
      <c r="G172" s="11"/>
      <c r="H172" s="11"/>
      <c r="I172" s="55"/>
      <c r="J172" s="55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</row>
    <row r="173" spans="1:41" x14ac:dyDescent="0.25">
      <c r="A173" s="11"/>
      <c r="B173" s="11"/>
      <c r="C173" s="11"/>
      <c r="D173" s="11"/>
      <c r="E173" s="11"/>
      <c r="F173" s="11"/>
      <c r="G173" s="11"/>
      <c r="H173" s="11"/>
      <c r="I173" s="55"/>
      <c r="J173" s="55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</row>
    <row r="174" spans="1:41" x14ac:dyDescent="0.25">
      <c r="A174" s="11"/>
      <c r="B174" s="11"/>
      <c r="C174" s="11"/>
      <c r="D174" s="11"/>
      <c r="E174" s="11"/>
      <c r="F174" s="11"/>
      <c r="G174" s="11"/>
      <c r="H174" s="11"/>
      <c r="I174" s="55"/>
      <c r="J174" s="55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</row>
    <row r="175" spans="1:41" x14ac:dyDescent="0.25">
      <c r="A175" s="11"/>
      <c r="B175" s="11"/>
      <c r="C175" s="11"/>
      <c r="D175" s="11"/>
      <c r="E175" s="11"/>
      <c r="F175" s="11"/>
      <c r="G175" s="11"/>
      <c r="H175" s="11"/>
      <c r="I175" s="55"/>
      <c r="J175" s="55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</row>
    <row r="176" spans="1:41" x14ac:dyDescent="0.25">
      <c r="A176" s="11"/>
      <c r="B176" s="11"/>
      <c r="C176" s="11"/>
      <c r="D176" s="11"/>
      <c r="E176" s="11"/>
      <c r="F176" s="11"/>
      <c r="G176" s="11"/>
      <c r="H176" s="11"/>
      <c r="I176" s="55"/>
      <c r="J176" s="55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</row>
    <row r="177" spans="1:41" x14ac:dyDescent="0.25">
      <c r="A177" s="11"/>
      <c r="B177" s="11"/>
      <c r="C177" s="11"/>
      <c r="D177" s="11"/>
      <c r="E177" s="11"/>
      <c r="F177" s="11"/>
      <c r="G177" s="11"/>
      <c r="H177" s="11"/>
      <c r="I177" s="55"/>
      <c r="J177" s="55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</row>
    <row r="178" spans="1:41" x14ac:dyDescent="0.25">
      <c r="A178" s="11"/>
      <c r="B178" s="11"/>
      <c r="C178" s="11"/>
      <c r="D178" s="11"/>
      <c r="E178" s="11"/>
      <c r="F178" s="11"/>
      <c r="G178" s="11"/>
      <c r="H178" s="11"/>
      <c r="I178" s="55"/>
      <c r="J178" s="55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</row>
    <row r="179" spans="1:41" x14ac:dyDescent="0.25">
      <c r="A179" s="11"/>
      <c r="B179" s="11"/>
      <c r="C179" s="11"/>
      <c r="D179" s="11"/>
      <c r="E179" s="11"/>
      <c r="F179" s="11"/>
      <c r="G179" s="11"/>
      <c r="H179" s="11"/>
      <c r="I179" s="263"/>
      <c r="J179" s="11"/>
      <c r="K179" s="263"/>
      <c r="L179" s="263"/>
      <c r="M179" s="263"/>
      <c r="N179" s="11"/>
      <c r="O179" s="263"/>
      <c r="P179" s="263"/>
      <c r="Q179" s="263"/>
      <c r="R179" s="263"/>
      <c r="S179" s="263"/>
      <c r="T179" s="263"/>
      <c r="U179" s="263"/>
      <c r="V179" s="263"/>
      <c r="W179" s="263"/>
      <c r="X179" s="263"/>
      <c r="Y179" s="263"/>
      <c r="Z179" s="263"/>
      <c r="AA179" s="263"/>
      <c r="AB179" s="11"/>
      <c r="AC179" s="11"/>
      <c r="AD179" s="263"/>
      <c r="AE179" s="11"/>
      <c r="AF179" s="263"/>
      <c r="AG179" s="11"/>
      <c r="AH179" s="263"/>
      <c r="AI179" s="11"/>
      <c r="AJ179" s="11"/>
      <c r="AK179" s="11"/>
      <c r="AL179" s="11"/>
      <c r="AM179" s="11"/>
      <c r="AN179" s="11"/>
      <c r="AO179" s="11"/>
    </row>
    <row r="180" spans="1:41" x14ac:dyDescent="0.25">
      <c r="A180" s="11"/>
      <c r="B180" s="11"/>
      <c r="C180" s="11"/>
      <c r="D180" s="11"/>
      <c r="E180" s="11"/>
      <c r="F180" s="11"/>
      <c r="G180" s="11"/>
      <c r="H180" s="11"/>
      <c r="I180" s="55"/>
      <c r="J180" s="55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</row>
    <row r="181" spans="1:41" x14ac:dyDescent="0.25">
      <c r="A181" s="11"/>
      <c r="B181" s="11"/>
      <c r="C181" s="11"/>
      <c r="D181" s="11"/>
      <c r="E181" s="11"/>
      <c r="F181" s="11"/>
      <c r="G181" s="11"/>
      <c r="H181" s="11"/>
      <c r="I181" s="55"/>
      <c r="J181" s="55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</row>
    <row r="182" spans="1:41" x14ac:dyDescent="0.25">
      <c r="A182" s="11"/>
      <c r="B182" s="11"/>
      <c r="C182" s="11"/>
      <c r="D182" s="11"/>
      <c r="E182" s="11"/>
      <c r="F182" s="11"/>
      <c r="G182" s="11"/>
      <c r="H182" s="11"/>
      <c r="I182" s="55"/>
      <c r="J182" s="55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</row>
    <row r="183" spans="1:41" x14ac:dyDescent="0.25">
      <c r="A183" s="11"/>
      <c r="B183" s="11"/>
      <c r="C183" s="11"/>
      <c r="D183" s="11"/>
      <c r="E183" s="11"/>
      <c r="F183" s="11"/>
      <c r="G183" s="11"/>
      <c r="H183" s="11"/>
      <c r="I183" s="263"/>
      <c r="J183" s="11"/>
      <c r="K183" s="263"/>
      <c r="L183" s="263"/>
      <c r="M183" s="263"/>
      <c r="N183" s="11"/>
      <c r="O183" s="263"/>
      <c r="P183" s="263"/>
      <c r="Q183" s="263"/>
      <c r="R183" s="263"/>
      <c r="S183" s="263"/>
      <c r="T183" s="263"/>
      <c r="U183" s="263"/>
      <c r="V183" s="263"/>
      <c r="W183" s="263"/>
      <c r="X183" s="263"/>
      <c r="Y183" s="263"/>
      <c r="Z183" s="263"/>
      <c r="AA183" s="263"/>
      <c r="AB183" s="11"/>
      <c r="AC183" s="11"/>
      <c r="AD183" s="263"/>
      <c r="AE183" s="11"/>
      <c r="AF183" s="263"/>
      <c r="AG183" s="11"/>
      <c r="AH183" s="263"/>
      <c r="AI183" s="11"/>
      <c r="AJ183" s="11"/>
      <c r="AK183" s="11"/>
      <c r="AL183" s="11"/>
      <c r="AM183" s="11"/>
      <c r="AN183" s="11"/>
      <c r="AO183" s="11"/>
    </row>
    <row r="184" spans="1:41" x14ac:dyDescent="0.25">
      <c r="A184" s="11"/>
      <c r="B184" s="11"/>
      <c r="C184" s="11"/>
      <c r="D184" s="11"/>
      <c r="E184" s="11"/>
      <c r="F184" s="11"/>
      <c r="G184" s="11"/>
      <c r="H184" s="11"/>
      <c r="I184" s="55"/>
      <c r="J184" s="55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</row>
    <row r="185" spans="1:41" x14ac:dyDescent="0.25">
      <c r="A185" s="11"/>
      <c r="B185" s="11"/>
      <c r="C185" s="11"/>
      <c r="D185" s="11"/>
      <c r="E185" s="11"/>
      <c r="F185" s="11"/>
      <c r="G185" s="11"/>
      <c r="H185" s="11"/>
      <c r="I185" s="55"/>
      <c r="J185" s="55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</row>
    <row r="186" spans="1:41" x14ac:dyDescent="0.25">
      <c r="A186" s="11"/>
      <c r="B186" s="11"/>
      <c r="C186" s="11"/>
      <c r="D186" s="11"/>
      <c r="E186" s="11"/>
      <c r="F186" s="11"/>
      <c r="G186" s="11"/>
      <c r="H186" s="11"/>
      <c r="I186" s="55"/>
      <c r="J186" s="55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</row>
    <row r="187" spans="1:41" x14ac:dyDescent="0.25">
      <c r="A187" s="11"/>
      <c r="B187" s="11"/>
      <c r="C187" s="11"/>
      <c r="D187" s="11"/>
      <c r="E187" s="11"/>
      <c r="F187" s="11"/>
      <c r="G187" s="11"/>
      <c r="H187" s="11"/>
      <c r="I187" s="55"/>
      <c r="J187" s="55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</row>
    <row r="188" spans="1:41" x14ac:dyDescent="0.25">
      <c r="A188" s="11"/>
      <c r="B188" s="11"/>
      <c r="C188" s="11"/>
      <c r="D188" s="11"/>
      <c r="E188" s="11"/>
      <c r="F188" s="11"/>
      <c r="G188" s="11"/>
      <c r="H188" s="11"/>
      <c r="I188" s="55"/>
      <c r="J188" s="55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</row>
    <row r="189" spans="1:41" x14ac:dyDescent="0.25">
      <c r="A189" s="11"/>
      <c r="B189" s="11"/>
      <c r="C189" s="11"/>
      <c r="D189" s="11"/>
      <c r="E189" s="11"/>
      <c r="F189" s="11"/>
      <c r="G189" s="11"/>
      <c r="H189" s="11"/>
      <c r="I189" s="55"/>
      <c r="J189" s="55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</row>
    <row r="190" spans="1:41" x14ac:dyDescent="0.25">
      <c r="A190" s="11"/>
      <c r="B190" s="11"/>
      <c r="C190" s="11"/>
      <c r="D190" s="11"/>
      <c r="E190" s="11"/>
      <c r="F190" s="11"/>
      <c r="G190" s="263"/>
      <c r="H190" s="11"/>
      <c r="I190" s="55"/>
      <c r="J190" s="55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</row>
    <row r="191" spans="1:41" x14ac:dyDescent="0.25">
      <c r="A191" s="11"/>
      <c r="B191" s="11"/>
      <c r="C191" s="11"/>
      <c r="D191" s="11"/>
      <c r="E191" s="11"/>
      <c r="F191" s="11"/>
      <c r="G191" s="11"/>
      <c r="H191" s="11"/>
      <c r="I191" s="55"/>
      <c r="J191" s="55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</row>
    <row r="192" spans="1:41" x14ac:dyDescent="0.25">
      <c r="A192" s="11"/>
      <c r="B192" s="11"/>
      <c r="C192" s="11"/>
      <c r="D192" s="11"/>
      <c r="E192" s="11"/>
      <c r="F192" s="11"/>
      <c r="G192" s="11"/>
      <c r="H192" s="11"/>
      <c r="I192" s="55"/>
      <c r="J192" s="55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</row>
    <row r="193" spans="1:41" x14ac:dyDescent="0.25">
      <c r="A193" s="11"/>
      <c r="B193" s="11"/>
      <c r="C193" s="11"/>
      <c r="D193" s="11"/>
      <c r="E193" s="11"/>
      <c r="F193" s="11"/>
      <c r="G193" s="11"/>
      <c r="H193" s="11"/>
      <c r="I193" s="55"/>
      <c r="J193" s="55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</row>
    <row r="194" spans="1:41" x14ac:dyDescent="0.25">
      <c r="A194" s="11"/>
      <c r="B194" s="11"/>
      <c r="C194" s="11"/>
      <c r="D194" s="11"/>
      <c r="E194" s="11"/>
      <c r="F194" s="11"/>
      <c r="G194" s="263"/>
      <c r="H194" s="11"/>
      <c r="I194" s="55"/>
      <c r="J194" s="55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</row>
  </sheetData>
  <sheetProtection algorithmName="SHA-512" hashValue="r2xoObh/9VGlp/2MzPKKBu2IMf8dpOAv8ONMQ0hzGWc274n5QXLyYGjs8uFvJ3ehHtEsSNVM4n7SyFgyVJPEIA==" saltValue="0O/hBs3hTQ62XzEVj7T2wQ==" spinCount="100000" sheet="1" scenarios="1"/>
  <mergeCells count="2">
    <mergeCell ref="AD31:AE31"/>
    <mergeCell ref="AG31:AH31"/>
  </mergeCells>
  <dataValidations count="2">
    <dataValidation type="list" allowBlank="1" sqref="B29 B95 B62" xr:uid="{00000000-0002-0000-0900-000000000000}">
      <formula1>"SELF,ALL,BAS,DEP,BASMEMBERS,MEMBERS,NOEXPAND,GDEP"</formula1>
    </dataValidation>
    <dataValidation type="list" allowBlank="1" sqref="B28 B94 B61" xr:uid="{00000000-0002-0000-0900-000001000000}">
      <formula1>"ACCOUNT,BUSINESSUNIT,CATEGORY,DATASRC,DEPARTMENT,INTCO,MEASURES,RPTCURRENCY,TIME"</formula1>
    </dataValidation>
  </dataValidations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customProperties>
    <customPr name="EpmWorksheetKeyString_GUID" r:id="rId2"/>
    <customPr name="FPMExcelClientCellBasedFunctionStatus" r:id="rId3"/>
    <customPr name="FPMExcelClientRefreshTime" r:id="rId4"/>
  </customProperties>
  <legacyDrawing r:id="rId5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6">
    <tabColor theme="6" tint="0.39997558519241921"/>
    <pageSetUpPr fitToPage="1"/>
  </sheetPr>
  <dimension ref="A1:AI211"/>
  <sheetViews>
    <sheetView topLeftCell="K1" zoomScale="85" zoomScaleNormal="85" workbookViewId="0">
      <pane xSplit="4" ySplit="32" topLeftCell="O33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3" width="9.7109375" style="1" hidden="1" customWidth="1" outlineLevel="1"/>
    <col min="14" max="14" width="38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16384" width="9.140625" style="1"/>
  </cols>
  <sheetData>
    <row r="1" spans="1:35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63" t="str">
        <f>Venue2!N1</f>
        <v>Pool Bar</v>
      </c>
      <c r="O1" s="11" t="s">
        <v>732</v>
      </c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</row>
    <row r="2" spans="1:35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11"/>
      <c r="H4" s="11"/>
      <c r="I4" s="55"/>
      <c r="J4" s="55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11"/>
      <c r="H5" s="11"/>
      <c r="I5" s="55"/>
      <c r="J5" s="55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idden="1" outlineLevel="1" x14ac:dyDescent="0.25">
      <c r="A6" s="49" t="s">
        <v>52</v>
      </c>
      <c r="B6" s="52" t="s">
        <v>727</v>
      </c>
      <c r="C6" s="11" t="str">
        <f>IF(_epmOfflineCondition_,"Venue 2",_xll.EVDES(B6,$B$1))</f>
        <v>Venue 2</v>
      </c>
      <c r="D6" s="11"/>
      <c r="E6" s="54" t="str">
        <f>IF(_epmOfflineCondition_,"D_VENUES",_xll.EVPRO($B$1,$B$6,$F$6))</f>
        <v>D_VENUES</v>
      </c>
      <c r="F6" s="11" t="s">
        <v>278</v>
      </c>
      <c r="G6" s="11"/>
      <c r="H6" s="11"/>
      <c r="I6" s="55"/>
      <c r="J6" s="55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11"/>
      <c r="H7" s="11"/>
      <c r="I7" s="55"/>
      <c r="J7" s="55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11"/>
      <c r="H8" s="11"/>
      <c r="I8" s="55"/>
      <c r="J8" s="55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59" t="str">
        <f>IF(SetUp!$O$1=TRUE,"TRAILING12",IF(AA17="CURRENT","ROLLINGFORECAST","PERIODIC"))</f>
        <v>PERIODIC</v>
      </c>
      <c r="AB11" s="11"/>
      <c r="AC11" s="11"/>
      <c r="AD11" s="11"/>
      <c r="AE11" s="11"/>
      <c r="AF11" s="11"/>
      <c r="AG11" s="11"/>
      <c r="AH11" s="11"/>
      <c r="AI11" s="11"/>
    </row>
    <row r="12" spans="1:35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11"/>
      <c r="M12" s="11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</row>
    <row r="13" spans="1:35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11"/>
      <c r="M13" s="11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</row>
    <row r="14" spans="1:35" hidden="1" outlineLevel="1" x14ac:dyDescent="0.25">
      <c r="A14" s="56" t="str">
        <f>IF(_epmOfflineCondition_,"Evdre:Ok",_xll.EVDRE($B$1,A17:B24))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11"/>
      <c r="M14" s="11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</row>
    <row r="15" spans="1:35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11"/>
      <c r="M15" s="11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</row>
    <row r="16" spans="1:35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11"/>
      <c r="M16" s="11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</row>
    <row r="17" spans="1:35" hidden="1" outlineLevel="1" x14ac:dyDescent="0.25">
      <c r="A17" s="61" t="s">
        <v>2</v>
      </c>
      <c r="B17" s="62" t="str">
        <f>IF(_epmOfflineCondition_,"'Venue2_KPI'!$B$2:$B$10",_xll.EVRNG($B$2:$B$10))</f>
        <v>'Venue2_KPI'!$B$2:$B$10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11"/>
      <c r="M17" s="11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 t="str">
        <f>Z17</f>
        <v>ACTUAL_CON</v>
      </c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</row>
    <row r="18" spans="1:35" hidden="1" outlineLevel="1" x14ac:dyDescent="0.25">
      <c r="A18" s="61" t="s">
        <v>3</v>
      </c>
      <c r="B18" s="62" t="str">
        <f>IF(_epmOfflineCondition_,"'Venue2_KPI'!$O$16:$AI$18",_xll.EVRNG(O16:AI18))</f>
        <v>'Venue2_KPI'!$O$16:$AI$18</v>
      </c>
      <c r="C18" s="11"/>
      <c r="D18" s="11"/>
      <c r="E18" s="11"/>
      <c r="F18" s="11"/>
      <c r="G18" s="11"/>
      <c r="H18" s="11"/>
      <c r="I18" s="55"/>
      <c r="J18" s="55"/>
      <c r="K18" s="11"/>
      <c r="L18" s="11"/>
      <c r="M18" s="11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59" t="str">
        <f>AA11</f>
        <v>PERIODIC</v>
      </c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</row>
    <row r="19" spans="1:35" hidden="1" outlineLevel="1" x14ac:dyDescent="0.25">
      <c r="A19" s="61" t="s">
        <v>4</v>
      </c>
      <c r="B19" s="62" t="str">
        <f>IF(_epmOfflineCondition_,"'Venue2_KPI'!$H$35:$H$146",_xll.EVRNG(H35:H146))</f>
        <v>'Venue2_KPI'!$H$35:$H$146</v>
      </c>
      <c r="C19" s="11"/>
      <c r="D19" s="11"/>
      <c r="E19" s="11"/>
      <c r="F19" s="11"/>
      <c r="G19" s="63" t="str">
        <f>$B$6</f>
        <v>D2141</v>
      </c>
      <c r="H19" s="63" t="s">
        <v>273</v>
      </c>
      <c r="I19" s="64"/>
      <c r="J19" s="64"/>
      <c r="K19" s="63"/>
      <c r="L19" s="63"/>
      <c r="M19" s="63"/>
      <c r="N19" s="63" t="str">
        <f>IF(_epmOfflineCondition_,"Total Food &amp; Beverage Revenue",_xll.EVDES(H19))</f>
        <v>Total Food &amp; Beverage Revenue</v>
      </c>
      <c r="O19" s="65">
        <f>IF(_epmOfflineCondition_,1296.36,_xll.EVGTS($B$1,1,$B$3,$B$5,$B$7,$B$9,O$16,O$17,O$18,$G$19,$H$19))</f>
        <v>1296.3599999999999</v>
      </c>
      <c r="P19" s="65">
        <f>IF(_epmOfflineCondition_,2885,_xll.EVGTS($B$1,1,$B$3,$B$5,$B$7,$B$9,P$16,P$17,P$18,$G$19,$H$19))</f>
        <v>2885</v>
      </c>
      <c r="Q19" s="65">
        <f>IF(_epmOfflineCondition_,3847.06,_xll.EVGTS($B$1,1,$B$3,$B$5,$B$7,$B$9,Q$16,Q$17,Q$18,$G$19,$H$19))</f>
        <v>3847.06</v>
      </c>
      <c r="R19" s="65">
        <f>IF(_epmOfflineCondition_,2754,_xll.EVGTS($B$1,1,$B$3,$B$5,$B$7,$B$9,R$16,R$17,R$18,$G$19,$H$19))</f>
        <v>2754</v>
      </c>
      <c r="S19" s="65">
        <f>IF(_epmOfflineCondition_,3203,_xll.EVGTS($B$1,1,$B$3,$B$5,$B$7,$B$9,S$16,S$17,S$18,$G$19,$H$19))</f>
        <v>3203</v>
      </c>
      <c r="T19" s="65">
        <f>IF(_epmOfflineCondition_,1850,_xll.EVGTS($B$1,1,$B$3,$B$5,$B$7,$B$9,T$16,T$17,T$18,$G$19,$H$19))</f>
        <v>1850</v>
      </c>
      <c r="U19" s="65">
        <f>IF(_epmOfflineCondition_,4260,_xll.EVGTS($B$1,1,$B$3,$B$5,$B$7,$B$9,U$16,U$17,U$18,$G$19,$H$19))</f>
        <v>4260</v>
      </c>
      <c r="V19" s="65">
        <f>IF(_epmOfflineCondition_,2047.68,_xll.EVGTS($B$1,1,$B$3,$B$5,$B$7,$B$9,V$16,V$17,V$18,$G$19,$H$19))</f>
        <v>2047.68</v>
      </c>
      <c r="W19" s="65">
        <f>IF(_epmOfflineCondition_,2760.39,_xll.EVGTS($B$1,1,$B$3,$B$5,$B$7,$B$9,W$16,W$17,W$18,$G$19,$H$19))</f>
        <v>2760.39</v>
      </c>
      <c r="X19" s="65">
        <f>IF(_epmOfflineCondition_,999.2,_xll.EVGTS($B$1,1,$B$3,$B$5,$B$7,$B$9,X$16,X$17,X$18,$G$19,$H$19))</f>
        <v>999.2</v>
      </c>
      <c r="Y19" s="65">
        <f>IF(_epmOfflineCondition_,3276.68,_xll.EVGTS($B$1,1,$B$3,$B$5,$B$7,$B$9,Y$16,Y$17,Y$18,$G$19,$H$19))</f>
        <v>3276.68</v>
      </c>
      <c r="Z19" s="65">
        <f>IF(_epmOfflineCondition_,5452.81,_xll.EVGTS($B$1,1,$B$3,$B$5,$B$7,$B$9,Z$16,Z$17,Z$18,$G$19,$H$19))</f>
        <v>5452.81</v>
      </c>
      <c r="AA19" s="65">
        <f>SUM(O19:Z19)</f>
        <v>34632.18</v>
      </c>
      <c r="AB19" s="63"/>
      <c r="AC19" s="63"/>
      <c r="AD19" s="65">
        <f>IF(_epmOfflineCondition_,216470.46,_xll.EVGTS($B$1,1,$B$3,$B$5,$B$7,$B$9,AD$16,AD$17,AD$18,$G$19,$H$19))</f>
        <v>216470.46</v>
      </c>
      <c r="AE19" s="63"/>
      <c r="AF19" s="63"/>
      <c r="AG19" s="65">
        <f>IF(_epmOfflineCondition_,16056.11,_xll.EVGTS($B$1,1,$B$3,$B$5,$B$7,$B$9,AG$16,AG$17,AG$18,$G$19,$H$19))</f>
        <v>16056.11</v>
      </c>
      <c r="AH19" s="63"/>
      <c r="AI19" s="63"/>
    </row>
    <row r="20" spans="1:35" hidden="1" outlineLevel="1" x14ac:dyDescent="0.25">
      <c r="A20" s="61" t="s">
        <v>5</v>
      </c>
      <c r="B20" s="62"/>
      <c r="C20" s="11"/>
      <c r="D20" s="11"/>
      <c r="E20" s="11"/>
      <c r="F20" s="11"/>
      <c r="G20" s="63" t="str">
        <f>$B$6</f>
        <v>D2141</v>
      </c>
      <c r="H20" s="63">
        <v>946000</v>
      </c>
      <c r="I20" s="64"/>
      <c r="J20" s="64"/>
      <c r="K20" s="63"/>
      <c r="L20" s="63"/>
      <c r="M20" s="63"/>
      <c r="N20" s="63" t="str">
        <f>IF(_epmOfflineCondition_,"Total Customers",_xll.EVDES(H20))</f>
        <v>Total Customers</v>
      </c>
      <c r="O20" s="65">
        <f>IF(_epmOfflineCondition_,113,_xll.EVGTS($B$1,1,$B$3,$B$5,$B$7,$B$9,O$16,O$17,O$18,$G$20,$H$20))</f>
        <v>113</v>
      </c>
      <c r="P20" s="65">
        <f>IF(_epmOfflineCondition_,163,_xll.EVGTS($B$1,1,$B$3,$B$5,$B$7,$B$9,P$16,P$17,P$18,$G$20,$H$20))</f>
        <v>163</v>
      </c>
      <c r="Q20" s="65">
        <f>IF(_epmOfflineCondition_,272,_xll.EVGTS($B$1,1,$B$3,$B$5,$B$7,$B$9,Q$16,Q$17,Q$18,$G$20,$H$20))</f>
        <v>272</v>
      </c>
      <c r="R20" s="65">
        <f>IF(_epmOfflineCondition_,193,_xll.EVGTS($B$1,1,$B$3,$B$5,$B$7,$B$9,R$16,R$17,R$18,$G$20,$H$20))</f>
        <v>193</v>
      </c>
      <c r="S20" s="65">
        <f>IF(_epmOfflineCondition_,232,_xll.EVGTS($B$1,1,$B$3,$B$5,$B$7,$B$9,S$16,S$17,S$18,$G$20,$H$20))</f>
        <v>232</v>
      </c>
      <c r="T20" s="65">
        <f>IF(_epmOfflineCondition_,99,_xll.EVGTS($B$1,1,$B$3,$B$5,$B$7,$B$9,T$16,T$17,T$18,$G$20,$H$20))</f>
        <v>99</v>
      </c>
      <c r="U20" s="65">
        <f>IF(_epmOfflineCondition_,260,_xll.EVGTS($B$1,1,$B$3,$B$5,$B$7,$B$9,U$16,U$17,U$18,$G$20,$H$20))</f>
        <v>260</v>
      </c>
      <c r="V20" s="65">
        <f>IF(_epmOfflineCondition_,123,_xll.EVGTS($B$1,1,$B$3,$B$5,$B$7,$B$9,V$16,V$17,V$18,$G$20,$H$20))</f>
        <v>123</v>
      </c>
      <c r="W20" s="65">
        <f>IF(_epmOfflineCondition_,189,_xll.EVGTS($B$1,1,$B$3,$B$5,$B$7,$B$9,W$16,W$17,W$18,$G$20,$H$20))</f>
        <v>189</v>
      </c>
      <c r="X20" s="65">
        <f>IF(_epmOfflineCondition_,58,_xll.EVGTS($B$1,1,$B$3,$B$5,$B$7,$B$9,X$16,X$17,X$18,$G$20,$H$20))</f>
        <v>58</v>
      </c>
      <c r="Y20" s="65">
        <f>IF(_epmOfflineCondition_,191,_xll.EVGTS($B$1,1,$B$3,$B$5,$B$7,$B$9,Y$16,Y$17,Y$18,$G$20,$H$20))</f>
        <v>191</v>
      </c>
      <c r="Z20" s="65">
        <f>IF(_epmOfflineCondition_,341,_xll.EVGTS($B$1,1,$B$3,$B$5,$B$7,$B$9,Z$16,Z$17,Z$18,$G$20,$H$20))</f>
        <v>341</v>
      </c>
      <c r="AA20" s="65">
        <f>SUM(O20:Z20)</f>
        <v>2234</v>
      </c>
      <c r="AB20" s="63"/>
      <c r="AC20" s="63"/>
      <c r="AD20" s="65">
        <f>IF(_epmOfflineCondition_,10076,_xll.EVGTS($B$1,1,$B$3,$B$5,$B$7,$B$9,AD$16,AD$17,AD$18,$G$20,$H$20))</f>
        <v>10076</v>
      </c>
      <c r="AE20" s="63"/>
      <c r="AF20" s="63"/>
      <c r="AG20" s="65">
        <f>IF(_epmOfflineCondition_,1020,_xll.EVGTS($B$1,1,$B$3,$B$5,$B$7,$B$9,AG$16,AG$17,AG$18,$G$20,$H$20))</f>
        <v>1020</v>
      </c>
      <c r="AH20" s="63"/>
      <c r="AI20" s="63"/>
    </row>
    <row r="21" spans="1:35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hidden="1" outlineLevel="1" x14ac:dyDescent="0.25">
      <c r="A22" s="61" t="s">
        <v>7</v>
      </c>
      <c r="B22" s="62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idden="1" outlineLevel="1" x14ac:dyDescent="0.25">
      <c r="A23" s="61" t="s">
        <v>47</v>
      </c>
      <c r="B23" s="62" t="str">
        <f>IF(_epmOfflineCondition_,"'Venue2_KPI'!$A$37:$B$58",_xll.EVRNG($A$37:$B$58))</f>
        <v>'Venue2_KPI'!$A$37:$B$58</v>
      </c>
      <c r="C23" s="11"/>
      <c r="D23" s="11"/>
      <c r="E23" s="11"/>
      <c r="F23" s="11"/>
      <c r="G23" s="11"/>
      <c r="H23" s="11"/>
      <c r="I23" s="55"/>
      <c r="J23" s="55"/>
      <c r="K23" s="6"/>
      <c r="L23" s="6"/>
      <c r="M23" s="6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380"/>
      <c r="AE23" s="11"/>
      <c r="AF23" s="11"/>
      <c r="AG23" s="11"/>
      <c r="AH23" s="11"/>
      <c r="AI23" s="11"/>
    </row>
    <row r="24" spans="1:35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22.5" x14ac:dyDescent="0.3">
      <c r="A26" s="57" t="s">
        <v>9</v>
      </c>
      <c r="B26" s="58" t="s">
        <v>10</v>
      </c>
      <c r="C26" s="11"/>
      <c r="D26" s="11"/>
      <c r="E26" s="11"/>
      <c r="F26" s="11"/>
      <c r="G26" s="11"/>
      <c r="H26" s="11"/>
      <c r="I26" s="55"/>
      <c r="J26" s="55"/>
      <c r="K26" s="11"/>
      <c r="L26" s="11"/>
      <c r="M26" s="11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8" x14ac:dyDescent="0.25">
      <c r="A27" s="61" t="s">
        <v>11</v>
      </c>
      <c r="B27" s="62" t="s">
        <v>21</v>
      </c>
      <c r="C27" s="11"/>
      <c r="D27" s="11"/>
      <c r="E27" s="11"/>
      <c r="F27" s="11"/>
      <c r="G27" s="11"/>
      <c r="H27" s="11"/>
      <c r="I27" s="55"/>
      <c r="J27" s="55"/>
      <c r="K27" s="11"/>
      <c r="L27" s="11"/>
      <c r="M27" s="11"/>
      <c r="N27" s="67" t="str">
        <f>IF(_epmOfflineCondition_,"Pool Bar",IF($N$1="",IF(_xll.EVDES(B6,$B$1)="#NODATA","",_xll.EVDES(B6,$B$1)&amp;" Department"),$N$1))</f>
        <v>Pool Bar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.75" x14ac:dyDescent="0.25">
      <c r="A28" s="61" t="s">
        <v>12</v>
      </c>
      <c r="B28" s="62" t="s">
        <v>22</v>
      </c>
      <c r="C28" s="11"/>
      <c r="D28" s="11"/>
      <c r="E28" s="11"/>
      <c r="F28" s="11"/>
      <c r="G28" s="11"/>
      <c r="H28" s="11"/>
      <c r="I28" s="55"/>
      <c r="J28" s="55"/>
      <c r="K28" s="11"/>
      <c r="L28" s="11"/>
      <c r="M28" s="11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ht="15" customHeight="1" x14ac:dyDescent="0.25">
      <c r="A29" s="61" t="s">
        <v>13</v>
      </c>
      <c r="B29" s="62" t="s">
        <v>293</v>
      </c>
      <c r="C29" s="11"/>
      <c r="D29" s="11"/>
      <c r="E29" s="11"/>
      <c r="F29" s="11"/>
      <c r="G29" s="11"/>
      <c r="H29" s="11"/>
      <c r="I29" s="55"/>
      <c r="J29" s="55"/>
      <c r="K29" s="11"/>
      <c r="L29" s="11"/>
      <c r="M29" s="11"/>
      <c r="N29" s="68" t="str">
        <f>IF(_epmOfflineCondition_,"Local Currency",_xll.EVDES(B9,B1))</f>
        <v>Local Currency</v>
      </c>
      <c r="O29" s="484" t="s">
        <v>344</v>
      </c>
      <c r="P29" s="484"/>
      <c r="Q29" s="484"/>
      <c r="R29" s="484"/>
      <c r="S29" s="484"/>
      <c r="T29" s="484"/>
      <c r="U29" s="484"/>
      <c r="V29" s="484"/>
      <c r="W29" s="484"/>
      <c r="X29" s="484"/>
      <c r="Y29" s="484"/>
      <c r="Z29" s="484"/>
      <c r="AA29" s="484"/>
      <c r="AB29" s="11"/>
      <c r="AC29" s="11"/>
      <c r="AD29" s="11"/>
      <c r="AE29" s="11"/>
      <c r="AF29" s="11"/>
      <c r="AG29" s="11"/>
      <c r="AH29" s="11"/>
      <c r="AI29" s="11"/>
    </row>
    <row r="30" spans="1:35" x14ac:dyDescent="0.25">
      <c r="A30" s="61" t="s">
        <v>14</v>
      </c>
      <c r="B30" s="62"/>
      <c r="C30" s="11"/>
      <c r="D30" s="11"/>
      <c r="E30" s="11"/>
      <c r="F30" s="11"/>
      <c r="G30" s="11"/>
      <c r="H30" s="11"/>
      <c r="I30" s="55"/>
      <c r="J30" s="55"/>
      <c r="K30" s="11"/>
      <c r="L30" s="11"/>
      <c r="M30" s="11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</row>
    <row r="31" spans="1:35" x14ac:dyDescent="0.25">
      <c r="A31" s="61" t="s">
        <v>15</v>
      </c>
      <c r="B31" s="62"/>
      <c r="C31" s="11"/>
      <c r="D31" s="11"/>
      <c r="E31" s="11"/>
      <c r="F31" s="11"/>
      <c r="G31" s="11"/>
      <c r="H31" s="11"/>
      <c r="I31" s="55"/>
      <c r="J31" s="55"/>
      <c r="K31" s="11"/>
      <c r="L31" s="11"/>
      <c r="M31" s="11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</row>
    <row r="32" spans="1:35" s="8" customFormat="1" ht="30" customHeight="1" x14ac:dyDescent="0.25">
      <c r="A32" s="77" t="s">
        <v>16</v>
      </c>
      <c r="B32" s="78"/>
      <c r="C32" s="79"/>
      <c r="D32" s="79"/>
      <c r="E32" s="11"/>
      <c r="F32" s="79"/>
      <c r="G32" s="79"/>
      <c r="H32" s="80"/>
      <c r="I32" s="81"/>
      <c r="J32" s="81"/>
      <c r="K32" s="79"/>
      <c r="L32" s="79"/>
      <c r="M32" s="79"/>
      <c r="N32" s="79"/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</row>
    <row r="33" spans="1:35" ht="15.75" x14ac:dyDescent="0.25">
      <c r="A33" s="61" t="s">
        <v>17</v>
      </c>
      <c r="B33" s="62"/>
      <c r="C33" s="11"/>
      <c r="D33" s="11"/>
      <c r="E33" s="11"/>
      <c r="F33" s="11"/>
      <c r="G33" s="11"/>
      <c r="H33" s="11"/>
      <c r="I33" s="55"/>
      <c r="J33" s="55"/>
      <c r="K33" s="11"/>
      <c r="L33" s="11"/>
      <c r="M33" s="11"/>
      <c r="N33" s="485" t="s">
        <v>330</v>
      </c>
      <c r="O33" s="125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7"/>
      <c r="AC33" s="11"/>
      <c r="AD33" s="125"/>
      <c r="AE33" s="126"/>
      <c r="AF33" s="127"/>
      <c r="AG33" s="125"/>
      <c r="AH33" s="126"/>
      <c r="AI33" s="127"/>
    </row>
    <row r="34" spans="1:35" x14ac:dyDescent="0.25">
      <c r="A34" s="11"/>
      <c r="B34" s="11"/>
      <c r="C34" s="11"/>
      <c r="D34" s="11"/>
      <c r="E34" s="11"/>
      <c r="F34" s="11"/>
      <c r="G34" s="11"/>
      <c r="H34" s="11"/>
      <c r="I34" s="55"/>
      <c r="J34" s="55"/>
      <c r="K34" s="11"/>
      <c r="L34" s="129" t="s">
        <v>364</v>
      </c>
      <c r="M34" s="129" t="s">
        <v>783</v>
      </c>
      <c r="N34" s="49" t="s">
        <v>312</v>
      </c>
      <c r="O34" s="199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114"/>
      <c r="AC34" s="11"/>
      <c r="AD34" s="199"/>
      <c r="AE34" s="200"/>
      <c r="AF34" s="114"/>
      <c r="AG34" s="199"/>
      <c r="AH34" s="200"/>
      <c r="AI34" s="114"/>
    </row>
    <row r="35" spans="1:35" x14ac:dyDescent="0.25">
      <c r="A35" s="11"/>
      <c r="B35" s="11"/>
      <c r="C35" s="11"/>
      <c r="D35" s="11"/>
      <c r="E35" s="11"/>
      <c r="F35" s="11"/>
      <c r="G35" s="11"/>
      <c r="H35" s="84" t="s">
        <v>260</v>
      </c>
      <c r="I35" s="118" t="str">
        <f>IF(_epmOfflineCondition_,"T5",_xll.EVPRO($B$1,$H35,"STYLE"))</f>
        <v>T5</v>
      </c>
      <c r="J35" s="118" t="str">
        <f>IF(_epmOfflineCondition_,"Y",_xll.EVPRO($B$1,$H35,"CALC"))</f>
        <v>Y</v>
      </c>
      <c r="K35" s="86"/>
      <c r="L35" s="86" t="str">
        <f>IF(_epmOfflineCondition_,"461100",_xll.EVPRO($B$1,H35,"JDEID"))</f>
        <v>461100</v>
      </c>
      <c r="M35" s="86" t="str">
        <f>IF(_epmOfflineCondition_,"",IF(AND(I35="N",J35="N"),_xll.EVPRO($B$1,H35,"PSFTID"),""))</f>
        <v/>
      </c>
      <c r="N35" s="86" t="str">
        <f>IF(_epmOfflineCondition_,"Breakfast Food",IF(_xll.EVDES(H35,$B$1)="#NODATA","",_xll.EVDES(H35,$B$1)))</f>
        <v>Breakfast Food</v>
      </c>
      <c r="O35" s="134"/>
      <c r="P35" s="134"/>
      <c r="Q35" s="134">
        <v>0.42</v>
      </c>
      <c r="R35" s="134"/>
      <c r="S35" s="134"/>
      <c r="T35" s="134"/>
      <c r="U35" s="134"/>
      <c r="V35" s="134"/>
      <c r="W35" s="134"/>
      <c r="X35" s="134"/>
      <c r="Y35" s="134"/>
      <c r="Z35" s="134"/>
      <c r="AA35" s="134">
        <f t="shared" ref="AA35:AA41" si="0">SUM(O35:Z35)</f>
        <v>0.42</v>
      </c>
      <c r="AB35" s="138">
        <f>IF(AA35=0,"",IFERROR(AA35/AA$19,""))</f>
        <v>1.2127449095032424E-5</v>
      </c>
      <c r="AC35" s="136"/>
      <c r="AD35" s="134"/>
      <c r="AE35" s="138" t="str">
        <f>IF(AD35=0,"",IFERROR(AD35/AD$19,""))</f>
        <v/>
      </c>
      <c r="AF35" s="137">
        <f t="shared" ref="AF35:AF42" si="1">IF(AND($AA35="",AD35=""),"",$AA35-AD35)</f>
        <v>0.42</v>
      </c>
      <c r="AG35" s="134">
        <v>36.799999999999997</v>
      </c>
      <c r="AH35" s="138">
        <f>IF(AG35=0,"",IFERROR(AG35/AG$19,""))</f>
        <v>2.2919623744481069E-3</v>
      </c>
      <c r="AI35" s="137">
        <f t="shared" ref="AI35:AI42" si="2">IF(AND($AA35="",AG35=""),"",$AA35-AG35)</f>
        <v>-36.379999999999995</v>
      </c>
    </row>
    <row r="36" spans="1:35" x14ac:dyDescent="0.25">
      <c r="A36" s="57" t="s">
        <v>23</v>
      </c>
      <c r="B36" s="58" t="s">
        <v>24</v>
      </c>
      <c r="C36" s="11"/>
      <c r="D36" s="11"/>
      <c r="E36" s="11"/>
      <c r="F36" s="11"/>
      <c r="G36" s="11"/>
      <c r="H36" s="84" t="s">
        <v>294</v>
      </c>
      <c r="I36" s="118" t="str">
        <f>IF(_epmOfflineCondition_,"T6",_xll.EVPRO($B$1,$H36,"STYLE"))</f>
        <v>T6</v>
      </c>
      <c r="J36" s="118" t="str">
        <f>IF(_epmOfflineCondition_,"Y",_xll.EVPRO($B$1,$H36,"CALC"))</f>
        <v>Y</v>
      </c>
      <c r="K36" s="86"/>
      <c r="L36" s="86" t="str">
        <f>IF(_epmOfflineCondition_,"461200",_xll.EVPRO($B$1,H36,"JDEID"))</f>
        <v>461200</v>
      </c>
      <c r="M36" s="86" t="str">
        <f>IF(_epmOfflineCondition_,"",IF(AND(I36="N",J36="N"),_xll.EVPRO($B$1,H36,"PSFTID"),""))</f>
        <v/>
      </c>
      <c r="N36" s="86" t="str">
        <f>IF(_epmOfflineCondition_,"Breakfast Liquor",IF(_xll.EVDES(H36,$B$1)="#NODATA","",_xll.EVDES(H36,$B$1)))</f>
        <v>Breakfast Liquor</v>
      </c>
      <c r="O36" s="134"/>
      <c r="P36" s="134"/>
      <c r="Q36" s="134"/>
      <c r="R36" s="134"/>
      <c r="S36" s="134"/>
      <c r="T36" s="134"/>
      <c r="U36" s="134"/>
      <c r="V36" s="134"/>
      <c r="W36" s="134"/>
      <c r="X36" s="134"/>
      <c r="Y36" s="134"/>
      <c r="Z36" s="134"/>
      <c r="AA36" s="134">
        <f t="shared" si="0"/>
        <v>0</v>
      </c>
      <c r="AB36" s="138" t="str">
        <f>IF(AA36=0,"",IFERROR(AA36/AA$19,""))</f>
        <v/>
      </c>
      <c r="AC36" s="136"/>
      <c r="AD36" s="134"/>
      <c r="AE36" s="138" t="str">
        <f>IF(AD36=0,"",IFERROR(AD36/AD$19,""))</f>
        <v/>
      </c>
      <c r="AF36" s="137">
        <f t="shared" si="1"/>
        <v>0</v>
      </c>
      <c r="AG36" s="134"/>
      <c r="AH36" s="138" t="str">
        <f>IF(AG36=0,"",IFERROR(AG36/AG$19,""))</f>
        <v/>
      </c>
      <c r="AI36" s="137">
        <f t="shared" si="2"/>
        <v>0</v>
      </c>
    </row>
    <row r="37" spans="1:35" x14ac:dyDescent="0.25">
      <c r="A37" s="61" t="s">
        <v>25</v>
      </c>
      <c r="B37" s="62"/>
      <c r="C37" s="11"/>
      <c r="D37" s="11"/>
      <c r="E37" s="11"/>
      <c r="F37" s="11"/>
      <c r="G37" s="11"/>
      <c r="H37" s="84" t="s">
        <v>295</v>
      </c>
      <c r="I37" s="118" t="str">
        <f>IF(_epmOfflineCondition_,"T6",_xll.EVPRO($B$1,$H37,"STYLE"))</f>
        <v>T6</v>
      </c>
      <c r="J37" s="118" t="str">
        <f>IF(_epmOfflineCondition_,"Y",_xll.EVPRO($B$1,$H37,"CALC"))</f>
        <v>Y</v>
      </c>
      <c r="K37" s="86"/>
      <c r="L37" s="86" t="str">
        <f>IF(_epmOfflineCondition_,"461300",_xll.EVPRO($B$1,H37,"JDEID"))</f>
        <v>461300</v>
      </c>
      <c r="M37" s="86" t="str">
        <f>IF(_epmOfflineCondition_,"",IF(AND(I37="N",J37="N"),_xll.EVPRO($B$1,H37,"PSFTID"),""))</f>
        <v/>
      </c>
      <c r="N37" s="86" t="str">
        <f>IF(_epmOfflineCondition_,"Breakfast Beer",IF(_xll.EVDES(H37,$B$1)="#NODATA","",_xll.EVDES(H37,$B$1)))</f>
        <v>Breakfast Beer</v>
      </c>
      <c r="O37" s="134"/>
      <c r="P37" s="134"/>
      <c r="Q37" s="134"/>
      <c r="R37" s="134"/>
      <c r="S37" s="134"/>
      <c r="T37" s="134"/>
      <c r="U37" s="134"/>
      <c r="V37" s="134"/>
      <c r="W37" s="134"/>
      <c r="X37" s="134"/>
      <c r="Y37" s="134"/>
      <c r="Z37" s="134"/>
      <c r="AA37" s="134">
        <f t="shared" si="0"/>
        <v>0</v>
      </c>
      <c r="AB37" s="138" t="str">
        <f>IF(AA37=0,"",IFERROR(AA37/AA$19,""))</f>
        <v/>
      </c>
      <c r="AC37" s="136"/>
      <c r="AD37" s="134"/>
      <c r="AE37" s="138" t="str">
        <f>IF(AD37=0,"",IFERROR(AD37/AD$19,""))</f>
        <v/>
      </c>
      <c r="AF37" s="137">
        <f t="shared" si="1"/>
        <v>0</v>
      </c>
      <c r="AG37" s="134"/>
      <c r="AH37" s="138" t="str">
        <f>IF(AG37=0,"",IFERROR(AG37/AG$19,""))</f>
        <v/>
      </c>
      <c r="AI37" s="137">
        <f t="shared" si="2"/>
        <v>0</v>
      </c>
    </row>
    <row r="38" spans="1:35" x14ac:dyDescent="0.25">
      <c r="A38" s="61" t="s">
        <v>26</v>
      </c>
      <c r="B38" s="62"/>
      <c r="C38" s="11"/>
      <c r="D38" s="11"/>
      <c r="E38" s="11"/>
      <c r="F38" s="11"/>
      <c r="G38" s="11"/>
      <c r="H38" s="84" t="s">
        <v>296</v>
      </c>
      <c r="I38" s="118" t="str">
        <f>IF(_epmOfflineCondition_,"T6",_xll.EVPRO($B$1,$H38,"STYLE"))</f>
        <v>T6</v>
      </c>
      <c r="J38" s="118" t="str">
        <f>IF(_epmOfflineCondition_,"Y",_xll.EVPRO($B$1,$H38,"CALC"))</f>
        <v>Y</v>
      </c>
      <c r="K38" s="86"/>
      <c r="L38" s="86" t="str">
        <f>IF(_epmOfflineCondition_,"461400",_xll.EVPRO($B$1,H38,"JDEID"))</f>
        <v>461400</v>
      </c>
      <c r="M38" s="86" t="str">
        <f>IF(_epmOfflineCondition_,"",IF(AND(I38="N",J38="N"),_xll.EVPRO($B$1,H38,"PSFTID"),""))</f>
        <v/>
      </c>
      <c r="N38" s="86" t="str">
        <f>IF(_epmOfflineCondition_,"Breakfast Wine",IF(_xll.EVDES(H38,$B$1)="#NODATA","",_xll.EVDES(H38,$B$1)))</f>
        <v>Breakfast Wine</v>
      </c>
      <c r="O38" s="228"/>
      <c r="P38" s="228"/>
      <c r="Q38" s="228"/>
      <c r="R38" s="228"/>
      <c r="S38" s="228"/>
      <c r="T38" s="228"/>
      <c r="U38" s="228"/>
      <c r="V38" s="228"/>
      <c r="W38" s="228"/>
      <c r="X38" s="228"/>
      <c r="Y38" s="228"/>
      <c r="Z38" s="228"/>
      <c r="AA38" s="228">
        <f t="shared" si="0"/>
        <v>0</v>
      </c>
      <c r="AB38" s="230" t="str">
        <f>IF(AA38=0,"",IFERROR(AA38/AA$19,""))</f>
        <v/>
      </c>
      <c r="AC38" s="136"/>
      <c r="AD38" s="228"/>
      <c r="AE38" s="230" t="str">
        <f>IF(AD38=0,"",IFERROR(AD38/AD$19,""))</f>
        <v/>
      </c>
      <c r="AF38" s="231">
        <f t="shared" si="1"/>
        <v>0</v>
      </c>
      <c r="AG38" s="228"/>
      <c r="AH38" s="230" t="str">
        <f>IF(AG38=0,"",IFERROR(AG38/AG$19,""))</f>
        <v/>
      </c>
      <c r="AI38" s="231">
        <f t="shared" si="2"/>
        <v>0</v>
      </c>
    </row>
    <row r="39" spans="1:35" x14ac:dyDescent="0.25">
      <c r="A39" s="61" t="s">
        <v>27</v>
      </c>
      <c r="B39" s="62"/>
      <c r="C39" s="11"/>
      <c r="D39" s="11"/>
      <c r="E39" s="11"/>
      <c r="F39" s="11"/>
      <c r="G39" s="11"/>
      <c r="H39" s="84" t="s">
        <v>318</v>
      </c>
      <c r="I39" s="118" t="str">
        <f>IF(_epmOfflineCondition_,"N",_xll.EVPRO($B$1,$H39,"STYLE"))</f>
        <v>N</v>
      </c>
      <c r="J39" s="118" t="str">
        <f>IF(_epmOfflineCondition_,"Y",_xll.EVPRO($B$1,$H39,"CALC"))</f>
        <v>Y</v>
      </c>
      <c r="K39" s="86"/>
      <c r="L39" s="86" t="str">
        <f>IF(_epmOfflineCondition_,"",_xll.EVPRO($B$1,H39,"JDEID"))</f>
        <v/>
      </c>
      <c r="M39" s="86" t="str">
        <f>IF(_epmOfflineCondition_,"",IF(AND(I39="N",J39="N"),_xll.EVPRO($B$1,H39,"PSFTID"),""))</f>
        <v/>
      </c>
      <c r="N39" s="102" t="str">
        <f>IF(_epmOfflineCondition_,"Breakfast Revenue",IF(_xll.EVDES(H39,$B$1)="#NODATA","",_xll.EVDES(H39,$B$1)))</f>
        <v>Breakfast Revenue</v>
      </c>
      <c r="O39" s="158"/>
      <c r="P39" s="158"/>
      <c r="Q39" s="158">
        <v>0.42</v>
      </c>
      <c r="R39" s="158"/>
      <c r="S39" s="158"/>
      <c r="T39" s="158"/>
      <c r="U39" s="158"/>
      <c r="V39" s="158"/>
      <c r="W39" s="158"/>
      <c r="X39" s="158"/>
      <c r="Y39" s="158"/>
      <c r="Z39" s="158"/>
      <c r="AA39" s="158">
        <f t="shared" si="0"/>
        <v>0.42</v>
      </c>
      <c r="AB39" s="159">
        <f>IF(AA39=0,"",IFERROR(AA39/AA$19,""))</f>
        <v>1.2127449095032424E-5</v>
      </c>
      <c r="AC39" s="136"/>
      <c r="AD39" s="158"/>
      <c r="AE39" s="159" t="str">
        <f>IF(AD39=0,"",IFERROR(AD39/AD$19,""))</f>
        <v/>
      </c>
      <c r="AF39" s="160">
        <f t="shared" si="1"/>
        <v>0.42</v>
      </c>
      <c r="AG39" s="158">
        <v>36.799999999999997</v>
      </c>
      <c r="AH39" s="159">
        <f>IF(AG39=0,"",IFERROR(AG39/AG$19,""))</f>
        <v>2.2919623744481069E-3</v>
      </c>
      <c r="AI39" s="160">
        <f t="shared" si="2"/>
        <v>-36.379999999999995</v>
      </c>
    </row>
    <row r="40" spans="1:35" x14ac:dyDescent="0.25">
      <c r="A40" s="61" t="s">
        <v>28</v>
      </c>
      <c r="B40" s="62"/>
      <c r="C40" s="11"/>
      <c r="D40" s="11"/>
      <c r="E40" s="11"/>
      <c r="F40" s="11"/>
      <c r="G40" s="11"/>
      <c r="H40" s="84" t="s">
        <v>764</v>
      </c>
      <c r="I40" s="118" t="str">
        <f>IF(_epmOfflineCondition_,"N",_xll.EVPRO($B$1,$H40,"STYLE"))</f>
        <v>N</v>
      </c>
      <c r="J40" s="118" t="str">
        <f>IF(_epmOfflineCondition_,"N",_xll.EVPRO($B$1,$H40,"CALC"))</f>
        <v>N</v>
      </c>
      <c r="K40" s="86"/>
      <c r="L40" s="86" t="str">
        <f>IF(_epmOfflineCondition_,"947100",_xll.EVPRO($B$1,H40,"JDEID"))</f>
        <v>947100</v>
      </c>
      <c r="M40" s="86" t="str">
        <f>IF(_epmOfflineCondition_,"999991",IF(AND(I40="N",J40="N"),_xll.EVPRO($B$1,H40,"PSFTID"),""))</f>
        <v>999991</v>
      </c>
      <c r="N40" s="86" t="str">
        <f>IF(_epmOfflineCondition_,"# of Operating Days - Breakfast",IF(_xll.EVDES(H40,$B$1)="#NODATA","",_xll.EVDES(H40,$B$1)))</f>
        <v># of Operating Days - Breakfast</v>
      </c>
      <c r="O40" s="240"/>
      <c r="P40" s="240"/>
      <c r="Q40" s="240"/>
      <c r="R40" s="240"/>
      <c r="S40" s="240"/>
      <c r="T40" s="240"/>
      <c r="U40" s="240"/>
      <c r="V40" s="240"/>
      <c r="W40" s="240"/>
      <c r="X40" s="240"/>
      <c r="Y40" s="240"/>
      <c r="Z40" s="240"/>
      <c r="AA40" s="240">
        <f t="shared" si="0"/>
        <v>0</v>
      </c>
      <c r="AB40" s="242"/>
      <c r="AC40" s="136"/>
      <c r="AD40" s="240"/>
      <c r="AE40" s="242"/>
      <c r="AF40" s="243">
        <f t="shared" si="1"/>
        <v>0</v>
      </c>
      <c r="AG40" s="240"/>
      <c r="AH40" s="242"/>
      <c r="AI40" s="243">
        <f t="shared" si="2"/>
        <v>0</v>
      </c>
    </row>
    <row r="41" spans="1:35" x14ac:dyDescent="0.25">
      <c r="A41" s="61" t="s">
        <v>29</v>
      </c>
      <c r="B41" s="62"/>
      <c r="C41" s="11"/>
      <c r="D41" s="11"/>
      <c r="E41" s="11"/>
      <c r="F41" s="11"/>
      <c r="G41" s="11"/>
      <c r="H41" s="84" t="s">
        <v>297</v>
      </c>
      <c r="I41" s="118" t="str">
        <f>IF(_epmOfflineCondition_,"N",_xll.EVPRO($B$1,$H41,"STYLE"))</f>
        <v>N</v>
      </c>
      <c r="J41" s="118" t="str">
        <f>IF(_epmOfflineCondition_,"N",_xll.EVPRO($B$1,$H41,"CALC"))</f>
        <v>N</v>
      </c>
      <c r="K41" s="86"/>
      <c r="L41" s="86" t="str">
        <f>IF(_epmOfflineCondition_,"946100",_xll.EVPRO($B$1,H41,"JDEID"))</f>
        <v>946100</v>
      </c>
      <c r="M41" s="86" t="str">
        <f>IF(_epmOfflineCondition_,"991501",IF(AND(I41="N",J41="N"),_xll.EVPRO($B$1,H41,"PSFTID"),""))</f>
        <v>991501</v>
      </c>
      <c r="N41" s="86" t="str">
        <f>IF(_epmOfflineCondition_,"Breakfast Customers",IF(_xll.EVDES(H41,$B$1)="#NODATA","",_xll.EVDES(H41,$B$1)))</f>
        <v>Breakfast Customers</v>
      </c>
      <c r="O41" s="240"/>
      <c r="P41" s="240"/>
      <c r="Q41" s="240"/>
      <c r="R41" s="240"/>
      <c r="S41" s="240"/>
      <c r="T41" s="240"/>
      <c r="U41" s="240"/>
      <c r="V41" s="240"/>
      <c r="W41" s="240"/>
      <c r="X41" s="240"/>
      <c r="Y41" s="240"/>
      <c r="Z41" s="240"/>
      <c r="AA41" s="240">
        <f t="shared" si="0"/>
        <v>0</v>
      </c>
      <c r="AB41" s="242" t="str">
        <f>IF(AA41=0,"",IFERROR(AA41/AA$87,""))</f>
        <v/>
      </c>
      <c r="AC41" s="136"/>
      <c r="AD41" s="240"/>
      <c r="AE41" s="242" t="str">
        <f>IF(AD41=0,"",IFERROR(AD41/AD$87,""))</f>
        <v/>
      </c>
      <c r="AF41" s="243">
        <f t="shared" si="1"/>
        <v>0</v>
      </c>
      <c r="AG41" s="240"/>
      <c r="AH41" s="242" t="str">
        <f>IF(AG41=0,"",IFERROR(AG41/AG$87,""))</f>
        <v/>
      </c>
      <c r="AI41" s="243">
        <f t="shared" si="2"/>
        <v>0</v>
      </c>
    </row>
    <row r="42" spans="1:35" x14ac:dyDescent="0.25">
      <c r="A42" s="61" t="s">
        <v>30</v>
      </c>
      <c r="B42" s="62" t="s">
        <v>78</v>
      </c>
      <c r="C42" s="11"/>
      <c r="D42" s="11"/>
      <c r="E42" s="11"/>
      <c r="F42" s="11"/>
      <c r="G42" s="11"/>
      <c r="H42" s="84" t="s">
        <v>313</v>
      </c>
      <c r="I42" s="118" t="str">
        <f>IF(_epmOfflineCondition_,"N",_xll.EVPRO($B$1,$H42,"STYLE"))</f>
        <v>N</v>
      </c>
      <c r="J42" s="118" t="str">
        <f>IF(_epmOfflineCondition_,"Y",_xll.EVPRO($B$1,$H42,"CALC"))</f>
        <v>Y</v>
      </c>
      <c r="K42" s="86"/>
      <c r="L42" s="86" t="str">
        <f>IF(_epmOfflineCondition_,"",_xll.EVPRO($B$1,H42,"JDEID"))</f>
        <v/>
      </c>
      <c r="M42" s="86" t="str">
        <f>IF(_epmOfflineCondition_,"",IF(AND(I42="N",J42="N"),_xll.EVPRO($B$1,H42,"PSFTID"),""))</f>
        <v/>
      </c>
      <c r="N42" s="186" t="str">
        <f>IF(_epmOfflineCondition_,"Breakfast - Average Check",IF(_xll.EVDES(H42,$B$1)="#NODATA","",_xll.EVDES(H42,$B$1)))</f>
        <v>Breakfast - Average Check</v>
      </c>
      <c r="O42" s="490"/>
      <c r="P42" s="490"/>
      <c r="Q42" s="490"/>
      <c r="R42" s="490"/>
      <c r="S42" s="490"/>
      <c r="T42" s="490"/>
      <c r="U42" s="490"/>
      <c r="V42" s="490"/>
      <c r="W42" s="490"/>
      <c r="X42" s="490"/>
      <c r="Y42" s="490"/>
      <c r="Z42" s="490"/>
      <c r="AA42" s="490" t="str">
        <f>IFERROR(AA39/AA41,"")</f>
        <v/>
      </c>
      <c r="AB42" s="490"/>
      <c r="AC42" s="136"/>
      <c r="AD42" s="490"/>
      <c r="AE42" s="490"/>
      <c r="AF42" s="491" t="str">
        <f t="shared" si="1"/>
        <v/>
      </c>
      <c r="AG42" s="490"/>
      <c r="AH42" s="490"/>
      <c r="AI42" s="491" t="str">
        <f t="shared" si="2"/>
        <v/>
      </c>
    </row>
    <row r="43" spans="1:35" x14ac:dyDescent="0.25">
      <c r="A43" s="61" t="s">
        <v>31</v>
      </c>
      <c r="B43" s="62" t="s">
        <v>78</v>
      </c>
      <c r="C43" s="11"/>
      <c r="D43" s="11"/>
      <c r="E43" s="11"/>
      <c r="F43" s="11"/>
      <c r="G43" s="486">
        <f>COUNTIF(O44:AI44,FALSE)</f>
        <v>0</v>
      </c>
      <c r="H43" s="84"/>
      <c r="I43" s="118"/>
      <c r="J43" s="118"/>
      <c r="K43" s="86"/>
      <c r="L43" s="86"/>
      <c r="M43" s="86"/>
      <c r="N43" s="487" t="s">
        <v>345</v>
      </c>
      <c r="O43" s="492">
        <f t="shared" ref="O43:AA43" si="3">ROUND(IFERROR(O39/O41,0),2)</f>
        <v>0</v>
      </c>
      <c r="P43" s="493">
        <f t="shared" si="3"/>
        <v>0</v>
      </c>
      <c r="Q43" s="493">
        <f t="shared" si="3"/>
        <v>0</v>
      </c>
      <c r="R43" s="493">
        <f t="shared" si="3"/>
        <v>0</v>
      </c>
      <c r="S43" s="493">
        <f t="shared" si="3"/>
        <v>0</v>
      </c>
      <c r="T43" s="493">
        <f t="shared" si="3"/>
        <v>0</v>
      </c>
      <c r="U43" s="493">
        <f t="shared" si="3"/>
        <v>0</v>
      </c>
      <c r="V43" s="493">
        <f t="shared" si="3"/>
        <v>0</v>
      </c>
      <c r="W43" s="493">
        <f t="shared" si="3"/>
        <v>0</v>
      </c>
      <c r="X43" s="493">
        <f t="shared" si="3"/>
        <v>0</v>
      </c>
      <c r="Y43" s="493">
        <f t="shared" si="3"/>
        <v>0</v>
      </c>
      <c r="Z43" s="493">
        <f t="shared" si="3"/>
        <v>0</v>
      </c>
      <c r="AA43" s="493">
        <f t="shared" si="3"/>
        <v>0</v>
      </c>
      <c r="AB43" s="494"/>
      <c r="AC43" s="136"/>
      <c r="AD43" s="492">
        <f>ROUND(IFERROR(AD39/AD41,0),2)</f>
        <v>0</v>
      </c>
      <c r="AE43" s="493"/>
      <c r="AF43" s="151"/>
      <c r="AG43" s="492">
        <f>ROUND(IFERROR(AG39/AG41,0),2)</f>
        <v>0</v>
      </c>
      <c r="AH43" s="493"/>
      <c r="AI43" s="151"/>
    </row>
    <row r="44" spans="1:35" x14ac:dyDescent="0.25">
      <c r="A44" s="61" t="s">
        <v>32</v>
      </c>
      <c r="B44" s="62"/>
      <c r="C44" s="11"/>
      <c r="D44" s="11"/>
      <c r="E44" s="11"/>
      <c r="F44" s="11"/>
      <c r="G44" s="11"/>
      <c r="H44" s="84"/>
      <c r="I44" s="118"/>
      <c r="J44" s="118"/>
      <c r="K44" s="86"/>
      <c r="L44" s="86"/>
      <c r="M44" s="86"/>
      <c r="N44" s="49" t="s">
        <v>314</v>
      </c>
      <c r="O44" s="495" t="b">
        <f t="shared" ref="O44:AA44" si="4">ROUND(O42,2)=ROUND(O43,2)</f>
        <v>1</v>
      </c>
      <c r="P44" s="496" t="b">
        <f t="shared" si="4"/>
        <v>1</v>
      </c>
      <c r="Q44" s="496" t="b">
        <f t="shared" si="4"/>
        <v>1</v>
      </c>
      <c r="R44" s="496" t="b">
        <f t="shared" si="4"/>
        <v>1</v>
      </c>
      <c r="S44" s="496" t="b">
        <f t="shared" si="4"/>
        <v>1</v>
      </c>
      <c r="T44" s="496" t="b">
        <f t="shared" si="4"/>
        <v>1</v>
      </c>
      <c r="U44" s="496" t="b">
        <f t="shared" si="4"/>
        <v>1</v>
      </c>
      <c r="V44" s="496" t="b">
        <f t="shared" si="4"/>
        <v>1</v>
      </c>
      <c r="W44" s="496" t="b">
        <f t="shared" si="4"/>
        <v>1</v>
      </c>
      <c r="X44" s="496" t="b">
        <f t="shared" si="4"/>
        <v>1</v>
      </c>
      <c r="Y44" s="496" t="b">
        <f t="shared" si="4"/>
        <v>1</v>
      </c>
      <c r="Z44" s="496" t="b">
        <f t="shared" si="4"/>
        <v>1</v>
      </c>
      <c r="AA44" s="496" t="e">
        <f t="shared" si="4"/>
        <v>#VALUE!</v>
      </c>
      <c r="AB44" s="497"/>
      <c r="AC44" s="498"/>
      <c r="AD44" s="495"/>
      <c r="AE44" s="496" t="b">
        <f>ROUND(AD42,2)=ROUND(AD43,2)</f>
        <v>1</v>
      </c>
      <c r="AF44" s="497"/>
      <c r="AG44" s="495"/>
      <c r="AH44" s="496" t="b">
        <f>ROUND(AG42,2)=ROUND(AG43,2)</f>
        <v>1</v>
      </c>
      <c r="AI44" s="497"/>
    </row>
    <row r="45" spans="1:35" x14ac:dyDescent="0.25">
      <c r="A45" s="61" t="s">
        <v>33</v>
      </c>
      <c r="B45" s="62"/>
      <c r="C45" s="11"/>
      <c r="D45" s="11"/>
      <c r="E45" s="11"/>
      <c r="F45" s="11"/>
      <c r="G45" s="11"/>
      <c r="H45" s="84" t="s">
        <v>261</v>
      </c>
      <c r="I45" s="118" t="str">
        <f>IF(_epmOfflineCondition_,"T5",_xll.EVPRO($B$1,$H45,"STYLE"))</f>
        <v>T5</v>
      </c>
      <c r="J45" s="118" t="str">
        <f>IF(_epmOfflineCondition_,"Y",_xll.EVPRO($B$1,$H45,"CALC"))</f>
        <v>Y</v>
      </c>
      <c r="K45" s="86"/>
      <c r="L45" s="86" t="str">
        <f>IF(_epmOfflineCondition_,"462100",_xll.EVPRO($B$1,H45,"JDEID"))</f>
        <v>462100</v>
      </c>
      <c r="M45" s="86" t="str">
        <f>IF(_epmOfflineCondition_,"",IF(AND(I45="N",J45="N"),_xll.EVPRO($B$1,H45,"PSFTID"),""))</f>
        <v/>
      </c>
      <c r="N45" s="86" t="str">
        <f>IF(_epmOfflineCondition_,"Lunch Food",IF(_xll.EVDES(H45,$B$1)="#NODATA","",_xll.EVDES(H45,$B$1)))</f>
        <v>Lunch Food</v>
      </c>
      <c r="O45" s="134">
        <v>69</v>
      </c>
      <c r="P45" s="134">
        <v>138</v>
      </c>
      <c r="Q45" s="134">
        <v>139</v>
      </c>
      <c r="R45" s="134">
        <v>180</v>
      </c>
      <c r="S45" s="134">
        <v>192</v>
      </c>
      <c r="T45" s="134">
        <v>290</v>
      </c>
      <c r="U45" s="134">
        <v>1047</v>
      </c>
      <c r="V45" s="134">
        <v>710</v>
      </c>
      <c r="W45" s="134">
        <v>313</v>
      </c>
      <c r="X45" s="134">
        <v>15</v>
      </c>
      <c r="Y45" s="134">
        <v>1241</v>
      </c>
      <c r="Z45" s="134">
        <v>2511</v>
      </c>
      <c r="AA45" s="134">
        <f t="shared" ref="AA45:AA51" si="5">SUM(O45:Z45)</f>
        <v>6845</v>
      </c>
      <c r="AB45" s="138">
        <f>IF(AA45=0,"",IFERROR(AA45/AA$19,""))</f>
        <v>0.1976485453702308</v>
      </c>
      <c r="AC45" s="136"/>
      <c r="AD45" s="134">
        <v>108405.834264</v>
      </c>
      <c r="AE45" s="138">
        <f>IF(AD45=0,"",IFERROR(AD45/AD$19,""))</f>
        <v>0.50078811799078737</v>
      </c>
      <c r="AF45" s="137">
        <f t="shared" ref="AF45:AF52" si="6">IF(AND($AA45="",AD45=""),"",$AA45-AD45)</f>
        <v>-101560.834264</v>
      </c>
      <c r="AG45" s="134">
        <v>2721.5</v>
      </c>
      <c r="AH45" s="138">
        <f>IF(AG45=0,"",IFERROR(AG45/AG$19,""))</f>
        <v>0.16949933701251424</v>
      </c>
      <c r="AI45" s="137">
        <f t="shared" ref="AI45:AI52" si="7">IF(AND($AA45="",AG45=""),"",$AA45-AG45)</f>
        <v>4123.5</v>
      </c>
    </row>
    <row r="46" spans="1:35" x14ac:dyDescent="0.25">
      <c r="A46" s="61" t="s">
        <v>34</v>
      </c>
      <c r="B46" s="62"/>
      <c r="C46" s="11"/>
      <c r="D46" s="11"/>
      <c r="E46" s="11"/>
      <c r="F46" s="11"/>
      <c r="G46" s="11"/>
      <c r="H46" s="181" t="s">
        <v>301</v>
      </c>
      <c r="I46" s="118" t="str">
        <f>IF(_epmOfflineCondition_,"T6",_xll.EVPRO($B$1,$H46,"STYLE"))</f>
        <v>T6</v>
      </c>
      <c r="J46" s="118" t="str">
        <f>IF(_epmOfflineCondition_,"Y",_xll.EVPRO($B$1,$H46,"CALC"))</f>
        <v>Y</v>
      </c>
      <c r="K46" s="86"/>
      <c r="L46" s="86" t="str">
        <f>IF(_epmOfflineCondition_,"462200",_xll.EVPRO($B$1,H46,"JDEID"))</f>
        <v>462200</v>
      </c>
      <c r="M46" s="86" t="str">
        <f>IF(_epmOfflineCondition_,"",IF(AND(I46="N",J46="N"),_xll.EVPRO($B$1,H46,"PSFTID"),""))</f>
        <v/>
      </c>
      <c r="N46" s="86" t="str">
        <f>IF(_epmOfflineCondition_,"Lunch Liquor",IF(_xll.EVDES(H46,$B$1)="#NODATA","",_xll.EVDES(H46,$B$1)))</f>
        <v>Lunch Liquor</v>
      </c>
      <c r="O46" s="134">
        <v>692</v>
      </c>
      <c r="P46" s="134">
        <v>1521</v>
      </c>
      <c r="Q46" s="134">
        <v>2282</v>
      </c>
      <c r="R46" s="134">
        <v>1560</v>
      </c>
      <c r="S46" s="134">
        <v>1695</v>
      </c>
      <c r="T46" s="134">
        <v>1338</v>
      </c>
      <c r="U46" s="134">
        <v>1942</v>
      </c>
      <c r="V46" s="134">
        <v>875</v>
      </c>
      <c r="W46" s="134">
        <v>1826</v>
      </c>
      <c r="X46" s="134">
        <v>779.2</v>
      </c>
      <c r="Y46" s="134">
        <v>1462</v>
      </c>
      <c r="Z46" s="134">
        <v>1889</v>
      </c>
      <c r="AA46" s="134">
        <f t="shared" si="5"/>
        <v>17861.2</v>
      </c>
      <c r="AB46" s="138">
        <f>IF(AA46=0,"",IFERROR(AA46/AA$19,""))</f>
        <v>0.51573998518141217</v>
      </c>
      <c r="AC46" s="136"/>
      <c r="AD46" s="134">
        <v>29436.100272</v>
      </c>
      <c r="AE46" s="138">
        <f>IF(AD46=0,"",IFERROR(AD46/AD$19,""))</f>
        <v>0.13598206550676706</v>
      </c>
      <c r="AF46" s="137">
        <f t="shared" si="6"/>
        <v>-11574.900271999999</v>
      </c>
      <c r="AG46" s="134">
        <v>5833.78</v>
      </c>
      <c r="AH46" s="138">
        <f>IF(AG46=0,"",IFERROR(AG46/AG$19,""))</f>
        <v>0.36333707230456191</v>
      </c>
      <c r="AI46" s="137">
        <f t="shared" si="7"/>
        <v>12027.420000000002</v>
      </c>
    </row>
    <row r="47" spans="1:35" x14ac:dyDescent="0.25">
      <c r="A47" s="61" t="s">
        <v>35</v>
      </c>
      <c r="B47" s="62"/>
      <c r="C47" s="11"/>
      <c r="D47" s="11"/>
      <c r="E47" s="11"/>
      <c r="F47" s="11"/>
      <c r="G47" s="11"/>
      <c r="H47" s="181" t="s">
        <v>305</v>
      </c>
      <c r="I47" s="118" t="str">
        <f>IF(_epmOfflineCondition_,"T6",_xll.EVPRO($B$1,$H47,"STYLE"))</f>
        <v>T6</v>
      </c>
      <c r="J47" s="118" t="str">
        <f>IF(_epmOfflineCondition_,"Y",_xll.EVPRO($B$1,$H47,"CALC"))</f>
        <v>Y</v>
      </c>
      <c r="K47" s="86"/>
      <c r="L47" s="86" t="str">
        <f>IF(_epmOfflineCondition_,"462300",_xll.EVPRO($B$1,H47,"JDEID"))</f>
        <v>462300</v>
      </c>
      <c r="M47" s="86" t="str">
        <f>IF(_epmOfflineCondition_,"",IF(AND(I47="N",J47="N"),_xll.EVPRO($B$1,H47,"PSFTID"),""))</f>
        <v/>
      </c>
      <c r="N47" s="86" t="str">
        <f>IF(_epmOfflineCondition_,"Lunch Beer",IF(_xll.EVDES(H47,$B$1)="#NODATA","",_xll.EVDES(H47,$B$1)))</f>
        <v>Lunch Beer</v>
      </c>
      <c r="O47" s="134">
        <v>358</v>
      </c>
      <c r="P47" s="134">
        <v>631</v>
      </c>
      <c r="Q47" s="134">
        <v>723</v>
      </c>
      <c r="R47" s="134">
        <v>502</v>
      </c>
      <c r="S47" s="134">
        <v>696</v>
      </c>
      <c r="T47" s="134">
        <v>85</v>
      </c>
      <c r="U47" s="134">
        <v>515</v>
      </c>
      <c r="V47" s="134">
        <v>325</v>
      </c>
      <c r="W47" s="134">
        <v>400</v>
      </c>
      <c r="X47" s="134">
        <v>169</v>
      </c>
      <c r="Y47" s="134">
        <v>378</v>
      </c>
      <c r="Z47" s="134">
        <v>800</v>
      </c>
      <c r="AA47" s="134">
        <f t="shared" si="5"/>
        <v>5582</v>
      </c>
      <c r="AB47" s="138">
        <f>IF(AA47=0,"",IFERROR(AA47/AA$19,""))</f>
        <v>0.16117957344874045</v>
      </c>
      <c r="AC47" s="136"/>
      <c r="AD47" s="134">
        <v>4210.4539439999999</v>
      </c>
      <c r="AE47" s="138">
        <f>IF(AD47=0,"",IFERROR(AD47/AD$19,""))</f>
        <v>1.9450478111424533E-2</v>
      </c>
      <c r="AF47" s="137">
        <f t="shared" si="6"/>
        <v>1371.5460560000001</v>
      </c>
      <c r="AG47" s="134">
        <v>3892</v>
      </c>
      <c r="AH47" s="138">
        <f>IF(AG47=0,"",IFERROR(AG47/AG$19,""))</f>
        <v>0.24239993373239221</v>
      </c>
      <c r="AI47" s="137">
        <f t="shared" si="7"/>
        <v>1690</v>
      </c>
    </row>
    <row r="48" spans="1:35" x14ac:dyDescent="0.25">
      <c r="A48" s="61" t="s">
        <v>36</v>
      </c>
      <c r="B48" s="62"/>
      <c r="C48" s="11"/>
      <c r="D48" s="11"/>
      <c r="E48" s="11"/>
      <c r="F48" s="11"/>
      <c r="G48" s="11"/>
      <c r="H48" s="181" t="s">
        <v>303</v>
      </c>
      <c r="I48" s="118" t="str">
        <f>IF(_epmOfflineCondition_,"T6",_xll.EVPRO($B$1,$H48,"STYLE"))</f>
        <v>T6</v>
      </c>
      <c r="J48" s="118" t="str">
        <f>IF(_epmOfflineCondition_,"Y",_xll.EVPRO($B$1,$H48,"CALC"))</f>
        <v>Y</v>
      </c>
      <c r="K48" s="86"/>
      <c r="L48" s="86" t="str">
        <f>IF(_epmOfflineCondition_,"462400",_xll.EVPRO($B$1,H48,"JDEID"))</f>
        <v>462400</v>
      </c>
      <c r="M48" s="86" t="str">
        <f>IF(_epmOfflineCondition_,"",IF(AND(I48="N",J48="N"),_xll.EVPRO($B$1,H48,"PSFTID"),""))</f>
        <v/>
      </c>
      <c r="N48" s="86" t="str">
        <f>IF(_epmOfflineCondition_,"Lunch Wine",IF(_xll.EVDES(H48,$B$1)="#NODATA","",_xll.EVDES(H48,$B$1)))</f>
        <v>Lunch Wine</v>
      </c>
      <c r="O48" s="228">
        <v>470</v>
      </c>
      <c r="P48" s="228">
        <v>595</v>
      </c>
      <c r="Q48" s="228">
        <v>789</v>
      </c>
      <c r="R48" s="228">
        <v>512</v>
      </c>
      <c r="S48" s="228">
        <v>620</v>
      </c>
      <c r="T48" s="228">
        <v>137</v>
      </c>
      <c r="U48" s="228">
        <v>756</v>
      </c>
      <c r="V48" s="228">
        <v>203</v>
      </c>
      <c r="W48" s="228">
        <v>276</v>
      </c>
      <c r="X48" s="228">
        <v>36</v>
      </c>
      <c r="Y48" s="228">
        <v>216</v>
      </c>
      <c r="Z48" s="228">
        <v>539</v>
      </c>
      <c r="AA48" s="228">
        <f t="shared" si="5"/>
        <v>5149</v>
      </c>
      <c r="AB48" s="230">
        <f>IF(AA48=0,"",IFERROR(AA48/AA$19,""))</f>
        <v>0.14867675092933796</v>
      </c>
      <c r="AC48" s="136"/>
      <c r="AD48" s="228">
        <v>74418.071519999998</v>
      </c>
      <c r="AE48" s="230">
        <f>IF(AD48=0,"",IFERROR(AD48/AD$19,""))</f>
        <v>0.34377933839102109</v>
      </c>
      <c r="AF48" s="231">
        <f t="shared" si="6"/>
        <v>-69269.071519999998</v>
      </c>
      <c r="AG48" s="228">
        <v>3830</v>
      </c>
      <c r="AH48" s="230">
        <f>IF(AG48=0,"",IFERROR(AG48/AG$19,""))</f>
        <v>0.23853847538413725</v>
      </c>
      <c r="AI48" s="231">
        <f t="shared" si="7"/>
        <v>1319</v>
      </c>
    </row>
    <row r="49" spans="1:35" x14ac:dyDescent="0.25">
      <c r="A49" s="61" t="s">
        <v>37</v>
      </c>
      <c r="B49" s="62"/>
      <c r="C49" s="11"/>
      <c r="D49" s="11"/>
      <c r="E49" s="11"/>
      <c r="F49" s="11"/>
      <c r="G49" s="11"/>
      <c r="H49" s="84" t="s">
        <v>319</v>
      </c>
      <c r="I49" s="118" t="str">
        <f>IF(_epmOfflineCondition_,"N",_xll.EVPRO($B$1,$H49,"STYLE"))</f>
        <v>N</v>
      </c>
      <c r="J49" s="118" t="str">
        <f>IF(_epmOfflineCondition_,"Y",_xll.EVPRO($B$1,$H49,"CALC"))</f>
        <v>Y</v>
      </c>
      <c r="K49" s="86"/>
      <c r="L49" s="86" t="str">
        <f>IF(_epmOfflineCondition_,"",_xll.EVPRO($B$1,H49,"JDEID"))</f>
        <v/>
      </c>
      <c r="M49" s="86" t="str">
        <f>IF(_epmOfflineCondition_,"",IF(AND(I49="N",J49="N"),_xll.EVPRO($B$1,H49,"PSFTID"),""))</f>
        <v/>
      </c>
      <c r="N49" s="102" t="str">
        <f>IF(_epmOfflineCondition_,"Lunch Revenue",IF(_xll.EVDES(H49,$B$1)="#NODATA","",_xll.EVDES(H49,$B$1)))</f>
        <v>Lunch Revenue</v>
      </c>
      <c r="O49" s="158">
        <v>1589</v>
      </c>
      <c r="P49" s="158">
        <v>2885</v>
      </c>
      <c r="Q49" s="158">
        <v>3933</v>
      </c>
      <c r="R49" s="158">
        <v>2754</v>
      </c>
      <c r="S49" s="158">
        <v>3203</v>
      </c>
      <c r="T49" s="158">
        <v>1850</v>
      </c>
      <c r="U49" s="158">
        <v>4260</v>
      </c>
      <c r="V49" s="158">
        <v>2113</v>
      </c>
      <c r="W49" s="158">
        <v>2815</v>
      </c>
      <c r="X49" s="158">
        <v>999.2</v>
      </c>
      <c r="Y49" s="158">
        <v>3297</v>
      </c>
      <c r="Z49" s="158">
        <v>5739</v>
      </c>
      <c r="AA49" s="158">
        <f t="shared" si="5"/>
        <v>35437.199999999997</v>
      </c>
      <c r="AB49" s="159">
        <f>IF(AA49=0,"",IFERROR(AA49/AA$19,""))</f>
        <v>1.0232448549297213</v>
      </c>
      <c r="AC49" s="136"/>
      <c r="AD49" s="158">
        <v>216470.46</v>
      </c>
      <c r="AE49" s="159">
        <f>IF(AD49=0,"",IFERROR(AD49/AD$19,""))</f>
        <v>1</v>
      </c>
      <c r="AF49" s="160">
        <f t="shared" si="6"/>
        <v>-181033.26</v>
      </c>
      <c r="AG49" s="158">
        <v>16277.28</v>
      </c>
      <c r="AH49" s="159">
        <f>IF(AG49=0,"",IFERROR(AG49/AG$19,""))</f>
        <v>1.0137748184336057</v>
      </c>
      <c r="AI49" s="160">
        <f t="shared" si="7"/>
        <v>19159.919999999998</v>
      </c>
    </row>
    <row r="50" spans="1:35" x14ac:dyDescent="0.25">
      <c r="A50" s="61" t="s">
        <v>38</v>
      </c>
      <c r="B50" s="62"/>
      <c r="C50" s="11"/>
      <c r="D50" s="11"/>
      <c r="E50" s="11"/>
      <c r="F50" s="11"/>
      <c r="G50" s="11"/>
      <c r="H50" s="84" t="s">
        <v>765</v>
      </c>
      <c r="I50" s="118" t="str">
        <f>IF(_epmOfflineCondition_,"N",_xll.EVPRO($B$1,$H50,"STYLE"))</f>
        <v>N</v>
      </c>
      <c r="J50" s="118" t="str">
        <f>IF(_epmOfflineCondition_,"N",_xll.EVPRO($B$1,$H50,"CALC"))</f>
        <v>N</v>
      </c>
      <c r="K50" s="86"/>
      <c r="L50" s="86" t="str">
        <f>IF(_epmOfflineCondition_,"947200",_xll.EVPRO($B$1,H50,"JDEID"))</f>
        <v>947200</v>
      </c>
      <c r="M50" s="86" t="str">
        <f>IF(_epmOfflineCondition_,"999992",IF(AND(I50="N",J50="N"),_xll.EVPRO($B$1,H50,"PSFTID"),""))</f>
        <v>999992</v>
      </c>
      <c r="N50" s="86" t="str">
        <f>IF(_epmOfflineCondition_,"# of Operating Days - Lunch",IF(_xll.EVDES(H50,$B$1)="#NODATA","",_xll.EVDES(H50,$B$1)))</f>
        <v># of Operating Days - Lunch</v>
      </c>
      <c r="O50" s="240">
        <v>17</v>
      </c>
      <c r="P50" s="240">
        <v>28</v>
      </c>
      <c r="Q50" s="240">
        <v>17</v>
      </c>
      <c r="R50" s="240">
        <v>15</v>
      </c>
      <c r="S50" s="240">
        <v>16</v>
      </c>
      <c r="T50" s="240">
        <v>8</v>
      </c>
      <c r="U50" s="240">
        <v>20</v>
      </c>
      <c r="V50" s="240">
        <v>16</v>
      </c>
      <c r="W50" s="240">
        <v>19</v>
      </c>
      <c r="X50" s="240">
        <v>6</v>
      </c>
      <c r="Y50" s="240">
        <v>30</v>
      </c>
      <c r="Z50" s="240">
        <v>31</v>
      </c>
      <c r="AA50" s="240">
        <f t="shared" si="5"/>
        <v>223</v>
      </c>
      <c r="AB50" s="242"/>
      <c r="AC50" s="136"/>
      <c r="AD50" s="240">
        <v>365</v>
      </c>
      <c r="AE50" s="242"/>
      <c r="AF50" s="243">
        <f t="shared" si="6"/>
        <v>-142</v>
      </c>
      <c r="AG50" s="240">
        <v>152</v>
      </c>
      <c r="AH50" s="242"/>
      <c r="AI50" s="243">
        <f t="shared" si="7"/>
        <v>71</v>
      </c>
    </row>
    <row r="51" spans="1:35" x14ac:dyDescent="0.25">
      <c r="A51" s="61" t="s">
        <v>39</v>
      </c>
      <c r="B51" s="62"/>
      <c r="C51" s="11"/>
      <c r="D51" s="11"/>
      <c r="E51" s="11"/>
      <c r="F51" s="11"/>
      <c r="G51" s="11"/>
      <c r="H51" s="84" t="s">
        <v>298</v>
      </c>
      <c r="I51" s="118" t="str">
        <f>IF(_epmOfflineCondition_,"N",_xll.EVPRO($B$1,$H51,"STYLE"))</f>
        <v>N</v>
      </c>
      <c r="J51" s="118" t="str">
        <f>IF(_epmOfflineCondition_,"N",_xll.EVPRO($B$1,$H51,"CALC"))</f>
        <v>N</v>
      </c>
      <c r="K51" s="86"/>
      <c r="L51" s="86" t="str">
        <f>IF(_epmOfflineCondition_,"946200",_xll.EVPRO($B$1,H51,"JDEID"))</f>
        <v>946200</v>
      </c>
      <c r="M51" s="86" t="str">
        <f>IF(_epmOfflineCondition_,"991502",IF(AND(I51="N",J51="N"),_xll.EVPRO($B$1,H51,"PSFTID"),""))</f>
        <v>991502</v>
      </c>
      <c r="N51" s="86" t="str">
        <f>IF(_epmOfflineCondition_,"Lunch Customers",IF(_xll.EVDES(H51,$B$1)="#NODATA","",_xll.EVDES(H51,$B$1)))</f>
        <v>Lunch Customers</v>
      </c>
      <c r="O51" s="240">
        <v>113</v>
      </c>
      <c r="P51" s="240">
        <v>163</v>
      </c>
      <c r="Q51" s="240">
        <v>272</v>
      </c>
      <c r="R51" s="240">
        <v>193</v>
      </c>
      <c r="S51" s="240">
        <v>232</v>
      </c>
      <c r="T51" s="240">
        <v>99</v>
      </c>
      <c r="U51" s="240">
        <v>260</v>
      </c>
      <c r="V51" s="240">
        <v>123</v>
      </c>
      <c r="W51" s="240">
        <v>189</v>
      </c>
      <c r="X51" s="240">
        <v>58</v>
      </c>
      <c r="Y51" s="240">
        <v>191</v>
      </c>
      <c r="Z51" s="240">
        <v>341</v>
      </c>
      <c r="AA51" s="240">
        <f t="shared" si="5"/>
        <v>2234</v>
      </c>
      <c r="AB51" s="242">
        <f>IF(AA51=0,"",IFERROR(AA51/AA$87,""))</f>
        <v>1</v>
      </c>
      <c r="AC51" s="136"/>
      <c r="AD51" s="240">
        <v>10076</v>
      </c>
      <c r="AE51" s="242">
        <f>IF(AD51=0,"",IFERROR(AD51/AD$87,""))</f>
        <v>1</v>
      </c>
      <c r="AF51" s="243">
        <f t="shared" si="6"/>
        <v>-7842</v>
      </c>
      <c r="AG51" s="240">
        <v>1020</v>
      </c>
      <c r="AH51" s="242">
        <f>IF(AG51=0,"",IFERROR(AG51/AG$87,""))</f>
        <v>1</v>
      </c>
      <c r="AI51" s="243">
        <f t="shared" si="7"/>
        <v>1214</v>
      </c>
    </row>
    <row r="52" spans="1:35" x14ac:dyDescent="0.25">
      <c r="A52" s="61" t="s">
        <v>40</v>
      </c>
      <c r="B52" s="62"/>
      <c r="C52" s="11"/>
      <c r="D52" s="11"/>
      <c r="E52" s="11"/>
      <c r="F52" s="11"/>
      <c r="G52" s="11"/>
      <c r="H52" s="84" t="s">
        <v>315</v>
      </c>
      <c r="I52" s="118" t="str">
        <f>IF(_epmOfflineCondition_,"N",_xll.EVPRO($B$1,$H52,"STYLE"))</f>
        <v>N</v>
      </c>
      <c r="J52" s="118" t="str">
        <f>IF(_epmOfflineCondition_,"Y",_xll.EVPRO($B$1,$H52,"CALC"))</f>
        <v>Y</v>
      </c>
      <c r="K52" s="86"/>
      <c r="L52" s="86" t="str">
        <f>IF(_epmOfflineCondition_,"",_xll.EVPRO($B$1,H52,"JDEID"))</f>
        <v/>
      </c>
      <c r="M52" s="86" t="str">
        <f>IF(_epmOfflineCondition_,"",IF(AND(I52="N",J52="N"),_xll.EVPRO($B$1,H52,"PSFTID"),""))</f>
        <v/>
      </c>
      <c r="N52" s="186" t="str">
        <f>IF(_epmOfflineCondition_,"Lunch - Average Check",IF(_xll.EVDES(H52,$B$1)="#NODATA","",_xll.EVDES(H52,$B$1)))</f>
        <v>Lunch - Average Check</v>
      </c>
      <c r="O52" s="490">
        <v>14.061946902654901</v>
      </c>
      <c r="P52" s="490">
        <v>17.699386503067501</v>
      </c>
      <c r="Q52" s="490">
        <v>14.459558823529401</v>
      </c>
      <c r="R52" s="490">
        <v>14.269430051813501</v>
      </c>
      <c r="S52" s="490">
        <v>13.8060344827586</v>
      </c>
      <c r="T52" s="490">
        <v>18.686868686868699</v>
      </c>
      <c r="U52" s="490">
        <v>16.384615384615401</v>
      </c>
      <c r="V52" s="490">
        <v>17.178861788617901</v>
      </c>
      <c r="W52" s="490">
        <v>14.894179894179899</v>
      </c>
      <c r="X52" s="490">
        <v>17.2275862068966</v>
      </c>
      <c r="Y52" s="490">
        <v>17.261780104711999</v>
      </c>
      <c r="Z52" s="490">
        <v>16.829912023460398</v>
      </c>
      <c r="AA52" s="490">
        <f>IFERROR(AA49/AA51,"")</f>
        <v>15.862667860340196</v>
      </c>
      <c r="AB52" s="490"/>
      <c r="AC52" s="136"/>
      <c r="AD52" s="490">
        <v>21.4837693529178</v>
      </c>
      <c r="AE52" s="490"/>
      <c r="AF52" s="491">
        <f t="shared" si="6"/>
        <v>-5.6211014925776048</v>
      </c>
      <c r="AG52" s="490">
        <v>15.958117647058801</v>
      </c>
      <c r="AH52" s="490"/>
      <c r="AI52" s="491">
        <f t="shared" si="7"/>
        <v>-9.5449786718605267E-2</v>
      </c>
    </row>
    <row r="53" spans="1:35" x14ac:dyDescent="0.25">
      <c r="A53" s="61" t="s">
        <v>41</v>
      </c>
      <c r="B53" s="62"/>
      <c r="C53" s="11"/>
      <c r="D53" s="11"/>
      <c r="E53" s="11"/>
      <c r="F53" s="11"/>
      <c r="G53" s="486">
        <f>COUNTIF(O54:AI54,FALSE)</f>
        <v>0</v>
      </c>
      <c r="H53" s="84"/>
      <c r="I53" s="118"/>
      <c r="J53" s="118"/>
      <c r="K53" s="86"/>
      <c r="L53" s="86"/>
      <c r="M53" s="86"/>
      <c r="N53" s="487" t="s">
        <v>345</v>
      </c>
      <c r="O53" s="492">
        <f t="shared" ref="O53:AA53" si="8">ROUND(IFERROR(O49/O51,0),2)</f>
        <v>14.06</v>
      </c>
      <c r="P53" s="493">
        <f t="shared" si="8"/>
        <v>17.7</v>
      </c>
      <c r="Q53" s="493">
        <f t="shared" si="8"/>
        <v>14.46</v>
      </c>
      <c r="R53" s="493">
        <f t="shared" si="8"/>
        <v>14.27</v>
      </c>
      <c r="S53" s="493">
        <f t="shared" si="8"/>
        <v>13.81</v>
      </c>
      <c r="T53" s="493">
        <f t="shared" si="8"/>
        <v>18.690000000000001</v>
      </c>
      <c r="U53" s="493">
        <f t="shared" si="8"/>
        <v>16.38</v>
      </c>
      <c r="V53" s="493">
        <f t="shared" si="8"/>
        <v>17.18</v>
      </c>
      <c r="W53" s="493">
        <f t="shared" si="8"/>
        <v>14.89</v>
      </c>
      <c r="X53" s="493">
        <f t="shared" si="8"/>
        <v>17.23</v>
      </c>
      <c r="Y53" s="493">
        <f t="shared" si="8"/>
        <v>17.260000000000002</v>
      </c>
      <c r="Z53" s="493">
        <f t="shared" si="8"/>
        <v>16.829999999999998</v>
      </c>
      <c r="AA53" s="493">
        <f t="shared" si="8"/>
        <v>15.86</v>
      </c>
      <c r="AB53" s="494"/>
      <c r="AC53" s="136"/>
      <c r="AD53" s="492">
        <f>ROUND(IFERROR(AD49/AD51,0),2)</f>
        <v>21.48</v>
      </c>
      <c r="AE53" s="493"/>
      <c r="AF53" s="151"/>
      <c r="AG53" s="492">
        <f>ROUND(IFERROR(AG49/AG51,0),2)</f>
        <v>15.96</v>
      </c>
      <c r="AH53" s="493"/>
      <c r="AI53" s="151"/>
    </row>
    <row r="54" spans="1:35" x14ac:dyDescent="0.25">
      <c r="A54" s="61" t="s">
        <v>42</v>
      </c>
      <c r="B54" s="62"/>
      <c r="C54" s="11"/>
      <c r="D54" s="11"/>
      <c r="E54" s="11"/>
      <c r="F54" s="11"/>
      <c r="G54" s="11"/>
      <c r="H54" s="84"/>
      <c r="I54" s="118"/>
      <c r="J54" s="118"/>
      <c r="K54" s="86"/>
      <c r="L54" s="86"/>
      <c r="M54" s="86"/>
      <c r="N54" s="49" t="s">
        <v>316</v>
      </c>
      <c r="O54" s="495" t="b">
        <f t="shared" ref="O54:AA54" si="9">ROUND(O52,2)=ROUND(O53,2)</f>
        <v>1</v>
      </c>
      <c r="P54" s="496" t="b">
        <f t="shared" si="9"/>
        <v>1</v>
      </c>
      <c r="Q54" s="496" t="b">
        <f t="shared" si="9"/>
        <v>1</v>
      </c>
      <c r="R54" s="496" t="b">
        <f t="shared" si="9"/>
        <v>1</v>
      </c>
      <c r="S54" s="496" t="b">
        <f t="shared" si="9"/>
        <v>1</v>
      </c>
      <c r="T54" s="496" t="b">
        <f t="shared" si="9"/>
        <v>1</v>
      </c>
      <c r="U54" s="496" t="b">
        <f t="shared" si="9"/>
        <v>1</v>
      </c>
      <c r="V54" s="496" t="b">
        <f t="shared" si="9"/>
        <v>1</v>
      </c>
      <c r="W54" s="496" t="b">
        <f t="shared" si="9"/>
        <v>1</v>
      </c>
      <c r="X54" s="496" t="b">
        <f t="shared" si="9"/>
        <v>1</v>
      </c>
      <c r="Y54" s="496" t="b">
        <f t="shared" si="9"/>
        <v>1</v>
      </c>
      <c r="Z54" s="496" t="b">
        <f t="shared" si="9"/>
        <v>1</v>
      </c>
      <c r="AA54" s="496" t="b">
        <f t="shared" si="9"/>
        <v>1</v>
      </c>
      <c r="AB54" s="497"/>
      <c r="AC54" s="498"/>
      <c r="AD54" s="495"/>
      <c r="AE54" s="496" t="b">
        <f>ROUND(AD52,2)=ROUND(AD53,2)</f>
        <v>1</v>
      </c>
      <c r="AF54" s="497"/>
      <c r="AG54" s="495"/>
      <c r="AH54" s="496" t="b">
        <f>ROUND(AG52,2)=ROUND(AG53,2)</f>
        <v>1</v>
      </c>
      <c r="AI54" s="497"/>
    </row>
    <row r="55" spans="1:35" x14ac:dyDescent="0.25">
      <c r="A55" s="61" t="s">
        <v>43</v>
      </c>
      <c r="B55" s="62"/>
      <c r="C55" s="11"/>
      <c r="D55" s="11"/>
      <c r="E55" s="11"/>
      <c r="F55" s="11"/>
      <c r="G55" s="11"/>
      <c r="H55" s="84" t="s">
        <v>262</v>
      </c>
      <c r="I55" s="118" t="str">
        <f>IF(_epmOfflineCondition_,"T5",_xll.EVPRO($B$1,$H55,"STYLE"))</f>
        <v>T5</v>
      </c>
      <c r="J55" s="118" t="str">
        <f>IF(_epmOfflineCondition_,"Y",_xll.EVPRO($B$1,$H55,"CALC"))</f>
        <v>Y</v>
      </c>
      <c r="K55" s="86"/>
      <c r="L55" s="86" t="str">
        <f>IF(_epmOfflineCondition_,"463100",_xll.EVPRO($B$1,H55,"JDEID"))</f>
        <v>463100</v>
      </c>
      <c r="M55" s="86" t="str">
        <f>IF(_epmOfflineCondition_,"",IF(AND(I55="N",J55="N"),_xll.EVPRO($B$1,H55,"PSFTID"),""))</f>
        <v/>
      </c>
      <c r="N55" s="86" t="str">
        <f>IF(_epmOfflineCondition_,"Dinner Food",IF(_xll.EVDES(H55,$B$1)="#NODATA","",_xll.EVDES(H55,$B$1)))</f>
        <v>Dinner Food</v>
      </c>
      <c r="O55" s="134"/>
      <c r="P55" s="134"/>
      <c r="Q55" s="134"/>
      <c r="R55" s="134"/>
      <c r="S55" s="134"/>
      <c r="T55" s="134"/>
      <c r="U55" s="134"/>
      <c r="V55" s="134"/>
      <c r="W55" s="134"/>
      <c r="X55" s="134"/>
      <c r="Y55" s="134"/>
      <c r="Z55" s="134"/>
      <c r="AA55" s="134">
        <f t="shared" ref="AA55:AA61" si="10">SUM(O55:Z55)</f>
        <v>0</v>
      </c>
      <c r="AB55" s="138" t="str">
        <f>IF(AA55=0,"",IFERROR(AA55/AA$19,""))</f>
        <v/>
      </c>
      <c r="AC55" s="136"/>
      <c r="AD55" s="134"/>
      <c r="AE55" s="138" t="str">
        <f>IF(AD55=0,"",IFERROR(AD55/AD$19,""))</f>
        <v/>
      </c>
      <c r="AF55" s="137">
        <f t="shared" ref="AF55:AF62" si="11">IF(AND($AA55="",AD55=""),"",$AA55-AD55)</f>
        <v>0</v>
      </c>
      <c r="AG55" s="134"/>
      <c r="AH55" s="138" t="str">
        <f>IF(AG55=0,"",IFERROR(AG55/AG$19,""))</f>
        <v/>
      </c>
      <c r="AI55" s="137">
        <f t="shared" ref="AI55:AI62" si="12">IF(AND($AA55="",AG55=""),"",$AA55-AG55)</f>
        <v>0</v>
      </c>
    </row>
    <row r="56" spans="1:35" x14ac:dyDescent="0.25">
      <c r="A56" s="61" t="s">
        <v>44</v>
      </c>
      <c r="B56" s="62"/>
      <c r="C56" s="11"/>
      <c r="D56" s="11"/>
      <c r="E56" s="11"/>
      <c r="F56" s="11"/>
      <c r="G56" s="11"/>
      <c r="H56" s="84" t="s">
        <v>302</v>
      </c>
      <c r="I56" s="118" t="str">
        <f>IF(_epmOfflineCondition_,"T6",_xll.EVPRO($B$1,$H56,"STYLE"))</f>
        <v>T6</v>
      </c>
      <c r="J56" s="118" t="str">
        <f>IF(_epmOfflineCondition_,"Y",_xll.EVPRO($B$1,$H56,"CALC"))</f>
        <v>Y</v>
      </c>
      <c r="K56" s="86"/>
      <c r="L56" s="86" t="str">
        <f>IF(_epmOfflineCondition_,"463200",_xll.EVPRO($B$1,H56,"JDEID"))</f>
        <v>463200</v>
      </c>
      <c r="M56" s="86" t="str">
        <f>IF(_epmOfflineCondition_,"",IF(AND(I56="N",J56="N"),_xll.EVPRO($B$1,H56,"PSFTID"),""))</f>
        <v/>
      </c>
      <c r="N56" s="86" t="str">
        <f>IF(_epmOfflineCondition_,"Dinner Liquor",IF(_xll.EVDES(H56,$B$1)="#NODATA","",_xll.EVDES(H56,$B$1)))</f>
        <v>Dinner Liquor</v>
      </c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/>
      <c r="Z56" s="134"/>
      <c r="AA56" s="134">
        <f t="shared" si="10"/>
        <v>0</v>
      </c>
      <c r="AB56" s="138" t="str">
        <f>IF(AA56=0,"",IFERROR(AA56/AA$19,""))</f>
        <v/>
      </c>
      <c r="AC56" s="136"/>
      <c r="AD56" s="134"/>
      <c r="AE56" s="138" t="str">
        <f>IF(AD56=0,"",IFERROR(AD56/AD$19,""))</f>
        <v/>
      </c>
      <c r="AF56" s="137">
        <f t="shared" si="11"/>
        <v>0</v>
      </c>
      <c r="AG56" s="134"/>
      <c r="AH56" s="138" t="str">
        <f>IF(AG56=0,"",IFERROR(AG56/AG$19,""))</f>
        <v/>
      </c>
      <c r="AI56" s="137">
        <f t="shared" si="12"/>
        <v>0</v>
      </c>
    </row>
    <row r="57" spans="1:35" x14ac:dyDescent="0.25">
      <c r="A57" s="61" t="s">
        <v>45</v>
      </c>
      <c r="B57" s="62"/>
      <c r="C57" s="11"/>
      <c r="D57" s="11"/>
      <c r="E57" s="11"/>
      <c r="F57" s="11"/>
      <c r="G57" s="11"/>
      <c r="H57" s="84" t="s">
        <v>306</v>
      </c>
      <c r="I57" s="118" t="str">
        <f>IF(_epmOfflineCondition_,"T6",_xll.EVPRO($B$1,$H57,"STYLE"))</f>
        <v>T6</v>
      </c>
      <c r="J57" s="118" t="str">
        <f>IF(_epmOfflineCondition_,"Y",_xll.EVPRO($B$1,$H57,"CALC"))</f>
        <v>Y</v>
      </c>
      <c r="K57" s="86"/>
      <c r="L57" s="86" t="str">
        <f>IF(_epmOfflineCondition_,"463300",_xll.EVPRO($B$1,H57,"JDEID"))</f>
        <v>463300</v>
      </c>
      <c r="M57" s="86" t="str">
        <f>IF(_epmOfflineCondition_,"",IF(AND(I57="N",J57="N"),_xll.EVPRO($B$1,H57,"PSFTID"),""))</f>
        <v/>
      </c>
      <c r="N57" s="86" t="str">
        <f>IF(_epmOfflineCondition_,"Dinner Beer",IF(_xll.EVDES(H57,$B$1)="#NODATA","",_xll.EVDES(H57,$B$1)))</f>
        <v>Dinner Beer</v>
      </c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>
        <f t="shared" si="10"/>
        <v>0</v>
      </c>
      <c r="AB57" s="138" t="str">
        <f>IF(AA57=0,"",IFERROR(AA57/AA$19,""))</f>
        <v/>
      </c>
      <c r="AC57" s="136"/>
      <c r="AD57" s="134"/>
      <c r="AE57" s="138" t="str">
        <f>IF(AD57=0,"",IFERROR(AD57/AD$19,""))</f>
        <v/>
      </c>
      <c r="AF57" s="137">
        <f t="shared" si="11"/>
        <v>0</v>
      </c>
      <c r="AG57" s="134"/>
      <c r="AH57" s="138" t="str">
        <f>IF(AG57=0,"",IFERROR(AG57/AG$19,""))</f>
        <v/>
      </c>
      <c r="AI57" s="137">
        <f t="shared" si="12"/>
        <v>0</v>
      </c>
    </row>
    <row r="58" spans="1:35" x14ac:dyDescent="0.25">
      <c r="A58" s="61" t="s">
        <v>46</v>
      </c>
      <c r="B58" s="62"/>
      <c r="C58" s="11"/>
      <c r="D58" s="11"/>
      <c r="E58" s="11"/>
      <c r="F58" s="11"/>
      <c r="G58" s="11"/>
      <c r="H58" s="84" t="s">
        <v>304</v>
      </c>
      <c r="I58" s="118" t="str">
        <f>IF(_epmOfflineCondition_,"T6",_xll.EVPRO($B$1,$H58,"STYLE"))</f>
        <v>T6</v>
      </c>
      <c r="J58" s="118" t="str">
        <f>IF(_epmOfflineCondition_,"Y",_xll.EVPRO($B$1,$H58,"CALC"))</f>
        <v>Y</v>
      </c>
      <c r="K58" s="86"/>
      <c r="L58" s="86" t="str">
        <f>IF(_epmOfflineCondition_,"463400",_xll.EVPRO($B$1,H58,"JDEID"))</f>
        <v>463400</v>
      </c>
      <c r="M58" s="86" t="str">
        <f>IF(_epmOfflineCondition_,"",IF(AND(I58="N",J58="N"),_xll.EVPRO($B$1,H58,"PSFTID"),""))</f>
        <v/>
      </c>
      <c r="N58" s="86" t="str">
        <f>IF(_epmOfflineCondition_,"Dinner Wine",IF(_xll.EVDES(H58,$B$1)="#NODATA","",_xll.EVDES(H58,$B$1)))</f>
        <v>Dinner Wine</v>
      </c>
      <c r="O58" s="228"/>
      <c r="P58" s="228"/>
      <c r="Q58" s="228"/>
      <c r="R58" s="228"/>
      <c r="S58" s="228"/>
      <c r="T58" s="228"/>
      <c r="U58" s="228"/>
      <c r="V58" s="228"/>
      <c r="W58" s="228"/>
      <c r="X58" s="228"/>
      <c r="Y58" s="228"/>
      <c r="Z58" s="228"/>
      <c r="AA58" s="228">
        <f t="shared" si="10"/>
        <v>0</v>
      </c>
      <c r="AB58" s="230" t="str">
        <f>IF(AA58=0,"",IFERROR(AA58/AA$19,""))</f>
        <v/>
      </c>
      <c r="AC58" s="136"/>
      <c r="AD58" s="228"/>
      <c r="AE58" s="230" t="str">
        <f>IF(AD58=0,"",IFERROR(AD58/AD$19,""))</f>
        <v/>
      </c>
      <c r="AF58" s="231">
        <f t="shared" si="11"/>
        <v>0</v>
      </c>
      <c r="AG58" s="228"/>
      <c r="AH58" s="230" t="str">
        <f>IF(AG58=0,"",IFERROR(AG58/AG$19,""))</f>
        <v/>
      </c>
      <c r="AI58" s="231">
        <f t="shared" si="12"/>
        <v>0</v>
      </c>
    </row>
    <row r="59" spans="1:35" x14ac:dyDescent="0.25">
      <c r="A59" s="11"/>
      <c r="B59" s="11"/>
      <c r="C59" s="11"/>
      <c r="D59" s="11"/>
      <c r="E59" s="11"/>
      <c r="F59" s="11"/>
      <c r="G59" s="11"/>
      <c r="H59" s="84" t="s">
        <v>320</v>
      </c>
      <c r="I59" s="118" t="str">
        <f>IF(_epmOfflineCondition_,"N",_xll.EVPRO($B$1,$H59,"STYLE"))</f>
        <v>N</v>
      </c>
      <c r="J59" s="118" t="str">
        <f>IF(_epmOfflineCondition_,"Y",_xll.EVPRO($B$1,$H59,"CALC"))</f>
        <v>Y</v>
      </c>
      <c r="K59" s="86"/>
      <c r="L59" s="86" t="str">
        <f>IF(_epmOfflineCondition_,"",_xll.EVPRO($B$1,H59,"JDEID"))</f>
        <v/>
      </c>
      <c r="M59" s="86" t="str">
        <f>IF(_epmOfflineCondition_,"",IF(AND(I59="N",J59="N"),_xll.EVPRO($B$1,H59,"PSFTID"),""))</f>
        <v/>
      </c>
      <c r="N59" s="102" t="str">
        <f>IF(_epmOfflineCondition_,"Dinner Revenue",IF(_xll.EVDES(H59,$B$1)="#NODATA","",_xll.EVDES(H59,$B$1)))</f>
        <v>Dinner Revenue</v>
      </c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158">
        <f t="shared" si="10"/>
        <v>0</v>
      </c>
      <c r="AB59" s="159" t="str">
        <f>IF(AA59=0,"",IFERROR(AA59/AA$19,""))</f>
        <v/>
      </c>
      <c r="AC59" s="136"/>
      <c r="AD59" s="158"/>
      <c r="AE59" s="159" t="str">
        <f>IF(AD59=0,"",IFERROR(AD59/AD$19,""))</f>
        <v/>
      </c>
      <c r="AF59" s="160">
        <f t="shared" si="11"/>
        <v>0</v>
      </c>
      <c r="AG59" s="158"/>
      <c r="AH59" s="159" t="str">
        <f>IF(AG59=0,"",IFERROR(AG59/AG$19,""))</f>
        <v/>
      </c>
      <c r="AI59" s="160">
        <f t="shared" si="12"/>
        <v>0</v>
      </c>
    </row>
    <row r="60" spans="1:35" x14ac:dyDescent="0.25">
      <c r="A60" s="11"/>
      <c r="B60" s="11"/>
      <c r="C60" s="11"/>
      <c r="D60" s="11"/>
      <c r="E60" s="11"/>
      <c r="F60" s="11"/>
      <c r="G60" s="11"/>
      <c r="H60" s="84" t="s">
        <v>766</v>
      </c>
      <c r="I60" s="118" t="str">
        <f>IF(_epmOfflineCondition_,"N",_xll.EVPRO($B$1,$H60,"STYLE"))</f>
        <v>N</v>
      </c>
      <c r="J60" s="118" t="str">
        <f>IF(_epmOfflineCondition_,"N",_xll.EVPRO($B$1,$H60,"CALC"))</f>
        <v>N</v>
      </c>
      <c r="K60" s="86"/>
      <c r="L60" s="86" t="str">
        <f>IF(_epmOfflineCondition_,"947300",_xll.EVPRO($B$1,H60,"JDEID"))</f>
        <v>947300</v>
      </c>
      <c r="M60" s="86" t="str">
        <f>IF(_epmOfflineCondition_,"999993",IF(AND(I60="N",J60="N"),_xll.EVPRO($B$1,H60,"PSFTID"),""))</f>
        <v>999993</v>
      </c>
      <c r="N60" s="86" t="str">
        <f>IF(_epmOfflineCondition_,"# of Operating Days - Dinner",IF(_xll.EVDES(H60,$B$1)="#NODATA","",_xll.EVDES(H60,$B$1)))</f>
        <v># of Operating Days - Dinner</v>
      </c>
      <c r="O60" s="240"/>
      <c r="P60" s="240"/>
      <c r="Q60" s="240"/>
      <c r="R60" s="240"/>
      <c r="S60" s="240"/>
      <c r="T60" s="240"/>
      <c r="U60" s="240"/>
      <c r="V60" s="240"/>
      <c r="W60" s="240"/>
      <c r="X60" s="240"/>
      <c r="Y60" s="240"/>
      <c r="Z60" s="240"/>
      <c r="AA60" s="240">
        <f t="shared" si="10"/>
        <v>0</v>
      </c>
      <c r="AB60" s="242"/>
      <c r="AC60" s="136"/>
      <c r="AD60" s="240"/>
      <c r="AE60" s="242"/>
      <c r="AF60" s="243">
        <f t="shared" si="11"/>
        <v>0</v>
      </c>
      <c r="AG60" s="240"/>
      <c r="AH60" s="242"/>
      <c r="AI60" s="243">
        <f t="shared" si="12"/>
        <v>0</v>
      </c>
    </row>
    <row r="61" spans="1:35" x14ac:dyDescent="0.25">
      <c r="A61" s="11"/>
      <c r="B61" s="11"/>
      <c r="C61" s="11"/>
      <c r="D61" s="11"/>
      <c r="E61" s="11"/>
      <c r="F61" s="11"/>
      <c r="G61" s="11"/>
      <c r="H61" s="84" t="s">
        <v>299</v>
      </c>
      <c r="I61" s="118" t="str">
        <f>IF(_epmOfflineCondition_,"N",_xll.EVPRO($B$1,$H61,"STYLE"))</f>
        <v>N</v>
      </c>
      <c r="J61" s="118" t="str">
        <f>IF(_epmOfflineCondition_,"N",_xll.EVPRO($B$1,$H61,"CALC"))</f>
        <v>N</v>
      </c>
      <c r="K61" s="86"/>
      <c r="L61" s="86" t="str">
        <f>IF(_epmOfflineCondition_,"946300",_xll.EVPRO($B$1,H61,"JDEID"))</f>
        <v>946300</v>
      </c>
      <c r="M61" s="86" t="str">
        <f>IF(_epmOfflineCondition_,"991503",IF(AND(I61="N",J61="N"),_xll.EVPRO($B$1,H61,"PSFTID"),""))</f>
        <v>991503</v>
      </c>
      <c r="N61" s="86" t="str">
        <f>IF(_epmOfflineCondition_,"Dinner Customers",IF(_xll.EVDES(H61,$B$1)="#NODATA","",_xll.EVDES(H61,$B$1)))</f>
        <v>Dinner Customers</v>
      </c>
      <c r="O61" s="240"/>
      <c r="P61" s="240"/>
      <c r="Q61" s="240"/>
      <c r="R61" s="240"/>
      <c r="S61" s="240"/>
      <c r="T61" s="240"/>
      <c r="U61" s="240"/>
      <c r="V61" s="240"/>
      <c r="W61" s="240"/>
      <c r="X61" s="240"/>
      <c r="Y61" s="240"/>
      <c r="Z61" s="240"/>
      <c r="AA61" s="240">
        <f t="shared" si="10"/>
        <v>0</v>
      </c>
      <c r="AB61" s="242" t="str">
        <f>IF(AA61=0,"",IFERROR(AA61/AA$87,""))</f>
        <v/>
      </c>
      <c r="AC61" s="136"/>
      <c r="AD61" s="240"/>
      <c r="AE61" s="242" t="str">
        <f>IF(AD61=0,"",IFERROR(AD61/AD$87,""))</f>
        <v/>
      </c>
      <c r="AF61" s="243">
        <f t="shared" si="11"/>
        <v>0</v>
      </c>
      <c r="AG61" s="240"/>
      <c r="AH61" s="242" t="str">
        <f>IF(AG61=0,"",IFERROR(AG61/AG$87,""))</f>
        <v/>
      </c>
      <c r="AI61" s="243">
        <f t="shared" si="12"/>
        <v>0</v>
      </c>
    </row>
    <row r="62" spans="1:35" x14ac:dyDescent="0.25">
      <c r="A62" s="11"/>
      <c r="B62" s="11"/>
      <c r="C62" s="11"/>
      <c r="D62" s="11"/>
      <c r="E62" s="11"/>
      <c r="F62" s="11"/>
      <c r="G62" s="11"/>
      <c r="H62" s="181" t="s">
        <v>317</v>
      </c>
      <c r="I62" s="118" t="str">
        <f>IF(_epmOfflineCondition_,"N",_xll.EVPRO($B$1,$H62,"STYLE"))</f>
        <v>N</v>
      </c>
      <c r="J62" s="118" t="str">
        <f>IF(_epmOfflineCondition_,"Y",_xll.EVPRO($B$1,$H62,"CALC"))</f>
        <v>Y</v>
      </c>
      <c r="K62" s="86"/>
      <c r="L62" s="86" t="str">
        <f>IF(_epmOfflineCondition_,"",_xll.EVPRO($B$1,H62,"JDEID"))</f>
        <v/>
      </c>
      <c r="M62" s="86" t="str">
        <f>IF(_epmOfflineCondition_,"",IF(AND(I62="N",J62="N"),_xll.EVPRO($B$1,H62,"PSFTID"),""))</f>
        <v/>
      </c>
      <c r="N62" s="186" t="str">
        <f>IF(_epmOfflineCondition_,"Dinner - Average Check",IF(_xll.EVDES(H62,$B$1)="#NODATA","",_xll.EVDES(H62,$B$1)))</f>
        <v>Dinner - Average Check</v>
      </c>
      <c r="O62" s="490"/>
      <c r="P62" s="490"/>
      <c r="Q62" s="490"/>
      <c r="R62" s="490"/>
      <c r="S62" s="490"/>
      <c r="T62" s="490"/>
      <c r="U62" s="490"/>
      <c r="V62" s="490"/>
      <c r="W62" s="490"/>
      <c r="X62" s="490"/>
      <c r="Y62" s="490"/>
      <c r="Z62" s="490"/>
      <c r="AA62" s="490" t="str">
        <f>IFERROR(AA59/AA61,"")</f>
        <v/>
      </c>
      <c r="AB62" s="490"/>
      <c r="AC62" s="136"/>
      <c r="AD62" s="490"/>
      <c r="AE62" s="490"/>
      <c r="AF62" s="491" t="str">
        <f t="shared" si="11"/>
        <v/>
      </c>
      <c r="AG62" s="490"/>
      <c r="AH62" s="490"/>
      <c r="AI62" s="491" t="str">
        <f t="shared" si="12"/>
        <v/>
      </c>
    </row>
    <row r="63" spans="1:35" x14ac:dyDescent="0.25">
      <c r="A63" s="11"/>
      <c r="B63" s="11"/>
      <c r="C63" s="11"/>
      <c r="D63" s="11"/>
      <c r="E63" s="11"/>
      <c r="F63" s="11"/>
      <c r="G63" s="486">
        <f>COUNTIF(O64:AI64,FALSE)</f>
        <v>0</v>
      </c>
      <c r="H63" s="84"/>
      <c r="I63" s="118"/>
      <c r="J63" s="118"/>
      <c r="K63" s="86"/>
      <c r="L63" s="86"/>
      <c r="M63" s="86"/>
      <c r="N63" s="487" t="s">
        <v>345</v>
      </c>
      <c r="O63" s="492">
        <f t="shared" ref="O63:AA63" si="13">ROUND(IFERROR(O59/O61,0),2)</f>
        <v>0</v>
      </c>
      <c r="P63" s="493">
        <f t="shared" si="13"/>
        <v>0</v>
      </c>
      <c r="Q63" s="493">
        <f t="shared" si="13"/>
        <v>0</v>
      </c>
      <c r="R63" s="493">
        <f t="shared" si="13"/>
        <v>0</v>
      </c>
      <c r="S63" s="493">
        <f t="shared" si="13"/>
        <v>0</v>
      </c>
      <c r="T63" s="493">
        <f t="shared" si="13"/>
        <v>0</v>
      </c>
      <c r="U63" s="493">
        <f t="shared" si="13"/>
        <v>0</v>
      </c>
      <c r="V63" s="493">
        <f t="shared" si="13"/>
        <v>0</v>
      </c>
      <c r="W63" s="493">
        <f t="shared" si="13"/>
        <v>0</v>
      </c>
      <c r="X63" s="493">
        <f t="shared" si="13"/>
        <v>0</v>
      </c>
      <c r="Y63" s="493">
        <f t="shared" si="13"/>
        <v>0</v>
      </c>
      <c r="Z63" s="493">
        <f t="shared" si="13"/>
        <v>0</v>
      </c>
      <c r="AA63" s="493">
        <f t="shared" si="13"/>
        <v>0</v>
      </c>
      <c r="AB63" s="494"/>
      <c r="AC63" s="136"/>
      <c r="AD63" s="492">
        <f>ROUND(IFERROR(AD59/AD61,0),2)</f>
        <v>0</v>
      </c>
      <c r="AE63" s="493"/>
      <c r="AF63" s="151"/>
      <c r="AG63" s="492">
        <f>ROUND(IFERROR(AG59/AG61,0),2)</f>
        <v>0</v>
      </c>
      <c r="AH63" s="493"/>
      <c r="AI63" s="151"/>
    </row>
    <row r="64" spans="1:35" x14ac:dyDescent="0.25">
      <c r="A64" s="11"/>
      <c r="B64" s="11"/>
      <c r="C64" s="11"/>
      <c r="D64" s="11"/>
      <c r="E64" s="11"/>
      <c r="F64" s="11"/>
      <c r="G64" s="11"/>
      <c r="H64" s="181"/>
      <c r="I64" s="118"/>
      <c r="J64" s="118"/>
      <c r="K64" s="86"/>
      <c r="L64" s="86"/>
      <c r="M64" s="86"/>
      <c r="N64" s="49" t="s">
        <v>307</v>
      </c>
      <c r="O64" s="495" t="b">
        <f t="shared" ref="O64:AA64" si="14">ROUND(O62,2)=ROUND(O63,2)</f>
        <v>1</v>
      </c>
      <c r="P64" s="496" t="b">
        <f t="shared" si="14"/>
        <v>1</v>
      </c>
      <c r="Q64" s="496" t="b">
        <f t="shared" si="14"/>
        <v>1</v>
      </c>
      <c r="R64" s="496" t="b">
        <f t="shared" si="14"/>
        <v>1</v>
      </c>
      <c r="S64" s="496" t="b">
        <f t="shared" si="14"/>
        <v>1</v>
      </c>
      <c r="T64" s="496" t="b">
        <f t="shared" si="14"/>
        <v>1</v>
      </c>
      <c r="U64" s="496" t="b">
        <f t="shared" si="14"/>
        <v>1</v>
      </c>
      <c r="V64" s="496" t="b">
        <f t="shared" si="14"/>
        <v>1</v>
      </c>
      <c r="W64" s="496" t="b">
        <f t="shared" si="14"/>
        <v>1</v>
      </c>
      <c r="X64" s="496" t="b">
        <f t="shared" si="14"/>
        <v>1</v>
      </c>
      <c r="Y64" s="496" t="b">
        <f t="shared" si="14"/>
        <v>1</v>
      </c>
      <c r="Z64" s="496" t="b">
        <f t="shared" si="14"/>
        <v>1</v>
      </c>
      <c r="AA64" s="496" t="e">
        <f t="shared" si="14"/>
        <v>#VALUE!</v>
      </c>
      <c r="AB64" s="497"/>
      <c r="AC64" s="498"/>
      <c r="AD64" s="495"/>
      <c r="AE64" s="496" t="b">
        <f>ROUND(AD62,2)=ROUND(AD63,2)</f>
        <v>1</v>
      </c>
      <c r="AF64" s="497"/>
      <c r="AG64" s="495"/>
      <c r="AH64" s="496" t="b">
        <f>ROUND(AG62,2)=ROUND(AG63,2)</f>
        <v>1</v>
      </c>
      <c r="AI64" s="497"/>
    </row>
    <row r="65" spans="1:35" x14ac:dyDescent="0.25">
      <c r="A65" s="11"/>
      <c r="B65" s="11"/>
      <c r="C65" s="11"/>
      <c r="D65" s="11"/>
      <c r="E65" s="11"/>
      <c r="F65" s="11"/>
      <c r="G65" s="11"/>
      <c r="H65" s="181" t="s">
        <v>263</v>
      </c>
      <c r="I65" s="118" t="str">
        <f>IF(_epmOfflineCondition_,"T5",_xll.EVPRO($B$1,$H65,"STYLE"))</f>
        <v>T5</v>
      </c>
      <c r="J65" s="118" t="str">
        <f>IF(_epmOfflineCondition_,"Y",_xll.EVPRO($B$1,$H65,"CALC"))</f>
        <v>Y</v>
      </c>
      <c r="K65" s="86"/>
      <c r="L65" s="86" t="str">
        <f>IF(_epmOfflineCondition_,"464100",_xll.EVPRO($B$1,H65,"JDEID"))</f>
        <v>464100</v>
      </c>
      <c r="M65" s="86" t="str">
        <f>IF(_epmOfflineCondition_,"",IF(AND(I65="N",J65="N"),_xll.EVPRO($B$1,H65,"PSFTID"),""))</f>
        <v/>
      </c>
      <c r="N65" s="86" t="str">
        <f>IF(_epmOfflineCondition_,"Bar Food",IF(_xll.EVDES(H65,$B$1)="#NODATA","",_xll.EVDES(H65,$B$1)))</f>
        <v>Bar Food</v>
      </c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>
        <f t="shared" ref="AA65:AA71" si="15">SUM(O65:Z65)</f>
        <v>0</v>
      </c>
      <c r="AB65" s="138" t="str">
        <f>IF(AA65=0,"",IFERROR(AA65/AA$19,""))</f>
        <v/>
      </c>
      <c r="AC65" s="136"/>
      <c r="AD65" s="134"/>
      <c r="AE65" s="138" t="str">
        <f>IF(AD65=0,"",IFERROR(AD65/AD$19,""))</f>
        <v/>
      </c>
      <c r="AF65" s="137">
        <f t="shared" ref="AF65:AF72" si="16">IF(AND($AA65="",AD65=""),"",$AA65-AD65)</f>
        <v>0</v>
      </c>
      <c r="AG65" s="134"/>
      <c r="AH65" s="138" t="str">
        <f>IF(AG65=0,"",IFERROR(AG65/AG$19,""))</f>
        <v/>
      </c>
      <c r="AI65" s="137">
        <f t="shared" ref="AI65:AI72" si="17">IF(AND($AA65="",AG65=""),"",$AA65-AG65)</f>
        <v>0</v>
      </c>
    </row>
    <row r="66" spans="1:35" x14ac:dyDescent="0.25">
      <c r="A66" s="11"/>
      <c r="B66" s="11"/>
      <c r="C66" s="11"/>
      <c r="D66" s="11"/>
      <c r="E66" s="11"/>
      <c r="F66" s="11"/>
      <c r="G66" s="11"/>
      <c r="H66" s="181" t="s">
        <v>308</v>
      </c>
      <c r="I66" s="118" t="str">
        <f>IF(_epmOfflineCondition_,"T6",_xll.EVPRO($B$1,$H66,"STYLE"))</f>
        <v>T6</v>
      </c>
      <c r="J66" s="118" t="str">
        <f>IF(_epmOfflineCondition_,"Y",_xll.EVPRO($B$1,$H66,"CALC"))</f>
        <v>Y</v>
      </c>
      <c r="K66" s="86"/>
      <c r="L66" s="86" t="str">
        <f>IF(_epmOfflineCondition_,"464200",_xll.EVPRO($B$1,H66,"JDEID"))</f>
        <v>464200</v>
      </c>
      <c r="M66" s="86" t="str">
        <f>IF(_epmOfflineCondition_,"",IF(AND(I66="N",J66="N"),_xll.EVPRO($B$1,H66,"PSFTID"),""))</f>
        <v/>
      </c>
      <c r="N66" s="86" t="str">
        <f>IF(_epmOfflineCondition_,"Bar Liquor",IF(_xll.EVDES(H66,$B$1)="#NODATA","",_xll.EVDES(H66,$B$1)))</f>
        <v>Bar Liquor</v>
      </c>
      <c r="O66" s="134"/>
      <c r="P66" s="134"/>
      <c r="Q66" s="134"/>
      <c r="R66" s="134"/>
      <c r="S66" s="134"/>
      <c r="T66" s="134"/>
      <c r="U66" s="134"/>
      <c r="V66" s="134"/>
      <c r="W66" s="134"/>
      <c r="X66" s="134"/>
      <c r="Y66" s="134"/>
      <c r="Z66" s="134"/>
      <c r="AA66" s="134">
        <f t="shared" si="15"/>
        <v>0</v>
      </c>
      <c r="AB66" s="138" t="str">
        <f>IF(AA66=0,"",IFERROR(AA66/AA$19,""))</f>
        <v/>
      </c>
      <c r="AC66" s="136"/>
      <c r="AD66" s="134"/>
      <c r="AE66" s="138" t="str">
        <f>IF(AD66=0,"",IFERROR(AD66/AD$19,""))</f>
        <v/>
      </c>
      <c r="AF66" s="137">
        <f t="shared" si="16"/>
        <v>0</v>
      </c>
      <c r="AG66" s="134"/>
      <c r="AH66" s="138" t="str">
        <f>IF(AG66=0,"",IFERROR(AG66/AG$19,""))</f>
        <v/>
      </c>
      <c r="AI66" s="137">
        <f t="shared" si="17"/>
        <v>0</v>
      </c>
    </row>
    <row r="67" spans="1:35" x14ac:dyDescent="0.25">
      <c r="A67" s="11"/>
      <c r="B67" s="11"/>
      <c r="C67" s="11"/>
      <c r="D67" s="11"/>
      <c r="E67" s="11"/>
      <c r="F67" s="11"/>
      <c r="G67" s="11"/>
      <c r="H67" s="181" t="s">
        <v>310</v>
      </c>
      <c r="I67" s="118" t="str">
        <f>IF(_epmOfflineCondition_,"T6",_xll.EVPRO($B$1,$H67,"STYLE"))</f>
        <v>T6</v>
      </c>
      <c r="J67" s="118" t="str">
        <f>IF(_epmOfflineCondition_,"Y",_xll.EVPRO($B$1,$H67,"CALC"))</f>
        <v>Y</v>
      </c>
      <c r="K67" s="86"/>
      <c r="L67" s="86" t="str">
        <f>IF(_epmOfflineCondition_,"464300",_xll.EVPRO($B$1,H67,"JDEID"))</f>
        <v>464300</v>
      </c>
      <c r="M67" s="86" t="str">
        <f>IF(_epmOfflineCondition_,"",IF(AND(I67="N",J67="N"),_xll.EVPRO($B$1,H67,"PSFTID"),""))</f>
        <v/>
      </c>
      <c r="N67" s="86" t="str">
        <f>IF(_epmOfflineCondition_,"Bar Beer",IF(_xll.EVDES(H67,$B$1)="#NODATA","",_xll.EVDES(H67,$B$1)))</f>
        <v>Bar Beer</v>
      </c>
      <c r="O67" s="134"/>
      <c r="P67" s="134"/>
      <c r="Q67" s="134"/>
      <c r="R67" s="134"/>
      <c r="S67" s="134"/>
      <c r="T67" s="134"/>
      <c r="U67" s="134"/>
      <c r="V67" s="134"/>
      <c r="W67" s="134"/>
      <c r="X67" s="134"/>
      <c r="Y67" s="134"/>
      <c r="Z67" s="134"/>
      <c r="AA67" s="134">
        <f t="shared" si="15"/>
        <v>0</v>
      </c>
      <c r="AB67" s="138" t="str">
        <f>IF(AA67=0,"",IFERROR(AA67/AA$19,""))</f>
        <v/>
      </c>
      <c r="AC67" s="136"/>
      <c r="AD67" s="134"/>
      <c r="AE67" s="138" t="str">
        <f>IF(AD67=0,"",IFERROR(AD67/AD$19,""))</f>
        <v/>
      </c>
      <c r="AF67" s="137">
        <f t="shared" si="16"/>
        <v>0</v>
      </c>
      <c r="AG67" s="134"/>
      <c r="AH67" s="138" t="str">
        <f>IF(AG67=0,"",IFERROR(AG67/AG$19,""))</f>
        <v/>
      </c>
      <c r="AI67" s="137">
        <f t="shared" si="17"/>
        <v>0</v>
      </c>
    </row>
    <row r="68" spans="1:35" x14ac:dyDescent="0.25">
      <c r="A68" s="11"/>
      <c r="B68" s="11"/>
      <c r="C68" s="11"/>
      <c r="D68" s="11"/>
      <c r="E68" s="11"/>
      <c r="F68" s="11"/>
      <c r="G68" s="11"/>
      <c r="H68" s="181" t="s">
        <v>309</v>
      </c>
      <c r="I68" s="118" t="str">
        <f>IF(_epmOfflineCondition_,"T6",_xll.EVPRO($B$1,$H68,"STYLE"))</f>
        <v>T6</v>
      </c>
      <c r="J68" s="118" t="str">
        <f>IF(_epmOfflineCondition_,"Y",_xll.EVPRO($B$1,$H68,"CALC"))</f>
        <v>Y</v>
      </c>
      <c r="K68" s="86"/>
      <c r="L68" s="86" t="str">
        <f>IF(_epmOfflineCondition_,"464400",_xll.EVPRO($B$1,H68,"JDEID"))</f>
        <v>464400</v>
      </c>
      <c r="M68" s="86" t="str">
        <f>IF(_epmOfflineCondition_,"",IF(AND(I68="N",J68="N"),_xll.EVPRO($B$1,H68,"PSFTID"),""))</f>
        <v/>
      </c>
      <c r="N68" s="86" t="str">
        <f>IF(_epmOfflineCondition_,"Bar Wine",IF(_xll.EVDES(H68,$B$1)="#NODATA","",_xll.EVDES(H68,$B$1)))</f>
        <v>Bar Wine</v>
      </c>
      <c r="O68" s="228"/>
      <c r="P68" s="228"/>
      <c r="Q68" s="228"/>
      <c r="R68" s="228"/>
      <c r="S68" s="228"/>
      <c r="T68" s="228"/>
      <c r="U68" s="228"/>
      <c r="V68" s="228"/>
      <c r="W68" s="228"/>
      <c r="X68" s="228"/>
      <c r="Y68" s="228"/>
      <c r="Z68" s="228"/>
      <c r="AA68" s="228">
        <f t="shared" si="15"/>
        <v>0</v>
      </c>
      <c r="AB68" s="230" t="str">
        <f>IF(AA68=0,"",IFERROR(AA68/AA$19,""))</f>
        <v/>
      </c>
      <c r="AC68" s="136"/>
      <c r="AD68" s="228"/>
      <c r="AE68" s="230" t="str">
        <f>IF(AD68=0,"",IFERROR(AD68/AD$19,""))</f>
        <v/>
      </c>
      <c r="AF68" s="231">
        <f t="shared" si="16"/>
        <v>0</v>
      </c>
      <c r="AG68" s="228"/>
      <c r="AH68" s="230" t="str">
        <f>IF(AG68=0,"",IFERROR(AG68/AG$19,""))</f>
        <v/>
      </c>
      <c r="AI68" s="231">
        <f t="shared" si="17"/>
        <v>0</v>
      </c>
    </row>
    <row r="69" spans="1:35" x14ac:dyDescent="0.25">
      <c r="A69" s="11"/>
      <c r="B69" s="11"/>
      <c r="C69" s="11"/>
      <c r="D69" s="11"/>
      <c r="E69" s="11"/>
      <c r="F69" s="11"/>
      <c r="G69" s="11"/>
      <c r="H69" s="181" t="s">
        <v>327</v>
      </c>
      <c r="I69" s="118" t="str">
        <f>IF(_epmOfflineCondition_,"N",_xll.EVPRO($B$1,$H69,"STYLE"))</f>
        <v>N</v>
      </c>
      <c r="J69" s="118" t="str">
        <f>IF(_epmOfflineCondition_,"Y",_xll.EVPRO($B$1,$H69,"CALC"))</f>
        <v>Y</v>
      </c>
      <c r="K69" s="86"/>
      <c r="L69" s="86" t="str">
        <f>IF(_epmOfflineCondition_,"",_xll.EVPRO($B$1,H69,"JDEID"))</f>
        <v/>
      </c>
      <c r="M69" s="86" t="str">
        <f>IF(_epmOfflineCondition_,"",IF(AND(I69="N",J69="N"),_xll.EVPRO($B$1,H69,"PSFTID"),""))</f>
        <v/>
      </c>
      <c r="N69" s="102" t="str">
        <f>IF(_epmOfflineCondition_,"Bar Revenue",IF(_xll.EVDES(H69,$B$1)="#NODATA","",_xll.EVDES(H69,$B$1)))</f>
        <v>Bar Revenue</v>
      </c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>
        <f t="shared" si="15"/>
        <v>0</v>
      </c>
      <c r="AB69" s="159" t="str">
        <f>IF(AA69=0,"",IFERROR(AA69/AA$19,""))</f>
        <v/>
      </c>
      <c r="AC69" s="136"/>
      <c r="AD69" s="158"/>
      <c r="AE69" s="159" t="str">
        <f>IF(AD69=0,"",IFERROR(AD69/AD$19,""))</f>
        <v/>
      </c>
      <c r="AF69" s="160">
        <f t="shared" si="16"/>
        <v>0</v>
      </c>
      <c r="AG69" s="158"/>
      <c r="AH69" s="159" t="str">
        <f>IF(AG69=0,"",IFERROR(AG69/AG$19,""))</f>
        <v/>
      </c>
      <c r="AI69" s="160">
        <f t="shared" si="17"/>
        <v>0</v>
      </c>
    </row>
    <row r="70" spans="1:35" x14ac:dyDescent="0.25">
      <c r="A70" s="11"/>
      <c r="B70" s="11"/>
      <c r="C70" s="11"/>
      <c r="D70" s="11"/>
      <c r="E70" s="11"/>
      <c r="F70" s="11"/>
      <c r="G70" s="11"/>
      <c r="H70" s="181" t="s">
        <v>767</v>
      </c>
      <c r="I70" s="118" t="str">
        <f>IF(_epmOfflineCondition_,"N",_xll.EVPRO($B$1,$H70,"STYLE"))</f>
        <v>N</v>
      </c>
      <c r="J70" s="118" t="str">
        <f>IF(_epmOfflineCondition_,"N",_xll.EVPRO($B$1,$H70,"CALC"))</f>
        <v>N</v>
      </c>
      <c r="K70" s="86"/>
      <c r="L70" s="86" t="str">
        <f>IF(_epmOfflineCondition_,"947400",_xll.EVPRO($B$1,H70,"JDEID"))</f>
        <v>947400</v>
      </c>
      <c r="M70" s="86" t="str">
        <f>IF(_epmOfflineCondition_,"999994",IF(AND(I70="N",J70="N"),_xll.EVPRO($B$1,H70,"PSFTID"),""))</f>
        <v>999994</v>
      </c>
      <c r="N70" s="86" t="str">
        <f>IF(_epmOfflineCondition_,"# of Operating Days - Bar",IF(_xll.EVDES(H70,$B$1)="#NODATA","",_xll.EVDES(H70,$B$1)))</f>
        <v># of Operating Days - Bar</v>
      </c>
      <c r="O70" s="240"/>
      <c r="P70" s="240"/>
      <c r="Q70" s="240"/>
      <c r="R70" s="240"/>
      <c r="S70" s="240"/>
      <c r="T70" s="240"/>
      <c r="U70" s="240"/>
      <c r="V70" s="240"/>
      <c r="W70" s="240"/>
      <c r="X70" s="240"/>
      <c r="Y70" s="240"/>
      <c r="Z70" s="240"/>
      <c r="AA70" s="240">
        <f t="shared" si="15"/>
        <v>0</v>
      </c>
      <c r="AB70" s="242"/>
      <c r="AC70" s="136"/>
      <c r="AD70" s="240"/>
      <c r="AE70" s="242"/>
      <c r="AF70" s="243">
        <f t="shared" si="16"/>
        <v>0</v>
      </c>
      <c r="AG70" s="240"/>
      <c r="AH70" s="242"/>
      <c r="AI70" s="243">
        <f t="shared" si="17"/>
        <v>0</v>
      </c>
    </row>
    <row r="71" spans="1:35" x14ac:dyDescent="0.25">
      <c r="A71" s="11"/>
      <c r="B71" s="11"/>
      <c r="C71" s="11"/>
      <c r="D71" s="11"/>
      <c r="E71" s="11"/>
      <c r="F71" s="11"/>
      <c r="G71" s="11"/>
      <c r="H71" s="181" t="s">
        <v>326</v>
      </c>
      <c r="I71" s="118" t="str">
        <f>IF(_epmOfflineCondition_,"N",_xll.EVPRO($B$1,$H71,"STYLE"))</f>
        <v>N</v>
      </c>
      <c r="J71" s="118" t="str">
        <f>IF(_epmOfflineCondition_,"N",_xll.EVPRO($B$1,$H71,"CALC"))</f>
        <v>N</v>
      </c>
      <c r="K71" s="86"/>
      <c r="L71" s="86" t="str">
        <f>IF(_epmOfflineCondition_,"946500",_xll.EVPRO($B$1,H71,"JDEID"))</f>
        <v>946500</v>
      </c>
      <c r="M71" s="86" t="str">
        <f>IF(_epmOfflineCondition_,"991522",IF(AND(I71="N",J71="N"),_xll.EVPRO($B$1,H71,"PSFTID"),""))</f>
        <v>991522</v>
      </c>
      <c r="N71" s="86" t="str">
        <f>IF(_epmOfflineCondition_,"Bar Customers",IF(_xll.EVDES(H71,$B$1)="#NODATA","",_xll.EVDES(H71,$B$1)))</f>
        <v>Bar Customers</v>
      </c>
      <c r="O71" s="240"/>
      <c r="P71" s="240"/>
      <c r="Q71" s="240"/>
      <c r="R71" s="240"/>
      <c r="S71" s="240"/>
      <c r="T71" s="240"/>
      <c r="U71" s="240"/>
      <c r="V71" s="240"/>
      <c r="W71" s="240"/>
      <c r="X71" s="240"/>
      <c r="Y71" s="240"/>
      <c r="Z71" s="240"/>
      <c r="AA71" s="240">
        <f t="shared" si="15"/>
        <v>0</v>
      </c>
      <c r="AB71" s="242" t="str">
        <f>IF(AA71=0,"",IFERROR(AA71/AA$87,""))</f>
        <v/>
      </c>
      <c r="AC71" s="136"/>
      <c r="AD71" s="240"/>
      <c r="AE71" s="242" t="str">
        <f>IF(AD71=0,"",IFERROR(AD71/AD$87,""))</f>
        <v/>
      </c>
      <c r="AF71" s="243">
        <f t="shared" si="16"/>
        <v>0</v>
      </c>
      <c r="AG71" s="240"/>
      <c r="AH71" s="242" t="str">
        <f>IF(AG71=0,"",IFERROR(AG71/AG$87,""))</f>
        <v/>
      </c>
      <c r="AI71" s="243">
        <f t="shared" si="17"/>
        <v>0</v>
      </c>
    </row>
    <row r="72" spans="1:35" x14ac:dyDescent="0.25">
      <c r="A72" s="11"/>
      <c r="B72" s="11"/>
      <c r="C72" s="11"/>
      <c r="D72" s="11"/>
      <c r="E72" s="11"/>
      <c r="F72" s="11"/>
      <c r="G72" s="11"/>
      <c r="H72" s="181" t="s">
        <v>328</v>
      </c>
      <c r="I72" s="118" t="str">
        <f>IF(_epmOfflineCondition_,"N",_xll.EVPRO($B$1,$H72,"STYLE"))</f>
        <v>N</v>
      </c>
      <c r="J72" s="118" t="str">
        <f>IF(_epmOfflineCondition_,"Y",_xll.EVPRO($B$1,$H72,"CALC"))</f>
        <v>Y</v>
      </c>
      <c r="K72" s="86"/>
      <c r="L72" s="86" t="str">
        <f>IF(_epmOfflineCondition_,"",_xll.EVPRO($B$1,H72,"JDEID"))</f>
        <v/>
      </c>
      <c r="M72" s="86" t="str">
        <f>IF(_epmOfflineCondition_,"",IF(AND(I72="N",J72="N"),_xll.EVPRO($B$1,H72,"PSFTID"),""))</f>
        <v/>
      </c>
      <c r="N72" s="186" t="str">
        <f>IF(_epmOfflineCondition_,"Bar- Average Check",IF(_xll.EVDES(H72,$B$1)="#NODATA","",_xll.EVDES(H72,$B$1)))</f>
        <v>Bar- Average Check</v>
      </c>
      <c r="O72" s="490"/>
      <c r="P72" s="490"/>
      <c r="Q72" s="490"/>
      <c r="R72" s="490"/>
      <c r="S72" s="490"/>
      <c r="T72" s="490"/>
      <c r="U72" s="490"/>
      <c r="V72" s="490"/>
      <c r="W72" s="490"/>
      <c r="X72" s="490"/>
      <c r="Y72" s="490"/>
      <c r="Z72" s="490"/>
      <c r="AA72" s="490" t="str">
        <f>IFERROR(AA69/AA71,"")</f>
        <v/>
      </c>
      <c r="AB72" s="490"/>
      <c r="AC72" s="136"/>
      <c r="AD72" s="490"/>
      <c r="AE72" s="490"/>
      <c r="AF72" s="491" t="str">
        <f t="shared" si="16"/>
        <v/>
      </c>
      <c r="AG72" s="490"/>
      <c r="AH72" s="490"/>
      <c r="AI72" s="491" t="str">
        <f t="shared" si="17"/>
        <v/>
      </c>
    </row>
    <row r="73" spans="1:35" x14ac:dyDescent="0.25">
      <c r="A73" s="11"/>
      <c r="B73" s="11"/>
      <c r="C73" s="11"/>
      <c r="D73" s="11"/>
      <c r="E73" s="11"/>
      <c r="F73" s="11"/>
      <c r="G73" s="486">
        <f>COUNTIF(O74:AI74,FALSE)</f>
        <v>0</v>
      </c>
      <c r="H73" s="84"/>
      <c r="I73" s="118"/>
      <c r="J73" s="118"/>
      <c r="K73" s="86"/>
      <c r="L73" s="86"/>
      <c r="M73" s="86"/>
      <c r="N73" s="487" t="s">
        <v>345</v>
      </c>
      <c r="O73" s="492">
        <f t="shared" ref="O73:AA73" si="18">ROUND(IFERROR(O69/O71,0),2)</f>
        <v>0</v>
      </c>
      <c r="P73" s="493">
        <f t="shared" si="18"/>
        <v>0</v>
      </c>
      <c r="Q73" s="493">
        <f t="shared" si="18"/>
        <v>0</v>
      </c>
      <c r="R73" s="493">
        <f t="shared" si="18"/>
        <v>0</v>
      </c>
      <c r="S73" s="493">
        <f t="shared" si="18"/>
        <v>0</v>
      </c>
      <c r="T73" s="493">
        <f t="shared" si="18"/>
        <v>0</v>
      </c>
      <c r="U73" s="493">
        <f t="shared" si="18"/>
        <v>0</v>
      </c>
      <c r="V73" s="493">
        <f t="shared" si="18"/>
        <v>0</v>
      </c>
      <c r="W73" s="493">
        <f t="shared" si="18"/>
        <v>0</v>
      </c>
      <c r="X73" s="493">
        <f t="shared" si="18"/>
        <v>0</v>
      </c>
      <c r="Y73" s="493">
        <f t="shared" si="18"/>
        <v>0</v>
      </c>
      <c r="Z73" s="493">
        <f t="shared" si="18"/>
        <v>0</v>
      </c>
      <c r="AA73" s="493">
        <f t="shared" si="18"/>
        <v>0</v>
      </c>
      <c r="AB73" s="494"/>
      <c r="AC73" s="136"/>
      <c r="AD73" s="492">
        <f>ROUND(IFERROR(AD69/AD71,0),2)</f>
        <v>0</v>
      </c>
      <c r="AE73" s="493"/>
      <c r="AF73" s="151"/>
      <c r="AG73" s="492">
        <f>ROUND(IFERROR(AG69/AG71,0),2)</f>
        <v>0</v>
      </c>
      <c r="AH73" s="493"/>
      <c r="AI73" s="151"/>
    </row>
    <row r="74" spans="1:35" x14ac:dyDescent="0.25">
      <c r="A74" s="11"/>
      <c r="B74" s="11"/>
      <c r="C74" s="11"/>
      <c r="D74" s="11"/>
      <c r="E74" s="11"/>
      <c r="F74" s="11"/>
      <c r="G74" s="11"/>
      <c r="H74" s="181"/>
      <c r="I74" s="118"/>
      <c r="J74" s="118"/>
      <c r="K74" s="86"/>
      <c r="L74" s="86"/>
      <c r="M74" s="86"/>
      <c r="N74" s="49" t="s">
        <v>324</v>
      </c>
      <c r="O74" s="495" t="b">
        <f t="shared" ref="O74:AA74" si="19">ROUND(O72,2)=ROUND(O73,2)</f>
        <v>1</v>
      </c>
      <c r="P74" s="496" t="b">
        <f t="shared" si="19"/>
        <v>1</v>
      </c>
      <c r="Q74" s="496" t="b">
        <f t="shared" si="19"/>
        <v>1</v>
      </c>
      <c r="R74" s="496" t="b">
        <f t="shared" si="19"/>
        <v>1</v>
      </c>
      <c r="S74" s="496" t="b">
        <f t="shared" si="19"/>
        <v>1</v>
      </c>
      <c r="T74" s="496" t="b">
        <f t="shared" si="19"/>
        <v>1</v>
      </c>
      <c r="U74" s="496" t="b">
        <f t="shared" si="19"/>
        <v>1</v>
      </c>
      <c r="V74" s="496" t="b">
        <f t="shared" si="19"/>
        <v>1</v>
      </c>
      <c r="W74" s="496" t="b">
        <f t="shared" si="19"/>
        <v>1</v>
      </c>
      <c r="X74" s="496" t="b">
        <f t="shared" si="19"/>
        <v>1</v>
      </c>
      <c r="Y74" s="496" t="b">
        <f t="shared" si="19"/>
        <v>1</v>
      </c>
      <c r="Z74" s="496" t="b">
        <f t="shared" si="19"/>
        <v>1</v>
      </c>
      <c r="AA74" s="496" t="e">
        <f t="shared" si="19"/>
        <v>#VALUE!</v>
      </c>
      <c r="AB74" s="497"/>
      <c r="AC74" s="498"/>
      <c r="AD74" s="495"/>
      <c r="AE74" s="496" t="b">
        <f>ROUND(AD72,2)=ROUND(AD73,2)</f>
        <v>1</v>
      </c>
      <c r="AF74" s="497"/>
      <c r="AG74" s="495"/>
      <c r="AH74" s="496" t="b">
        <f>ROUND(AG72,2)=ROUND(AG73,2)</f>
        <v>1</v>
      </c>
      <c r="AI74" s="497"/>
    </row>
    <row r="75" spans="1:35" x14ac:dyDescent="0.25">
      <c r="A75" s="11"/>
      <c r="B75" s="11"/>
      <c r="C75" s="11"/>
      <c r="D75" s="11"/>
      <c r="E75" s="11"/>
      <c r="F75" s="11"/>
      <c r="G75" s="11"/>
      <c r="H75" s="181" t="s">
        <v>264</v>
      </c>
      <c r="I75" s="118" t="str">
        <f>IF(_epmOfflineCondition_,"T5",_xll.EVPRO($B$1,$H75,"STYLE"))</f>
        <v>T5</v>
      </c>
      <c r="J75" s="118" t="str">
        <f>IF(_epmOfflineCondition_,"Y",_xll.EVPRO($B$1,$H75,"CALC"))</f>
        <v>Y</v>
      </c>
      <c r="K75" s="86"/>
      <c r="L75" s="86" t="str">
        <f>IF(_epmOfflineCondition_,"465100",_xll.EVPRO($B$1,H75,"JDEID"))</f>
        <v>465100</v>
      </c>
      <c r="M75" s="86" t="str">
        <f>IF(_epmOfflineCondition_,"",IF(AND(I75="N",J75="N"),_xll.EVPRO($B$1,H75,"PSFTID"),""))</f>
        <v/>
      </c>
      <c r="N75" s="86" t="str">
        <f>IF(_epmOfflineCondition_,"Private Dining Food",IF(_xll.EVDES(H75,$B$1)="#NODATA","",_xll.EVDES(H75,$B$1)))</f>
        <v>Private Dining Food</v>
      </c>
      <c r="O75" s="134"/>
      <c r="P75" s="134"/>
      <c r="Q75" s="134"/>
      <c r="R75" s="134"/>
      <c r="S75" s="134"/>
      <c r="T75" s="134"/>
      <c r="U75" s="134"/>
      <c r="V75" s="134"/>
      <c r="W75" s="134"/>
      <c r="X75" s="134"/>
      <c r="Y75" s="134"/>
      <c r="Z75" s="134"/>
      <c r="AA75" s="134">
        <f t="shared" ref="AA75:AA80" si="20">SUM(O75:Z75)</f>
        <v>0</v>
      </c>
      <c r="AB75" s="138" t="str">
        <f>IF(AA75=0,"",IFERROR(AA75/AA$19,""))</f>
        <v/>
      </c>
      <c r="AC75" s="136"/>
      <c r="AD75" s="134"/>
      <c r="AE75" s="138" t="str">
        <f>IF(AD75=0,"",IFERROR(AD75/AD$19,""))</f>
        <v/>
      </c>
      <c r="AF75" s="137">
        <f t="shared" ref="AF75:AF81" si="21">IF(AND($AA75="",AD75=""),"",$AA75-AD75)</f>
        <v>0</v>
      </c>
      <c r="AG75" s="134"/>
      <c r="AH75" s="138" t="str">
        <f>IF(AG75=0,"",IFERROR(AG75/AG$19,""))</f>
        <v/>
      </c>
      <c r="AI75" s="137">
        <f t="shared" ref="AI75:AI81" si="22">IF(AND($AA75="",AG75=""),"",$AA75-AG75)</f>
        <v>0</v>
      </c>
    </row>
    <row r="76" spans="1:35" x14ac:dyDescent="0.25">
      <c r="A76" s="11"/>
      <c r="B76" s="11"/>
      <c r="C76" s="11"/>
      <c r="D76" s="11"/>
      <c r="E76" s="11"/>
      <c r="F76" s="11"/>
      <c r="G76" s="11"/>
      <c r="H76" s="181" t="s">
        <v>321</v>
      </c>
      <c r="I76" s="118" t="str">
        <f>IF(_epmOfflineCondition_,"T6",_xll.EVPRO($B$1,$H76,"STYLE"))</f>
        <v>T6</v>
      </c>
      <c r="J76" s="118" t="str">
        <f>IF(_epmOfflineCondition_,"Y",_xll.EVPRO($B$1,$H76,"CALC"))</f>
        <v>Y</v>
      </c>
      <c r="K76" s="86"/>
      <c r="L76" s="86" t="str">
        <f>IF(_epmOfflineCondition_,"465200",_xll.EVPRO($B$1,H76,"JDEID"))</f>
        <v>465200</v>
      </c>
      <c r="M76" s="86" t="str">
        <f>IF(_epmOfflineCondition_,"",IF(AND(I76="N",J76="N"),_xll.EVPRO($B$1,H76,"PSFTID"),""))</f>
        <v/>
      </c>
      <c r="N76" s="86" t="str">
        <f>IF(_epmOfflineCondition_,"Private Dining Liquor",IF(_xll.EVDES(H76,$B$1)="#NODATA","",_xll.EVDES(H76,$B$1)))</f>
        <v>Private Dining Liquor</v>
      </c>
      <c r="O76" s="134"/>
      <c r="P76" s="134"/>
      <c r="Q76" s="134"/>
      <c r="R76" s="134"/>
      <c r="S76" s="134"/>
      <c r="T76" s="134"/>
      <c r="U76" s="134"/>
      <c r="V76" s="134"/>
      <c r="W76" s="134"/>
      <c r="X76" s="134"/>
      <c r="Y76" s="134"/>
      <c r="Z76" s="134"/>
      <c r="AA76" s="134">
        <f t="shared" si="20"/>
        <v>0</v>
      </c>
      <c r="AB76" s="138" t="str">
        <f>IF(AA76=0,"",IFERROR(AA76/AA$19,""))</f>
        <v/>
      </c>
      <c r="AC76" s="136"/>
      <c r="AD76" s="134"/>
      <c r="AE76" s="138" t="str">
        <f>IF(AD76=0,"",IFERROR(AD76/AD$19,""))</f>
        <v/>
      </c>
      <c r="AF76" s="137">
        <f t="shared" si="21"/>
        <v>0</v>
      </c>
      <c r="AG76" s="134"/>
      <c r="AH76" s="138" t="str">
        <f>IF(AG76=0,"",IFERROR(AG76/AG$19,""))</f>
        <v/>
      </c>
      <c r="AI76" s="137">
        <f t="shared" si="22"/>
        <v>0</v>
      </c>
    </row>
    <row r="77" spans="1:35" x14ac:dyDescent="0.25">
      <c r="A77" s="11"/>
      <c r="B77" s="11"/>
      <c r="C77" s="11"/>
      <c r="D77" s="11"/>
      <c r="E77" s="11"/>
      <c r="F77" s="11"/>
      <c r="G77" s="11"/>
      <c r="H77" s="181" t="s">
        <v>323</v>
      </c>
      <c r="I77" s="118" t="str">
        <f>IF(_epmOfflineCondition_,"T6",_xll.EVPRO($B$1,$H77,"STYLE"))</f>
        <v>T6</v>
      </c>
      <c r="J77" s="118" t="str">
        <f>IF(_epmOfflineCondition_,"Y",_xll.EVPRO($B$1,$H77,"CALC"))</f>
        <v>Y</v>
      </c>
      <c r="K77" s="86"/>
      <c r="L77" s="86" t="str">
        <f>IF(_epmOfflineCondition_,"465300",_xll.EVPRO($B$1,H77,"JDEID"))</f>
        <v>465300</v>
      </c>
      <c r="M77" s="86" t="str">
        <f>IF(_epmOfflineCondition_,"",IF(AND(I77="N",J77="N"),_xll.EVPRO($B$1,H77,"PSFTID"),""))</f>
        <v/>
      </c>
      <c r="N77" s="86" t="str">
        <f>IF(_epmOfflineCondition_,"Private Dining Beer",IF(_xll.EVDES(H77,$B$1)="#NODATA","",_xll.EVDES(H77,$B$1)))</f>
        <v>Private Dining Beer</v>
      </c>
      <c r="O77" s="134"/>
      <c r="P77" s="134"/>
      <c r="Q77" s="134"/>
      <c r="R77" s="134"/>
      <c r="S77" s="134"/>
      <c r="T77" s="134"/>
      <c r="U77" s="134"/>
      <c r="V77" s="134"/>
      <c r="W77" s="134"/>
      <c r="X77" s="134"/>
      <c r="Y77" s="134"/>
      <c r="Z77" s="134"/>
      <c r="AA77" s="134">
        <f t="shared" si="20"/>
        <v>0</v>
      </c>
      <c r="AB77" s="138" t="str">
        <f>IF(AA77=0,"",IFERROR(AA77/AA$19,""))</f>
        <v/>
      </c>
      <c r="AC77" s="136"/>
      <c r="AD77" s="134"/>
      <c r="AE77" s="138" t="str">
        <f>IF(AD77=0,"",IFERROR(AD77/AD$19,""))</f>
        <v/>
      </c>
      <c r="AF77" s="137">
        <f t="shared" si="21"/>
        <v>0</v>
      </c>
      <c r="AG77" s="134"/>
      <c r="AH77" s="138" t="str">
        <f>IF(AG77=0,"",IFERROR(AG77/AG$19,""))</f>
        <v/>
      </c>
      <c r="AI77" s="137">
        <f t="shared" si="22"/>
        <v>0</v>
      </c>
    </row>
    <row r="78" spans="1:35" x14ac:dyDescent="0.25">
      <c r="A78" s="11"/>
      <c r="B78" s="11"/>
      <c r="C78" s="204"/>
      <c r="D78" s="11"/>
      <c r="E78" s="11"/>
      <c r="F78" s="11"/>
      <c r="G78" s="11"/>
      <c r="H78" s="181" t="s">
        <v>322</v>
      </c>
      <c r="I78" s="118" t="str">
        <f>IF(_epmOfflineCondition_,"T6",_xll.EVPRO($B$1,$H78,"STYLE"))</f>
        <v>T6</v>
      </c>
      <c r="J78" s="118" t="str">
        <f>IF(_epmOfflineCondition_,"Y",_xll.EVPRO($B$1,$H78,"CALC"))</f>
        <v>Y</v>
      </c>
      <c r="K78" s="86"/>
      <c r="L78" s="86" t="str">
        <f>IF(_epmOfflineCondition_,"465400",_xll.EVPRO($B$1,H78,"JDEID"))</f>
        <v>465400</v>
      </c>
      <c r="M78" s="86" t="str">
        <f>IF(_epmOfflineCondition_,"",IF(AND(I78="N",J78="N"),_xll.EVPRO($B$1,H78,"PSFTID"),""))</f>
        <v/>
      </c>
      <c r="N78" s="86" t="str">
        <f>IF(_epmOfflineCondition_,"Private Dining Wine",IF(_xll.EVDES(H78,$B$1)="#NODATA","",_xll.EVDES(H78,$B$1)))</f>
        <v>Private Dining Wine</v>
      </c>
      <c r="O78" s="228"/>
      <c r="P78" s="228"/>
      <c r="Q78" s="228"/>
      <c r="R78" s="228"/>
      <c r="S78" s="228"/>
      <c r="T78" s="228"/>
      <c r="U78" s="228"/>
      <c r="V78" s="228"/>
      <c r="W78" s="228"/>
      <c r="X78" s="228"/>
      <c r="Y78" s="228"/>
      <c r="Z78" s="228"/>
      <c r="AA78" s="228">
        <f t="shared" si="20"/>
        <v>0</v>
      </c>
      <c r="AB78" s="230" t="str">
        <f>IF(AA78=0,"",IFERROR(AA78/AA$19,""))</f>
        <v/>
      </c>
      <c r="AC78" s="136"/>
      <c r="AD78" s="228"/>
      <c r="AE78" s="230" t="str">
        <f>IF(AD78=0,"",IFERROR(AD78/AD$19,""))</f>
        <v/>
      </c>
      <c r="AF78" s="231">
        <f t="shared" si="21"/>
        <v>0</v>
      </c>
      <c r="AG78" s="228"/>
      <c r="AH78" s="230" t="str">
        <f>IF(AG78=0,"",IFERROR(AG78/AG$19,""))</f>
        <v/>
      </c>
      <c r="AI78" s="231">
        <f t="shared" si="22"/>
        <v>0</v>
      </c>
    </row>
    <row r="79" spans="1:35" x14ac:dyDescent="0.25">
      <c r="A79" s="11"/>
      <c r="B79" s="11"/>
      <c r="C79" s="204"/>
      <c r="D79" s="11"/>
      <c r="E79" s="11"/>
      <c r="F79" s="11"/>
      <c r="G79" s="11"/>
      <c r="H79" s="181" t="s">
        <v>329</v>
      </c>
      <c r="I79" s="118" t="str">
        <f>IF(_epmOfflineCondition_,"N",_xll.EVPRO($B$1,$H79,"STYLE"))</f>
        <v>N</v>
      </c>
      <c r="J79" s="118" t="str">
        <f>IF(_epmOfflineCondition_,"Y",_xll.EVPRO($B$1,$H79,"CALC"))</f>
        <v>Y</v>
      </c>
      <c r="K79" s="86"/>
      <c r="L79" s="86" t="str">
        <f>IF(_epmOfflineCondition_,"",_xll.EVPRO($B$1,H79,"JDEID"))</f>
        <v/>
      </c>
      <c r="M79" s="86" t="str">
        <f>IF(_epmOfflineCondition_,"",IF(AND(I79="N",J79="N"),_xll.EVPRO($B$1,H79,"PSFTID"),""))</f>
        <v/>
      </c>
      <c r="N79" s="102" t="str">
        <f>IF(_epmOfflineCondition_,"Private Dining Revenue",IF(_xll.EVDES(H79,$B$1)="#NODATA","",_xll.EVDES(H79,$B$1)))</f>
        <v>Private Dining Revenue</v>
      </c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>
        <f t="shared" si="20"/>
        <v>0</v>
      </c>
      <c r="AB79" s="159" t="str">
        <f>IF(AA79=0,"",IFERROR(AA79/AA$19,""))</f>
        <v/>
      </c>
      <c r="AC79" s="136"/>
      <c r="AD79" s="158"/>
      <c r="AE79" s="159" t="str">
        <f>IF(AD79=0,"",IFERROR(AD79/AD$19,""))</f>
        <v/>
      </c>
      <c r="AF79" s="160">
        <f t="shared" si="21"/>
        <v>0</v>
      </c>
      <c r="AG79" s="158"/>
      <c r="AH79" s="159" t="str">
        <f>IF(AG79=0,"",IFERROR(AG79/AG$19,""))</f>
        <v/>
      </c>
      <c r="AI79" s="160">
        <f t="shared" si="22"/>
        <v>0</v>
      </c>
    </row>
    <row r="80" spans="1:35" x14ac:dyDescent="0.25">
      <c r="A80" s="11"/>
      <c r="B80" s="11"/>
      <c r="C80" s="204"/>
      <c r="D80" s="11"/>
      <c r="E80" s="11"/>
      <c r="F80" s="11"/>
      <c r="G80" s="11"/>
      <c r="H80" s="181" t="s">
        <v>300</v>
      </c>
      <c r="I80" s="118" t="str">
        <f>IF(_epmOfflineCondition_,"N",_xll.EVPRO($B$1,$H80,"STYLE"))</f>
        <v>N</v>
      </c>
      <c r="J80" s="118" t="str">
        <f>IF(_epmOfflineCondition_,"N",_xll.EVPRO($B$1,$H80,"CALC"))</f>
        <v>N</v>
      </c>
      <c r="K80" s="86"/>
      <c r="L80" s="86" t="str">
        <f>IF(_epmOfflineCondition_,"946400",_xll.EVPRO($B$1,H80,"JDEID"))</f>
        <v>946400</v>
      </c>
      <c r="M80" s="86" t="str">
        <f>IF(_epmOfflineCondition_,"991510",IF(AND(I80="N",J80="N"),_xll.EVPRO($B$1,H80,"PSFTID"),""))</f>
        <v>991510</v>
      </c>
      <c r="N80" s="86" t="str">
        <f>IF(_epmOfflineCondition_,"Private Dining Customers",IF(_xll.EVDES(H80,$B$1)="#NODATA","",_xll.EVDES(H80,$B$1)))</f>
        <v>Private Dining Customers</v>
      </c>
      <c r="O80" s="240"/>
      <c r="P80" s="240"/>
      <c r="Q80" s="240"/>
      <c r="R80" s="240"/>
      <c r="S80" s="240"/>
      <c r="T80" s="240"/>
      <c r="U80" s="240"/>
      <c r="V80" s="240"/>
      <c r="W80" s="240"/>
      <c r="X80" s="240"/>
      <c r="Y80" s="240"/>
      <c r="Z80" s="240"/>
      <c r="AA80" s="240">
        <f t="shared" si="20"/>
        <v>0</v>
      </c>
      <c r="AB80" s="242" t="str">
        <f>IF(AA80=0,"",IFERROR(AA80/AA$87,""))</f>
        <v/>
      </c>
      <c r="AC80" s="136"/>
      <c r="AD80" s="240"/>
      <c r="AE80" s="242" t="str">
        <f>IF(AD80=0,"",IFERROR(AD80/AD$87,""))</f>
        <v/>
      </c>
      <c r="AF80" s="243">
        <f t="shared" si="21"/>
        <v>0</v>
      </c>
      <c r="AG80" s="240"/>
      <c r="AH80" s="242" t="str">
        <f>IF(AG80=0,"",IFERROR(AG80/AG$87,""))</f>
        <v/>
      </c>
      <c r="AI80" s="243">
        <f t="shared" si="22"/>
        <v>0</v>
      </c>
    </row>
    <row r="81" spans="1:35" x14ac:dyDescent="0.25">
      <c r="A81" s="11"/>
      <c r="B81" s="11"/>
      <c r="C81" s="204"/>
      <c r="D81" s="11"/>
      <c r="E81" s="11"/>
      <c r="F81" s="11"/>
      <c r="G81" s="11"/>
      <c r="H81" s="181" t="s">
        <v>325</v>
      </c>
      <c r="I81" s="118" t="str">
        <f>IF(_epmOfflineCondition_,"N",_xll.EVPRO($B$1,$H81,"STYLE"))</f>
        <v>N</v>
      </c>
      <c r="J81" s="118" t="str">
        <f>IF(_epmOfflineCondition_,"Y",_xll.EVPRO($B$1,$H81,"CALC"))</f>
        <v>Y</v>
      </c>
      <c r="K81" s="86"/>
      <c r="L81" s="86" t="str">
        <f>IF(_epmOfflineCondition_,"",_xll.EVPRO($B$1,H81,"JDEID"))</f>
        <v/>
      </c>
      <c r="M81" s="86" t="str">
        <f>IF(_epmOfflineCondition_,"",IF(AND(I81="N",J81="N"),_xll.EVPRO($B$1,H81,"PSFTID"),""))</f>
        <v/>
      </c>
      <c r="N81" s="186" t="str">
        <f>IF(_epmOfflineCondition_,"Private Dining - Average Check",IF(_xll.EVDES(H81,$B$1)="#NODATA","",_xll.EVDES(H81,$B$1)))</f>
        <v>Private Dining - Average Check</v>
      </c>
      <c r="O81" s="490"/>
      <c r="P81" s="490"/>
      <c r="Q81" s="490"/>
      <c r="R81" s="490"/>
      <c r="S81" s="490"/>
      <c r="T81" s="490"/>
      <c r="U81" s="490"/>
      <c r="V81" s="490"/>
      <c r="W81" s="490"/>
      <c r="X81" s="490"/>
      <c r="Y81" s="490"/>
      <c r="Z81" s="490"/>
      <c r="AA81" s="490" t="str">
        <f>IFERROR(AA79/AA80,"")</f>
        <v/>
      </c>
      <c r="AB81" s="490"/>
      <c r="AC81" s="136"/>
      <c r="AD81" s="490"/>
      <c r="AE81" s="490"/>
      <c r="AF81" s="491" t="str">
        <f t="shared" si="21"/>
        <v/>
      </c>
      <c r="AG81" s="490"/>
      <c r="AH81" s="490"/>
      <c r="AI81" s="491" t="str">
        <f t="shared" si="22"/>
        <v/>
      </c>
    </row>
    <row r="82" spans="1:35" x14ac:dyDescent="0.25">
      <c r="A82" s="11"/>
      <c r="B82" s="11"/>
      <c r="C82" s="204"/>
      <c r="D82" s="11"/>
      <c r="E82" s="11"/>
      <c r="F82" s="11"/>
      <c r="G82" s="486">
        <f>COUNTIF(O84:AI84,FALSE)</f>
        <v>0</v>
      </c>
      <c r="H82" s="84"/>
      <c r="I82" s="118"/>
      <c r="J82" s="118"/>
      <c r="K82" s="86"/>
      <c r="L82" s="86"/>
      <c r="M82" s="86"/>
      <c r="N82" s="487" t="s">
        <v>345</v>
      </c>
      <c r="O82" s="492">
        <f t="shared" ref="O82:AA82" si="23">ROUND(IFERROR(O79/O80,0),2)</f>
        <v>0</v>
      </c>
      <c r="P82" s="493">
        <f t="shared" si="23"/>
        <v>0</v>
      </c>
      <c r="Q82" s="493">
        <f t="shared" si="23"/>
        <v>0</v>
      </c>
      <c r="R82" s="493">
        <f t="shared" si="23"/>
        <v>0</v>
      </c>
      <c r="S82" s="493">
        <f t="shared" si="23"/>
        <v>0</v>
      </c>
      <c r="T82" s="493">
        <f t="shared" si="23"/>
        <v>0</v>
      </c>
      <c r="U82" s="493">
        <f t="shared" si="23"/>
        <v>0</v>
      </c>
      <c r="V82" s="493">
        <f t="shared" si="23"/>
        <v>0</v>
      </c>
      <c r="W82" s="493">
        <f t="shared" si="23"/>
        <v>0</v>
      </c>
      <c r="X82" s="493">
        <f t="shared" si="23"/>
        <v>0</v>
      </c>
      <c r="Y82" s="493">
        <f t="shared" si="23"/>
        <v>0</v>
      </c>
      <c r="Z82" s="493">
        <f t="shared" si="23"/>
        <v>0</v>
      </c>
      <c r="AA82" s="493">
        <f t="shared" si="23"/>
        <v>0</v>
      </c>
      <c r="AB82" s="494"/>
      <c r="AC82" s="136"/>
      <c r="AD82" s="492">
        <f>ROUND(IFERROR(AD79/AD80,0),2)</f>
        <v>0</v>
      </c>
      <c r="AE82" s="493"/>
      <c r="AF82" s="151"/>
      <c r="AG82" s="492">
        <f>ROUND(IFERROR(AG79/AG80,0),2)</f>
        <v>0</v>
      </c>
      <c r="AH82" s="493"/>
      <c r="AI82" s="151"/>
    </row>
    <row r="83" spans="1:35" x14ac:dyDescent="0.25">
      <c r="A83" s="11"/>
      <c r="B83" s="11"/>
      <c r="C83" s="204"/>
      <c r="D83" s="11"/>
      <c r="E83" s="11"/>
      <c r="F83" s="11"/>
      <c r="G83" s="11"/>
      <c r="H83" s="84" t="s">
        <v>486</v>
      </c>
      <c r="I83" s="118" t="str">
        <f>IF(_epmOfflineCondition_,"T5",_xll.EVPRO($B$1,$H83,"STYLE"))</f>
        <v>T5</v>
      </c>
      <c r="J83" s="118" t="str">
        <f>IF(_epmOfflineCondition_,"Y",_xll.EVPRO($B$1,$H83,"CALC"))</f>
        <v>Y</v>
      </c>
      <c r="K83" s="86"/>
      <c r="L83" s="86" t="str">
        <f>IF(_epmOfflineCondition_,"",_xll.EVPRO($B$1,H83,"JDEID"))</f>
        <v/>
      </c>
      <c r="M83" s="86" t="str">
        <f>IF(_epmOfflineCondition_,"",IF(AND(I83="N",J83="N"),_xll.EVPRO($B$1,H83,"PSFTID"),""))</f>
        <v/>
      </c>
      <c r="N83" s="86" t="str">
        <f>IF(_epmOfflineCondition_,"Food &amp; Beverage: Allowances",IF(_xll.EVDES(H83,$B$1)="#NODATA","",_xll.EVDES(H83,$B$1)))</f>
        <v>Food &amp; Beverage: Allowances</v>
      </c>
      <c r="O83" s="134">
        <v>-292.64</v>
      </c>
      <c r="P83" s="134"/>
      <c r="Q83" s="134">
        <v>-86.36</v>
      </c>
      <c r="R83" s="134"/>
      <c r="S83" s="134"/>
      <c r="T83" s="134"/>
      <c r="U83" s="134"/>
      <c r="V83" s="134">
        <v>-65.319999999999993</v>
      </c>
      <c r="W83" s="134">
        <v>-54.61</v>
      </c>
      <c r="X83" s="134"/>
      <c r="Y83" s="134">
        <v>-20.32</v>
      </c>
      <c r="Z83" s="134">
        <v>-286.19</v>
      </c>
      <c r="AA83" s="134">
        <f>SUM(O83:Z83)</f>
        <v>-805.44</v>
      </c>
      <c r="AB83" s="138">
        <f>IF(AA83=0,"",IFERROR(AA83/AA$19,""))</f>
        <v>-2.3256982378816467E-2</v>
      </c>
      <c r="AC83" s="136"/>
      <c r="AD83" s="134"/>
      <c r="AE83" s="138" t="str">
        <f>IF(AD83=0,"",IFERROR(AD83/AD$19,""))</f>
        <v/>
      </c>
      <c r="AF83" s="137">
        <f>IF(AND($AA83="",AD83=""),"",$AA83-AD83)</f>
        <v>-805.44</v>
      </c>
      <c r="AG83" s="134">
        <v>-257.97000000000003</v>
      </c>
      <c r="AH83" s="138">
        <f>IF(AG83=0,"",IFERROR(AG83/AG$19,""))</f>
        <v>-1.6066780808053759E-2</v>
      </c>
      <c r="AI83" s="137">
        <f>IF(AND($AA83="",AG83=""),"",$AA83-AG83)</f>
        <v>-547.47</v>
      </c>
    </row>
    <row r="84" spans="1:35" x14ac:dyDescent="0.25">
      <c r="A84" s="11"/>
      <c r="B84" s="11"/>
      <c r="C84" s="204"/>
      <c r="D84" s="11"/>
      <c r="E84" s="11"/>
      <c r="F84" s="11"/>
      <c r="G84" s="11"/>
      <c r="H84" s="84"/>
      <c r="I84" s="118"/>
      <c r="J84" s="118"/>
      <c r="K84" s="86"/>
      <c r="L84" s="86"/>
      <c r="M84" s="86"/>
      <c r="N84" s="49" t="s">
        <v>348</v>
      </c>
      <c r="O84" s="495" t="b">
        <f t="shared" ref="O84:AA84" si="24">ROUND(O81,2)=ROUND(O82,2)</f>
        <v>1</v>
      </c>
      <c r="P84" s="496" t="b">
        <f t="shared" si="24"/>
        <v>1</v>
      </c>
      <c r="Q84" s="496" t="b">
        <f t="shared" si="24"/>
        <v>1</v>
      </c>
      <c r="R84" s="496" t="b">
        <f t="shared" si="24"/>
        <v>1</v>
      </c>
      <c r="S84" s="496" t="b">
        <f t="shared" si="24"/>
        <v>1</v>
      </c>
      <c r="T84" s="496" t="b">
        <f t="shared" si="24"/>
        <v>1</v>
      </c>
      <c r="U84" s="496" t="b">
        <f t="shared" si="24"/>
        <v>1</v>
      </c>
      <c r="V84" s="496" t="b">
        <f t="shared" si="24"/>
        <v>1</v>
      </c>
      <c r="W84" s="496" t="b">
        <f t="shared" si="24"/>
        <v>1</v>
      </c>
      <c r="X84" s="496" t="b">
        <f t="shared" si="24"/>
        <v>1</v>
      </c>
      <c r="Y84" s="496" t="b">
        <f t="shared" si="24"/>
        <v>1</v>
      </c>
      <c r="Z84" s="496" t="b">
        <f t="shared" si="24"/>
        <v>1</v>
      </c>
      <c r="AA84" s="496" t="e">
        <f t="shared" si="24"/>
        <v>#VALUE!</v>
      </c>
      <c r="AB84" s="497"/>
      <c r="AC84" s="498"/>
      <c r="AD84" s="495"/>
      <c r="AE84" s="496" t="b">
        <f>ROUND(AD81,2)=ROUND(AD82,2)</f>
        <v>1</v>
      </c>
      <c r="AF84" s="497"/>
      <c r="AG84" s="495"/>
      <c r="AH84" s="496" t="b">
        <f>ROUND(AG81,2)=ROUND(AG82,2)</f>
        <v>1</v>
      </c>
      <c r="AI84" s="497"/>
    </row>
    <row r="85" spans="1:35" x14ac:dyDescent="0.25">
      <c r="A85" s="11"/>
      <c r="B85" s="11"/>
      <c r="C85" s="204"/>
      <c r="D85" s="11"/>
      <c r="E85" s="11"/>
      <c r="F85" s="11"/>
      <c r="G85" s="11"/>
      <c r="H85" s="181" t="s">
        <v>273</v>
      </c>
      <c r="I85" s="118" t="str">
        <f>IF(_epmOfflineCondition_,"T4",_xll.EVPRO($B$1,$H85,"STYLE"))</f>
        <v>T4</v>
      </c>
      <c r="J85" s="118" t="str">
        <f>IF(_epmOfflineCondition_,"Y",_xll.EVPRO($B$1,$H85,"CALC"))</f>
        <v>Y</v>
      </c>
      <c r="K85" s="11"/>
      <c r="L85" s="86" t="str">
        <f>IF(_epmOfflineCondition_,"",_xll.EVPRO($B$1,H85,"JDEID"))</f>
        <v/>
      </c>
      <c r="M85" s="86" t="str">
        <f>IF(_epmOfflineCondition_,"",IF(AND(I85="N",J85="N"),_xll.EVPRO($B$1,H85,"PSFTID"),""))</f>
        <v/>
      </c>
      <c r="N85" s="86" t="str">
        <f>IF(_epmOfflineCondition_,"Total Food &amp; Beverage Revenue",IF(_xll.EVDES(H85,$B$1)="#NODATA","",_xll.EVDES(H85,$B$1)))</f>
        <v>Total Food &amp; Beverage Revenue</v>
      </c>
      <c r="O85" s="502">
        <v>1296.3599999999999</v>
      </c>
      <c r="P85" s="502">
        <v>2885</v>
      </c>
      <c r="Q85" s="502">
        <v>3847.06</v>
      </c>
      <c r="R85" s="502">
        <v>2754</v>
      </c>
      <c r="S85" s="502">
        <v>3203</v>
      </c>
      <c r="T85" s="502">
        <v>1850</v>
      </c>
      <c r="U85" s="502">
        <v>4260</v>
      </c>
      <c r="V85" s="502">
        <v>2047.68</v>
      </c>
      <c r="W85" s="502">
        <v>2760.39</v>
      </c>
      <c r="X85" s="502">
        <v>999.2</v>
      </c>
      <c r="Y85" s="502">
        <v>3276.68</v>
      </c>
      <c r="Z85" s="502">
        <v>5452.81</v>
      </c>
      <c r="AA85" s="502">
        <f>SUM(O85:Z85)</f>
        <v>34632.18</v>
      </c>
      <c r="AB85" s="503">
        <f>IF(AA85=0,"",IFERROR(AA85/AA$19,""))</f>
        <v>1</v>
      </c>
      <c r="AC85" s="136"/>
      <c r="AD85" s="502">
        <v>216470.46</v>
      </c>
      <c r="AE85" s="503">
        <f>IF(AD85=0,"",IFERROR(AD85/AD$19,""))</f>
        <v>1</v>
      </c>
      <c r="AF85" s="504">
        <f>IF(AND($AA85="",AD85=""),"",$AA85-AD85)</f>
        <v>-181838.28</v>
      </c>
      <c r="AG85" s="502">
        <v>16056.11</v>
      </c>
      <c r="AH85" s="503">
        <f>IF(AG85=0,"",IFERROR(AG85/AG$19,""))</f>
        <v>1</v>
      </c>
      <c r="AI85" s="504">
        <f>IF(AND($AA85="",AG85=""),"",$AA85-AG85)</f>
        <v>18576.07</v>
      </c>
    </row>
    <row r="86" spans="1:35" x14ac:dyDescent="0.25">
      <c r="A86" s="11"/>
      <c r="B86" s="11"/>
      <c r="C86" s="204"/>
      <c r="D86" s="11"/>
      <c r="E86" s="11"/>
      <c r="F86" s="11"/>
      <c r="G86" s="11"/>
      <c r="H86" s="181" t="s">
        <v>768</v>
      </c>
      <c r="I86" s="118" t="str">
        <f>IF(_epmOfflineCondition_,"N",_xll.EVPRO($B$1,$H86,"STYLE"))</f>
        <v>N</v>
      </c>
      <c r="J86" s="118" t="str">
        <f>IF(_epmOfflineCondition_,"N",_xll.EVPRO($B$1,$H86,"CALC"))</f>
        <v>N</v>
      </c>
      <c r="K86" s="11"/>
      <c r="L86" s="86" t="str">
        <f>IF(_epmOfflineCondition_,"947500",_xll.EVPRO($B$1,H86,"JDEID"))</f>
        <v>947500</v>
      </c>
      <c r="M86" s="86" t="str">
        <f>IF(_epmOfflineCondition_,"991552",IF(AND(I86="N",J86="N"),_xll.EVPRO($B$1,H86,"PSFTID"),""))</f>
        <v>991552</v>
      </c>
      <c r="N86" s="86" t="str">
        <f>IF(_epmOfflineCondition_,"# of Seats in Outlet",IF(_xll.EVDES(H86,$B$1)="#NODATA","",_xll.EVDES(H86,$B$1)))</f>
        <v># of Seats in Outlet</v>
      </c>
      <c r="O86" s="502"/>
      <c r="P86" s="502"/>
      <c r="Q86" s="502"/>
      <c r="R86" s="502"/>
      <c r="S86" s="502"/>
      <c r="T86" s="502"/>
      <c r="U86" s="502"/>
      <c r="V86" s="502"/>
      <c r="W86" s="502"/>
      <c r="X86" s="502"/>
      <c r="Y86" s="502"/>
      <c r="Z86" s="502"/>
      <c r="AA86" s="502">
        <f>SUM(O86:Z86)</f>
        <v>0</v>
      </c>
      <c r="AB86" s="503"/>
      <c r="AC86" s="136"/>
      <c r="AD86" s="502"/>
      <c r="AE86" s="503"/>
      <c r="AF86" s="504">
        <f>IF(AND($AA86="",AD86=""),"",$AA86-AD86)</f>
        <v>0</v>
      </c>
      <c r="AG86" s="502"/>
      <c r="AH86" s="503"/>
      <c r="AI86" s="504">
        <f>IF(AND($AA86="",AG86=""),"",$AA86-AG86)</f>
        <v>0</v>
      </c>
    </row>
    <row r="87" spans="1:35" x14ac:dyDescent="0.25">
      <c r="A87" s="11"/>
      <c r="B87" s="11"/>
      <c r="C87" s="204"/>
      <c r="D87" s="11"/>
      <c r="E87" s="11"/>
      <c r="F87" s="11"/>
      <c r="G87" s="11"/>
      <c r="H87" s="181" t="s">
        <v>331</v>
      </c>
      <c r="I87" s="118" t="str">
        <f>IF(_epmOfflineCondition_,"T2",_xll.EVPRO($B$1,$H87,"STYLE"))</f>
        <v>T2</v>
      </c>
      <c r="J87" s="118" t="str">
        <f>IF(_epmOfflineCondition_,"Y",_xll.EVPRO($B$1,$H87,"CALC"))</f>
        <v>Y</v>
      </c>
      <c r="K87" s="11"/>
      <c r="L87" s="86" t="str">
        <f>IF(_epmOfflineCondition_,"946000",_xll.EVPRO($B$1,H87,"JDEID"))</f>
        <v>946000</v>
      </c>
      <c r="M87" s="86" t="str">
        <f>IF(_epmOfflineCondition_,"",IF(AND(I87="N",J87="N"),_xll.EVPRO($B$1,H87,"PSFTID"),""))</f>
        <v/>
      </c>
      <c r="N87" s="86" t="str">
        <f>IF(_epmOfflineCondition_,"Total Customers",IF(_xll.EVDES(H87,$B$1)="#NODATA","",_xll.EVDES(H87,$B$1)))</f>
        <v>Total Customers</v>
      </c>
      <c r="O87" s="502">
        <v>113</v>
      </c>
      <c r="P87" s="502">
        <v>163</v>
      </c>
      <c r="Q87" s="502">
        <v>272</v>
      </c>
      <c r="R87" s="502">
        <v>193</v>
      </c>
      <c r="S87" s="502">
        <v>232</v>
      </c>
      <c r="T87" s="502">
        <v>99</v>
      </c>
      <c r="U87" s="502">
        <v>260</v>
      </c>
      <c r="V87" s="502">
        <v>123</v>
      </c>
      <c r="W87" s="502">
        <v>189</v>
      </c>
      <c r="X87" s="502">
        <v>58</v>
      </c>
      <c r="Y87" s="502">
        <v>191</v>
      </c>
      <c r="Z87" s="502">
        <v>341</v>
      </c>
      <c r="AA87" s="502">
        <f>SUM(O87:Z87)</f>
        <v>2234</v>
      </c>
      <c r="AB87" s="503">
        <f>IF(AA87=0,"",IFERROR(AA87/AA$20,""))</f>
        <v>1</v>
      </c>
      <c r="AC87" s="136"/>
      <c r="AD87" s="502">
        <v>10076</v>
      </c>
      <c r="AE87" s="503">
        <f>IF(AD87=0,"",IFERROR(AD87/AD$20,""))</f>
        <v>1</v>
      </c>
      <c r="AF87" s="504">
        <f>IF(AND($AA87="",AD87=""),"",$AA87-AD87)</f>
        <v>-7842</v>
      </c>
      <c r="AG87" s="502">
        <v>1020</v>
      </c>
      <c r="AH87" s="503">
        <f>IF(AG87=0,"",IFERROR(AG87/AG$20,""))</f>
        <v>1</v>
      </c>
      <c r="AI87" s="504">
        <f>IF(AND($AA87="",AG87=""),"",$AA87-AG87)</f>
        <v>1214</v>
      </c>
    </row>
    <row r="88" spans="1:35" x14ac:dyDescent="0.25">
      <c r="A88" s="11"/>
      <c r="B88" s="11"/>
      <c r="C88" s="204"/>
      <c r="D88" s="11"/>
      <c r="E88" s="11"/>
      <c r="F88" s="11"/>
      <c r="G88" s="11"/>
      <c r="H88" s="181" t="s">
        <v>311</v>
      </c>
      <c r="I88" s="118" t="str">
        <f>IF(_epmOfflineCondition_,"N",_xll.EVPRO($B$1,$H88,"STYLE"))</f>
        <v>N</v>
      </c>
      <c r="J88" s="118" t="str">
        <f>IF(_epmOfflineCondition_,"Y",_xll.EVPRO($B$1,$H88,"CALC"))</f>
        <v>Y</v>
      </c>
      <c r="K88" s="11"/>
      <c r="L88" s="86"/>
      <c r="M88" s="86"/>
      <c r="N88" s="86" t="str">
        <f>IF(_epmOfflineCondition_,"Total Average Check",IF(_xll.EVDES(H88,$B$1)="#NODATA","",_xll.EVDES(H88,$B$1)))</f>
        <v>Total Average Check</v>
      </c>
      <c r="O88" s="490">
        <v>11.4722123893805</v>
      </c>
      <c r="P88" s="490">
        <v>17.699386503067501</v>
      </c>
      <c r="Q88" s="490">
        <v>14.1436029411765</v>
      </c>
      <c r="R88" s="490">
        <v>14.269430051813501</v>
      </c>
      <c r="S88" s="490">
        <v>13.8060344827586</v>
      </c>
      <c r="T88" s="490">
        <v>18.686868686868699</v>
      </c>
      <c r="U88" s="490">
        <v>16.384615384615401</v>
      </c>
      <c r="V88" s="490">
        <v>16.647804878048799</v>
      </c>
      <c r="W88" s="490">
        <v>14.6052380952381</v>
      </c>
      <c r="X88" s="490">
        <v>17.2275862068966</v>
      </c>
      <c r="Y88" s="490">
        <v>17.155392670157099</v>
      </c>
      <c r="Z88" s="490">
        <v>15.990645161290299</v>
      </c>
      <c r="AA88" s="490">
        <f>IFERROR(AA85/AA87,"")</f>
        <v>15.502318710832588</v>
      </c>
      <c r="AB88" s="490"/>
      <c r="AC88" s="136"/>
      <c r="AD88" s="490">
        <v>21.4837693529178</v>
      </c>
      <c r="AE88" s="490"/>
      <c r="AF88" s="491">
        <f>IF(AND($AA88="",AD88=""),"",$AA88-AD88)</f>
        <v>-5.9814506420852123</v>
      </c>
      <c r="AG88" s="490">
        <v>15.741284313725499</v>
      </c>
      <c r="AH88" s="490"/>
      <c r="AI88" s="491">
        <f>IF(AND($AA88="",AG88=""),"",$AA88-AG88)</f>
        <v>-0.23896560289291102</v>
      </c>
    </row>
    <row r="89" spans="1:35" x14ac:dyDescent="0.25">
      <c r="A89" s="11"/>
      <c r="B89" s="11"/>
      <c r="C89" s="204"/>
      <c r="D89" s="11"/>
      <c r="E89" s="11"/>
      <c r="F89" s="11"/>
      <c r="G89" s="11"/>
      <c r="H89" s="181"/>
      <c r="I89" s="118"/>
      <c r="J89" s="118"/>
      <c r="K89" s="11"/>
      <c r="L89" s="86"/>
      <c r="M89" s="86"/>
      <c r="N89" s="86"/>
      <c r="O89" s="166"/>
      <c r="P89" s="167"/>
      <c r="Q89" s="167"/>
      <c r="R89" s="167"/>
      <c r="S89" s="167"/>
      <c r="T89" s="167"/>
      <c r="U89" s="167"/>
      <c r="V89" s="167"/>
      <c r="W89" s="167"/>
      <c r="X89" s="167"/>
      <c r="Y89" s="167"/>
      <c r="Z89" s="167"/>
      <c r="AA89" s="167"/>
      <c r="AB89" s="168"/>
      <c r="AC89" s="136"/>
      <c r="AD89" s="166"/>
      <c r="AE89" s="167"/>
      <c r="AF89" s="168"/>
      <c r="AG89" s="166"/>
      <c r="AH89" s="167"/>
      <c r="AI89" s="168"/>
    </row>
    <row r="90" spans="1:35" x14ac:dyDescent="0.25">
      <c r="A90" s="11"/>
      <c r="B90" s="11"/>
      <c r="C90" s="204"/>
      <c r="D90" s="11"/>
      <c r="E90" s="11"/>
      <c r="F90" s="11"/>
      <c r="G90" s="11"/>
      <c r="H90" s="181"/>
      <c r="I90" s="118"/>
      <c r="J90" s="118"/>
      <c r="K90" s="11"/>
      <c r="L90" s="86"/>
      <c r="M90" s="86"/>
      <c r="N90" s="49" t="s">
        <v>334</v>
      </c>
      <c r="O90" s="154"/>
      <c r="P90" s="155"/>
      <c r="Q90" s="155"/>
      <c r="R90" s="155"/>
      <c r="S90" s="155"/>
      <c r="T90" s="155"/>
      <c r="U90" s="155"/>
      <c r="V90" s="155"/>
      <c r="W90" s="155"/>
      <c r="X90" s="155"/>
      <c r="Y90" s="155"/>
      <c r="Z90" s="155"/>
      <c r="AA90" s="155"/>
      <c r="AB90" s="156"/>
      <c r="AC90" s="136"/>
      <c r="AD90" s="154"/>
      <c r="AE90" s="155"/>
      <c r="AF90" s="156"/>
      <c r="AG90" s="154"/>
      <c r="AH90" s="155"/>
      <c r="AI90" s="156"/>
    </row>
    <row r="91" spans="1:35" hidden="1" outlineLevel="1" x14ac:dyDescent="0.25">
      <c r="A91" s="11"/>
      <c r="B91" s="11"/>
      <c r="C91" s="204"/>
      <c r="D91" s="11"/>
      <c r="E91" s="11"/>
      <c r="F91" s="11"/>
      <c r="G91" s="11"/>
      <c r="H91" s="181" t="s">
        <v>332</v>
      </c>
      <c r="I91" s="118" t="str">
        <f>IF(_epmOfflineCondition_,"T4",_xll.EVPRO($B$1,$H91,"STYLE"))</f>
        <v>T4</v>
      </c>
      <c r="J91" s="118" t="str">
        <f>IF(_epmOfflineCondition_,"Y",_xll.EVPRO($B$1,$H91,"CALC"))</f>
        <v>Y</v>
      </c>
      <c r="K91" s="11"/>
      <c r="L91" s="86"/>
      <c r="M91" s="86"/>
      <c r="N91" s="86" t="str">
        <f>IF(_epmOfflineCondition_,"F&amp;B Kitchen - THW",IF(_xll.EVDES(H91,$B$1)="#NODATA","",_xll.EVDES(H91,$B$1)))</f>
        <v>F&amp;B Kitchen - THW</v>
      </c>
      <c r="O91" s="134"/>
      <c r="P91" s="134"/>
      <c r="Q91" s="134"/>
      <c r="R91" s="134"/>
      <c r="S91" s="134"/>
      <c r="T91" s="134"/>
      <c r="U91" s="134"/>
      <c r="V91" s="134"/>
      <c r="W91" s="134"/>
      <c r="X91" s="134"/>
      <c r="Y91" s="134"/>
      <c r="Z91" s="134"/>
      <c r="AA91" s="134">
        <f>SUM(O91:Z91)</f>
        <v>0</v>
      </c>
      <c r="AB91" s="138"/>
      <c r="AC91" s="136"/>
      <c r="AD91" s="134"/>
      <c r="AE91" s="138"/>
      <c r="AF91" s="137">
        <f>IF(AND($AA91="",AD91=""),"",$AA91-AD91)</f>
        <v>0</v>
      </c>
      <c r="AG91" s="134"/>
      <c r="AH91" s="138"/>
      <c r="AI91" s="137">
        <f>IF(AND($AA91="",AG91=""),"",$AA91-AG91)</f>
        <v>0</v>
      </c>
    </row>
    <row r="92" spans="1:35" hidden="1" outlineLevel="1" x14ac:dyDescent="0.25">
      <c r="A92" s="11"/>
      <c r="B92" s="11"/>
      <c r="C92" s="204"/>
      <c r="D92" s="11"/>
      <c r="E92" s="11"/>
      <c r="F92" s="11"/>
      <c r="G92" s="11"/>
      <c r="H92" s="181" t="s">
        <v>333</v>
      </c>
      <c r="I92" s="118" t="str">
        <f>IF(_epmOfflineCondition_,"T4",_xll.EVPRO($B$1,$H92,"STYLE"))</f>
        <v>T4</v>
      </c>
      <c r="J92" s="118" t="str">
        <f>IF(_epmOfflineCondition_,"Y",_xll.EVPRO($B$1,$H92,"CALC"))</f>
        <v>Y</v>
      </c>
      <c r="K92" s="11"/>
      <c r="L92" s="86"/>
      <c r="M92" s="86"/>
      <c r="N92" s="86" t="str">
        <f>IF(_epmOfflineCondition_,"F&amp;B Venues - THW",IF(_xll.EVDES(H92,$B$1)="#NODATA","",_xll.EVDES(H92,$B$1)))</f>
        <v>F&amp;B Venues - THW</v>
      </c>
      <c r="O92" s="134">
        <v>154.75</v>
      </c>
      <c r="P92" s="134">
        <v>110.22</v>
      </c>
      <c r="Q92" s="134">
        <v>134.5</v>
      </c>
      <c r="R92" s="134">
        <v>118</v>
      </c>
      <c r="S92" s="134">
        <v>99</v>
      </c>
      <c r="T92" s="134">
        <v>70.23</v>
      </c>
      <c r="U92" s="134">
        <v>107.75</v>
      </c>
      <c r="V92" s="134">
        <v>74</v>
      </c>
      <c r="W92" s="134">
        <v>91</v>
      </c>
      <c r="X92" s="134">
        <v>114.17</v>
      </c>
      <c r="Y92" s="134">
        <v>114.25</v>
      </c>
      <c r="Z92" s="134">
        <v>165</v>
      </c>
      <c r="AA92" s="134">
        <f>SUM(O92:Z92)</f>
        <v>1352.8700000000001</v>
      </c>
      <c r="AB92" s="138"/>
      <c r="AC92" s="136"/>
      <c r="AD92" s="134">
        <v>3688</v>
      </c>
      <c r="AE92" s="138"/>
      <c r="AF92" s="137">
        <f>IF(AND($AA92="",AD92=""),"",$AA92-AD92)</f>
        <v>-2335.13</v>
      </c>
      <c r="AG92" s="134">
        <v>3023.3</v>
      </c>
      <c r="AH92" s="138"/>
      <c r="AI92" s="137">
        <f>IF(AND($AA92="",AG92=""),"",$AA92-AG92)</f>
        <v>-1670.43</v>
      </c>
    </row>
    <row r="93" spans="1:35" collapsed="1" x14ac:dyDescent="0.25">
      <c r="A93" s="11"/>
      <c r="B93" s="11"/>
      <c r="C93" s="204"/>
      <c r="D93" s="11"/>
      <c r="E93" s="11"/>
      <c r="F93" s="11"/>
      <c r="G93" s="11"/>
      <c r="H93" s="181"/>
      <c r="I93" s="118"/>
      <c r="J93" s="118"/>
      <c r="K93" s="11"/>
      <c r="L93" s="86"/>
      <c r="M93" s="86"/>
      <c r="N93" s="100" t="s">
        <v>335</v>
      </c>
      <c r="O93" s="505" t="str">
        <f t="shared" ref="O93:AA93" si="25">IFERROR(O$87/O91,"")</f>
        <v/>
      </c>
      <c r="P93" s="505" t="str">
        <f t="shared" si="25"/>
        <v/>
      </c>
      <c r="Q93" s="505" t="str">
        <f t="shared" si="25"/>
        <v/>
      </c>
      <c r="R93" s="505" t="str">
        <f t="shared" si="25"/>
        <v/>
      </c>
      <c r="S93" s="505" t="str">
        <f t="shared" si="25"/>
        <v/>
      </c>
      <c r="T93" s="505" t="str">
        <f t="shared" si="25"/>
        <v/>
      </c>
      <c r="U93" s="505" t="str">
        <f t="shared" si="25"/>
        <v/>
      </c>
      <c r="V93" s="505" t="str">
        <f t="shared" si="25"/>
        <v/>
      </c>
      <c r="W93" s="505" t="str">
        <f t="shared" si="25"/>
        <v/>
      </c>
      <c r="X93" s="505" t="str">
        <f t="shared" si="25"/>
        <v/>
      </c>
      <c r="Y93" s="505" t="str">
        <f t="shared" si="25"/>
        <v/>
      </c>
      <c r="Z93" s="505" t="str">
        <f t="shared" si="25"/>
        <v/>
      </c>
      <c r="AA93" s="505" t="str">
        <f t="shared" si="25"/>
        <v/>
      </c>
      <c r="AB93" s="506"/>
      <c r="AC93" s="136"/>
      <c r="AD93" s="505" t="str">
        <f>IFERROR(AD$87/AD91,"")</f>
        <v/>
      </c>
      <c r="AE93" s="506"/>
      <c r="AF93" s="226" t="str">
        <f>IF(AND($AA93="",AD93=""),"",$AA93-AD93)</f>
        <v/>
      </c>
      <c r="AG93" s="505" t="str">
        <f>IFERROR(AG$87/AG91,"")</f>
        <v/>
      </c>
      <c r="AH93" s="506"/>
      <c r="AI93" s="226" t="str">
        <f>IF(AND($AA93="",AG93=""),"",$AA93-AG93)</f>
        <v/>
      </c>
    </row>
    <row r="94" spans="1:35" x14ac:dyDescent="0.25">
      <c r="A94" s="11"/>
      <c r="B94" s="11"/>
      <c r="C94" s="204"/>
      <c r="D94" s="11"/>
      <c r="E94" s="11"/>
      <c r="F94" s="11"/>
      <c r="G94" s="11"/>
      <c r="H94" s="181"/>
      <c r="I94" s="118"/>
      <c r="J94" s="118"/>
      <c r="K94" s="11"/>
      <c r="L94" s="86"/>
      <c r="M94" s="86"/>
      <c r="N94" s="100" t="s">
        <v>336</v>
      </c>
      <c r="O94" s="505">
        <f t="shared" ref="O94:AA94" si="26">IFERROR(O$87/O92,"")</f>
        <v>0.73021001615508885</v>
      </c>
      <c r="P94" s="505">
        <f t="shared" si="26"/>
        <v>1.4788604608963891</v>
      </c>
      <c r="Q94" s="505">
        <f t="shared" si="26"/>
        <v>2.0223048327137545</v>
      </c>
      <c r="R94" s="505">
        <f t="shared" si="26"/>
        <v>1.6355932203389831</v>
      </c>
      <c r="S94" s="505">
        <f t="shared" si="26"/>
        <v>2.3434343434343434</v>
      </c>
      <c r="T94" s="505">
        <f t="shared" si="26"/>
        <v>1.4096539940196497</v>
      </c>
      <c r="U94" s="505">
        <f t="shared" si="26"/>
        <v>2.4129930394431556</v>
      </c>
      <c r="V94" s="505">
        <f t="shared" si="26"/>
        <v>1.6621621621621621</v>
      </c>
      <c r="W94" s="505">
        <f t="shared" si="26"/>
        <v>2.0769230769230771</v>
      </c>
      <c r="X94" s="505">
        <f t="shared" si="26"/>
        <v>0.50801436454410087</v>
      </c>
      <c r="Y94" s="505">
        <f t="shared" si="26"/>
        <v>1.6717724288840263</v>
      </c>
      <c r="Z94" s="505">
        <f t="shared" si="26"/>
        <v>2.0666666666666669</v>
      </c>
      <c r="AA94" s="505">
        <f t="shared" si="26"/>
        <v>1.6513042642678157</v>
      </c>
      <c r="AB94" s="506"/>
      <c r="AC94" s="136"/>
      <c r="AD94" s="505">
        <f>IFERROR(AD$87/AD92,"")</f>
        <v>2.7321041214750541</v>
      </c>
      <c r="AE94" s="506"/>
      <c r="AF94" s="226">
        <f>IF(AND($AA94="",AD94=""),"",$AA94-AD94)</f>
        <v>-1.0807998572072384</v>
      </c>
      <c r="AG94" s="505">
        <f>IFERROR(AG$87/AG92,"")</f>
        <v>0.33737968445076572</v>
      </c>
      <c r="AH94" s="506"/>
      <c r="AI94" s="226">
        <f>IF(AND($AA94="",AG94=""),"",$AA94-AG94)</f>
        <v>1.31392457981705</v>
      </c>
    </row>
    <row r="95" spans="1:35" x14ac:dyDescent="0.25">
      <c r="A95" s="11"/>
      <c r="B95" s="11"/>
      <c r="C95" s="204"/>
      <c r="D95" s="11"/>
      <c r="E95" s="11"/>
      <c r="F95" s="11"/>
      <c r="G95" s="11"/>
      <c r="H95" s="181"/>
      <c r="I95" s="118"/>
      <c r="J95" s="118"/>
      <c r="K95" s="11"/>
      <c r="L95" s="86"/>
      <c r="M95" s="86"/>
      <c r="N95" s="86"/>
      <c r="O95" s="507"/>
      <c r="P95" s="508"/>
      <c r="Q95" s="508"/>
      <c r="R95" s="508"/>
      <c r="S95" s="508"/>
      <c r="T95" s="508"/>
      <c r="U95" s="508"/>
      <c r="V95" s="508"/>
      <c r="W95" s="508"/>
      <c r="X95" s="508"/>
      <c r="Y95" s="508"/>
      <c r="Z95" s="508"/>
      <c r="AA95" s="508"/>
      <c r="AB95" s="153"/>
      <c r="AC95" s="136"/>
      <c r="AD95" s="509"/>
      <c r="AE95" s="477"/>
      <c r="AF95" s="153"/>
      <c r="AG95" s="477"/>
      <c r="AH95" s="477"/>
      <c r="AI95" s="153"/>
    </row>
    <row r="96" spans="1:35" x14ac:dyDescent="0.25">
      <c r="A96" s="11"/>
      <c r="B96" s="11"/>
      <c r="C96" s="204"/>
      <c r="D96" s="11"/>
      <c r="E96" s="11"/>
      <c r="F96" s="11"/>
      <c r="G96" s="11"/>
      <c r="H96" s="181"/>
      <c r="I96" s="118"/>
      <c r="J96" s="118"/>
      <c r="K96" s="11"/>
      <c r="L96" s="86"/>
      <c r="M96" s="86"/>
      <c r="N96" s="49" t="s">
        <v>343</v>
      </c>
      <c r="O96" s="509"/>
      <c r="P96" s="477"/>
      <c r="Q96" s="477"/>
      <c r="R96" s="477"/>
      <c r="S96" s="477"/>
      <c r="T96" s="477"/>
      <c r="U96" s="477"/>
      <c r="V96" s="477"/>
      <c r="W96" s="477"/>
      <c r="X96" s="477"/>
      <c r="Y96" s="477"/>
      <c r="Z96" s="477"/>
      <c r="AA96" s="477"/>
      <c r="AB96" s="510"/>
      <c r="AC96" s="136"/>
      <c r="AD96" s="511"/>
      <c r="AE96" s="512"/>
      <c r="AF96" s="153"/>
      <c r="AG96" s="477"/>
      <c r="AH96" s="512"/>
      <c r="AI96" s="153"/>
    </row>
    <row r="97" spans="1:35" x14ac:dyDescent="0.25">
      <c r="A97" s="11"/>
      <c r="B97" s="11"/>
      <c r="C97" s="204"/>
      <c r="D97" s="11"/>
      <c r="E97" s="11"/>
      <c r="F97" s="11"/>
      <c r="G97" s="11"/>
      <c r="H97" s="181"/>
      <c r="I97" s="118"/>
      <c r="J97" s="118"/>
      <c r="K97" s="11"/>
      <c r="L97" s="86"/>
      <c r="M97" s="86"/>
      <c r="N97" s="49" t="s">
        <v>337</v>
      </c>
      <c r="O97" s="154"/>
      <c r="P97" s="155"/>
      <c r="Q97" s="155"/>
      <c r="R97" s="155"/>
      <c r="S97" s="155"/>
      <c r="T97" s="155"/>
      <c r="U97" s="155"/>
      <c r="V97" s="155"/>
      <c r="W97" s="155"/>
      <c r="X97" s="155"/>
      <c r="Y97" s="155"/>
      <c r="Z97" s="155"/>
      <c r="AA97" s="155"/>
      <c r="AB97" s="156"/>
      <c r="AC97" s="136"/>
      <c r="AD97" s="154"/>
      <c r="AE97" s="155"/>
      <c r="AF97" s="156"/>
      <c r="AG97" s="155"/>
      <c r="AH97" s="155"/>
      <c r="AI97" s="156"/>
    </row>
    <row r="98" spans="1:35" x14ac:dyDescent="0.25">
      <c r="A98" s="11"/>
      <c r="B98" s="11"/>
      <c r="C98" s="204"/>
      <c r="D98" s="11"/>
      <c r="E98" s="11"/>
      <c r="F98" s="11"/>
      <c r="G98" s="11"/>
      <c r="H98" s="181" t="s">
        <v>294</v>
      </c>
      <c r="I98" s="118"/>
      <c r="J98" s="118"/>
      <c r="K98" s="11"/>
      <c r="L98" s="86" t="str">
        <f>IF(_epmOfflineCondition_,"461200",_xll.EVPRO($B$1,H98,"JDEID"))</f>
        <v>461200</v>
      </c>
      <c r="M98" s="86" t="str">
        <f>IF(_epmOfflineCondition_,"",IF(AND(I98="N",J98="N"),_xll.EVPRO($B$1,H98,"PSFTID"),""))</f>
        <v/>
      </c>
      <c r="N98" s="86" t="str">
        <f>IF(_epmOfflineCondition_,"Breakfast Liquor",IF(_xll.EVDES(H98,$B$1)="#NODATA","",_xll.EVDES(H98,$B$1)))</f>
        <v>Breakfast Liquor</v>
      </c>
      <c r="O98" s="134"/>
      <c r="P98" s="134"/>
      <c r="Q98" s="134"/>
      <c r="R98" s="134"/>
      <c r="S98" s="134"/>
      <c r="T98" s="134"/>
      <c r="U98" s="134"/>
      <c r="V98" s="134"/>
      <c r="W98" s="134"/>
      <c r="X98" s="134"/>
      <c r="Y98" s="134"/>
      <c r="Z98" s="134"/>
      <c r="AA98" s="134">
        <f t="shared" ref="AA98:AA103" si="27">SUM(O98:Z98)</f>
        <v>0</v>
      </c>
      <c r="AB98" s="138" t="str">
        <f t="shared" ref="AB98:AB103" si="28">IF(AA98=0,"",IFERROR(AA98/AA$19,""))</f>
        <v/>
      </c>
      <c r="AC98" s="136"/>
      <c r="AD98" s="134"/>
      <c r="AE98" s="138" t="str">
        <f t="shared" ref="AE98:AE103" si="29">IF(AD98=0,"",IFERROR(AD98/AD$19,""))</f>
        <v/>
      </c>
      <c r="AF98" s="137">
        <f t="shared" ref="AF98:AF103" si="30">IF(AND($AA98="",AD98=""),"",$AA98-AD98)</f>
        <v>0</v>
      </c>
      <c r="AG98" s="134"/>
      <c r="AH98" s="138" t="str">
        <f t="shared" ref="AH98:AH103" si="31">IF(AG98=0,"",IFERROR(AG98/AG$19,""))</f>
        <v/>
      </c>
      <c r="AI98" s="137">
        <f t="shared" ref="AI98:AI103" si="32">IF(AND($AA98="",AG98=""),"",$AA98-AG98)</f>
        <v>0</v>
      </c>
    </row>
    <row r="99" spans="1:35" x14ac:dyDescent="0.25">
      <c r="A99" s="11"/>
      <c r="B99" s="11"/>
      <c r="C99" s="204"/>
      <c r="D99" s="11"/>
      <c r="E99" s="11"/>
      <c r="F99" s="11"/>
      <c r="G99" s="11"/>
      <c r="H99" s="181" t="s">
        <v>301</v>
      </c>
      <c r="I99" s="118"/>
      <c r="J99" s="118"/>
      <c r="K99" s="11"/>
      <c r="L99" s="86" t="str">
        <f>IF(_epmOfflineCondition_,"462200",_xll.EVPRO($B$1,H99,"JDEID"))</f>
        <v>462200</v>
      </c>
      <c r="M99" s="86" t="str">
        <f>IF(_epmOfflineCondition_,"",IF(AND(I99="N",J99="N"),_xll.EVPRO($B$1,H99,"PSFTID"),""))</f>
        <v/>
      </c>
      <c r="N99" s="86" t="str">
        <f>IF(_epmOfflineCondition_,"Lunch Liquor",IF(_xll.EVDES(H99,$B$1)="#NODATA","",_xll.EVDES(H99,$B$1)))</f>
        <v>Lunch Liquor</v>
      </c>
      <c r="O99" s="134">
        <v>692</v>
      </c>
      <c r="P99" s="134">
        <v>1521</v>
      </c>
      <c r="Q99" s="134">
        <v>2282</v>
      </c>
      <c r="R99" s="134">
        <v>1560</v>
      </c>
      <c r="S99" s="134">
        <v>1695</v>
      </c>
      <c r="T99" s="134">
        <v>1338</v>
      </c>
      <c r="U99" s="134">
        <v>1942</v>
      </c>
      <c r="V99" s="134">
        <v>875</v>
      </c>
      <c r="W99" s="134">
        <v>1826</v>
      </c>
      <c r="X99" s="134">
        <v>779.2</v>
      </c>
      <c r="Y99" s="134">
        <v>1462</v>
      </c>
      <c r="Z99" s="134">
        <v>1889</v>
      </c>
      <c r="AA99" s="134">
        <f t="shared" si="27"/>
        <v>17861.2</v>
      </c>
      <c r="AB99" s="138">
        <f t="shared" si="28"/>
        <v>0.51573998518141217</v>
      </c>
      <c r="AC99" s="136"/>
      <c r="AD99" s="134">
        <v>29436.100272</v>
      </c>
      <c r="AE99" s="138">
        <f t="shared" si="29"/>
        <v>0.13598206550676706</v>
      </c>
      <c r="AF99" s="137">
        <f t="shared" si="30"/>
        <v>-11574.900271999999</v>
      </c>
      <c r="AG99" s="134">
        <v>5833.78</v>
      </c>
      <c r="AH99" s="138">
        <f t="shared" si="31"/>
        <v>0.36333707230456191</v>
      </c>
      <c r="AI99" s="137">
        <f t="shared" si="32"/>
        <v>12027.420000000002</v>
      </c>
    </row>
    <row r="100" spans="1:35" x14ac:dyDescent="0.25">
      <c r="A100" s="11"/>
      <c r="B100" s="11"/>
      <c r="C100" s="204"/>
      <c r="D100" s="11"/>
      <c r="E100" s="11"/>
      <c r="F100" s="11"/>
      <c r="G100" s="11"/>
      <c r="H100" s="181" t="s">
        <v>302</v>
      </c>
      <c r="I100" s="118"/>
      <c r="J100" s="118"/>
      <c r="K100" s="11"/>
      <c r="L100" s="86" t="str">
        <f>IF(_epmOfflineCondition_,"463200",_xll.EVPRO($B$1,H100,"JDEID"))</f>
        <v>463200</v>
      </c>
      <c r="M100" s="86" t="str">
        <f>IF(_epmOfflineCondition_,"",IF(AND(I100="N",J100="N"),_xll.EVPRO($B$1,H100,"PSFTID"),""))</f>
        <v/>
      </c>
      <c r="N100" s="86" t="str">
        <f>IF(_epmOfflineCondition_,"Dinner Liquor",IF(_xll.EVDES(H100,$B$1)="#NODATA","",_xll.EVDES(H100,$B$1)))</f>
        <v>Dinner Liquor</v>
      </c>
      <c r="O100" s="134"/>
      <c r="P100" s="134"/>
      <c r="Q100" s="134"/>
      <c r="R100" s="134"/>
      <c r="S100" s="134"/>
      <c r="T100" s="134"/>
      <c r="U100" s="134"/>
      <c r="V100" s="134"/>
      <c r="W100" s="134"/>
      <c r="X100" s="134"/>
      <c r="Y100" s="134"/>
      <c r="Z100" s="134"/>
      <c r="AA100" s="134">
        <f t="shared" si="27"/>
        <v>0</v>
      </c>
      <c r="AB100" s="138" t="str">
        <f t="shared" si="28"/>
        <v/>
      </c>
      <c r="AC100" s="136"/>
      <c r="AD100" s="134"/>
      <c r="AE100" s="138" t="str">
        <f t="shared" si="29"/>
        <v/>
      </c>
      <c r="AF100" s="137">
        <f t="shared" si="30"/>
        <v>0</v>
      </c>
      <c r="AG100" s="134"/>
      <c r="AH100" s="138" t="str">
        <f t="shared" si="31"/>
        <v/>
      </c>
      <c r="AI100" s="137">
        <f t="shared" si="32"/>
        <v>0</v>
      </c>
    </row>
    <row r="101" spans="1:35" x14ac:dyDescent="0.25">
      <c r="A101" s="11"/>
      <c r="B101" s="11"/>
      <c r="C101" s="204"/>
      <c r="D101" s="11"/>
      <c r="E101" s="11"/>
      <c r="F101" s="11"/>
      <c r="G101" s="11"/>
      <c r="H101" s="181" t="s">
        <v>308</v>
      </c>
      <c r="I101" s="118"/>
      <c r="J101" s="118"/>
      <c r="K101" s="11"/>
      <c r="L101" s="86" t="str">
        <f>IF(_epmOfflineCondition_,"464200",_xll.EVPRO($B$1,H101,"JDEID"))</f>
        <v>464200</v>
      </c>
      <c r="M101" s="86" t="str">
        <f>IF(_epmOfflineCondition_,"",IF(AND(I101="N",J101="N"),_xll.EVPRO($B$1,H101,"PSFTID"),""))</f>
        <v/>
      </c>
      <c r="N101" s="86" t="str">
        <f>IF(_epmOfflineCondition_,"Bar Liquor",IF(_xll.EVDES(H101,$B$1)="#NODATA","",_xll.EVDES(H101,$B$1)))</f>
        <v>Bar Liquor</v>
      </c>
      <c r="O101" s="134"/>
      <c r="P101" s="134"/>
      <c r="Q101" s="134"/>
      <c r="R101" s="134"/>
      <c r="S101" s="134"/>
      <c r="T101" s="134"/>
      <c r="U101" s="134"/>
      <c r="V101" s="134"/>
      <c r="W101" s="134"/>
      <c r="X101" s="134"/>
      <c r="Y101" s="134"/>
      <c r="Z101" s="134"/>
      <c r="AA101" s="134">
        <f t="shared" si="27"/>
        <v>0</v>
      </c>
      <c r="AB101" s="138" t="str">
        <f t="shared" si="28"/>
        <v/>
      </c>
      <c r="AC101" s="136"/>
      <c r="AD101" s="134"/>
      <c r="AE101" s="138" t="str">
        <f t="shared" si="29"/>
        <v/>
      </c>
      <c r="AF101" s="137">
        <f t="shared" si="30"/>
        <v>0</v>
      </c>
      <c r="AG101" s="134"/>
      <c r="AH101" s="138" t="str">
        <f t="shared" si="31"/>
        <v/>
      </c>
      <c r="AI101" s="137">
        <f t="shared" si="32"/>
        <v>0</v>
      </c>
    </row>
    <row r="102" spans="1:35" x14ac:dyDescent="0.25">
      <c r="A102" s="11"/>
      <c r="B102" s="11"/>
      <c r="C102" s="204"/>
      <c r="D102" s="11"/>
      <c r="E102" s="11"/>
      <c r="F102" s="11"/>
      <c r="G102" s="11"/>
      <c r="H102" s="181" t="s">
        <v>321</v>
      </c>
      <c r="I102" s="118"/>
      <c r="J102" s="118"/>
      <c r="K102" s="11"/>
      <c r="L102" s="86" t="str">
        <f>IF(_epmOfflineCondition_,"465200",_xll.EVPRO($B$1,H102,"JDEID"))</f>
        <v>465200</v>
      </c>
      <c r="M102" s="86" t="str">
        <f>IF(_epmOfflineCondition_,"",IF(AND(I102="N",J102="N"),_xll.EVPRO($B$1,H102,"PSFTID"),""))</f>
        <v/>
      </c>
      <c r="N102" s="86" t="str">
        <f>IF(_epmOfflineCondition_,"Private Dining Liquor",IF(_xll.EVDES(H102,$B$1)="#NODATA","",_xll.EVDES(H102,$B$1)))</f>
        <v>Private Dining Liquor</v>
      </c>
      <c r="O102" s="134"/>
      <c r="P102" s="134"/>
      <c r="Q102" s="134"/>
      <c r="R102" s="134"/>
      <c r="S102" s="134"/>
      <c r="T102" s="134"/>
      <c r="U102" s="134"/>
      <c r="V102" s="134"/>
      <c r="W102" s="134"/>
      <c r="X102" s="134"/>
      <c r="Y102" s="134"/>
      <c r="Z102" s="134"/>
      <c r="AA102" s="134">
        <f t="shared" si="27"/>
        <v>0</v>
      </c>
      <c r="AB102" s="138" t="str">
        <f t="shared" si="28"/>
        <v/>
      </c>
      <c r="AC102" s="136"/>
      <c r="AD102" s="134"/>
      <c r="AE102" s="138" t="str">
        <f t="shared" si="29"/>
        <v/>
      </c>
      <c r="AF102" s="137">
        <f t="shared" si="30"/>
        <v>0</v>
      </c>
      <c r="AG102" s="134"/>
      <c r="AH102" s="138" t="str">
        <f t="shared" si="31"/>
        <v/>
      </c>
      <c r="AI102" s="137">
        <f t="shared" si="32"/>
        <v>0</v>
      </c>
    </row>
    <row r="103" spans="1:35" x14ac:dyDescent="0.25">
      <c r="A103" s="11"/>
      <c r="B103" s="11"/>
      <c r="C103" s="204"/>
      <c r="D103" s="11"/>
      <c r="E103" s="11"/>
      <c r="F103" s="11"/>
      <c r="G103" s="11"/>
      <c r="H103" s="181" t="s">
        <v>340</v>
      </c>
      <c r="I103" s="118"/>
      <c r="J103" s="118"/>
      <c r="K103" s="11"/>
      <c r="L103" s="86" t="str">
        <f>IF(_epmOfflineCondition_,"",_xll.EVPRO($B$1,H103,"JDEID"))</f>
        <v/>
      </c>
      <c r="M103" s="86" t="str">
        <f>IF(_epmOfflineCondition_,"",IF(AND(I103="N",J103="N"),_xll.EVPRO($B$1,H103,"PSFTID"),""))</f>
        <v/>
      </c>
      <c r="N103" s="102" t="str">
        <f>IF(_epmOfflineCondition_,"Liquor Revenue ",IF(_xll.EVDES(H103,$B$1)="#NODATA","",_xll.EVDES(H103,$B$1)))</f>
        <v xml:space="preserve">Liquor Revenue </v>
      </c>
      <c r="O103" s="158">
        <v>692</v>
      </c>
      <c r="P103" s="158">
        <v>1521</v>
      </c>
      <c r="Q103" s="158">
        <v>2282</v>
      </c>
      <c r="R103" s="158">
        <v>1560</v>
      </c>
      <c r="S103" s="158">
        <v>1695</v>
      </c>
      <c r="T103" s="158">
        <v>1338</v>
      </c>
      <c r="U103" s="158">
        <v>1942</v>
      </c>
      <c r="V103" s="158">
        <v>875</v>
      </c>
      <c r="W103" s="158">
        <v>1826</v>
      </c>
      <c r="X103" s="158">
        <v>779.2</v>
      </c>
      <c r="Y103" s="158">
        <v>1462</v>
      </c>
      <c r="Z103" s="158">
        <v>1889</v>
      </c>
      <c r="AA103" s="158">
        <f t="shared" si="27"/>
        <v>17861.2</v>
      </c>
      <c r="AB103" s="159">
        <f t="shared" si="28"/>
        <v>0.51573998518141217</v>
      </c>
      <c r="AC103" s="136"/>
      <c r="AD103" s="158">
        <v>29436.100272</v>
      </c>
      <c r="AE103" s="159">
        <f t="shared" si="29"/>
        <v>0.13598206550676706</v>
      </c>
      <c r="AF103" s="160">
        <f t="shared" si="30"/>
        <v>-11574.900271999999</v>
      </c>
      <c r="AG103" s="158">
        <v>5833.78</v>
      </c>
      <c r="AH103" s="159">
        <f t="shared" si="31"/>
        <v>0.36333707230456191</v>
      </c>
      <c r="AI103" s="160">
        <f t="shared" si="32"/>
        <v>12027.420000000002</v>
      </c>
    </row>
    <row r="104" spans="1:35" x14ac:dyDescent="0.25">
      <c r="A104" s="11"/>
      <c r="B104" s="11"/>
      <c r="C104" s="204"/>
      <c r="D104" s="11"/>
      <c r="E104" s="11"/>
      <c r="F104" s="11"/>
      <c r="G104" s="11"/>
      <c r="H104" s="181"/>
      <c r="I104" s="118"/>
      <c r="J104" s="118"/>
      <c r="K104" s="11"/>
      <c r="L104" s="86"/>
      <c r="M104" s="86"/>
      <c r="N104" s="49"/>
      <c r="O104" s="166"/>
      <c r="P104" s="167"/>
      <c r="Q104" s="167"/>
      <c r="R104" s="167"/>
      <c r="S104" s="167"/>
      <c r="T104" s="167"/>
      <c r="U104" s="167"/>
      <c r="V104" s="167"/>
      <c r="W104" s="167"/>
      <c r="X104" s="167"/>
      <c r="Y104" s="167"/>
      <c r="Z104" s="167"/>
      <c r="AA104" s="167"/>
      <c r="AB104" s="168"/>
      <c r="AC104" s="136"/>
      <c r="AD104" s="166"/>
      <c r="AE104" s="167"/>
      <c r="AF104" s="168"/>
      <c r="AG104" s="166"/>
      <c r="AH104" s="167"/>
      <c r="AI104" s="168"/>
    </row>
    <row r="105" spans="1:35" x14ac:dyDescent="0.25">
      <c r="A105" s="11"/>
      <c r="B105" s="11"/>
      <c r="C105" s="204"/>
      <c r="D105" s="11"/>
      <c r="E105" s="11"/>
      <c r="F105" s="11"/>
      <c r="G105" s="11"/>
      <c r="H105" s="181"/>
      <c r="I105" s="118"/>
      <c r="J105" s="118"/>
      <c r="K105" s="11"/>
      <c r="L105" s="86"/>
      <c r="M105" s="86"/>
      <c r="N105" s="49" t="s">
        <v>339</v>
      </c>
      <c r="O105" s="154"/>
      <c r="P105" s="155"/>
      <c r="Q105" s="155"/>
      <c r="R105" s="155"/>
      <c r="S105" s="155"/>
      <c r="T105" s="155"/>
      <c r="U105" s="155"/>
      <c r="V105" s="155"/>
      <c r="W105" s="155"/>
      <c r="X105" s="155"/>
      <c r="Y105" s="155"/>
      <c r="Z105" s="155"/>
      <c r="AA105" s="155"/>
      <c r="AB105" s="156"/>
      <c r="AC105" s="136"/>
      <c r="AD105" s="154"/>
      <c r="AE105" s="155"/>
      <c r="AF105" s="156"/>
      <c r="AG105" s="154"/>
      <c r="AH105" s="155"/>
      <c r="AI105" s="156"/>
    </row>
    <row r="106" spans="1:35" x14ac:dyDescent="0.25">
      <c r="A106" s="11"/>
      <c r="B106" s="11"/>
      <c r="C106" s="204"/>
      <c r="D106" s="11"/>
      <c r="E106" s="11"/>
      <c r="F106" s="11"/>
      <c r="G106" s="11"/>
      <c r="H106" s="181" t="s">
        <v>295</v>
      </c>
      <c r="I106" s="118"/>
      <c r="J106" s="118"/>
      <c r="K106" s="11"/>
      <c r="L106" s="86" t="str">
        <f>IF(_epmOfflineCondition_,"461300",_xll.EVPRO($B$1,H106,"JDEID"))</f>
        <v>461300</v>
      </c>
      <c r="M106" s="86" t="str">
        <f>IF(_epmOfflineCondition_,"",IF(AND(I106="N",J106="N"),_xll.EVPRO($B$1,H106,"PSFTID"),""))</f>
        <v/>
      </c>
      <c r="N106" s="86" t="str">
        <f>IF(_epmOfflineCondition_,"Breakfast Beer",IF(_xll.EVDES(H106,$B$1)="#NODATA","",_xll.EVDES(H106,$B$1)))</f>
        <v>Breakfast Beer</v>
      </c>
      <c r="O106" s="134"/>
      <c r="P106" s="134"/>
      <c r="Q106" s="134"/>
      <c r="R106" s="134"/>
      <c r="S106" s="134"/>
      <c r="T106" s="134"/>
      <c r="U106" s="134"/>
      <c r="V106" s="134"/>
      <c r="W106" s="134"/>
      <c r="X106" s="134"/>
      <c r="Y106" s="134"/>
      <c r="Z106" s="134"/>
      <c r="AA106" s="134">
        <f t="shared" ref="AA106:AA111" si="33">SUM(O106:Z106)</f>
        <v>0</v>
      </c>
      <c r="AB106" s="138" t="str">
        <f t="shared" ref="AB106:AB111" si="34">IF(AA106=0,"",IFERROR(AA106/AA$19,""))</f>
        <v/>
      </c>
      <c r="AC106" s="136"/>
      <c r="AD106" s="134"/>
      <c r="AE106" s="138" t="str">
        <f t="shared" ref="AE106:AE111" si="35">IF(AD106=0,"",IFERROR(AD106/AD$19,""))</f>
        <v/>
      </c>
      <c r="AF106" s="137">
        <f t="shared" ref="AF106:AF111" si="36">IF(AND($AA106="",AD106=""),"",$AA106-AD106)</f>
        <v>0</v>
      </c>
      <c r="AG106" s="134"/>
      <c r="AH106" s="138" t="str">
        <f t="shared" ref="AH106:AH111" si="37">IF(AG106=0,"",IFERROR(AG106/AG$19,""))</f>
        <v/>
      </c>
      <c r="AI106" s="137">
        <f t="shared" ref="AI106:AI111" si="38">IF(AND($AA106="",AG106=""),"",$AA106-AG106)</f>
        <v>0</v>
      </c>
    </row>
    <row r="107" spans="1:35" x14ac:dyDescent="0.25">
      <c r="A107" s="11"/>
      <c r="B107" s="11"/>
      <c r="C107" s="204"/>
      <c r="D107" s="11"/>
      <c r="E107" s="11"/>
      <c r="F107" s="11"/>
      <c r="G107" s="11"/>
      <c r="H107" s="181" t="s">
        <v>305</v>
      </c>
      <c r="I107" s="118"/>
      <c r="J107" s="118"/>
      <c r="K107" s="11"/>
      <c r="L107" s="86" t="str">
        <f>IF(_epmOfflineCondition_,"462300",_xll.EVPRO($B$1,H107,"JDEID"))</f>
        <v>462300</v>
      </c>
      <c r="M107" s="86" t="str">
        <f>IF(_epmOfflineCondition_,"",IF(AND(I107="N",J107="N"),_xll.EVPRO($B$1,H107,"PSFTID"),""))</f>
        <v/>
      </c>
      <c r="N107" s="86" t="str">
        <f>IF(_epmOfflineCondition_,"Lunch Beer",IF(_xll.EVDES(H107,$B$1)="#NODATA","",_xll.EVDES(H107,$B$1)))</f>
        <v>Lunch Beer</v>
      </c>
      <c r="O107" s="134">
        <v>358</v>
      </c>
      <c r="P107" s="134">
        <v>631</v>
      </c>
      <c r="Q107" s="134">
        <v>723</v>
      </c>
      <c r="R107" s="134">
        <v>502</v>
      </c>
      <c r="S107" s="134">
        <v>696</v>
      </c>
      <c r="T107" s="134">
        <v>85</v>
      </c>
      <c r="U107" s="134">
        <v>515</v>
      </c>
      <c r="V107" s="134">
        <v>325</v>
      </c>
      <c r="W107" s="134">
        <v>400</v>
      </c>
      <c r="X107" s="134">
        <v>169</v>
      </c>
      <c r="Y107" s="134">
        <v>378</v>
      </c>
      <c r="Z107" s="134">
        <v>800</v>
      </c>
      <c r="AA107" s="134">
        <f t="shared" si="33"/>
        <v>5582</v>
      </c>
      <c r="AB107" s="138">
        <f t="shared" si="34"/>
        <v>0.16117957344874045</v>
      </c>
      <c r="AC107" s="136"/>
      <c r="AD107" s="134">
        <v>4210.4539439999999</v>
      </c>
      <c r="AE107" s="138">
        <f t="shared" si="35"/>
        <v>1.9450478111424533E-2</v>
      </c>
      <c r="AF107" s="137">
        <f t="shared" si="36"/>
        <v>1371.5460560000001</v>
      </c>
      <c r="AG107" s="134">
        <v>3892</v>
      </c>
      <c r="AH107" s="138">
        <f t="shared" si="37"/>
        <v>0.24239993373239221</v>
      </c>
      <c r="AI107" s="137">
        <f t="shared" si="38"/>
        <v>1690</v>
      </c>
    </row>
    <row r="108" spans="1:35" x14ac:dyDescent="0.25">
      <c r="A108" s="11"/>
      <c r="B108" s="11"/>
      <c r="C108" s="204"/>
      <c r="D108" s="11"/>
      <c r="E108" s="11"/>
      <c r="F108" s="11"/>
      <c r="G108" s="11"/>
      <c r="H108" s="181" t="s">
        <v>306</v>
      </c>
      <c r="I108" s="118"/>
      <c r="J108" s="118"/>
      <c r="K108" s="11"/>
      <c r="L108" s="86" t="str">
        <f>IF(_epmOfflineCondition_,"463300",_xll.EVPRO($B$1,H108,"JDEID"))</f>
        <v>463300</v>
      </c>
      <c r="M108" s="86" t="str">
        <f>IF(_epmOfflineCondition_,"",IF(AND(I108="N",J108="N"),_xll.EVPRO($B$1,H108,"PSFTID"),""))</f>
        <v/>
      </c>
      <c r="N108" s="86" t="str">
        <f>IF(_epmOfflineCondition_,"Dinner Beer",IF(_xll.EVDES(H108,$B$1)="#NODATA","",_xll.EVDES(H108,$B$1)))</f>
        <v>Dinner Beer</v>
      </c>
      <c r="O108" s="134"/>
      <c r="P108" s="134"/>
      <c r="Q108" s="134"/>
      <c r="R108" s="134"/>
      <c r="S108" s="134"/>
      <c r="T108" s="134"/>
      <c r="U108" s="134"/>
      <c r="V108" s="134"/>
      <c r="W108" s="134"/>
      <c r="X108" s="134"/>
      <c r="Y108" s="134"/>
      <c r="Z108" s="134"/>
      <c r="AA108" s="134">
        <f t="shared" si="33"/>
        <v>0</v>
      </c>
      <c r="AB108" s="138" t="str">
        <f t="shared" si="34"/>
        <v/>
      </c>
      <c r="AC108" s="136"/>
      <c r="AD108" s="134"/>
      <c r="AE108" s="138" t="str">
        <f t="shared" si="35"/>
        <v/>
      </c>
      <c r="AF108" s="137">
        <f t="shared" si="36"/>
        <v>0</v>
      </c>
      <c r="AG108" s="134"/>
      <c r="AH108" s="138" t="str">
        <f t="shared" si="37"/>
        <v/>
      </c>
      <c r="AI108" s="137">
        <f t="shared" si="38"/>
        <v>0</v>
      </c>
    </row>
    <row r="109" spans="1:35" x14ac:dyDescent="0.25">
      <c r="A109" s="11"/>
      <c r="B109" s="11"/>
      <c r="C109" s="204"/>
      <c r="D109" s="11"/>
      <c r="E109" s="11"/>
      <c r="F109" s="11"/>
      <c r="G109" s="11"/>
      <c r="H109" s="181" t="s">
        <v>310</v>
      </c>
      <c r="I109" s="118"/>
      <c r="J109" s="118"/>
      <c r="K109" s="11"/>
      <c r="L109" s="86" t="str">
        <f>IF(_epmOfflineCondition_,"464300",_xll.EVPRO($B$1,H109,"JDEID"))</f>
        <v>464300</v>
      </c>
      <c r="M109" s="86" t="str">
        <f>IF(_epmOfflineCondition_,"",IF(AND(I109="N",J109="N"),_xll.EVPRO($B$1,H109,"PSFTID"),""))</f>
        <v/>
      </c>
      <c r="N109" s="86" t="str">
        <f>IF(_epmOfflineCondition_,"Bar Beer",IF(_xll.EVDES(H109,$B$1)="#NODATA","",_xll.EVDES(H109,$B$1)))</f>
        <v>Bar Beer</v>
      </c>
      <c r="O109" s="134"/>
      <c r="P109" s="134"/>
      <c r="Q109" s="134"/>
      <c r="R109" s="134"/>
      <c r="S109" s="134"/>
      <c r="T109" s="134"/>
      <c r="U109" s="134"/>
      <c r="V109" s="134"/>
      <c r="W109" s="134"/>
      <c r="X109" s="134"/>
      <c r="Y109" s="134"/>
      <c r="Z109" s="134"/>
      <c r="AA109" s="134">
        <f t="shared" si="33"/>
        <v>0</v>
      </c>
      <c r="AB109" s="138" t="str">
        <f t="shared" si="34"/>
        <v/>
      </c>
      <c r="AC109" s="136"/>
      <c r="AD109" s="134"/>
      <c r="AE109" s="138" t="str">
        <f t="shared" si="35"/>
        <v/>
      </c>
      <c r="AF109" s="137">
        <f t="shared" si="36"/>
        <v>0</v>
      </c>
      <c r="AG109" s="134"/>
      <c r="AH109" s="138" t="str">
        <f t="shared" si="37"/>
        <v/>
      </c>
      <c r="AI109" s="137">
        <f t="shared" si="38"/>
        <v>0</v>
      </c>
    </row>
    <row r="110" spans="1:35" x14ac:dyDescent="0.25">
      <c r="A110" s="11"/>
      <c r="B110" s="11"/>
      <c r="C110" s="204"/>
      <c r="D110" s="11"/>
      <c r="E110" s="11"/>
      <c r="F110" s="11"/>
      <c r="G110" s="11"/>
      <c r="H110" s="181" t="s">
        <v>323</v>
      </c>
      <c r="I110" s="118"/>
      <c r="J110" s="118"/>
      <c r="K110" s="11"/>
      <c r="L110" s="86" t="str">
        <f>IF(_epmOfflineCondition_,"465300",_xll.EVPRO($B$1,H110,"JDEID"))</f>
        <v>465300</v>
      </c>
      <c r="M110" s="86" t="str">
        <f>IF(_epmOfflineCondition_,"",IF(AND(I110="N",J110="N"),_xll.EVPRO($B$1,H110,"PSFTID"),""))</f>
        <v/>
      </c>
      <c r="N110" s="86" t="str">
        <f>IF(_epmOfflineCondition_,"Private Dining Beer",IF(_xll.EVDES(H110,$B$1)="#NODATA","",_xll.EVDES(H110,$B$1)))</f>
        <v>Private Dining Beer</v>
      </c>
      <c r="O110" s="134"/>
      <c r="P110" s="134"/>
      <c r="Q110" s="134"/>
      <c r="R110" s="134"/>
      <c r="S110" s="134"/>
      <c r="T110" s="134"/>
      <c r="U110" s="134"/>
      <c r="V110" s="134"/>
      <c r="W110" s="134"/>
      <c r="X110" s="134"/>
      <c r="Y110" s="134"/>
      <c r="Z110" s="134"/>
      <c r="AA110" s="134">
        <f t="shared" si="33"/>
        <v>0</v>
      </c>
      <c r="AB110" s="138" t="str">
        <f t="shared" si="34"/>
        <v/>
      </c>
      <c r="AC110" s="136"/>
      <c r="AD110" s="134"/>
      <c r="AE110" s="138" t="str">
        <f t="shared" si="35"/>
        <v/>
      </c>
      <c r="AF110" s="137">
        <f t="shared" si="36"/>
        <v>0</v>
      </c>
      <c r="AG110" s="134"/>
      <c r="AH110" s="138" t="str">
        <f t="shared" si="37"/>
        <v/>
      </c>
      <c r="AI110" s="137">
        <f t="shared" si="38"/>
        <v>0</v>
      </c>
    </row>
    <row r="111" spans="1:35" x14ac:dyDescent="0.25">
      <c r="A111" s="11"/>
      <c r="B111" s="11"/>
      <c r="C111" s="204"/>
      <c r="D111" s="11"/>
      <c r="E111" s="11"/>
      <c r="F111" s="11"/>
      <c r="G111" s="11"/>
      <c r="H111" s="181" t="s">
        <v>342</v>
      </c>
      <c r="I111" s="118"/>
      <c r="J111" s="118"/>
      <c r="K111" s="11"/>
      <c r="L111" s="86" t="str">
        <f>IF(_epmOfflineCondition_,"",_xll.EVPRO($B$1,H111,"JDEID"))</f>
        <v/>
      </c>
      <c r="M111" s="86" t="str">
        <f>IF(_epmOfflineCondition_,"",IF(AND(I111="N",J111="N"),_xll.EVPRO($B$1,H111,"PSFTID"),""))</f>
        <v/>
      </c>
      <c r="N111" s="102" t="str">
        <f>IF(_epmOfflineCondition_,"Beer Revenue",IF(_xll.EVDES(H111,$B$1)="#NODATA","",_xll.EVDES(H111,$B$1)))</f>
        <v>Beer Revenue</v>
      </c>
      <c r="O111" s="158">
        <v>358</v>
      </c>
      <c r="P111" s="158">
        <v>631</v>
      </c>
      <c r="Q111" s="158">
        <v>723</v>
      </c>
      <c r="R111" s="158">
        <v>502</v>
      </c>
      <c r="S111" s="158">
        <v>696</v>
      </c>
      <c r="T111" s="158">
        <v>85</v>
      </c>
      <c r="U111" s="158">
        <v>515</v>
      </c>
      <c r="V111" s="158">
        <v>325</v>
      </c>
      <c r="W111" s="158">
        <v>400</v>
      </c>
      <c r="X111" s="158">
        <v>169</v>
      </c>
      <c r="Y111" s="158">
        <v>378</v>
      </c>
      <c r="Z111" s="158">
        <v>800</v>
      </c>
      <c r="AA111" s="158">
        <f t="shared" si="33"/>
        <v>5582</v>
      </c>
      <c r="AB111" s="159">
        <f t="shared" si="34"/>
        <v>0.16117957344874045</v>
      </c>
      <c r="AC111" s="136"/>
      <c r="AD111" s="158">
        <v>4210.4539439999999</v>
      </c>
      <c r="AE111" s="159">
        <f t="shared" si="35"/>
        <v>1.9450478111424533E-2</v>
      </c>
      <c r="AF111" s="160">
        <f t="shared" si="36"/>
        <v>1371.5460560000001</v>
      </c>
      <c r="AG111" s="158">
        <v>3892</v>
      </c>
      <c r="AH111" s="159">
        <f t="shared" si="37"/>
        <v>0.24239993373239221</v>
      </c>
      <c r="AI111" s="160">
        <f t="shared" si="38"/>
        <v>1690</v>
      </c>
    </row>
    <row r="112" spans="1:35" x14ac:dyDescent="0.25">
      <c r="A112" s="11"/>
      <c r="B112" s="11"/>
      <c r="C112" s="204"/>
      <c r="D112" s="11"/>
      <c r="E112" s="11"/>
      <c r="F112" s="11"/>
      <c r="G112" s="11"/>
      <c r="H112" s="181"/>
      <c r="I112" s="118"/>
      <c r="J112" s="118"/>
      <c r="K112" s="11"/>
      <c r="L112" s="86"/>
      <c r="M112" s="86"/>
      <c r="N112" s="49"/>
      <c r="O112" s="166"/>
      <c r="P112" s="167"/>
      <c r="Q112" s="167"/>
      <c r="R112" s="167"/>
      <c r="S112" s="167"/>
      <c r="T112" s="167"/>
      <c r="U112" s="167"/>
      <c r="V112" s="167"/>
      <c r="W112" s="167"/>
      <c r="X112" s="167"/>
      <c r="Y112" s="167"/>
      <c r="Z112" s="167"/>
      <c r="AA112" s="167"/>
      <c r="AB112" s="168"/>
      <c r="AC112" s="136"/>
      <c r="AD112" s="166"/>
      <c r="AE112" s="167"/>
      <c r="AF112" s="168"/>
      <c r="AG112" s="166"/>
      <c r="AH112" s="167"/>
      <c r="AI112" s="168"/>
    </row>
    <row r="113" spans="1:35" x14ac:dyDescent="0.25">
      <c r="A113" s="11"/>
      <c r="B113" s="11"/>
      <c r="C113" s="204"/>
      <c r="D113" s="11"/>
      <c r="E113" s="11"/>
      <c r="F113" s="11"/>
      <c r="G113" s="11"/>
      <c r="H113" s="181"/>
      <c r="I113" s="118"/>
      <c r="J113" s="118"/>
      <c r="K113" s="11"/>
      <c r="L113" s="86"/>
      <c r="M113" s="86"/>
      <c r="N113" s="49" t="s">
        <v>338</v>
      </c>
      <c r="O113" s="154"/>
      <c r="P113" s="155"/>
      <c r="Q113" s="155"/>
      <c r="R113" s="155"/>
      <c r="S113" s="155"/>
      <c r="T113" s="155"/>
      <c r="U113" s="155"/>
      <c r="V113" s="155"/>
      <c r="W113" s="155"/>
      <c r="X113" s="155"/>
      <c r="Y113" s="155"/>
      <c r="Z113" s="155"/>
      <c r="AA113" s="155"/>
      <c r="AB113" s="156"/>
      <c r="AC113" s="136"/>
      <c r="AD113" s="154"/>
      <c r="AE113" s="155"/>
      <c r="AF113" s="156"/>
      <c r="AG113" s="154"/>
      <c r="AH113" s="155"/>
      <c r="AI113" s="156"/>
    </row>
    <row r="114" spans="1:35" x14ac:dyDescent="0.25">
      <c r="A114" s="11"/>
      <c r="B114" s="11"/>
      <c r="C114" s="204"/>
      <c r="D114" s="11"/>
      <c r="E114" s="11"/>
      <c r="F114" s="11"/>
      <c r="G114" s="11"/>
      <c r="H114" s="181" t="s">
        <v>296</v>
      </c>
      <c r="I114" s="118"/>
      <c r="J114" s="118"/>
      <c r="K114" s="11"/>
      <c r="L114" s="86" t="str">
        <f>IF(_epmOfflineCondition_,"461400",_xll.EVPRO($B$1,H114,"JDEID"))</f>
        <v>461400</v>
      </c>
      <c r="M114" s="86" t="str">
        <f>IF(_epmOfflineCondition_,"",IF(AND(I114="N",J114="N"),_xll.EVPRO($B$1,H114,"PSFTID"),""))</f>
        <v/>
      </c>
      <c r="N114" s="86" t="str">
        <f>IF(_epmOfflineCondition_,"Breakfast Wine",IF(_xll.EVDES(H114,$B$1)="#NODATA","",_xll.EVDES(H114,$B$1)))</f>
        <v>Breakfast Wine</v>
      </c>
      <c r="O114" s="134"/>
      <c r="P114" s="134"/>
      <c r="Q114" s="134"/>
      <c r="R114" s="134"/>
      <c r="S114" s="134"/>
      <c r="T114" s="134"/>
      <c r="U114" s="134"/>
      <c r="V114" s="134"/>
      <c r="W114" s="134"/>
      <c r="X114" s="134"/>
      <c r="Y114" s="134"/>
      <c r="Z114" s="134"/>
      <c r="AA114" s="134">
        <f t="shared" ref="AA114:AA119" si="39">SUM(O114:Z114)</f>
        <v>0</v>
      </c>
      <c r="AB114" s="138" t="str">
        <f t="shared" ref="AB114:AB119" si="40">IF(AA114=0,"",IFERROR(AA114/AA$19,""))</f>
        <v/>
      </c>
      <c r="AC114" s="136"/>
      <c r="AD114" s="134"/>
      <c r="AE114" s="138" t="str">
        <f t="shared" ref="AE114:AE119" si="41">IF(AD114=0,"",IFERROR(AD114/AD$19,""))</f>
        <v/>
      </c>
      <c r="AF114" s="137">
        <f t="shared" ref="AF114:AF119" si="42">IF(AND($AA114="",AD114=""),"",$AA114-AD114)</f>
        <v>0</v>
      </c>
      <c r="AG114" s="134"/>
      <c r="AH114" s="138" t="str">
        <f t="shared" ref="AH114:AH119" si="43">IF(AG114=0,"",IFERROR(AG114/AG$19,""))</f>
        <v/>
      </c>
      <c r="AI114" s="137">
        <f t="shared" ref="AI114:AI119" si="44">IF(AND($AA114="",AG114=""),"",$AA114-AG114)</f>
        <v>0</v>
      </c>
    </row>
    <row r="115" spans="1:35" x14ac:dyDescent="0.25">
      <c r="A115" s="11"/>
      <c r="B115" s="11"/>
      <c r="C115" s="204"/>
      <c r="D115" s="11"/>
      <c r="E115" s="11"/>
      <c r="F115" s="11"/>
      <c r="G115" s="11"/>
      <c r="H115" s="181" t="s">
        <v>303</v>
      </c>
      <c r="I115" s="118"/>
      <c r="J115" s="118"/>
      <c r="K115" s="11"/>
      <c r="L115" s="86" t="str">
        <f>IF(_epmOfflineCondition_,"462400",_xll.EVPRO($B$1,H115,"JDEID"))</f>
        <v>462400</v>
      </c>
      <c r="M115" s="86" t="str">
        <f>IF(_epmOfflineCondition_,"",IF(AND(I115="N",J115="N"),_xll.EVPRO($B$1,H115,"PSFTID"),""))</f>
        <v/>
      </c>
      <c r="N115" s="86" t="str">
        <f>IF(_epmOfflineCondition_,"Lunch Wine",IF(_xll.EVDES(H115,$B$1)="#NODATA","",_xll.EVDES(H115,$B$1)))</f>
        <v>Lunch Wine</v>
      </c>
      <c r="O115" s="134">
        <v>470</v>
      </c>
      <c r="P115" s="134">
        <v>595</v>
      </c>
      <c r="Q115" s="134">
        <v>789</v>
      </c>
      <c r="R115" s="134">
        <v>512</v>
      </c>
      <c r="S115" s="134">
        <v>620</v>
      </c>
      <c r="T115" s="134">
        <v>137</v>
      </c>
      <c r="U115" s="134">
        <v>756</v>
      </c>
      <c r="V115" s="134">
        <v>203</v>
      </c>
      <c r="W115" s="134">
        <v>276</v>
      </c>
      <c r="X115" s="134">
        <v>36</v>
      </c>
      <c r="Y115" s="134">
        <v>216</v>
      </c>
      <c r="Z115" s="134">
        <v>539</v>
      </c>
      <c r="AA115" s="134">
        <f t="shared" si="39"/>
        <v>5149</v>
      </c>
      <c r="AB115" s="138">
        <f t="shared" si="40"/>
        <v>0.14867675092933796</v>
      </c>
      <c r="AC115" s="136"/>
      <c r="AD115" s="134">
        <v>74418.071519999998</v>
      </c>
      <c r="AE115" s="138">
        <f t="shared" si="41"/>
        <v>0.34377933839102109</v>
      </c>
      <c r="AF115" s="137">
        <f t="shared" si="42"/>
        <v>-69269.071519999998</v>
      </c>
      <c r="AG115" s="134">
        <v>3830</v>
      </c>
      <c r="AH115" s="138">
        <f t="shared" si="43"/>
        <v>0.23853847538413725</v>
      </c>
      <c r="AI115" s="137">
        <f t="shared" si="44"/>
        <v>1319</v>
      </c>
    </row>
    <row r="116" spans="1:35" x14ac:dyDescent="0.25">
      <c r="A116" s="11"/>
      <c r="B116" s="11"/>
      <c r="C116" s="204"/>
      <c r="D116" s="11"/>
      <c r="E116" s="11"/>
      <c r="F116" s="11"/>
      <c r="G116" s="11"/>
      <c r="H116" s="181" t="s">
        <v>304</v>
      </c>
      <c r="I116" s="118"/>
      <c r="J116" s="118"/>
      <c r="K116" s="11"/>
      <c r="L116" s="86" t="str">
        <f>IF(_epmOfflineCondition_,"463400",_xll.EVPRO($B$1,H116,"JDEID"))</f>
        <v>463400</v>
      </c>
      <c r="M116" s="86" t="str">
        <f>IF(_epmOfflineCondition_,"",IF(AND(I116="N",J116="N"),_xll.EVPRO($B$1,H116,"PSFTID"),""))</f>
        <v/>
      </c>
      <c r="N116" s="86" t="str">
        <f>IF(_epmOfflineCondition_,"Dinner Wine",IF(_xll.EVDES(H116,$B$1)="#NODATA","",_xll.EVDES(H116,$B$1)))</f>
        <v>Dinner Wine</v>
      </c>
      <c r="O116" s="134"/>
      <c r="P116" s="134"/>
      <c r="Q116" s="134"/>
      <c r="R116" s="134"/>
      <c r="S116" s="134"/>
      <c r="T116" s="134"/>
      <c r="U116" s="134"/>
      <c r="V116" s="134"/>
      <c r="W116" s="134"/>
      <c r="X116" s="134"/>
      <c r="Y116" s="134"/>
      <c r="Z116" s="134"/>
      <c r="AA116" s="134">
        <f t="shared" si="39"/>
        <v>0</v>
      </c>
      <c r="AB116" s="138" t="str">
        <f t="shared" si="40"/>
        <v/>
      </c>
      <c r="AC116" s="136"/>
      <c r="AD116" s="134"/>
      <c r="AE116" s="138" t="str">
        <f t="shared" si="41"/>
        <v/>
      </c>
      <c r="AF116" s="137">
        <f t="shared" si="42"/>
        <v>0</v>
      </c>
      <c r="AG116" s="134"/>
      <c r="AH116" s="138" t="str">
        <f t="shared" si="43"/>
        <v/>
      </c>
      <c r="AI116" s="137">
        <f t="shared" si="44"/>
        <v>0</v>
      </c>
    </row>
    <row r="117" spans="1:35" x14ac:dyDescent="0.25">
      <c r="A117" s="11"/>
      <c r="B117" s="11"/>
      <c r="C117" s="204"/>
      <c r="D117" s="11"/>
      <c r="E117" s="11"/>
      <c r="F117" s="11"/>
      <c r="G117" s="11"/>
      <c r="H117" s="181" t="s">
        <v>309</v>
      </c>
      <c r="I117" s="118"/>
      <c r="J117" s="118"/>
      <c r="K117" s="11"/>
      <c r="L117" s="86" t="str">
        <f>IF(_epmOfflineCondition_,"464400",_xll.EVPRO($B$1,H117,"JDEID"))</f>
        <v>464400</v>
      </c>
      <c r="M117" s="86" t="str">
        <f>IF(_epmOfflineCondition_,"",IF(AND(I117="N",J117="N"),_xll.EVPRO($B$1,H117,"PSFTID"),""))</f>
        <v/>
      </c>
      <c r="N117" s="86" t="str">
        <f>IF(_epmOfflineCondition_,"Bar Wine",IF(_xll.EVDES(H117,$B$1)="#NODATA","",_xll.EVDES(H117,$B$1)))</f>
        <v>Bar Wine</v>
      </c>
      <c r="O117" s="134"/>
      <c r="P117" s="134"/>
      <c r="Q117" s="134"/>
      <c r="R117" s="134"/>
      <c r="S117" s="134"/>
      <c r="T117" s="134"/>
      <c r="U117" s="134"/>
      <c r="V117" s="134"/>
      <c r="W117" s="134"/>
      <c r="X117" s="134"/>
      <c r="Y117" s="134"/>
      <c r="Z117" s="134"/>
      <c r="AA117" s="134">
        <f t="shared" si="39"/>
        <v>0</v>
      </c>
      <c r="AB117" s="138" t="str">
        <f t="shared" si="40"/>
        <v/>
      </c>
      <c r="AC117" s="136"/>
      <c r="AD117" s="134"/>
      <c r="AE117" s="138" t="str">
        <f t="shared" si="41"/>
        <v/>
      </c>
      <c r="AF117" s="137">
        <f t="shared" si="42"/>
        <v>0</v>
      </c>
      <c r="AG117" s="134"/>
      <c r="AH117" s="138" t="str">
        <f t="shared" si="43"/>
        <v/>
      </c>
      <c r="AI117" s="137">
        <f t="shared" si="44"/>
        <v>0</v>
      </c>
    </row>
    <row r="118" spans="1:35" x14ac:dyDescent="0.25">
      <c r="A118" s="11"/>
      <c r="B118" s="11"/>
      <c r="C118" s="204"/>
      <c r="D118" s="11"/>
      <c r="E118" s="11"/>
      <c r="F118" s="11"/>
      <c r="G118" s="11"/>
      <c r="H118" s="181" t="s">
        <v>322</v>
      </c>
      <c r="I118" s="118"/>
      <c r="J118" s="118"/>
      <c r="K118" s="11"/>
      <c r="L118" s="86" t="str">
        <f>IF(_epmOfflineCondition_,"465400",_xll.EVPRO($B$1,H118,"JDEID"))</f>
        <v>465400</v>
      </c>
      <c r="M118" s="86" t="str">
        <f>IF(_epmOfflineCondition_,"",IF(AND(I118="N",J118="N"),_xll.EVPRO($B$1,H118,"PSFTID"),""))</f>
        <v/>
      </c>
      <c r="N118" s="86" t="str">
        <f>IF(_epmOfflineCondition_,"Private Dining Wine",IF(_xll.EVDES(H118,$B$1)="#NODATA","",_xll.EVDES(H118,$B$1)))</f>
        <v>Private Dining Wine</v>
      </c>
      <c r="O118" s="134"/>
      <c r="P118" s="134"/>
      <c r="Q118" s="134"/>
      <c r="R118" s="134"/>
      <c r="S118" s="134"/>
      <c r="T118" s="134"/>
      <c r="U118" s="134"/>
      <c r="V118" s="134"/>
      <c r="W118" s="134"/>
      <c r="X118" s="134"/>
      <c r="Y118" s="134"/>
      <c r="Z118" s="134"/>
      <c r="AA118" s="134">
        <f t="shared" si="39"/>
        <v>0</v>
      </c>
      <c r="AB118" s="138" t="str">
        <f t="shared" si="40"/>
        <v/>
      </c>
      <c r="AC118" s="136"/>
      <c r="AD118" s="134"/>
      <c r="AE118" s="138" t="str">
        <f t="shared" si="41"/>
        <v/>
      </c>
      <c r="AF118" s="137">
        <f t="shared" si="42"/>
        <v>0</v>
      </c>
      <c r="AG118" s="134"/>
      <c r="AH118" s="138" t="str">
        <f t="shared" si="43"/>
        <v/>
      </c>
      <c r="AI118" s="137">
        <f t="shared" si="44"/>
        <v>0</v>
      </c>
    </row>
    <row r="119" spans="1:35" x14ac:dyDescent="0.25">
      <c r="A119" s="11"/>
      <c r="B119" s="11"/>
      <c r="C119" s="204"/>
      <c r="D119" s="11"/>
      <c r="E119" s="11"/>
      <c r="F119" s="11"/>
      <c r="G119" s="11"/>
      <c r="H119" s="181" t="s">
        <v>341</v>
      </c>
      <c r="I119" s="118"/>
      <c r="J119" s="118"/>
      <c r="K119" s="11"/>
      <c r="L119" s="86" t="str">
        <f>IF(_epmOfflineCondition_,"",_xll.EVPRO($B$1,H119,"JDEID"))</f>
        <v/>
      </c>
      <c r="M119" s="86" t="str">
        <f>IF(_epmOfflineCondition_,"",IF(AND(I119="N",J119="N"),_xll.EVPRO($B$1,H119,"PSFTID"),""))</f>
        <v/>
      </c>
      <c r="N119" s="102" t="str">
        <f>IF(_epmOfflineCondition_,"Wine Revenue",IF(_xll.EVDES(H119,$B$1)="#NODATA","",_xll.EVDES(H119,$B$1)))</f>
        <v>Wine Revenue</v>
      </c>
      <c r="O119" s="158">
        <v>470</v>
      </c>
      <c r="P119" s="158">
        <v>595</v>
      </c>
      <c r="Q119" s="158">
        <v>789</v>
      </c>
      <c r="R119" s="158">
        <v>512</v>
      </c>
      <c r="S119" s="158">
        <v>620</v>
      </c>
      <c r="T119" s="158">
        <v>137</v>
      </c>
      <c r="U119" s="158">
        <v>756</v>
      </c>
      <c r="V119" s="158">
        <v>203</v>
      </c>
      <c r="W119" s="158">
        <v>276</v>
      </c>
      <c r="X119" s="158">
        <v>36</v>
      </c>
      <c r="Y119" s="158">
        <v>216</v>
      </c>
      <c r="Z119" s="158">
        <v>539</v>
      </c>
      <c r="AA119" s="158">
        <f t="shared" si="39"/>
        <v>5149</v>
      </c>
      <c r="AB119" s="159">
        <f t="shared" si="40"/>
        <v>0.14867675092933796</v>
      </c>
      <c r="AC119" s="136"/>
      <c r="AD119" s="158">
        <v>74418.071519999998</v>
      </c>
      <c r="AE119" s="159">
        <f t="shared" si="41"/>
        <v>0.34377933839102109</v>
      </c>
      <c r="AF119" s="160">
        <f t="shared" si="42"/>
        <v>-69269.071519999998</v>
      </c>
      <c r="AG119" s="158">
        <v>3830</v>
      </c>
      <c r="AH119" s="159">
        <f t="shared" si="43"/>
        <v>0.23853847538413725</v>
      </c>
      <c r="AI119" s="160">
        <f t="shared" si="44"/>
        <v>1319</v>
      </c>
    </row>
    <row r="120" spans="1:35" x14ac:dyDescent="0.25">
      <c r="A120" s="11"/>
      <c r="B120" s="11"/>
      <c r="C120" s="204"/>
      <c r="D120" s="11"/>
      <c r="E120" s="11"/>
      <c r="F120" s="11"/>
      <c r="G120" s="11"/>
      <c r="H120" s="181"/>
      <c r="I120" s="118"/>
      <c r="J120" s="118"/>
      <c r="K120" s="11"/>
      <c r="L120" s="86"/>
      <c r="M120" s="86"/>
      <c r="N120" s="11"/>
      <c r="O120" s="166"/>
      <c r="P120" s="167"/>
      <c r="Q120" s="167"/>
      <c r="R120" s="167"/>
      <c r="S120" s="167"/>
      <c r="T120" s="167"/>
      <c r="U120" s="167"/>
      <c r="V120" s="167"/>
      <c r="W120" s="167"/>
      <c r="X120" s="167"/>
      <c r="Y120" s="167"/>
      <c r="Z120" s="167"/>
      <c r="AA120" s="167"/>
      <c r="AB120" s="168"/>
      <c r="AC120" s="136"/>
      <c r="AD120" s="166"/>
      <c r="AE120" s="167"/>
      <c r="AF120" s="168"/>
      <c r="AG120" s="166"/>
      <c r="AH120" s="167"/>
      <c r="AI120" s="168"/>
    </row>
    <row r="121" spans="1:35" x14ac:dyDescent="0.25">
      <c r="A121" s="11"/>
      <c r="B121" s="11"/>
      <c r="C121" s="204"/>
      <c r="D121" s="11"/>
      <c r="E121" s="11"/>
      <c r="F121" s="11"/>
      <c r="G121" s="11"/>
      <c r="H121" s="84" t="s">
        <v>267</v>
      </c>
      <c r="I121" s="118"/>
      <c r="J121" s="118"/>
      <c r="K121" s="11"/>
      <c r="L121" s="86" t="str">
        <f>IF(_epmOfflineCondition_,"",_xll.EVPRO($B$1,H121,"JDEID"))</f>
        <v/>
      </c>
      <c r="M121" s="86" t="str">
        <f>IF(_epmOfflineCondition_,"",IF(AND(I121="N",J121="N"),_xll.EVPRO($B$1,H121,"PSFTID"),""))</f>
        <v/>
      </c>
      <c r="N121" s="86" t="str">
        <f>IF(_epmOfflineCondition_,"Breakfast  Beverage Revenue",IF(_xll.EVDES(H121,$B$1)="#NODATA","",_xll.EVDES(H121,$B$1)))</f>
        <v>Breakfast  Beverage Revenue</v>
      </c>
      <c r="O121" s="134">
        <f t="shared" ref="O121:Z121" si="45">O98+O106+O114</f>
        <v>0</v>
      </c>
      <c r="P121" s="134">
        <f t="shared" si="45"/>
        <v>0</v>
      </c>
      <c r="Q121" s="134">
        <f t="shared" si="45"/>
        <v>0</v>
      </c>
      <c r="R121" s="134">
        <f t="shared" si="45"/>
        <v>0</v>
      </c>
      <c r="S121" s="134">
        <f t="shared" si="45"/>
        <v>0</v>
      </c>
      <c r="T121" s="134">
        <f t="shared" si="45"/>
        <v>0</v>
      </c>
      <c r="U121" s="134">
        <f t="shared" si="45"/>
        <v>0</v>
      </c>
      <c r="V121" s="134">
        <f t="shared" si="45"/>
        <v>0</v>
      </c>
      <c r="W121" s="134">
        <f t="shared" si="45"/>
        <v>0</v>
      </c>
      <c r="X121" s="134">
        <f t="shared" si="45"/>
        <v>0</v>
      </c>
      <c r="Y121" s="134">
        <f t="shared" si="45"/>
        <v>0</v>
      </c>
      <c r="Z121" s="134">
        <f t="shared" si="45"/>
        <v>0</v>
      </c>
      <c r="AA121" s="134">
        <f t="shared" ref="AA121:AA126" si="46">SUM(O121:Z121)</f>
        <v>0</v>
      </c>
      <c r="AB121" s="138" t="str">
        <f t="shared" ref="AB121:AB126" si="47">IF(AA121=0,"",IFERROR(AA121/AA$19,""))</f>
        <v/>
      </c>
      <c r="AC121" s="136"/>
      <c r="AD121" s="134">
        <f>AD98+AD106+AD114</f>
        <v>0</v>
      </c>
      <c r="AE121" s="138" t="str">
        <f t="shared" ref="AE121:AE126" si="48">IF(AD121=0,"",IFERROR(AD121/AD$19,""))</f>
        <v/>
      </c>
      <c r="AF121" s="137">
        <f t="shared" ref="AF121:AF126" si="49">IF(AND($AA121="",AD121=""),"",$AA121-AD121)</f>
        <v>0</v>
      </c>
      <c r="AG121" s="134">
        <f>AG98+AG106+AG114</f>
        <v>0</v>
      </c>
      <c r="AH121" s="138" t="str">
        <f t="shared" ref="AH121:AH126" si="50">IF(AG121=0,"",IFERROR(AG121/AG$19,""))</f>
        <v/>
      </c>
      <c r="AI121" s="137">
        <f t="shared" ref="AI121:AI126" si="51">IF(AND($AA121="",AG121=""),"",$AA121-AG121)</f>
        <v>0</v>
      </c>
    </row>
    <row r="122" spans="1:35" x14ac:dyDescent="0.25">
      <c r="A122" s="11"/>
      <c r="B122" s="11"/>
      <c r="C122" s="204"/>
      <c r="D122" s="11"/>
      <c r="E122" s="11"/>
      <c r="F122" s="11"/>
      <c r="G122" s="11"/>
      <c r="H122" s="84" t="s">
        <v>268</v>
      </c>
      <c r="I122" s="118"/>
      <c r="J122" s="118"/>
      <c r="K122" s="11"/>
      <c r="L122" s="86" t="str">
        <f>IF(_epmOfflineCondition_,"",_xll.EVPRO($B$1,H122,"JDEID"))</f>
        <v/>
      </c>
      <c r="M122" s="86" t="str">
        <f>IF(_epmOfflineCondition_,"",IF(AND(I122="N",J122="N"),_xll.EVPRO($B$1,H122,"PSFTID"),""))</f>
        <v/>
      </c>
      <c r="N122" s="86" t="str">
        <f>IF(_epmOfflineCondition_,"Lunch Beverage Revenue",IF(_xll.EVDES(H122,$B$1)="#NODATA","",_xll.EVDES(H122,$B$1)))</f>
        <v>Lunch Beverage Revenue</v>
      </c>
      <c r="O122" s="134">
        <f t="shared" ref="O122:Z122" si="52">O99+O107+O115</f>
        <v>1520</v>
      </c>
      <c r="P122" s="134">
        <f t="shared" si="52"/>
        <v>2747</v>
      </c>
      <c r="Q122" s="134">
        <f t="shared" si="52"/>
        <v>3794</v>
      </c>
      <c r="R122" s="134">
        <f t="shared" si="52"/>
        <v>2574</v>
      </c>
      <c r="S122" s="134">
        <f t="shared" si="52"/>
        <v>3011</v>
      </c>
      <c r="T122" s="134">
        <f t="shared" si="52"/>
        <v>1560</v>
      </c>
      <c r="U122" s="134">
        <f t="shared" si="52"/>
        <v>3213</v>
      </c>
      <c r="V122" s="134">
        <f t="shared" si="52"/>
        <v>1403</v>
      </c>
      <c r="W122" s="134">
        <f t="shared" si="52"/>
        <v>2502</v>
      </c>
      <c r="X122" s="134">
        <f t="shared" si="52"/>
        <v>984.2</v>
      </c>
      <c r="Y122" s="134">
        <f t="shared" si="52"/>
        <v>2056</v>
      </c>
      <c r="Z122" s="134">
        <f t="shared" si="52"/>
        <v>3228</v>
      </c>
      <c r="AA122" s="134">
        <f t="shared" si="46"/>
        <v>28592.2</v>
      </c>
      <c r="AB122" s="138">
        <f t="shared" si="47"/>
        <v>0.82559630955949059</v>
      </c>
      <c r="AC122" s="136"/>
      <c r="AD122" s="134">
        <f>AD99+AD107+AD115</f>
        <v>108064.62573599999</v>
      </c>
      <c r="AE122" s="138">
        <f t="shared" si="48"/>
        <v>0.49921188200921268</v>
      </c>
      <c r="AF122" s="137">
        <f t="shared" si="49"/>
        <v>-79472.42573599999</v>
      </c>
      <c r="AG122" s="134">
        <f>AG99+AG107+AG115</f>
        <v>13555.779999999999</v>
      </c>
      <c r="AH122" s="138">
        <f t="shared" si="50"/>
        <v>0.84427548142109132</v>
      </c>
      <c r="AI122" s="137">
        <f t="shared" si="51"/>
        <v>15036.420000000002</v>
      </c>
    </row>
    <row r="123" spans="1:35" x14ac:dyDescent="0.25">
      <c r="A123" s="11"/>
      <c r="B123" s="11"/>
      <c r="C123" s="204"/>
      <c r="D123" s="11"/>
      <c r="E123" s="11"/>
      <c r="F123" s="11"/>
      <c r="G123" s="11"/>
      <c r="H123" s="181" t="s">
        <v>269</v>
      </c>
      <c r="I123" s="118"/>
      <c r="J123" s="118"/>
      <c r="K123" s="11"/>
      <c r="L123" s="86" t="str">
        <f>IF(_epmOfflineCondition_,"",_xll.EVPRO($B$1,H123,"JDEID"))</f>
        <v/>
      </c>
      <c r="M123" s="86" t="str">
        <f>IF(_epmOfflineCondition_,"",IF(AND(I123="N",J123="N"),_xll.EVPRO($B$1,H123,"PSFTID"),""))</f>
        <v/>
      </c>
      <c r="N123" s="86" t="str">
        <f>IF(_epmOfflineCondition_,"Dinner Beverage Revenue",IF(_xll.EVDES(H123,$B$1)="#NODATA","",_xll.EVDES(H123,$B$1)))</f>
        <v>Dinner Beverage Revenue</v>
      </c>
      <c r="O123" s="134">
        <f t="shared" ref="O123:Z123" si="53">O100+O108+O116</f>
        <v>0</v>
      </c>
      <c r="P123" s="134">
        <f t="shared" si="53"/>
        <v>0</v>
      </c>
      <c r="Q123" s="134">
        <f t="shared" si="53"/>
        <v>0</v>
      </c>
      <c r="R123" s="134">
        <f t="shared" si="53"/>
        <v>0</v>
      </c>
      <c r="S123" s="134">
        <f t="shared" si="53"/>
        <v>0</v>
      </c>
      <c r="T123" s="134">
        <f t="shared" si="53"/>
        <v>0</v>
      </c>
      <c r="U123" s="134">
        <f t="shared" si="53"/>
        <v>0</v>
      </c>
      <c r="V123" s="134">
        <f t="shared" si="53"/>
        <v>0</v>
      </c>
      <c r="W123" s="134">
        <f t="shared" si="53"/>
        <v>0</v>
      </c>
      <c r="X123" s="134">
        <f t="shared" si="53"/>
        <v>0</v>
      </c>
      <c r="Y123" s="134">
        <f t="shared" si="53"/>
        <v>0</v>
      </c>
      <c r="Z123" s="134">
        <f t="shared" si="53"/>
        <v>0</v>
      </c>
      <c r="AA123" s="134">
        <f t="shared" si="46"/>
        <v>0</v>
      </c>
      <c r="AB123" s="138" t="str">
        <f t="shared" si="47"/>
        <v/>
      </c>
      <c r="AC123" s="136"/>
      <c r="AD123" s="134">
        <f>AD100+AD108+AD116</f>
        <v>0</v>
      </c>
      <c r="AE123" s="138" t="str">
        <f t="shared" si="48"/>
        <v/>
      </c>
      <c r="AF123" s="137">
        <f t="shared" si="49"/>
        <v>0</v>
      </c>
      <c r="AG123" s="134">
        <f>AG100+AG108+AG116</f>
        <v>0</v>
      </c>
      <c r="AH123" s="138" t="str">
        <f t="shared" si="50"/>
        <v/>
      </c>
      <c r="AI123" s="137">
        <f t="shared" si="51"/>
        <v>0</v>
      </c>
    </row>
    <row r="124" spans="1:35" x14ac:dyDescent="0.25">
      <c r="A124" s="11"/>
      <c r="B124" s="11"/>
      <c r="C124" s="204"/>
      <c r="D124" s="11"/>
      <c r="E124" s="11"/>
      <c r="F124" s="11"/>
      <c r="G124" s="11"/>
      <c r="H124" s="181" t="s">
        <v>270</v>
      </c>
      <c r="I124" s="118"/>
      <c r="J124" s="118"/>
      <c r="K124" s="11"/>
      <c r="L124" s="86" t="str">
        <f>IF(_epmOfflineCondition_,"",_xll.EVPRO($B$1,H124,"JDEID"))</f>
        <v/>
      </c>
      <c r="M124" s="86" t="str">
        <f>IF(_epmOfflineCondition_,"",IF(AND(I124="N",J124="N"),_xll.EVPRO($B$1,H124,"PSFTID"),""))</f>
        <v/>
      </c>
      <c r="N124" s="86" t="str">
        <f>IF(_epmOfflineCondition_,"Bar Beverage Revenue",IF(_xll.EVDES(H124,$B$1)="#NODATA","",_xll.EVDES(H124,$B$1)))</f>
        <v>Bar Beverage Revenue</v>
      </c>
      <c r="O124" s="134">
        <f t="shared" ref="O124:Z124" si="54">O101+O109+O117</f>
        <v>0</v>
      </c>
      <c r="P124" s="134">
        <f t="shared" si="54"/>
        <v>0</v>
      </c>
      <c r="Q124" s="134">
        <f t="shared" si="54"/>
        <v>0</v>
      </c>
      <c r="R124" s="134">
        <f t="shared" si="54"/>
        <v>0</v>
      </c>
      <c r="S124" s="134">
        <f t="shared" si="54"/>
        <v>0</v>
      </c>
      <c r="T124" s="134">
        <f t="shared" si="54"/>
        <v>0</v>
      </c>
      <c r="U124" s="134">
        <f t="shared" si="54"/>
        <v>0</v>
      </c>
      <c r="V124" s="134">
        <f t="shared" si="54"/>
        <v>0</v>
      </c>
      <c r="W124" s="134">
        <f t="shared" si="54"/>
        <v>0</v>
      </c>
      <c r="X124" s="134">
        <f t="shared" si="54"/>
        <v>0</v>
      </c>
      <c r="Y124" s="134">
        <f t="shared" si="54"/>
        <v>0</v>
      </c>
      <c r="Z124" s="134">
        <f t="shared" si="54"/>
        <v>0</v>
      </c>
      <c r="AA124" s="134">
        <f t="shared" si="46"/>
        <v>0</v>
      </c>
      <c r="AB124" s="138" t="str">
        <f t="shared" si="47"/>
        <v/>
      </c>
      <c r="AC124" s="136"/>
      <c r="AD124" s="134">
        <f>AD101+AD109+AD117</f>
        <v>0</v>
      </c>
      <c r="AE124" s="138" t="str">
        <f t="shared" si="48"/>
        <v/>
      </c>
      <c r="AF124" s="137">
        <f t="shared" si="49"/>
        <v>0</v>
      </c>
      <c r="AG124" s="134">
        <f>AG101+AG109+AG117</f>
        <v>0</v>
      </c>
      <c r="AH124" s="138" t="str">
        <f t="shared" si="50"/>
        <v/>
      </c>
      <c r="AI124" s="137">
        <f t="shared" si="51"/>
        <v>0</v>
      </c>
    </row>
    <row r="125" spans="1:35" x14ac:dyDescent="0.25">
      <c r="A125" s="11"/>
      <c r="B125" s="11"/>
      <c r="C125" s="204"/>
      <c r="D125" s="11"/>
      <c r="E125" s="11"/>
      <c r="F125" s="11"/>
      <c r="G125" s="11"/>
      <c r="H125" s="181" t="s">
        <v>271</v>
      </c>
      <c r="I125" s="118"/>
      <c r="J125" s="118"/>
      <c r="K125" s="11"/>
      <c r="L125" s="86" t="str">
        <f>IF(_epmOfflineCondition_,"",_xll.EVPRO($B$1,H125,"JDEID"))</f>
        <v/>
      </c>
      <c r="M125" s="86" t="str">
        <f>IF(_epmOfflineCondition_,"",IF(AND(I125="N",J125="N"),_xll.EVPRO($B$1,H125,"PSFTID"),""))</f>
        <v/>
      </c>
      <c r="N125" s="86" t="str">
        <f>IF(_epmOfflineCondition_,"Private Dining Beverage Revenue",IF(_xll.EVDES(H125,$B$1)="#NODATA","",_xll.EVDES(H125,$B$1)))</f>
        <v>Private Dining Beverage Revenue</v>
      </c>
      <c r="O125" s="134">
        <f t="shared" ref="O125:Z125" si="55">O102+O110+O118</f>
        <v>0</v>
      </c>
      <c r="P125" s="134">
        <f t="shared" si="55"/>
        <v>0</v>
      </c>
      <c r="Q125" s="134">
        <f t="shared" si="55"/>
        <v>0</v>
      </c>
      <c r="R125" s="134">
        <f t="shared" si="55"/>
        <v>0</v>
      </c>
      <c r="S125" s="134">
        <f t="shared" si="55"/>
        <v>0</v>
      </c>
      <c r="T125" s="134">
        <f t="shared" si="55"/>
        <v>0</v>
      </c>
      <c r="U125" s="134">
        <f t="shared" si="55"/>
        <v>0</v>
      </c>
      <c r="V125" s="134">
        <f t="shared" si="55"/>
        <v>0</v>
      </c>
      <c r="W125" s="134">
        <f t="shared" si="55"/>
        <v>0</v>
      </c>
      <c r="X125" s="134">
        <f t="shared" si="55"/>
        <v>0</v>
      </c>
      <c r="Y125" s="134">
        <f t="shared" si="55"/>
        <v>0</v>
      </c>
      <c r="Z125" s="134">
        <f t="shared" si="55"/>
        <v>0</v>
      </c>
      <c r="AA125" s="134">
        <f t="shared" si="46"/>
        <v>0</v>
      </c>
      <c r="AB125" s="138" t="str">
        <f t="shared" si="47"/>
        <v/>
      </c>
      <c r="AC125" s="136"/>
      <c r="AD125" s="134">
        <f>AD102+AD110+AD118</f>
        <v>0</v>
      </c>
      <c r="AE125" s="138" t="str">
        <f t="shared" si="48"/>
        <v/>
      </c>
      <c r="AF125" s="137">
        <f t="shared" si="49"/>
        <v>0</v>
      </c>
      <c r="AG125" s="134">
        <f>AG102+AG110+AG118</f>
        <v>0</v>
      </c>
      <c r="AH125" s="138" t="str">
        <f t="shared" si="50"/>
        <v/>
      </c>
      <c r="AI125" s="137">
        <f t="shared" si="51"/>
        <v>0</v>
      </c>
    </row>
    <row r="126" spans="1:35" x14ac:dyDescent="0.25">
      <c r="A126" s="11"/>
      <c r="B126" s="11"/>
      <c r="C126" s="204"/>
      <c r="D126" s="11"/>
      <c r="E126" s="11"/>
      <c r="F126" s="11"/>
      <c r="G126" s="11"/>
      <c r="H126" s="84" t="s">
        <v>272</v>
      </c>
      <c r="I126" s="118"/>
      <c r="J126" s="118"/>
      <c r="K126" s="11"/>
      <c r="L126" s="86" t="str">
        <f>IF(_epmOfflineCondition_,"",_xll.EVPRO($B$1,H126,"JDEID"))</f>
        <v/>
      </c>
      <c r="M126" s="86" t="str">
        <f>IF(_epmOfflineCondition_,"",IF(AND(I126="N",J126="N"),_xll.EVPRO($B$1,H126,"PSFTID"),""))</f>
        <v/>
      </c>
      <c r="N126" s="102" t="str">
        <f>IF(_epmOfflineCondition_,"Total Beverage Revenue",IF(_xll.EVDES(H126,$B$1)="#NODATA","",_xll.EVDES(H126,$B$1)))</f>
        <v>Total Beverage Revenue</v>
      </c>
      <c r="O126" s="158">
        <f t="shared" ref="O126:Z126" si="56">SUM(O121:O125)</f>
        <v>1520</v>
      </c>
      <c r="P126" s="158">
        <f t="shared" si="56"/>
        <v>2747</v>
      </c>
      <c r="Q126" s="158">
        <f t="shared" si="56"/>
        <v>3794</v>
      </c>
      <c r="R126" s="158">
        <f t="shared" si="56"/>
        <v>2574</v>
      </c>
      <c r="S126" s="158">
        <f t="shared" si="56"/>
        <v>3011</v>
      </c>
      <c r="T126" s="158">
        <f t="shared" si="56"/>
        <v>1560</v>
      </c>
      <c r="U126" s="158">
        <f t="shared" si="56"/>
        <v>3213</v>
      </c>
      <c r="V126" s="158">
        <f t="shared" si="56"/>
        <v>1403</v>
      </c>
      <c r="W126" s="158">
        <f t="shared" si="56"/>
        <v>2502</v>
      </c>
      <c r="X126" s="158">
        <f t="shared" si="56"/>
        <v>984.2</v>
      </c>
      <c r="Y126" s="158">
        <f t="shared" si="56"/>
        <v>2056</v>
      </c>
      <c r="Z126" s="158">
        <f t="shared" si="56"/>
        <v>3228</v>
      </c>
      <c r="AA126" s="158">
        <f t="shared" si="46"/>
        <v>28592.2</v>
      </c>
      <c r="AB126" s="159">
        <f t="shared" si="47"/>
        <v>0.82559630955949059</v>
      </c>
      <c r="AC126" s="136"/>
      <c r="AD126" s="158">
        <f>SUM(AD121:AD125)</f>
        <v>108064.62573599999</v>
      </c>
      <c r="AE126" s="159">
        <f t="shared" si="48"/>
        <v>0.49921188200921268</v>
      </c>
      <c r="AF126" s="160">
        <f t="shared" si="49"/>
        <v>-79472.42573599999</v>
      </c>
      <c r="AG126" s="158">
        <f>SUM(AG121:AG125)</f>
        <v>13555.779999999999</v>
      </c>
      <c r="AH126" s="159">
        <f t="shared" si="50"/>
        <v>0.84427548142109132</v>
      </c>
      <c r="AI126" s="160">
        <f t="shared" si="51"/>
        <v>15036.420000000002</v>
      </c>
    </row>
    <row r="127" spans="1:35" x14ac:dyDescent="0.25">
      <c r="A127" s="11"/>
      <c r="B127" s="11"/>
      <c r="C127" s="204"/>
      <c r="D127" s="11"/>
      <c r="E127" s="11"/>
      <c r="F127" s="11"/>
      <c r="G127" s="11"/>
      <c r="H127" s="181"/>
      <c r="I127" s="118"/>
      <c r="J127" s="118"/>
      <c r="K127" s="11"/>
      <c r="L127" s="11"/>
      <c r="M127" s="11"/>
      <c r="N127" s="11"/>
      <c r="O127" s="506">
        <f t="shared" ref="O127:AA127" si="57">O103+O111+O119-O126</f>
        <v>0</v>
      </c>
      <c r="P127" s="506">
        <f t="shared" si="57"/>
        <v>0</v>
      </c>
      <c r="Q127" s="506">
        <f t="shared" si="57"/>
        <v>0</v>
      </c>
      <c r="R127" s="506">
        <f t="shared" si="57"/>
        <v>0</v>
      </c>
      <c r="S127" s="506">
        <f t="shared" si="57"/>
        <v>0</v>
      </c>
      <c r="T127" s="506">
        <f t="shared" si="57"/>
        <v>0</v>
      </c>
      <c r="U127" s="506">
        <f t="shared" si="57"/>
        <v>0</v>
      </c>
      <c r="V127" s="506">
        <f t="shared" si="57"/>
        <v>0</v>
      </c>
      <c r="W127" s="506">
        <f t="shared" si="57"/>
        <v>0</v>
      </c>
      <c r="X127" s="506">
        <f t="shared" si="57"/>
        <v>0</v>
      </c>
      <c r="Y127" s="506">
        <f t="shared" si="57"/>
        <v>0</v>
      </c>
      <c r="Z127" s="506">
        <f t="shared" si="57"/>
        <v>0</v>
      </c>
      <c r="AA127" s="506">
        <f t="shared" si="57"/>
        <v>0</v>
      </c>
      <c r="AB127" s="138"/>
      <c r="AC127" s="136"/>
      <c r="AD127" s="506">
        <f>AD103+AD111+AD119-AD126</f>
        <v>0</v>
      </c>
      <c r="AE127" s="138"/>
      <c r="AF127" s="134"/>
      <c r="AG127" s="506">
        <f>AG103+AG111+AG119-AG126</f>
        <v>0</v>
      </c>
      <c r="AH127" s="138"/>
      <c r="AI127" s="134"/>
    </row>
    <row r="128" spans="1:35" x14ac:dyDescent="0.25">
      <c r="A128" s="11"/>
      <c r="B128" s="11"/>
      <c r="C128" s="204"/>
      <c r="D128" s="11"/>
      <c r="E128" s="11"/>
      <c r="F128" s="11"/>
      <c r="G128" s="11"/>
      <c r="H128" s="181"/>
      <c r="I128" s="118"/>
      <c r="J128" s="118"/>
      <c r="K128" s="11"/>
      <c r="L128" s="11"/>
      <c r="M128" s="11"/>
      <c r="N128" s="11"/>
      <c r="O128" s="166"/>
      <c r="P128" s="167"/>
      <c r="Q128" s="167"/>
      <c r="R128" s="167"/>
      <c r="S128" s="167"/>
      <c r="T128" s="167"/>
      <c r="U128" s="167"/>
      <c r="V128" s="167"/>
      <c r="W128" s="167"/>
      <c r="X128" s="167"/>
      <c r="Y128" s="167"/>
      <c r="Z128" s="167"/>
      <c r="AA128" s="167"/>
      <c r="AB128" s="168"/>
      <c r="AC128" s="136"/>
      <c r="AD128" s="166"/>
      <c r="AE128" s="167"/>
      <c r="AF128" s="168"/>
      <c r="AG128" s="166"/>
      <c r="AH128" s="167"/>
      <c r="AI128" s="168"/>
    </row>
    <row r="129" spans="1:35" ht="15.75" x14ac:dyDescent="0.25">
      <c r="A129" s="11"/>
      <c r="B129" s="11"/>
      <c r="C129" s="204"/>
      <c r="D129" s="11"/>
      <c r="E129" s="11"/>
      <c r="F129" s="11"/>
      <c r="G129" s="11"/>
      <c r="H129" s="181" t="s">
        <v>281</v>
      </c>
      <c r="I129" s="118"/>
      <c r="J129" s="118"/>
      <c r="K129" s="11"/>
      <c r="L129" s="11"/>
      <c r="M129" s="11"/>
      <c r="N129" s="485" t="str">
        <f>IF(_epmOfflineCondition_,"Cost of Sales",IF(_xll.EVDES(H129,$B$1)="#NODATA","",_xll.EVDES(H129,$B$1)))</f>
        <v>Cost of Sales</v>
      </c>
      <c r="O129" s="513"/>
      <c r="P129" s="514"/>
      <c r="Q129" s="514"/>
      <c r="R129" s="514"/>
      <c r="S129" s="514"/>
      <c r="T129" s="514"/>
      <c r="U129" s="514"/>
      <c r="V129" s="514"/>
      <c r="W129" s="514"/>
      <c r="X129" s="514"/>
      <c r="Y129" s="514"/>
      <c r="Z129" s="514"/>
      <c r="AA129" s="514"/>
      <c r="AB129" s="515"/>
      <c r="AC129" s="136"/>
      <c r="AD129" s="513"/>
      <c r="AE129" s="514"/>
      <c r="AF129" s="514"/>
      <c r="AG129" s="514"/>
      <c r="AH129" s="514"/>
      <c r="AI129" s="515"/>
    </row>
    <row r="130" spans="1:35" x14ac:dyDescent="0.25">
      <c r="A130" s="11"/>
      <c r="B130" s="11"/>
      <c r="C130" s="204"/>
      <c r="D130" s="11"/>
      <c r="E130" s="11"/>
      <c r="F130" s="11"/>
      <c r="G130" s="11"/>
      <c r="H130" s="181">
        <v>561100</v>
      </c>
      <c r="I130" s="118"/>
      <c r="J130" s="118"/>
      <c r="K130" s="11"/>
      <c r="L130" s="86" t="str">
        <f>IF(_epmOfflineCondition_,"561100",_xll.EVPRO($B$1,H130,"JDEID"))</f>
        <v>561100</v>
      </c>
      <c r="M130" s="86" t="str">
        <f>IF(_epmOfflineCondition_,"",IF(AND(I130="N",J130="N"),_xll.EVPRO($B$1,H130,"PSFTID"),""))</f>
        <v/>
      </c>
      <c r="N130" s="86" t="str">
        <f>IF(_epmOfflineCondition_,"Cost of Food Sales",IF(_xll.EVDES(H130,$B$1)="#NODATA","",_xll.EVDES(H130,$B$1)))</f>
        <v>Cost of Food Sales</v>
      </c>
      <c r="O130" s="134">
        <v>14</v>
      </c>
      <c r="P130" s="134">
        <v>27.05</v>
      </c>
      <c r="Q130" s="134">
        <v>27.24</v>
      </c>
      <c r="R130" s="134">
        <v>35.28</v>
      </c>
      <c r="S130" s="134">
        <v>37.630000000000003</v>
      </c>
      <c r="T130" s="134">
        <v>63.44</v>
      </c>
      <c r="U130" s="134">
        <v>205.21</v>
      </c>
      <c r="V130" s="134">
        <v>139.16</v>
      </c>
      <c r="W130" s="134">
        <v>61.35</v>
      </c>
      <c r="X130" s="134">
        <v>4.17</v>
      </c>
      <c r="Y130" s="134">
        <v>345</v>
      </c>
      <c r="Z130" s="134">
        <v>698.06</v>
      </c>
      <c r="AA130" s="134">
        <f>SUM(O130:Z130)</f>
        <v>1657.59</v>
      </c>
      <c r="AB130" s="454">
        <f>IF(_epmOfflineCondition_,0.242145843498281,IF(AA130=0,"",IFERROR(AA130/_xll.EVGTS($B$1,1,_xll.EVPRO($B$1,$H130,"COSBASIS"),$B$3,$B$5,$B$6,$B$7,$B$9,AA$16,AA$17,AA$11),"")))</f>
        <v>0.242145843498281</v>
      </c>
      <c r="AC130" s="136"/>
      <c r="AD130" s="134">
        <v>30136.81</v>
      </c>
      <c r="AE130" s="454">
        <f>IF(_epmOfflineCondition_,0.277999889993079,IF(AD130=0,"",IFERROR(AD130/_xll.EVGTS($B$1,1,_xll.EVPRO($B$1,$H130,"COSBASIS"),$B$3,$B$5,$B$6,$B$7,$B$9,AD$16,AD$17,AD$18),"")))</f>
        <v>0.27799988999307901</v>
      </c>
      <c r="AF130" s="137">
        <f t="shared" ref="AF130:AF141" si="58">IF(AND($AA130="",AD130=""),"",$AA130-AD130)</f>
        <v>-28479.22</v>
      </c>
      <c r="AG130" s="134">
        <v>750</v>
      </c>
      <c r="AH130" s="454">
        <f>IF(_epmOfflineCondition_,0.271906609143313,IF(AG130=0,"",IFERROR(AG130/_xll.EVGTS($B$1,1,_xll.EVPRO($B$1,$H130,"COSBASIS"),$B$3,$B$5,$B$6,$B$7,$B$9,AG$16,AG$17,AG$18),"")))</f>
        <v>0.27190660914331299</v>
      </c>
      <c r="AI130" s="137">
        <f t="shared" ref="AI130:AI141" si="59">IF(AND($AA130="",AG130=""),"",$AA130-AG130)</f>
        <v>907.58999999999992</v>
      </c>
    </row>
    <row r="131" spans="1:35" x14ac:dyDescent="0.25">
      <c r="A131" s="11"/>
      <c r="B131" s="11"/>
      <c r="C131" s="204"/>
      <c r="D131" s="11"/>
      <c r="E131" s="11"/>
      <c r="F131" s="11"/>
      <c r="G131" s="11"/>
      <c r="H131" s="181" t="s">
        <v>757</v>
      </c>
      <c r="I131" s="118"/>
      <c r="J131" s="118"/>
      <c r="K131" s="11"/>
      <c r="L131" s="86" t="str">
        <f>IF(_epmOfflineCondition_,"",_xll.EVPRO($B$1,H131,"JDEID"))</f>
        <v/>
      </c>
      <c r="M131" s="86" t="str">
        <f>IF(_epmOfflineCondition_,"",IF(AND(I131="N",J131="N"),_xll.EVPRO($B$1,H131,"PSFTID"),""))</f>
        <v/>
      </c>
      <c r="N131" s="488" t="str">
        <f>IF(_epmOfflineCondition_,"Food Cost %",IF(_xll.EVDES(H131,$B$1)="#NODATA","",_xll.EVDES(H131,$B$1)))</f>
        <v>Food Cost %</v>
      </c>
      <c r="O131" s="503">
        <v>0.202898550724638</v>
      </c>
      <c r="P131" s="503">
        <v>0.19601449275362301</v>
      </c>
      <c r="Q131" s="503">
        <v>0.195380863577679</v>
      </c>
      <c r="R131" s="503">
        <v>0.19600000000000001</v>
      </c>
      <c r="S131" s="503">
        <v>0.195989583333333</v>
      </c>
      <c r="T131" s="503">
        <v>0.21875862068965499</v>
      </c>
      <c r="U131" s="503">
        <v>0.19599808978032501</v>
      </c>
      <c r="V131" s="503">
        <v>0.19600000000000001</v>
      </c>
      <c r="W131" s="503">
        <v>0.19600638977635801</v>
      </c>
      <c r="X131" s="503">
        <v>0.27800000000000002</v>
      </c>
      <c r="Y131" s="503">
        <v>0.27800161160354597</v>
      </c>
      <c r="Z131" s="503">
        <v>0.27800079649541998</v>
      </c>
      <c r="AA131" s="503">
        <v>0.242145843498281</v>
      </c>
      <c r="AB131" s="454"/>
      <c r="AC131" s="136"/>
      <c r="AD131" s="503">
        <v>0.27799988999307901</v>
      </c>
      <c r="AE131" s="454"/>
      <c r="AF131" s="516">
        <f t="shared" si="58"/>
        <v>-3.5854046494798009E-2</v>
      </c>
      <c r="AG131" s="503">
        <v>0.27190660914331299</v>
      </c>
      <c r="AH131" s="454"/>
      <c r="AI131" s="516">
        <f t="shared" si="59"/>
        <v>-2.9760765645031995E-2</v>
      </c>
    </row>
    <row r="132" spans="1:35" x14ac:dyDescent="0.25">
      <c r="A132" s="11"/>
      <c r="B132" s="11"/>
      <c r="C132" s="204"/>
      <c r="D132" s="11"/>
      <c r="E132" s="11"/>
      <c r="F132" s="11"/>
      <c r="G132" s="11"/>
      <c r="H132" s="181" t="s">
        <v>637</v>
      </c>
      <c r="I132" s="118"/>
      <c r="J132" s="118"/>
      <c r="K132" s="11"/>
      <c r="L132" s="86" t="str">
        <f>IF(_epmOfflineCondition_,"",_xll.EVPRO($B$1,H132,"JDEID"))</f>
        <v/>
      </c>
      <c r="M132" s="86" t="str">
        <f>IF(_epmOfflineCondition_,"",IF(AND(I132="N",J132="N"),_xll.EVPRO($B$1,H132,"PSFTID"),""))</f>
        <v/>
      </c>
      <c r="N132" s="86" t="str">
        <f>IF(_epmOfflineCondition_,"Cost of Beverage Sales",IF(_xll.EVDES(H132,$B$1)="#NODATA","",_xll.EVDES(H132,$B$1)))</f>
        <v>Cost of Beverage Sales</v>
      </c>
      <c r="O132" s="134">
        <v>300</v>
      </c>
      <c r="P132" s="134">
        <v>545.14</v>
      </c>
      <c r="Q132" s="134">
        <v>750.68</v>
      </c>
      <c r="R132" s="134">
        <v>509.46</v>
      </c>
      <c r="S132" s="134">
        <v>597.59</v>
      </c>
      <c r="T132" s="134">
        <v>305.48</v>
      </c>
      <c r="U132" s="134">
        <v>634.26</v>
      </c>
      <c r="V132" s="134">
        <v>278.47000000000003</v>
      </c>
      <c r="W132" s="134">
        <v>493.89</v>
      </c>
      <c r="X132" s="134">
        <v>194.42</v>
      </c>
      <c r="Y132" s="134">
        <v>406.59</v>
      </c>
      <c r="Z132" s="134">
        <v>643.35</v>
      </c>
      <c r="AA132" s="134">
        <f>SUM(O132:Z132)</f>
        <v>5659.3300000000008</v>
      </c>
      <c r="AB132" s="454">
        <f>IF(_epmOfflineCondition_,0.197932652961297,IF(AA132=0,"",IFERROR(AA132/_xll.EVGTS($B$1,1,_xll.EVPRO($B$1,$H132,"COSBASIS"),$B$3,$B$5,$B$6,$B$7,$B$9,AA$16,AA$17,AA$11),"")))</f>
        <v>0.197932652961297</v>
      </c>
      <c r="AC132" s="136"/>
      <c r="AD132" s="134">
        <v>21135.75</v>
      </c>
      <c r="AE132" s="454">
        <f>IF(_epmOfflineCondition_,0.195584353862792,IF(AD132=0,"",IFERROR(AD132/_xll.EVGTS($B$1,1,_xll.EVPRO($B$1,$H132,"COSBASIS"),$B$3,$B$5,$B$6,$B$7,$B$9,AD$16,AD$17,AD$18),"")))</f>
        <v>0.19558435386279199</v>
      </c>
      <c r="AF132" s="137">
        <f t="shared" si="58"/>
        <v>-15476.419999999998</v>
      </c>
      <c r="AG132" s="134">
        <v>2701.66</v>
      </c>
      <c r="AH132" s="454">
        <f>IF(_epmOfflineCondition_,0.199299487008494,IF(AG132=0,"",IFERROR(AG132/_xll.EVGTS($B$1,1,_xll.EVPRO($B$1,$H132,"COSBASIS"),$B$3,$B$5,$B$6,$B$7,$B$9,AG$16,AG$17,AG$18),"")))</f>
        <v>0.19929948700849401</v>
      </c>
      <c r="AI132" s="137">
        <f t="shared" si="59"/>
        <v>2957.670000000001</v>
      </c>
    </row>
    <row r="133" spans="1:35" x14ac:dyDescent="0.25">
      <c r="A133" s="11"/>
      <c r="B133" s="11"/>
      <c r="C133" s="204"/>
      <c r="D133" s="11"/>
      <c r="E133" s="11"/>
      <c r="F133" s="11"/>
      <c r="G133" s="11"/>
      <c r="H133" s="181" t="s">
        <v>758</v>
      </c>
      <c r="I133" s="118"/>
      <c r="J133" s="118"/>
      <c r="K133" s="11"/>
      <c r="L133" s="86" t="str">
        <f>IF(_epmOfflineCondition_,"",_xll.EVPRO($B$1,H133,"JDEID"))</f>
        <v/>
      </c>
      <c r="M133" s="86" t="str">
        <f>IF(_epmOfflineCondition_,"",IF(AND(I133="N",J133="N"),_xll.EVPRO($B$1,H133,"PSFTID"),""))</f>
        <v/>
      </c>
      <c r="N133" s="488" t="str">
        <f>IF(_epmOfflineCondition_,"Beverage Cost %",IF(_xll.EVDES(H133,$B$1)="#NODATA","",_xll.EVDES(H133,$B$1)))</f>
        <v>Beverage Cost %</v>
      </c>
      <c r="O133" s="503">
        <v>0.197368421052632</v>
      </c>
      <c r="P133" s="503">
        <v>0.198449217327994</v>
      </c>
      <c r="Q133" s="503">
        <v>0.197859778597786</v>
      </c>
      <c r="R133" s="503">
        <v>0.197925407925408</v>
      </c>
      <c r="S133" s="503">
        <v>0.19846894719362301</v>
      </c>
      <c r="T133" s="503">
        <v>0.19582051282051299</v>
      </c>
      <c r="U133" s="503">
        <v>0.19740429505135401</v>
      </c>
      <c r="V133" s="503">
        <v>0.19848182466143999</v>
      </c>
      <c r="W133" s="503">
        <v>0.19739808153477201</v>
      </c>
      <c r="X133" s="503">
        <v>0.197541150172729</v>
      </c>
      <c r="Y133" s="503">
        <v>0.19775778210116701</v>
      </c>
      <c r="Z133" s="503">
        <v>0.199302973977695</v>
      </c>
      <c r="AA133" s="503">
        <v>0.197932652961297</v>
      </c>
      <c r="AB133" s="454"/>
      <c r="AC133" s="136"/>
      <c r="AD133" s="503">
        <v>0.19558435386279199</v>
      </c>
      <c r="AE133" s="454"/>
      <c r="AF133" s="516">
        <f t="shared" si="58"/>
        <v>2.3482990985050078E-3</v>
      </c>
      <c r="AG133" s="503">
        <v>0.19929948700849401</v>
      </c>
      <c r="AH133" s="454"/>
      <c r="AI133" s="516">
        <f t="shared" si="59"/>
        <v>-1.3668340471970075E-3</v>
      </c>
    </row>
    <row r="134" spans="1:35" x14ac:dyDescent="0.25">
      <c r="A134" s="11"/>
      <c r="B134" s="11"/>
      <c r="C134" s="204"/>
      <c r="D134" s="11"/>
      <c r="E134" s="11"/>
      <c r="F134" s="11"/>
      <c r="G134" s="11"/>
      <c r="H134" s="181" t="s">
        <v>756</v>
      </c>
      <c r="I134" s="118"/>
      <c r="J134" s="118"/>
      <c r="K134" s="11"/>
      <c r="L134" s="86" t="str">
        <f>IF(_epmOfflineCondition_,"561300",_xll.EVPRO($B$1,H134,"JDEID"))</f>
        <v>561300</v>
      </c>
      <c r="M134" s="86" t="str">
        <f>IF(_epmOfflineCondition_,"",IF(AND(I134="N",J134="N"),_xll.EVPRO($B$1,H134,"PSFTID"),""))</f>
        <v/>
      </c>
      <c r="N134" s="86" t="str">
        <f>IF(_epmOfflineCondition_,"Liquor Cost of Sales",IF(_xll.EVDES(H134,$B$1)="#NODATA","",_xll.EVDES(H134,$B$1)))</f>
        <v>Liquor Cost of Sales</v>
      </c>
      <c r="O134" s="134">
        <v>135</v>
      </c>
      <c r="P134" s="134">
        <v>296.60000000000002</v>
      </c>
      <c r="Q134" s="134">
        <v>444.99</v>
      </c>
      <c r="R134" s="134">
        <v>304.2</v>
      </c>
      <c r="S134" s="134">
        <v>330.53</v>
      </c>
      <c r="T134" s="134">
        <v>260.91000000000003</v>
      </c>
      <c r="U134" s="134">
        <v>378.69</v>
      </c>
      <c r="V134" s="134">
        <v>170.63</v>
      </c>
      <c r="W134" s="134">
        <v>356.07</v>
      </c>
      <c r="X134" s="134">
        <v>151.91</v>
      </c>
      <c r="Y134" s="134">
        <v>285.08999999999997</v>
      </c>
      <c r="Z134" s="134">
        <v>370.24</v>
      </c>
      <c r="AA134" s="134">
        <f>SUM(O134:Z134)</f>
        <v>3484.8600000000006</v>
      </c>
      <c r="AB134" s="454">
        <f>IF(_epmOfflineCondition_,0.195107831500683,IF(AA134=0,"",IFERROR(AA134/_xll.EVGTS($B$1,1,_xll.EVPRO($B$1,$H134,"COSBASIS"),$B$3,$B$5,$B$6,$B$7,$B$9,AA$16,AA$17,AA$11),"")))</f>
        <v>0.195107831500683</v>
      </c>
      <c r="AC134" s="136"/>
      <c r="AD134" s="134">
        <v>5740.04</v>
      </c>
      <c r="AE134" s="454">
        <f>IF(_epmOfflineCondition_,0.195000015184077,IF(AD134=0,"",IFERROR(AD134/_xll.EVGTS($B$1,1,_xll.EVPRO($B$1,$H134,"COSBASIS"),$B$3,$B$5,$B$6,$B$7,$B$9,AD$16,AD$17,AD$18),"")))</f>
        <v>0.195000015184077</v>
      </c>
      <c r="AF134" s="137">
        <f t="shared" si="58"/>
        <v>-2255.1799999999994</v>
      </c>
      <c r="AG134" s="134">
        <v>1137.45</v>
      </c>
      <c r="AH134" s="454">
        <f>IF(_epmOfflineCondition_,0.194976498942367,IF(AG134=0,"",IFERROR(AG134/_xll.EVGTS($B$1,1,_xll.EVPRO($B$1,$H134,"COSBASIS"),$B$3,$B$5,$B$6,$B$7,$B$9,AG$16,AG$17,AG$18),"")))</f>
        <v>0.19497649894236699</v>
      </c>
      <c r="AI134" s="137">
        <f t="shared" si="59"/>
        <v>2347.4100000000008</v>
      </c>
    </row>
    <row r="135" spans="1:35" x14ac:dyDescent="0.25">
      <c r="A135" s="11"/>
      <c r="B135" s="11"/>
      <c r="C135" s="204"/>
      <c r="D135" s="11"/>
      <c r="E135" s="11"/>
      <c r="F135" s="11"/>
      <c r="G135" s="11"/>
      <c r="H135" s="181" t="s">
        <v>759</v>
      </c>
      <c r="I135" s="118"/>
      <c r="J135" s="118"/>
      <c r="K135" s="11"/>
      <c r="L135" s="86" t="str">
        <f>IF(_epmOfflineCondition_,"",_xll.EVPRO($B$1,H135,"JDEID"))</f>
        <v/>
      </c>
      <c r="M135" s="86" t="str">
        <f>IF(_epmOfflineCondition_,"",IF(AND(I135="N",J135="N"),_xll.EVPRO($B$1,H135,"PSFTID"),""))</f>
        <v/>
      </c>
      <c r="N135" s="488" t="str">
        <f>IF(_epmOfflineCondition_,"Liquor Cost %",IF(_xll.EVDES(H135,$B$1)="#NODATA","",_xll.EVDES(H135,$B$1)))</f>
        <v>Liquor Cost %</v>
      </c>
      <c r="O135" s="503">
        <v>0.195086705202312</v>
      </c>
      <c r="P135" s="503">
        <v>0.19500328731097999</v>
      </c>
      <c r="Q135" s="503">
        <v>0.19500000000000001</v>
      </c>
      <c r="R135" s="503">
        <v>0.19500000000000001</v>
      </c>
      <c r="S135" s="503">
        <v>0.19500294985250699</v>
      </c>
      <c r="T135" s="503">
        <v>0.19500000000000001</v>
      </c>
      <c r="U135" s="503">
        <v>0.19500000000000001</v>
      </c>
      <c r="V135" s="503">
        <v>0.195005714285714</v>
      </c>
      <c r="W135" s="503">
        <v>0.19500000000000001</v>
      </c>
      <c r="X135" s="503">
        <v>0.19495636550307999</v>
      </c>
      <c r="Y135" s="503">
        <v>0.19500000000000001</v>
      </c>
      <c r="Z135" s="503">
        <v>0.195997882477501</v>
      </c>
      <c r="AA135" s="503">
        <v>0.195107831500683</v>
      </c>
      <c r="AB135" s="454"/>
      <c r="AC135" s="136"/>
      <c r="AD135" s="503">
        <v>0.195000015184077</v>
      </c>
      <c r="AE135" s="454"/>
      <c r="AF135" s="516">
        <f t="shared" si="58"/>
        <v>1.0781631660600199E-4</v>
      </c>
      <c r="AG135" s="503">
        <v>0.19497649894236699</v>
      </c>
      <c r="AH135" s="454"/>
      <c r="AI135" s="516">
        <f t="shared" si="59"/>
        <v>1.3133255831601631E-4</v>
      </c>
    </row>
    <row r="136" spans="1:35" x14ac:dyDescent="0.25">
      <c r="A136" s="11"/>
      <c r="B136" s="11"/>
      <c r="C136" s="204"/>
      <c r="D136" s="11"/>
      <c r="E136" s="11"/>
      <c r="F136" s="11"/>
      <c r="G136" s="11"/>
      <c r="H136" s="181">
        <v>561400</v>
      </c>
      <c r="I136" s="118"/>
      <c r="J136" s="118"/>
      <c r="K136" s="11"/>
      <c r="L136" s="86" t="str">
        <f>IF(_epmOfflineCondition_,"561400",_xll.EVPRO($B$1,H136,"JDEID"))</f>
        <v>561400</v>
      </c>
      <c r="M136" s="86" t="str">
        <f>IF(_epmOfflineCondition_,"",IF(AND(I136="N",J136="N"),_xll.EVPRO($B$1,H136,"PSFTID"),""))</f>
        <v/>
      </c>
      <c r="N136" s="86" t="str">
        <f>IF(_epmOfflineCondition_,"Beer Cost of Sales",IF(_xll.EVDES(H136,$B$1)="#NODATA","",_xll.EVDES(H136,$B$1)))</f>
        <v>Beer Cost of Sales</v>
      </c>
      <c r="O136" s="134">
        <v>75</v>
      </c>
      <c r="P136" s="134">
        <v>132.51</v>
      </c>
      <c r="Q136" s="134">
        <v>151.83000000000001</v>
      </c>
      <c r="R136" s="134">
        <v>105.42</v>
      </c>
      <c r="S136" s="134">
        <v>146.16</v>
      </c>
      <c r="T136" s="134">
        <v>17.850000000000001</v>
      </c>
      <c r="U136" s="134">
        <v>108.15</v>
      </c>
      <c r="V136" s="134">
        <v>68.25</v>
      </c>
      <c r="W136" s="134">
        <v>84</v>
      </c>
      <c r="X136" s="134">
        <v>35.49</v>
      </c>
      <c r="Y136" s="134">
        <v>79.38</v>
      </c>
      <c r="Z136" s="134">
        <v>168</v>
      </c>
      <c r="AA136" s="134">
        <f>SUM(O136:Z136)</f>
        <v>1172.04</v>
      </c>
      <c r="AB136" s="454">
        <f>IF(_epmOfflineCondition_,0.209967753493372,IF(AA136=0,"",IFERROR(AA136/_xll.EVGTS($B$1,1,_xll.EVPRO($B$1,$H136,"COSBASIS"),$B$3,$B$5,$B$6,$B$7,$B$9,AA$16,AA$17,AA$11),"")))</f>
        <v>0.20996775349337199</v>
      </c>
      <c r="AC136" s="136"/>
      <c r="AD136" s="134">
        <v>884.18</v>
      </c>
      <c r="AE136" s="454">
        <f>IF(_epmOfflineCondition_,0.209996359480426,IF(AD136=0,"",IFERROR(AD136/_xll.EVGTS($B$1,1,_xll.EVPRO($B$1,$H136,"COSBASIS"),$B$3,$B$5,$B$6,$B$7,$B$9,AD$16,AD$17,AD$18),"")))</f>
        <v>0.209996359480426</v>
      </c>
      <c r="AF136" s="137">
        <f t="shared" si="58"/>
        <v>287.86</v>
      </c>
      <c r="AG136" s="134">
        <v>817.32</v>
      </c>
      <c r="AH136" s="454">
        <f>IF(_epmOfflineCondition_,0.21,IF(AG136=0,"",IFERROR(AG136/_xll.EVGTS($B$1,1,_xll.EVPRO($B$1,$H136,"COSBASIS"),$B$3,$B$5,$B$6,$B$7,$B$9,AG$16,AG$17,AG$18),"")))</f>
        <v>0.21</v>
      </c>
      <c r="AI136" s="137">
        <f t="shared" si="59"/>
        <v>354.71999999999991</v>
      </c>
    </row>
    <row r="137" spans="1:35" x14ac:dyDescent="0.25">
      <c r="A137" s="11"/>
      <c r="B137" s="11"/>
      <c r="C137" s="204"/>
      <c r="D137" s="11"/>
      <c r="E137" s="11"/>
      <c r="F137" s="11"/>
      <c r="G137" s="11"/>
      <c r="H137" s="181" t="s">
        <v>760</v>
      </c>
      <c r="I137" s="118"/>
      <c r="J137" s="118"/>
      <c r="K137" s="11"/>
      <c r="L137" s="86" t="str">
        <f>IF(_epmOfflineCondition_,"",_xll.EVPRO($B$1,H137,"JDEID"))</f>
        <v/>
      </c>
      <c r="M137" s="86" t="str">
        <f>IF(_epmOfflineCondition_,"",IF(AND(I137="N",J137="N"),_xll.EVPRO($B$1,H137,"PSFTID"),""))</f>
        <v/>
      </c>
      <c r="N137" s="488" t="str">
        <f>IF(_epmOfflineCondition_,"Beer Cost %",IF(_xll.EVDES(H137,$B$1)="#NODATA","",_xll.EVDES(H137,$B$1)))</f>
        <v>Beer Cost %</v>
      </c>
      <c r="O137" s="503">
        <v>0.209497206703911</v>
      </c>
      <c r="P137" s="503">
        <v>0.21</v>
      </c>
      <c r="Q137" s="503">
        <v>0.21</v>
      </c>
      <c r="R137" s="503">
        <v>0.21</v>
      </c>
      <c r="S137" s="503">
        <v>0.21</v>
      </c>
      <c r="T137" s="503">
        <v>0.21</v>
      </c>
      <c r="U137" s="503">
        <v>0.21</v>
      </c>
      <c r="V137" s="503">
        <v>0.21</v>
      </c>
      <c r="W137" s="503">
        <v>0.21</v>
      </c>
      <c r="X137" s="503">
        <v>0.21</v>
      </c>
      <c r="Y137" s="503">
        <v>0.21</v>
      </c>
      <c r="Z137" s="503">
        <v>0.21</v>
      </c>
      <c r="AA137" s="503">
        <v>0.20996775349337199</v>
      </c>
      <c r="AB137" s="454"/>
      <c r="AC137" s="136"/>
      <c r="AD137" s="503">
        <v>0.209996359480426</v>
      </c>
      <c r="AE137" s="454"/>
      <c r="AF137" s="516">
        <f t="shared" si="58"/>
        <v>-2.8605987054008963E-5</v>
      </c>
      <c r="AG137" s="503">
        <v>0.21</v>
      </c>
      <c r="AH137" s="454"/>
      <c r="AI137" s="516">
        <f t="shared" si="59"/>
        <v>-3.2246506628003102E-5</v>
      </c>
    </row>
    <row r="138" spans="1:35" x14ac:dyDescent="0.25">
      <c r="A138" s="11"/>
      <c r="B138" s="11"/>
      <c r="C138" s="11"/>
      <c r="D138" s="11"/>
      <c r="E138" s="11"/>
      <c r="F138" s="11"/>
      <c r="G138" s="11"/>
      <c r="H138" s="181">
        <v>561500</v>
      </c>
      <c r="I138" s="118"/>
      <c r="J138" s="118"/>
      <c r="K138" s="11"/>
      <c r="L138" s="86" t="str">
        <f>IF(_epmOfflineCondition_,"561500",_xll.EVPRO($B$1,H138,"JDEID"))</f>
        <v>561500</v>
      </c>
      <c r="M138" s="86" t="str">
        <f>IF(_epmOfflineCondition_,"",IF(AND(I138="N",J138="N"),_xll.EVPRO($B$1,H138,"PSFTID"),""))</f>
        <v/>
      </c>
      <c r="N138" s="86" t="str">
        <f>IF(_epmOfflineCondition_,"Wine Cost of Sales",IF(_xll.EVDES(H138,$B$1)="#NODATA","",_xll.EVDES(H138,$B$1)))</f>
        <v>Wine Cost of Sales</v>
      </c>
      <c r="O138" s="134">
        <v>90</v>
      </c>
      <c r="P138" s="134">
        <v>116.03</v>
      </c>
      <c r="Q138" s="134">
        <v>153.86000000000001</v>
      </c>
      <c r="R138" s="134">
        <v>99.84</v>
      </c>
      <c r="S138" s="134">
        <v>120.9</v>
      </c>
      <c r="T138" s="134">
        <v>26.72</v>
      </c>
      <c r="U138" s="134">
        <v>147.41999999999999</v>
      </c>
      <c r="V138" s="134">
        <v>39.590000000000003</v>
      </c>
      <c r="W138" s="134">
        <v>53.82</v>
      </c>
      <c r="X138" s="134">
        <v>7.02</v>
      </c>
      <c r="Y138" s="134">
        <v>42.12</v>
      </c>
      <c r="Z138" s="134">
        <v>105.11</v>
      </c>
      <c r="AA138" s="134">
        <f>SUM(O138:Z138)</f>
        <v>1002.4300000000001</v>
      </c>
      <c r="AB138" s="454">
        <f>IF(_epmOfflineCondition_,0.194684404738784,IF(AA138=0,"",IFERROR(AA138/_xll.EVGTS($B$1,1,_xll.EVPRO($B$1,$H138,"COSBASIS"),$B$3,$B$5,$B$6,$B$7,$B$9,AA$16,AA$17,AA$11),"")))</f>
        <v>0.19468440473878401</v>
      </c>
      <c r="AC138" s="136"/>
      <c r="AD138" s="134">
        <v>14511.53</v>
      </c>
      <c r="AE138" s="454">
        <f>IF(_epmOfflineCondition_,0.195000081345833,IF(AD138=0,"",IFERROR(AD138/_xll.EVGTS($B$1,1,_xll.EVPRO($B$1,$H138,"COSBASIS"),$B$3,$B$5,$B$6,$B$7,$B$9,AD$16,AD$17,AD$18),"")))</f>
        <v>0.19500008134583299</v>
      </c>
      <c r="AF138" s="137">
        <f t="shared" si="58"/>
        <v>-13509.1</v>
      </c>
      <c r="AG138" s="134">
        <v>746.89</v>
      </c>
      <c r="AH138" s="454">
        <f>IF(_epmOfflineCondition_,0.19501044386423,IF(AG138=0,"",IFERROR(AG138/_xll.EVGTS($B$1,1,_xll.EVPRO($B$1,$H138,"COSBASIS"),$B$3,$B$5,$B$6,$B$7,$B$9,AG$16,AG$17,AG$18),"")))</f>
        <v>0.19501044386423</v>
      </c>
      <c r="AI138" s="137">
        <f t="shared" si="59"/>
        <v>255.54000000000008</v>
      </c>
    </row>
    <row r="139" spans="1:35" x14ac:dyDescent="0.25">
      <c r="A139" s="11"/>
      <c r="B139" s="11"/>
      <c r="C139" s="204"/>
      <c r="D139" s="11"/>
      <c r="E139" s="11"/>
      <c r="F139" s="11"/>
      <c r="G139" s="11"/>
      <c r="H139" s="181" t="s">
        <v>761</v>
      </c>
      <c r="I139" s="118"/>
      <c r="J139" s="118"/>
      <c r="K139" s="11"/>
      <c r="L139" s="86" t="str">
        <f>IF(_epmOfflineCondition_,"",_xll.EVPRO($B$1,H139,"JDEID"))</f>
        <v/>
      </c>
      <c r="M139" s="86" t="str">
        <f>IF(_epmOfflineCondition_,"",IF(AND(I139="N",J139="N"),_xll.EVPRO($B$1,H139,"PSFTID"),""))</f>
        <v/>
      </c>
      <c r="N139" s="488" t="str">
        <f>IF(_epmOfflineCondition_,"Wine Cost %",IF(_xll.EVDES(H139,$B$1)="#NODATA","",_xll.EVDES(H139,$B$1)))</f>
        <v>Wine Cost %</v>
      </c>
      <c r="O139" s="503">
        <v>0.19148936170212799</v>
      </c>
      <c r="P139" s="503">
        <v>0.19500840336134501</v>
      </c>
      <c r="Q139" s="503">
        <v>0.19500633713561499</v>
      </c>
      <c r="R139" s="503">
        <v>0.19500000000000001</v>
      </c>
      <c r="S139" s="503">
        <v>0.19500000000000001</v>
      </c>
      <c r="T139" s="503">
        <v>0.19503649635036499</v>
      </c>
      <c r="U139" s="503">
        <v>0.19500000000000001</v>
      </c>
      <c r="V139" s="503">
        <v>0.195024630541872</v>
      </c>
      <c r="W139" s="503">
        <v>0.19500000000000001</v>
      </c>
      <c r="X139" s="503">
        <v>0.19500000000000001</v>
      </c>
      <c r="Y139" s="503">
        <v>0.19500000000000001</v>
      </c>
      <c r="Z139" s="503">
        <v>0.19500927643784799</v>
      </c>
      <c r="AA139" s="503">
        <v>0.19468440473878401</v>
      </c>
      <c r="AB139" s="454"/>
      <c r="AC139" s="136"/>
      <c r="AD139" s="503">
        <v>0.19500008134583299</v>
      </c>
      <c r="AE139" s="454"/>
      <c r="AF139" s="516">
        <f t="shared" si="58"/>
        <v>-3.1567660704898137E-4</v>
      </c>
      <c r="AG139" s="503">
        <v>0.19501044386423</v>
      </c>
      <c r="AH139" s="454"/>
      <c r="AI139" s="516">
        <f t="shared" si="59"/>
        <v>-3.2603912544598712E-4</v>
      </c>
    </row>
    <row r="140" spans="1:35" x14ac:dyDescent="0.25">
      <c r="A140" s="11"/>
      <c r="B140" s="11"/>
      <c r="C140" s="204"/>
      <c r="D140" s="11"/>
      <c r="E140" s="11"/>
      <c r="F140" s="11"/>
      <c r="G140" s="11"/>
      <c r="H140" s="181" t="s">
        <v>286</v>
      </c>
      <c r="I140" s="118"/>
      <c r="J140" s="118"/>
      <c r="K140" s="11"/>
      <c r="L140" s="86" t="str">
        <f>IF(_epmOfflineCondition_,"",_xll.EVPRO($B$1,H140,"JDEID"))</f>
        <v/>
      </c>
      <c r="M140" s="86" t="str">
        <f>IF(_epmOfflineCondition_,"",IF(AND(I140="N",J140="N"),_xll.EVPRO($B$1,H140,"PSFTID"),""))</f>
        <v/>
      </c>
      <c r="N140" s="86" t="str">
        <f>IF(_epmOfflineCondition_,"Total Cost of Food &amp; Beverage Sales",IF(_xll.EVDES(H140,$B$1)="#NODATA","",_xll.EVDES(H140,$B$1)))</f>
        <v>Total Cost of Food &amp; Beverage Sales</v>
      </c>
      <c r="O140" s="134">
        <v>314</v>
      </c>
      <c r="P140" s="134">
        <v>572.19000000000005</v>
      </c>
      <c r="Q140" s="134">
        <v>777.92</v>
      </c>
      <c r="R140" s="134">
        <v>544.74</v>
      </c>
      <c r="S140" s="134">
        <v>635.22</v>
      </c>
      <c r="T140" s="134">
        <v>368.92</v>
      </c>
      <c r="U140" s="134">
        <v>839.47</v>
      </c>
      <c r="V140" s="134">
        <v>417.63</v>
      </c>
      <c r="W140" s="134">
        <v>555.24</v>
      </c>
      <c r="X140" s="134">
        <v>198.59</v>
      </c>
      <c r="Y140" s="134">
        <v>751.59</v>
      </c>
      <c r="Z140" s="134">
        <v>1341.41</v>
      </c>
      <c r="AA140" s="134">
        <f>SUM(O140:Z140)</f>
        <v>7316.920000000001</v>
      </c>
      <c r="AB140" s="454">
        <f>IF(_epmOfflineCondition_,0.21127517817244,IF(AA140=0,"",IFERROR(AA140/_xll.EVGTS($B$1,1,_xll.EVPRO($B$1,$H140,"COSBASIS"),$B$3,$B$5,$B$6,$B$7,$B$9,AA$16,AA$17,AA$11),"")))</f>
        <v>0.21127517817243999</v>
      </c>
      <c r="AC140" s="136"/>
      <c r="AD140" s="134">
        <v>51272.56</v>
      </c>
      <c r="AE140" s="454">
        <f>IF(_epmOfflineCondition_,0.23685707509468,IF(AD140=0,"",IFERROR(AD140/_xll.EVGTS($B$1,1,_xll.EVPRO($B$1,$H140,"COSBASIS"),$B$3,$B$5,$B$6,$B$7,$B$9,AD$16,AD$17,AD$18),"")))</f>
        <v>0.23685707509467999</v>
      </c>
      <c r="AF140" s="137">
        <f t="shared" si="58"/>
        <v>-43955.64</v>
      </c>
      <c r="AG140" s="134">
        <v>3451.66</v>
      </c>
      <c r="AH140" s="454">
        <f>IF(_epmOfflineCondition_,0.214974860037705,IF(AG140=0,"",IFERROR(AG140/_xll.EVGTS($B$1,1,_xll.EVPRO($B$1,$H140,"COSBASIS"),$B$3,$B$5,$B$6,$B$7,$B$9,AG$16,AG$17,AG$18),"")))</f>
        <v>0.214974860037705</v>
      </c>
      <c r="AI140" s="137">
        <f t="shared" si="59"/>
        <v>3865.2600000000011</v>
      </c>
    </row>
    <row r="141" spans="1:35" x14ac:dyDescent="0.25">
      <c r="A141" s="11"/>
      <c r="B141" s="11"/>
      <c r="C141" s="204"/>
      <c r="D141" s="11"/>
      <c r="E141" s="11"/>
      <c r="F141" s="11"/>
      <c r="G141" s="11"/>
      <c r="H141" s="181"/>
      <c r="I141" s="118"/>
      <c r="J141" s="118"/>
      <c r="K141" s="11"/>
      <c r="L141" s="86"/>
      <c r="M141" s="86"/>
      <c r="N141" s="488" t="s">
        <v>763</v>
      </c>
      <c r="O141" s="503">
        <f t="shared" ref="O141:AA141" si="60">IFERROR(O140/O85,"")</f>
        <v>0.24221666820944801</v>
      </c>
      <c r="P141" s="503">
        <f t="shared" si="60"/>
        <v>0.19833275563258235</v>
      </c>
      <c r="Q141" s="503">
        <f t="shared" si="60"/>
        <v>0.20221155895670978</v>
      </c>
      <c r="R141" s="503">
        <f t="shared" si="60"/>
        <v>0.19779956427015252</v>
      </c>
      <c r="S141" s="503">
        <f t="shared" si="60"/>
        <v>0.19832032469559788</v>
      </c>
      <c r="T141" s="503">
        <f t="shared" si="60"/>
        <v>0.19941621621621622</v>
      </c>
      <c r="U141" s="503">
        <f t="shared" si="60"/>
        <v>0.19705868544600941</v>
      </c>
      <c r="V141" s="503">
        <f t="shared" si="60"/>
        <v>0.20395276605719642</v>
      </c>
      <c r="W141" s="503">
        <f t="shared" si="60"/>
        <v>0.2011454903111517</v>
      </c>
      <c r="X141" s="503">
        <f t="shared" si="60"/>
        <v>0.19874899919935948</v>
      </c>
      <c r="Y141" s="503">
        <f t="shared" si="60"/>
        <v>0.22937546541011025</v>
      </c>
      <c r="Z141" s="503">
        <f t="shared" si="60"/>
        <v>0.24600343676012917</v>
      </c>
      <c r="AA141" s="503">
        <f t="shared" si="60"/>
        <v>0.21127517817243965</v>
      </c>
      <c r="AB141" s="454"/>
      <c r="AC141" s="136"/>
      <c r="AD141" s="503">
        <f>IFERROR(AD140/AD85,"")</f>
        <v>0.23685707509468035</v>
      </c>
      <c r="AE141" s="454"/>
      <c r="AF141" s="516">
        <f t="shared" si="58"/>
        <v>-2.5581896922240693E-2</v>
      </c>
      <c r="AG141" s="503">
        <f>IFERROR(AG140/AG85,"")</f>
        <v>0.21497486003770525</v>
      </c>
      <c r="AH141" s="454"/>
      <c r="AI141" s="516">
        <f t="shared" si="59"/>
        <v>-3.6996818652655916E-3</v>
      </c>
    </row>
    <row r="142" spans="1:35" x14ac:dyDescent="0.25">
      <c r="A142" s="11"/>
      <c r="B142" s="11"/>
      <c r="C142" s="204"/>
      <c r="D142" s="11"/>
      <c r="E142" s="11"/>
      <c r="F142" s="11"/>
      <c r="G142" s="11"/>
      <c r="H142" s="11"/>
      <c r="I142" s="55"/>
      <c r="J142" s="55"/>
      <c r="K142" s="11"/>
      <c r="L142" s="11"/>
      <c r="M142" s="11"/>
      <c r="N142" s="11"/>
      <c r="O142" s="136"/>
      <c r="P142" s="136"/>
      <c r="Q142" s="136"/>
      <c r="R142" s="136"/>
      <c r="S142" s="136"/>
      <c r="T142" s="136"/>
      <c r="U142" s="136"/>
      <c r="V142" s="136"/>
      <c r="W142" s="136"/>
      <c r="X142" s="136"/>
      <c r="Y142" s="136"/>
      <c r="Z142" s="136"/>
      <c r="AA142" s="136"/>
      <c r="AB142" s="136"/>
      <c r="AC142" s="136"/>
      <c r="AD142" s="136"/>
      <c r="AE142" s="136"/>
      <c r="AF142" s="136"/>
      <c r="AG142" s="136"/>
      <c r="AH142" s="136"/>
      <c r="AI142" s="136"/>
    </row>
    <row r="143" spans="1:35" x14ac:dyDescent="0.25">
      <c r="A143" s="11"/>
      <c r="B143" s="11"/>
      <c r="C143" s="204"/>
      <c r="D143" s="11"/>
      <c r="E143" s="11"/>
      <c r="F143" s="11"/>
      <c r="G143" s="11"/>
      <c r="H143" s="181"/>
      <c r="I143" s="118"/>
      <c r="J143" s="118"/>
      <c r="K143" s="11"/>
      <c r="L143" s="11"/>
      <c r="M143" s="11"/>
      <c r="N143" s="100" t="str">
        <f>N85&amp;" - Check"</f>
        <v>Total Food &amp; Beverage Revenue - Check</v>
      </c>
      <c r="O143" s="506">
        <f t="shared" ref="O143:AA143" si="61">O39+O49+O59+O69+O79+O83-O85</f>
        <v>0</v>
      </c>
      <c r="P143" s="506">
        <f t="shared" si="61"/>
        <v>0</v>
      </c>
      <c r="Q143" s="506">
        <f t="shared" si="61"/>
        <v>0</v>
      </c>
      <c r="R143" s="506">
        <f t="shared" si="61"/>
        <v>0</v>
      </c>
      <c r="S143" s="506">
        <f t="shared" si="61"/>
        <v>0</v>
      </c>
      <c r="T143" s="506">
        <f t="shared" si="61"/>
        <v>0</v>
      </c>
      <c r="U143" s="506">
        <f t="shared" si="61"/>
        <v>0</v>
      </c>
      <c r="V143" s="506">
        <f t="shared" si="61"/>
        <v>0</v>
      </c>
      <c r="W143" s="506">
        <f t="shared" si="61"/>
        <v>0</v>
      </c>
      <c r="X143" s="506">
        <f t="shared" si="61"/>
        <v>0</v>
      </c>
      <c r="Y143" s="506">
        <f t="shared" si="61"/>
        <v>0</v>
      </c>
      <c r="Z143" s="506">
        <f t="shared" si="61"/>
        <v>0</v>
      </c>
      <c r="AA143" s="506">
        <f t="shared" si="61"/>
        <v>0</v>
      </c>
      <c r="AB143" s="138"/>
      <c r="AC143" s="136"/>
      <c r="AD143" s="506">
        <f>AD39+AD49+AD59+AD69+AD79+AD83-AD85</f>
        <v>0</v>
      </c>
      <c r="AE143" s="138"/>
      <c r="AF143" s="134"/>
      <c r="AG143" s="506">
        <f>AG39+AG49+AG59+AG69+AG79+AG83-AG85</f>
        <v>0</v>
      </c>
      <c r="AH143" s="138"/>
      <c r="AI143" s="134"/>
    </row>
    <row r="144" spans="1:35" x14ac:dyDescent="0.25">
      <c r="A144" s="11"/>
      <c r="B144" s="11"/>
      <c r="C144" s="204"/>
      <c r="D144" s="11"/>
      <c r="E144" s="11"/>
      <c r="F144" s="11"/>
      <c r="G144" s="11"/>
      <c r="H144" s="181"/>
      <c r="I144" s="118"/>
      <c r="J144" s="118"/>
      <c r="K144" s="11"/>
      <c r="L144" s="11"/>
      <c r="M144" s="11"/>
      <c r="N144" s="100" t="str">
        <f>N87&amp;" - Check"</f>
        <v>Total Customers - Check</v>
      </c>
      <c r="O144" s="506">
        <f t="shared" ref="O144:AA144" si="62">O41+O51+O61+O71+O80-O87</f>
        <v>0</v>
      </c>
      <c r="P144" s="506">
        <f t="shared" si="62"/>
        <v>0</v>
      </c>
      <c r="Q144" s="506">
        <f t="shared" si="62"/>
        <v>0</v>
      </c>
      <c r="R144" s="506">
        <f t="shared" si="62"/>
        <v>0</v>
      </c>
      <c r="S144" s="506">
        <f t="shared" si="62"/>
        <v>0</v>
      </c>
      <c r="T144" s="506">
        <f t="shared" si="62"/>
        <v>0</v>
      </c>
      <c r="U144" s="506">
        <f t="shared" si="62"/>
        <v>0</v>
      </c>
      <c r="V144" s="506">
        <f t="shared" si="62"/>
        <v>0</v>
      </c>
      <c r="W144" s="506">
        <f t="shared" si="62"/>
        <v>0</v>
      </c>
      <c r="X144" s="506">
        <f t="shared" si="62"/>
        <v>0</v>
      </c>
      <c r="Y144" s="506">
        <f t="shared" si="62"/>
        <v>0</v>
      </c>
      <c r="Z144" s="506">
        <f t="shared" si="62"/>
        <v>0</v>
      </c>
      <c r="AA144" s="506">
        <f t="shared" si="62"/>
        <v>0</v>
      </c>
      <c r="AB144" s="138"/>
      <c r="AC144" s="136"/>
      <c r="AD144" s="506">
        <f>AD41+AD51+AD61+AD71+AD80-AD87</f>
        <v>0</v>
      </c>
      <c r="AE144" s="138"/>
      <c r="AF144" s="134"/>
      <c r="AG144" s="506">
        <f>AG41+AG51+AG61+AG71+AG80-AG87</f>
        <v>0</v>
      </c>
      <c r="AH144" s="138"/>
      <c r="AI144" s="134"/>
    </row>
    <row r="145" spans="1:35" x14ac:dyDescent="0.25">
      <c r="A145" s="11"/>
      <c r="B145" s="11"/>
      <c r="C145" s="204"/>
      <c r="D145" s="11"/>
      <c r="E145" s="11"/>
      <c r="F145" s="11"/>
      <c r="G145" s="11"/>
      <c r="H145" s="181"/>
      <c r="I145" s="118"/>
      <c r="J145" s="118"/>
      <c r="K145" s="11"/>
      <c r="L145" s="11"/>
      <c r="M145" s="11"/>
      <c r="N145" s="100" t="str">
        <f>N88&amp;" - Check"</f>
        <v>Total Average Check - Check</v>
      </c>
      <c r="O145" s="505">
        <f t="shared" ref="O145:AA145" si="63">IFERROR(O$85/O87,"")-O88</f>
        <v>3.0198066269804258E-14</v>
      </c>
      <c r="P145" s="505">
        <f t="shared" si="63"/>
        <v>0</v>
      </c>
      <c r="Q145" s="505">
        <f t="shared" si="63"/>
        <v>-3.0198066269804258E-14</v>
      </c>
      <c r="R145" s="505">
        <f t="shared" si="63"/>
        <v>-3.0198066269804258E-14</v>
      </c>
      <c r="S145" s="505">
        <f t="shared" si="63"/>
        <v>2.1316282072803006E-14</v>
      </c>
      <c r="T145" s="505">
        <f t="shared" si="63"/>
        <v>0</v>
      </c>
      <c r="U145" s="505">
        <f t="shared" si="63"/>
        <v>0</v>
      </c>
      <c r="V145" s="505">
        <f t="shared" si="63"/>
        <v>0</v>
      </c>
      <c r="W145" s="505">
        <f t="shared" si="63"/>
        <v>0</v>
      </c>
      <c r="X145" s="505">
        <f t="shared" si="63"/>
        <v>-4.6185277824406512E-14</v>
      </c>
      <c r="Y145" s="505">
        <f t="shared" si="63"/>
        <v>-3.1974423109204508E-14</v>
      </c>
      <c r="Z145" s="505">
        <f t="shared" si="63"/>
        <v>2.4868995751603507E-14</v>
      </c>
      <c r="AA145" s="505">
        <f t="shared" si="63"/>
        <v>0</v>
      </c>
      <c r="AB145" s="138"/>
      <c r="AC145" s="136"/>
      <c r="AD145" s="505">
        <f>IFERROR(AD$85/AD87,"")-AD88</f>
        <v>0</v>
      </c>
      <c r="AE145" s="138"/>
      <c r="AF145" s="134"/>
      <c r="AG145" s="505">
        <f>IFERROR(AG$85/AG87,"")-AG88</f>
        <v>0</v>
      </c>
      <c r="AH145" s="138"/>
      <c r="AI145" s="134"/>
    </row>
    <row r="146" spans="1:35" x14ac:dyDescent="0.25">
      <c r="A146" s="11"/>
      <c r="B146" s="11"/>
      <c r="C146" s="204"/>
      <c r="D146" s="11"/>
      <c r="E146" s="11"/>
      <c r="F146" s="11"/>
      <c r="G146" s="11"/>
      <c r="H146" s="181"/>
      <c r="I146" s="118"/>
      <c r="J146" s="118"/>
      <c r="K146" s="11"/>
      <c r="L146" s="11"/>
      <c r="M146" s="11"/>
      <c r="N146" s="100" t="s">
        <v>769</v>
      </c>
      <c r="O146" s="506">
        <f t="shared" ref="O146:AA146" si="64">(O130+O132)-O140</f>
        <v>0</v>
      </c>
      <c r="P146" s="506">
        <f t="shared" si="64"/>
        <v>0</v>
      </c>
      <c r="Q146" s="506">
        <f t="shared" si="64"/>
        <v>0</v>
      </c>
      <c r="R146" s="506">
        <f t="shared" si="64"/>
        <v>0</v>
      </c>
      <c r="S146" s="506">
        <f t="shared" si="64"/>
        <v>0</v>
      </c>
      <c r="T146" s="506">
        <f t="shared" si="64"/>
        <v>0</v>
      </c>
      <c r="U146" s="506">
        <f t="shared" si="64"/>
        <v>0</v>
      </c>
      <c r="V146" s="506">
        <f t="shared" si="64"/>
        <v>0</v>
      </c>
      <c r="W146" s="506">
        <f t="shared" si="64"/>
        <v>0</v>
      </c>
      <c r="X146" s="506">
        <f t="shared" si="64"/>
        <v>0</v>
      </c>
      <c r="Y146" s="506">
        <f t="shared" si="64"/>
        <v>0</v>
      </c>
      <c r="Z146" s="506">
        <f t="shared" si="64"/>
        <v>0</v>
      </c>
      <c r="AA146" s="506">
        <f t="shared" si="64"/>
        <v>0</v>
      </c>
      <c r="AB146" s="138"/>
      <c r="AC146" s="136"/>
      <c r="AD146" s="506">
        <f>(AD130+AD132)-AD140</f>
        <v>0</v>
      </c>
      <c r="AE146" s="138"/>
      <c r="AF146" s="134"/>
      <c r="AG146" s="506">
        <f>(AG130+AG132)-AG140</f>
        <v>0</v>
      </c>
      <c r="AH146" s="138"/>
      <c r="AI146" s="134"/>
    </row>
    <row r="147" spans="1:35" x14ac:dyDescent="0.25">
      <c r="A147" s="11"/>
      <c r="B147" s="11"/>
      <c r="C147" s="204"/>
      <c r="D147" s="11"/>
      <c r="E147" s="11"/>
      <c r="F147" s="11"/>
      <c r="G147" s="11"/>
      <c r="H147" s="11"/>
      <c r="I147" s="55"/>
      <c r="J147" s="55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</row>
    <row r="148" spans="1:35" x14ac:dyDescent="0.25">
      <c r="A148" s="11"/>
      <c r="B148" s="11"/>
      <c r="C148" s="204"/>
      <c r="D148" s="11"/>
      <c r="E148" s="11"/>
      <c r="F148" s="11"/>
      <c r="G148" s="11"/>
      <c r="H148" s="11"/>
      <c r="I148" s="55"/>
      <c r="J148" s="55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</row>
    <row r="149" spans="1:35" x14ac:dyDescent="0.25">
      <c r="A149" s="11"/>
      <c r="B149" s="11"/>
      <c r="C149" s="204"/>
      <c r="D149" s="11"/>
      <c r="E149" s="11"/>
      <c r="F149" s="11"/>
      <c r="G149" s="11"/>
      <c r="H149" s="11"/>
      <c r="I149" s="55"/>
      <c r="J149" s="55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</row>
    <row r="150" spans="1:35" x14ac:dyDescent="0.25">
      <c r="A150" s="11"/>
      <c r="B150" s="11"/>
      <c r="C150" s="204"/>
      <c r="D150" s="11"/>
      <c r="E150" s="11"/>
      <c r="F150" s="11"/>
      <c r="G150" s="11"/>
      <c r="H150" s="11"/>
      <c r="I150" s="55"/>
      <c r="J150" s="55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</row>
    <row r="151" spans="1:35" x14ac:dyDescent="0.25">
      <c r="A151" s="11"/>
      <c r="B151" s="11"/>
      <c r="C151" s="204"/>
      <c r="D151" s="11"/>
      <c r="E151" s="11"/>
      <c r="F151" s="11"/>
      <c r="G151" s="11"/>
      <c r="H151" s="11"/>
      <c r="I151" s="55"/>
      <c r="J151" s="55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</row>
    <row r="152" spans="1:35" x14ac:dyDescent="0.25">
      <c r="A152" s="11"/>
      <c r="B152" s="11"/>
      <c r="C152" s="204"/>
      <c r="D152" s="11"/>
      <c r="E152" s="11"/>
      <c r="F152" s="11"/>
      <c r="G152" s="11"/>
      <c r="H152" s="11"/>
      <c r="I152" s="55"/>
      <c r="J152" s="55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</row>
    <row r="153" spans="1:35" x14ac:dyDescent="0.25">
      <c r="A153" s="11"/>
      <c r="B153" s="11"/>
      <c r="C153" s="204"/>
      <c r="D153" s="11"/>
      <c r="E153" s="11"/>
      <c r="F153" s="11"/>
      <c r="G153" s="11"/>
      <c r="H153" s="11"/>
      <c r="I153" s="55"/>
      <c r="J153" s="55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</row>
    <row r="154" spans="1:35" x14ac:dyDescent="0.25">
      <c r="A154" s="11"/>
      <c r="B154" s="11"/>
      <c r="C154" s="11"/>
      <c r="D154" s="11"/>
      <c r="E154" s="11"/>
      <c r="F154" s="11"/>
      <c r="G154" s="11"/>
      <c r="H154" s="11"/>
      <c r="I154" s="55"/>
      <c r="J154" s="55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</row>
    <row r="155" spans="1:35" x14ac:dyDescent="0.25">
      <c r="A155" s="11"/>
      <c r="B155" s="11"/>
      <c r="C155" s="11"/>
      <c r="D155" s="11"/>
      <c r="E155" s="11"/>
      <c r="F155" s="11"/>
      <c r="G155" s="11"/>
      <c r="H155" s="11"/>
      <c r="I155" s="55"/>
      <c r="J155" s="55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</row>
    <row r="156" spans="1:35" x14ac:dyDescent="0.25">
      <c r="A156" s="11"/>
      <c r="B156" s="11"/>
      <c r="C156" s="11"/>
      <c r="D156" s="11"/>
      <c r="E156" s="11"/>
      <c r="F156" s="11"/>
      <c r="G156" s="11"/>
      <c r="H156" s="11"/>
      <c r="I156" s="55"/>
      <c r="J156" s="55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</row>
    <row r="157" spans="1:35" x14ac:dyDescent="0.25">
      <c r="A157" s="11"/>
      <c r="B157" s="11"/>
      <c r="C157" s="11"/>
      <c r="D157" s="11"/>
      <c r="E157" s="11"/>
      <c r="F157" s="11"/>
      <c r="G157" s="11"/>
      <c r="H157" s="11"/>
      <c r="I157" s="55"/>
      <c r="J157" s="55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</row>
    <row r="158" spans="1:35" x14ac:dyDescent="0.25">
      <c r="A158" s="11"/>
      <c r="B158" s="11"/>
      <c r="C158" s="11"/>
      <c r="D158" s="11"/>
      <c r="E158" s="11"/>
      <c r="F158" s="11"/>
      <c r="G158" s="11"/>
      <c r="H158" s="11"/>
      <c r="I158" s="55"/>
      <c r="J158" s="55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</row>
    <row r="159" spans="1:35" x14ac:dyDescent="0.25">
      <c r="A159" s="11"/>
      <c r="B159" s="11"/>
      <c r="C159" s="11"/>
      <c r="D159" s="11"/>
      <c r="E159" s="11"/>
      <c r="F159" s="11"/>
      <c r="G159" s="11"/>
      <c r="H159" s="11"/>
      <c r="I159" s="55"/>
      <c r="J159" s="55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</row>
    <row r="160" spans="1:35" x14ac:dyDescent="0.25">
      <c r="A160" s="11"/>
      <c r="B160" s="11"/>
      <c r="C160" s="11"/>
      <c r="D160" s="11"/>
      <c r="E160" s="11"/>
      <c r="F160" s="11"/>
      <c r="G160" s="11"/>
      <c r="H160" s="11"/>
      <c r="I160" s="55"/>
      <c r="J160" s="55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</row>
    <row r="161" spans="1:35" x14ac:dyDescent="0.25">
      <c r="A161" s="11"/>
      <c r="B161" s="11"/>
      <c r="C161" s="11"/>
      <c r="D161" s="11"/>
      <c r="E161" s="11"/>
      <c r="F161" s="11"/>
      <c r="G161" s="11"/>
      <c r="H161" s="11"/>
      <c r="I161" s="55"/>
      <c r="J161" s="55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</row>
    <row r="162" spans="1:35" x14ac:dyDescent="0.25">
      <c r="A162" s="11"/>
      <c r="B162" s="11"/>
      <c r="C162" s="11"/>
      <c r="D162" s="11"/>
      <c r="E162" s="11"/>
      <c r="F162" s="11"/>
      <c r="G162" s="11"/>
      <c r="H162" s="11"/>
      <c r="I162" s="55"/>
      <c r="J162" s="55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</row>
    <row r="163" spans="1:35" x14ac:dyDescent="0.25">
      <c r="A163" s="11"/>
      <c r="B163" s="11"/>
      <c r="C163" s="11"/>
      <c r="D163" s="11"/>
      <c r="E163" s="11"/>
      <c r="F163" s="11"/>
      <c r="G163" s="11"/>
      <c r="H163" s="11"/>
      <c r="I163" s="55"/>
      <c r="J163" s="55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</row>
    <row r="164" spans="1:35" x14ac:dyDescent="0.25">
      <c r="A164" s="11"/>
      <c r="B164" s="11"/>
      <c r="C164" s="11"/>
      <c r="D164" s="11"/>
      <c r="E164" s="11"/>
      <c r="F164" s="11"/>
      <c r="G164" s="11"/>
      <c r="H164" s="11"/>
      <c r="I164" s="55"/>
      <c r="J164" s="55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</row>
    <row r="165" spans="1:35" x14ac:dyDescent="0.25">
      <c r="A165" s="11"/>
      <c r="B165" s="11"/>
      <c r="C165" s="11"/>
      <c r="D165" s="11"/>
      <c r="E165" s="11"/>
      <c r="F165" s="11"/>
      <c r="G165" s="11"/>
      <c r="H165" s="11"/>
      <c r="I165" s="55"/>
      <c r="J165" s="55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</row>
    <row r="166" spans="1:35" x14ac:dyDescent="0.25">
      <c r="A166" s="11"/>
      <c r="B166" s="11"/>
      <c r="C166" s="11"/>
      <c r="D166" s="11"/>
      <c r="E166" s="11"/>
      <c r="F166" s="11"/>
      <c r="G166" s="11"/>
      <c r="H166" s="11"/>
      <c r="I166" s="55"/>
      <c r="J166" s="55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</row>
    <row r="167" spans="1:35" x14ac:dyDescent="0.25">
      <c r="A167" s="11"/>
      <c r="B167" s="11"/>
      <c r="C167" s="11"/>
      <c r="D167" s="11"/>
      <c r="E167" s="11"/>
      <c r="F167" s="11"/>
      <c r="G167" s="11"/>
      <c r="H167" s="11"/>
      <c r="I167" s="55"/>
      <c r="J167" s="55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</row>
    <row r="168" spans="1:35" x14ac:dyDescent="0.25">
      <c r="A168" s="11"/>
      <c r="B168" s="11"/>
      <c r="C168" s="11"/>
      <c r="D168" s="11"/>
      <c r="E168" s="11"/>
      <c r="F168" s="11"/>
      <c r="G168" s="11"/>
      <c r="H168" s="11"/>
      <c r="I168" s="55"/>
      <c r="J168" s="55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</row>
    <row r="169" spans="1:35" x14ac:dyDescent="0.25">
      <c r="A169" s="11"/>
      <c r="B169" s="11"/>
      <c r="C169" s="11"/>
      <c r="D169" s="11"/>
      <c r="E169" s="11"/>
      <c r="F169" s="11"/>
      <c r="G169" s="11"/>
      <c r="H169" s="11"/>
      <c r="I169" s="263"/>
      <c r="J169" s="11"/>
      <c r="K169" s="263"/>
      <c r="L169" s="263"/>
      <c r="M169" s="263"/>
      <c r="N169" s="11"/>
      <c r="O169" s="263"/>
      <c r="P169" s="263"/>
      <c r="Q169" s="263"/>
      <c r="R169" s="263"/>
      <c r="S169" s="263"/>
      <c r="T169" s="263"/>
      <c r="U169" s="263"/>
      <c r="V169" s="263"/>
      <c r="W169" s="263"/>
      <c r="X169" s="263"/>
      <c r="Y169" s="263"/>
      <c r="Z169" s="263"/>
      <c r="AA169" s="263"/>
      <c r="AB169" s="11"/>
      <c r="AC169" s="11"/>
      <c r="AD169" s="263"/>
      <c r="AE169" s="11"/>
      <c r="AF169" s="263"/>
      <c r="AG169" s="11"/>
      <c r="AH169" s="263"/>
      <c r="AI169" s="11"/>
    </row>
    <row r="170" spans="1:35" x14ac:dyDescent="0.25">
      <c r="A170" s="11"/>
      <c r="B170" s="11"/>
      <c r="C170" s="11"/>
      <c r="D170" s="11"/>
      <c r="E170" s="11"/>
      <c r="F170" s="11"/>
      <c r="G170" s="11"/>
      <c r="H170" s="11"/>
      <c r="I170" s="55"/>
      <c r="J170" s="55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</row>
    <row r="171" spans="1:35" x14ac:dyDescent="0.25">
      <c r="A171" s="11"/>
      <c r="B171" s="11"/>
      <c r="C171" s="11"/>
      <c r="D171" s="11"/>
      <c r="E171" s="11"/>
      <c r="F171" s="11"/>
      <c r="G171" s="11"/>
      <c r="H171" s="11"/>
      <c r="I171" s="55"/>
      <c r="J171" s="55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</row>
    <row r="172" spans="1:35" x14ac:dyDescent="0.25">
      <c r="A172" s="11"/>
      <c r="B172" s="11"/>
      <c r="C172" s="11"/>
      <c r="D172" s="11"/>
      <c r="E172" s="11"/>
      <c r="F172" s="11"/>
      <c r="G172" s="11"/>
      <c r="H172" s="11"/>
      <c r="I172" s="55"/>
      <c r="J172" s="55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</row>
    <row r="173" spans="1:35" x14ac:dyDescent="0.25">
      <c r="A173" s="11"/>
      <c r="B173" s="11"/>
      <c r="C173" s="11"/>
      <c r="D173" s="11"/>
      <c r="E173" s="11"/>
      <c r="F173" s="11"/>
      <c r="G173" s="11"/>
      <c r="H173" s="11"/>
      <c r="I173" s="263"/>
      <c r="J173" s="11"/>
      <c r="K173" s="263"/>
      <c r="L173" s="263"/>
      <c r="M173" s="263"/>
      <c r="N173" s="11"/>
      <c r="O173" s="263"/>
      <c r="P173" s="263"/>
      <c r="Q173" s="263"/>
      <c r="R173" s="263"/>
      <c r="S173" s="263"/>
      <c r="T173" s="263"/>
      <c r="U173" s="263"/>
      <c r="V173" s="263"/>
      <c r="W173" s="263"/>
      <c r="X173" s="263"/>
      <c r="Y173" s="263"/>
      <c r="Z173" s="263"/>
      <c r="AA173" s="263"/>
      <c r="AB173" s="11"/>
      <c r="AC173" s="11"/>
      <c r="AD173" s="263"/>
      <c r="AE173" s="11"/>
      <c r="AF173" s="263"/>
      <c r="AG173" s="11"/>
      <c r="AH173" s="263"/>
      <c r="AI173" s="11"/>
    </row>
    <row r="174" spans="1:35" x14ac:dyDescent="0.25">
      <c r="A174" s="11"/>
      <c r="B174" s="11"/>
      <c r="C174" s="11"/>
      <c r="D174" s="11"/>
      <c r="E174" s="11"/>
      <c r="F174" s="11"/>
      <c r="G174" s="11"/>
      <c r="H174" s="11"/>
      <c r="I174" s="55"/>
      <c r="J174" s="55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</row>
    <row r="175" spans="1:35" x14ac:dyDescent="0.25">
      <c r="A175" s="11"/>
      <c r="B175" s="11"/>
      <c r="C175" s="11"/>
      <c r="D175" s="11"/>
      <c r="E175" s="11"/>
      <c r="F175" s="11"/>
      <c r="G175" s="11"/>
      <c r="H175" s="11"/>
      <c r="I175" s="55"/>
      <c r="J175" s="55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</row>
    <row r="176" spans="1:35" x14ac:dyDescent="0.25">
      <c r="A176" s="11"/>
      <c r="B176" s="11"/>
      <c r="C176" s="11"/>
      <c r="D176" s="11"/>
      <c r="E176" s="11"/>
      <c r="F176" s="11"/>
      <c r="G176" s="11"/>
      <c r="H176" s="11"/>
      <c r="I176" s="55"/>
      <c r="J176" s="55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</row>
    <row r="177" spans="1:35" x14ac:dyDescent="0.25">
      <c r="A177" s="11"/>
      <c r="B177" s="11"/>
      <c r="C177" s="11"/>
      <c r="D177" s="11"/>
      <c r="E177" s="11"/>
      <c r="F177" s="11"/>
      <c r="G177" s="11"/>
      <c r="H177" s="11"/>
      <c r="I177" s="55"/>
      <c r="J177" s="55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</row>
    <row r="178" spans="1:35" x14ac:dyDescent="0.25">
      <c r="A178" s="11"/>
      <c r="B178" s="11"/>
      <c r="C178" s="11"/>
      <c r="D178" s="11"/>
      <c r="E178" s="11"/>
      <c r="F178" s="11"/>
      <c r="G178" s="11"/>
      <c r="H178" s="11"/>
      <c r="I178" s="55"/>
      <c r="J178" s="55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</row>
    <row r="179" spans="1:35" x14ac:dyDescent="0.25">
      <c r="A179" s="11"/>
      <c r="B179" s="11"/>
      <c r="C179" s="11"/>
      <c r="D179" s="11"/>
      <c r="E179" s="11"/>
      <c r="F179" s="11"/>
      <c r="G179" s="11"/>
      <c r="H179" s="11"/>
      <c r="I179" s="55"/>
      <c r="J179" s="55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</row>
    <row r="180" spans="1:35" x14ac:dyDescent="0.25">
      <c r="A180" s="11"/>
      <c r="B180" s="11"/>
      <c r="C180" s="11"/>
      <c r="D180" s="11"/>
      <c r="E180" s="11"/>
      <c r="F180" s="11"/>
      <c r="G180" s="11"/>
      <c r="H180" s="11"/>
      <c r="I180" s="55"/>
      <c r="J180" s="55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</row>
    <row r="181" spans="1:35" x14ac:dyDescent="0.25">
      <c r="A181" s="11"/>
      <c r="B181" s="11"/>
      <c r="C181" s="11"/>
      <c r="D181" s="11"/>
      <c r="E181" s="11"/>
      <c r="F181" s="11"/>
      <c r="G181" s="11"/>
      <c r="H181" s="11"/>
      <c r="I181" s="55"/>
      <c r="J181" s="55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</row>
    <row r="182" spans="1:35" x14ac:dyDescent="0.25">
      <c r="A182" s="11"/>
      <c r="B182" s="11"/>
      <c r="C182" s="11"/>
      <c r="D182" s="11"/>
      <c r="E182" s="11"/>
      <c r="F182" s="11"/>
      <c r="G182" s="11"/>
      <c r="H182" s="11"/>
      <c r="I182" s="55"/>
      <c r="J182" s="55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</row>
    <row r="183" spans="1:35" x14ac:dyDescent="0.25">
      <c r="A183" s="11"/>
      <c r="B183" s="11"/>
      <c r="C183" s="11"/>
      <c r="D183" s="11"/>
      <c r="E183" s="11"/>
      <c r="F183" s="11"/>
      <c r="G183" s="11"/>
      <c r="H183" s="11"/>
      <c r="I183" s="55"/>
      <c r="J183" s="55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</row>
    <row r="184" spans="1:35" x14ac:dyDescent="0.25">
      <c r="A184" s="11"/>
      <c r="B184" s="11"/>
      <c r="C184" s="11"/>
      <c r="D184" s="11"/>
      <c r="E184" s="11"/>
      <c r="F184" s="11"/>
      <c r="G184" s="11"/>
      <c r="H184" s="11"/>
      <c r="I184" s="55"/>
      <c r="J184" s="55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</row>
    <row r="185" spans="1:35" x14ac:dyDescent="0.25">
      <c r="A185" s="11"/>
      <c r="B185" s="11"/>
      <c r="C185" s="11"/>
      <c r="D185" s="11"/>
      <c r="E185" s="11"/>
      <c r="F185" s="11"/>
      <c r="G185" s="11"/>
      <c r="H185" s="11"/>
      <c r="I185" s="55"/>
      <c r="J185" s="55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</row>
    <row r="186" spans="1:35" x14ac:dyDescent="0.25">
      <c r="A186" s="11"/>
      <c r="B186" s="11"/>
      <c r="C186" s="11"/>
      <c r="D186" s="11"/>
      <c r="E186" s="11"/>
      <c r="F186" s="11"/>
      <c r="G186" s="11"/>
      <c r="H186" s="11"/>
      <c r="I186" s="55"/>
      <c r="J186" s="55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</row>
    <row r="187" spans="1:35" x14ac:dyDescent="0.25">
      <c r="A187" s="11"/>
      <c r="B187" s="11"/>
      <c r="C187" s="11"/>
      <c r="D187" s="11"/>
      <c r="E187" s="11"/>
      <c r="F187" s="11"/>
      <c r="G187" s="11"/>
      <c r="H187" s="11"/>
      <c r="I187" s="55"/>
      <c r="J187" s="55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</row>
    <row r="188" spans="1:35" x14ac:dyDescent="0.25">
      <c r="A188" s="11"/>
      <c r="B188" s="11"/>
      <c r="C188" s="11"/>
      <c r="D188" s="11"/>
      <c r="E188" s="11"/>
      <c r="F188" s="11"/>
      <c r="G188" s="11"/>
      <c r="H188" s="11"/>
      <c r="I188" s="55"/>
      <c r="J188" s="55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</row>
    <row r="189" spans="1:35" x14ac:dyDescent="0.25">
      <c r="A189" s="11"/>
      <c r="B189" s="11"/>
      <c r="C189" s="11"/>
      <c r="D189" s="11"/>
      <c r="E189" s="11"/>
      <c r="F189" s="11"/>
      <c r="G189" s="11"/>
      <c r="H189" s="11"/>
      <c r="I189" s="55"/>
      <c r="J189" s="55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</row>
    <row r="190" spans="1:35" x14ac:dyDescent="0.25">
      <c r="A190" s="11"/>
      <c r="B190" s="11"/>
      <c r="C190" s="11"/>
      <c r="D190" s="11"/>
      <c r="E190" s="11"/>
      <c r="F190" s="11"/>
      <c r="G190" s="11"/>
      <c r="H190" s="11"/>
      <c r="I190" s="55"/>
      <c r="J190" s="55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</row>
    <row r="191" spans="1:35" x14ac:dyDescent="0.25">
      <c r="A191" s="11"/>
      <c r="B191" s="11"/>
      <c r="C191" s="11"/>
      <c r="D191" s="11"/>
      <c r="E191" s="11"/>
      <c r="F191" s="11"/>
      <c r="G191" s="11"/>
      <c r="H191" s="11"/>
      <c r="I191" s="55"/>
      <c r="J191" s="55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</row>
    <row r="192" spans="1:35" x14ac:dyDescent="0.25">
      <c r="A192" s="11"/>
      <c r="B192" s="11"/>
      <c r="C192" s="11"/>
      <c r="D192" s="11"/>
      <c r="E192" s="11"/>
      <c r="F192" s="11"/>
      <c r="G192" s="11"/>
      <c r="H192" s="11"/>
      <c r="I192" s="55"/>
      <c r="J192" s="55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</row>
    <row r="193" spans="1:35" x14ac:dyDescent="0.25">
      <c r="A193" s="11"/>
      <c r="B193" s="11"/>
      <c r="C193" s="11"/>
      <c r="D193" s="11"/>
      <c r="E193" s="11"/>
      <c r="F193" s="11"/>
      <c r="G193" s="11"/>
      <c r="H193" s="11"/>
      <c r="I193" s="55"/>
      <c r="J193" s="55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</row>
    <row r="194" spans="1:35" x14ac:dyDescent="0.25">
      <c r="A194" s="11"/>
      <c r="B194" s="11"/>
      <c r="C194" s="11"/>
      <c r="D194" s="11"/>
      <c r="E194" s="11"/>
      <c r="F194" s="11"/>
      <c r="G194" s="11"/>
      <c r="H194" s="11"/>
      <c r="I194" s="55"/>
      <c r="J194" s="55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</row>
    <row r="195" spans="1:35" x14ac:dyDescent="0.25">
      <c r="A195" s="11"/>
      <c r="B195" s="11"/>
      <c r="C195" s="11"/>
      <c r="D195" s="11"/>
      <c r="E195" s="11"/>
      <c r="F195" s="11"/>
      <c r="G195" s="11"/>
      <c r="H195" s="11"/>
      <c r="I195" s="55"/>
      <c r="J195" s="55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</row>
    <row r="196" spans="1:35" x14ac:dyDescent="0.25">
      <c r="A196" s="11"/>
      <c r="B196" s="11"/>
      <c r="C196" s="11"/>
      <c r="D196" s="11"/>
      <c r="E196" s="11"/>
      <c r="F196" s="11"/>
      <c r="G196" s="11"/>
      <c r="H196" s="11"/>
      <c r="I196" s="55"/>
      <c r="J196" s="55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</row>
    <row r="197" spans="1:35" x14ac:dyDescent="0.25">
      <c r="A197" s="11"/>
      <c r="B197" s="11"/>
      <c r="C197" s="11"/>
      <c r="D197" s="11"/>
      <c r="E197" s="11"/>
      <c r="F197" s="11"/>
      <c r="G197" s="11"/>
      <c r="H197" s="11"/>
      <c r="I197" s="55"/>
      <c r="J197" s="55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</row>
    <row r="198" spans="1:35" x14ac:dyDescent="0.25">
      <c r="A198" s="11"/>
      <c r="B198" s="11"/>
      <c r="C198" s="11"/>
      <c r="D198" s="11"/>
      <c r="E198" s="11"/>
      <c r="F198" s="11"/>
      <c r="G198" s="11"/>
      <c r="H198" s="11"/>
      <c r="I198" s="55"/>
      <c r="J198" s="55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</row>
    <row r="199" spans="1:35" x14ac:dyDescent="0.25">
      <c r="A199" s="11"/>
      <c r="B199" s="11"/>
      <c r="C199" s="11"/>
      <c r="D199" s="11"/>
      <c r="E199" s="11"/>
      <c r="F199" s="11"/>
      <c r="G199" s="11"/>
      <c r="H199" s="11"/>
      <c r="I199" s="55"/>
      <c r="J199" s="55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</row>
    <row r="200" spans="1:35" x14ac:dyDescent="0.25">
      <c r="A200" s="11"/>
      <c r="B200" s="11"/>
      <c r="C200" s="11"/>
      <c r="D200" s="11"/>
      <c r="E200" s="11"/>
      <c r="F200" s="11"/>
      <c r="G200" s="11"/>
      <c r="H200" s="11"/>
      <c r="I200" s="55"/>
      <c r="J200" s="55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</row>
    <row r="201" spans="1:35" x14ac:dyDescent="0.25">
      <c r="A201" s="11"/>
      <c r="B201" s="11"/>
      <c r="C201" s="11"/>
      <c r="D201" s="11"/>
      <c r="E201" s="11"/>
      <c r="F201" s="11"/>
      <c r="G201" s="11"/>
      <c r="H201" s="11"/>
      <c r="I201" s="55"/>
      <c r="J201" s="55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</row>
    <row r="202" spans="1:35" x14ac:dyDescent="0.25">
      <c r="A202" s="11"/>
      <c r="B202" s="11"/>
      <c r="C202" s="11"/>
      <c r="D202" s="11"/>
      <c r="E202" s="11"/>
      <c r="F202" s="11"/>
      <c r="G202" s="11"/>
      <c r="H202" s="11"/>
      <c r="I202" s="55"/>
      <c r="J202" s="55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</row>
    <row r="203" spans="1:35" x14ac:dyDescent="0.25">
      <c r="A203" s="11"/>
      <c r="B203" s="11"/>
      <c r="C203" s="11"/>
      <c r="D203" s="11"/>
      <c r="E203" s="11"/>
      <c r="F203" s="11"/>
      <c r="G203" s="11"/>
      <c r="H203" s="11"/>
      <c r="I203" s="55"/>
      <c r="J203" s="55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</row>
    <row r="204" spans="1:35" x14ac:dyDescent="0.25">
      <c r="A204" s="11"/>
      <c r="B204" s="11"/>
      <c r="C204" s="11"/>
      <c r="D204" s="11"/>
      <c r="E204" s="11"/>
      <c r="F204" s="11"/>
      <c r="G204" s="11"/>
      <c r="H204" s="11"/>
      <c r="I204" s="55"/>
      <c r="J204" s="55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</row>
    <row r="205" spans="1:35" x14ac:dyDescent="0.25">
      <c r="A205" s="11"/>
      <c r="B205" s="11"/>
      <c r="C205" s="11"/>
      <c r="D205" s="11"/>
      <c r="E205" s="11"/>
      <c r="F205" s="11"/>
      <c r="G205" s="11"/>
      <c r="H205" s="11"/>
      <c r="I205" s="55"/>
      <c r="J205" s="55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</row>
    <row r="206" spans="1:35" x14ac:dyDescent="0.25">
      <c r="A206" s="11"/>
      <c r="B206" s="11"/>
      <c r="C206" s="11"/>
      <c r="D206" s="11"/>
      <c r="E206" s="11"/>
      <c r="F206" s="11"/>
      <c r="G206" s="11"/>
      <c r="H206" s="11"/>
      <c r="I206" s="55"/>
      <c r="J206" s="55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</row>
    <row r="207" spans="1:35" x14ac:dyDescent="0.25">
      <c r="A207" s="11"/>
      <c r="B207" s="11"/>
      <c r="C207" s="11"/>
      <c r="D207" s="11"/>
      <c r="E207" s="263"/>
      <c r="F207" s="11"/>
      <c r="G207" s="11"/>
      <c r="H207" s="11"/>
      <c r="I207" s="55"/>
      <c r="J207" s="55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</row>
    <row r="208" spans="1:35" x14ac:dyDescent="0.25">
      <c r="A208" s="11"/>
      <c r="B208" s="11"/>
      <c r="C208" s="11"/>
      <c r="D208" s="11"/>
      <c r="E208" s="11"/>
      <c r="F208" s="11"/>
      <c r="G208" s="11"/>
      <c r="H208" s="11"/>
      <c r="I208" s="55"/>
      <c r="J208" s="55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</row>
    <row r="209" spans="1:35" x14ac:dyDescent="0.25">
      <c r="A209" s="11"/>
      <c r="B209" s="11"/>
      <c r="C209" s="11"/>
      <c r="D209" s="11"/>
      <c r="E209" s="11"/>
      <c r="F209" s="11"/>
      <c r="G209" s="11"/>
      <c r="H209" s="11"/>
      <c r="I209" s="55"/>
      <c r="J209" s="55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</row>
    <row r="210" spans="1:35" x14ac:dyDescent="0.25">
      <c r="A210" s="11"/>
      <c r="B210" s="11"/>
      <c r="C210" s="11"/>
      <c r="D210" s="11"/>
      <c r="E210" s="11"/>
      <c r="F210" s="11"/>
      <c r="G210" s="11"/>
      <c r="H210" s="11"/>
      <c r="I210" s="55"/>
      <c r="J210" s="55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</row>
    <row r="211" spans="1:35" x14ac:dyDescent="0.25">
      <c r="A211" s="11"/>
      <c r="B211" s="11"/>
      <c r="C211" s="11"/>
      <c r="D211" s="11"/>
      <c r="E211" s="263"/>
      <c r="F211" s="11"/>
      <c r="G211" s="11"/>
      <c r="H211" s="11"/>
      <c r="I211" s="55"/>
      <c r="J211" s="55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</row>
  </sheetData>
  <sheetProtection algorithmName="SHA-512" hashValue="NoIvM9BvfzrABbMCcXDXDzFuEnUG+H+PnkhSKhAb70GvTiu/QO/sve/vCzRVbdD1u6hoxIz5hlmSWpDplfaFvw==" saltValue="daw3o2KLltzVeNwxPHiCiw==" spinCount="100000" sheet="1" scenarios="1"/>
  <mergeCells count="2">
    <mergeCell ref="AD31:AE31"/>
    <mergeCell ref="AG31:AH31"/>
  </mergeCells>
  <conditionalFormatting sqref="AD43 AF43:AG43 O43:AA43">
    <cfRule type="expression" dxfId="89" priority="15">
      <formula>ROUND(O42,2)&lt;&gt;ROUND(O43,2)</formula>
    </cfRule>
  </conditionalFormatting>
  <conditionalFormatting sqref="N43">
    <cfRule type="expression" dxfId="88" priority="14">
      <formula>$G43&lt;&gt;0</formula>
    </cfRule>
  </conditionalFormatting>
  <conditionalFormatting sqref="O53:AA53 AD53 AF53:AG53">
    <cfRule type="expression" dxfId="87" priority="13">
      <formula>ROUND(O52,2)&lt;&gt;ROUND(O53,2)</formula>
    </cfRule>
  </conditionalFormatting>
  <conditionalFormatting sqref="N53">
    <cfRule type="expression" dxfId="86" priority="12">
      <formula>$G53&lt;&gt;0</formula>
    </cfRule>
  </conditionalFormatting>
  <conditionalFormatting sqref="O63:AA63 AD63 AF63:AG63">
    <cfRule type="expression" dxfId="85" priority="11">
      <formula>ROUND(O62,2)&lt;&gt;ROUND(O63,2)</formula>
    </cfRule>
  </conditionalFormatting>
  <conditionalFormatting sqref="N63">
    <cfRule type="expression" dxfId="84" priority="10">
      <formula>$G63&lt;&gt;0</formula>
    </cfRule>
  </conditionalFormatting>
  <conditionalFormatting sqref="O73:AA73 AD73 AF73:AG73">
    <cfRule type="expression" dxfId="83" priority="9">
      <formula>ROUND(O72,2)&lt;&gt;ROUND(O73,2)</formula>
    </cfRule>
  </conditionalFormatting>
  <conditionalFormatting sqref="N73">
    <cfRule type="expression" dxfId="82" priority="8">
      <formula>$G73&lt;&gt;0</formula>
    </cfRule>
  </conditionalFormatting>
  <conditionalFormatting sqref="N82">
    <cfRule type="expression" dxfId="81" priority="7">
      <formula>$G82&lt;&gt;0</formula>
    </cfRule>
  </conditionalFormatting>
  <conditionalFormatting sqref="AD82 AF82:AG82 O82:AA82">
    <cfRule type="expression" dxfId="80" priority="6">
      <formula>ROUND(O81,2)&lt;&gt;ROUND(O82,2)</formula>
    </cfRule>
  </conditionalFormatting>
  <conditionalFormatting sqref="AI43">
    <cfRule type="expression" dxfId="79" priority="5">
      <formula>ROUND(AI42,2)&lt;&gt;ROUND(AI43,2)</formula>
    </cfRule>
  </conditionalFormatting>
  <conditionalFormatting sqref="AI53">
    <cfRule type="expression" dxfId="78" priority="4">
      <formula>ROUND(AI52,2)&lt;&gt;ROUND(AI53,2)</formula>
    </cfRule>
  </conditionalFormatting>
  <conditionalFormatting sqref="AI63">
    <cfRule type="expression" dxfId="77" priority="3">
      <formula>ROUND(AI62,2)&lt;&gt;ROUND(AI63,2)</formula>
    </cfRule>
  </conditionalFormatting>
  <conditionalFormatting sqref="AI73">
    <cfRule type="expression" dxfId="76" priority="2">
      <formula>ROUND(AI72,2)&lt;&gt;ROUND(AI73,2)</formula>
    </cfRule>
  </conditionalFormatting>
  <conditionalFormatting sqref="AI82">
    <cfRule type="expression" dxfId="75" priority="1">
      <formula>ROUND(AI81,2)&lt;&gt;ROUND(AI82,2)</formula>
    </cfRule>
  </conditionalFormatting>
  <dataValidations disablePrompts="1" count="2">
    <dataValidation type="list" allowBlank="1" sqref="B28" xr:uid="{00000000-0002-0000-0A00-000000000000}">
      <formula1>"ACCOUNT,BUSINESSUNIT,CATEGORY,DATASRC,DEPARTMENT,INTCO,MEASURES,RPTCURRENCY,TIME"</formula1>
    </dataValidation>
    <dataValidation type="list" allowBlank="1" sqref="B29" xr:uid="{00000000-0002-0000-0A00-000001000000}">
      <formula1>"SELF,ALL,BAS,DEP,BASMEMBERS,MEMBERS,NOEXPAND,GDEP"</formula1>
    </dataValidation>
  </dataValidations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rowBreaks count="1" manualBreakCount="1">
    <brk id="95" min="13" max="34" man="1"/>
  </rowBreaks>
  <customProperties>
    <customPr name="EpmWorksheetKeyString_GUID" r:id="rId2"/>
    <customPr name="FPMExcelClientCellBasedFunctionStatus" r:id="rId3"/>
    <customPr name="FPMExcelClientRefreshTime" r:id="rId4"/>
  </customProperties>
  <legacyDrawing r:id="rId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3">
    <tabColor theme="6" tint="0.39997558519241921"/>
    <pageSetUpPr fitToPage="1"/>
  </sheetPr>
  <dimension ref="A1:AO194"/>
  <sheetViews>
    <sheetView topLeftCell="K1" zoomScale="85" zoomScaleNormal="85" workbookViewId="0">
      <pane xSplit="4" ySplit="32" topLeftCell="O33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3" width="9.7109375" style="1" hidden="1" customWidth="1" outlineLevel="1"/>
    <col min="14" max="14" width="36.7109375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40" width="0" style="1" hidden="1" customWidth="1" outlineLevel="1"/>
    <col min="41" max="41" width="9.140625" style="1" collapsed="1"/>
    <col min="42" max="16384" width="9.140625" style="1"/>
  </cols>
  <sheetData>
    <row r="1" spans="1:41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517" t="s">
        <v>22</v>
      </c>
      <c r="H1" s="54" t="s">
        <v>729</v>
      </c>
      <c r="I1" s="11"/>
      <c r="J1" s="11"/>
      <c r="K1" s="11"/>
      <c r="L1" s="11"/>
      <c r="M1" s="11"/>
      <c r="N1" s="63" t="str">
        <f>IF(_epmOfflineCondition_,"",IF(OR(_xll.EVCGT($B$1,$B$6,$H$1,$H$2,$H$3,$H$4,$H$5,$H$6,$H$7,$H$8)="#RFR",_xll.EVCGT($B$1,$B$6,$H$1,$H$2,$H$3,$H$4,$H$5,$H$6,$H$7,$H$8)="#NODATA"),"",_xll.EVCGT($B$1,$B$6,$H$1,$H$2,$H$3,$H$4,$H$5,$H$6,$H$7,$H$8)))</f>
        <v/>
      </c>
      <c r="O1" s="11" t="s">
        <v>732</v>
      </c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</row>
    <row r="2" spans="1:41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517" t="s">
        <v>50</v>
      </c>
      <c r="H2" s="54" t="str">
        <f>"BU"&amp;RIGHT(B3,4)</f>
        <v>BU1334</v>
      </c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</row>
    <row r="3" spans="1:41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517" t="s">
        <v>19</v>
      </c>
      <c r="H3" s="54" t="s">
        <v>684</v>
      </c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517" t="s">
        <v>51</v>
      </c>
      <c r="H4" s="54" t="s">
        <v>731</v>
      </c>
      <c r="I4" s="55"/>
      <c r="J4" s="55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517" t="s">
        <v>53</v>
      </c>
      <c r="H5" s="54" t="s">
        <v>730</v>
      </c>
      <c r="I5" s="55"/>
      <c r="J5" s="55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idden="1" outlineLevel="1" x14ac:dyDescent="0.25">
      <c r="A6" s="49" t="s">
        <v>52</v>
      </c>
      <c r="B6" s="52" t="s">
        <v>733</v>
      </c>
      <c r="C6" s="11" t="str">
        <f>IF(_epmOfflineCondition_,"Venue 3",_xll.EVDES(B6,$B$1))</f>
        <v>Venue 3</v>
      </c>
      <c r="D6" s="11"/>
      <c r="E6" s="54" t="str">
        <f>IF(_epmOfflineCondition_,"D_VENUES",_xll.EVPRO($B$1,$B$6,$F$6))</f>
        <v>D_VENUES</v>
      </c>
      <c r="F6" s="11" t="s">
        <v>278</v>
      </c>
      <c r="G6" s="517" t="s">
        <v>20</v>
      </c>
      <c r="H6" s="54" t="s">
        <v>55</v>
      </c>
      <c r="I6" s="55"/>
      <c r="J6" s="55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517" t="s">
        <v>54</v>
      </c>
      <c r="H7" s="54" t="s">
        <v>62</v>
      </c>
      <c r="I7" s="55"/>
      <c r="J7" s="55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517" t="s">
        <v>18</v>
      </c>
      <c r="H8" s="54" t="s">
        <v>728</v>
      </c>
      <c r="I8" s="55"/>
      <c r="J8" s="55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59" t="str">
        <f>IF(SetUp!$O$1=TRUE,"TRAILING12",IF(AA17="CURRENT","ROLLINGFORECAST","PERIODIC"))</f>
        <v>PERIODIC</v>
      </c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11"/>
      <c r="M12" s="11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  <c r="AJ12" s="11"/>
      <c r="AK12" s="11"/>
      <c r="AL12" s="11"/>
      <c r="AM12" s="11"/>
      <c r="AN12" s="11"/>
      <c r="AO12" s="11"/>
    </row>
    <row r="13" spans="1:41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11"/>
      <c r="M13" s="11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  <c r="AJ13" s="11"/>
      <c r="AK13" s="11"/>
      <c r="AL13" s="11"/>
      <c r="AM13" s="11"/>
      <c r="AN13" s="11"/>
      <c r="AO13" s="11"/>
    </row>
    <row r="14" spans="1:41" hidden="1" outlineLevel="1" x14ac:dyDescent="0.25">
      <c r="A14" s="56" t="str">
        <f>IF(_epmOfflineCondition_,"Evdre:Ok",_xll.EVDRE($B$1,A17:B24,A27:B33))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11"/>
      <c r="M14" s="11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  <c r="AJ14" s="11"/>
      <c r="AK14" s="11"/>
      <c r="AL14" s="11"/>
      <c r="AM14" s="11"/>
      <c r="AN14" s="11"/>
      <c r="AO14" s="11"/>
    </row>
    <row r="15" spans="1:41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11"/>
      <c r="M15" s="11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  <c r="AJ15" s="11"/>
      <c r="AK15" s="11"/>
      <c r="AL15" s="11"/>
      <c r="AM15" s="11"/>
      <c r="AN15" s="11"/>
      <c r="AO15" s="11"/>
    </row>
    <row r="16" spans="1:41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11"/>
      <c r="M16" s="11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  <c r="AJ16" s="11"/>
      <c r="AK16" s="11"/>
      <c r="AL16" s="11"/>
      <c r="AM16" s="11"/>
      <c r="AN16" s="11"/>
      <c r="AO16" s="11"/>
    </row>
    <row r="17" spans="1:41" hidden="1" outlineLevel="1" x14ac:dyDescent="0.25">
      <c r="A17" s="61" t="s">
        <v>2</v>
      </c>
      <c r="B17" s="62" t="str">
        <f>IF(_epmOfflineCondition_,"'Venue3'!$B$2:$B$10",_xll.EVRNG($B$2:$B$10))</f>
        <v>'Venue3'!$B$2:$B$10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11"/>
      <c r="M17" s="11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 t="str">
        <f>Z17</f>
        <v>ACTUAL_CON</v>
      </c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  <c r="AJ17" s="11"/>
      <c r="AK17" s="11"/>
      <c r="AL17" s="11"/>
      <c r="AM17" s="11"/>
      <c r="AN17" s="11"/>
      <c r="AO17" s="11"/>
    </row>
    <row r="18" spans="1:41" hidden="1" outlineLevel="1" x14ac:dyDescent="0.25">
      <c r="A18" s="61" t="s">
        <v>3</v>
      </c>
      <c r="B18" s="62" t="str">
        <f>IF(_epmOfflineCondition_,"'Venue3'!$O$16:$AN$18",_xll.EVRNG($O$16:$AN$18))</f>
        <v>'Venue3'!$O$16:$AN$18</v>
      </c>
      <c r="C18" s="11"/>
      <c r="D18" s="11"/>
      <c r="E18" s="11"/>
      <c r="F18" s="11"/>
      <c r="G18" s="11"/>
      <c r="H18" s="11"/>
      <c r="I18" s="55"/>
      <c r="J18" s="55"/>
      <c r="K18" s="11"/>
      <c r="L18" s="11"/>
      <c r="M18" s="11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11"/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  <c r="AJ18" s="11"/>
      <c r="AK18" s="11"/>
      <c r="AL18" s="11"/>
      <c r="AM18" s="11"/>
      <c r="AN18" s="11"/>
      <c r="AO18" s="11"/>
    </row>
    <row r="19" spans="1:41" hidden="1" outlineLevel="1" x14ac:dyDescent="0.25">
      <c r="A19" s="61" t="s">
        <v>4</v>
      </c>
      <c r="B19" s="62" t="str">
        <f>IF(_epmOfflineCondition_,"'Venue3'!$H$35:$H$58",_xll.EVRNG(H35:H58))</f>
        <v>'Venue3'!$H$35:$H$58</v>
      </c>
      <c r="C19" s="11"/>
      <c r="D19" s="11"/>
      <c r="E19" s="11"/>
      <c r="F19" s="11"/>
      <c r="G19" s="63" t="str">
        <f>$B$6</f>
        <v>D2142</v>
      </c>
      <c r="H19" s="63">
        <v>400000</v>
      </c>
      <c r="I19" s="64"/>
      <c r="J19" s="64"/>
      <c r="K19" s="63"/>
      <c r="L19" s="63"/>
      <c r="M19" s="63"/>
      <c r="N19" s="63" t="str">
        <f>IF(_epmOfflineCondition_,"Total Revenue",_xll.EVDES(H19))</f>
        <v>Total Revenue</v>
      </c>
      <c r="O19" s="65">
        <f>IF(_epmOfflineCondition_,0,_xll.EVGTS($B$1,1,$B$3,$B$5,$B$7,$B$9,O$16,O$17,O$18,$G$19,$H$19))</f>
        <v>0</v>
      </c>
      <c r="P19" s="65">
        <f>IF(_epmOfflineCondition_,0,_xll.EVGTS($B$1,1,$B$3,$B$5,$B$7,$B$9,P$16,P$17,P$18,$G$19,$H$19))</f>
        <v>0</v>
      </c>
      <c r="Q19" s="65">
        <f>IF(_epmOfflineCondition_,0,_xll.EVGTS($B$1,1,$B$3,$B$5,$B$7,$B$9,Q$16,Q$17,Q$18,$G$19,$H$19))</f>
        <v>0</v>
      </c>
      <c r="R19" s="65">
        <f>IF(_epmOfflineCondition_,0,_xll.EVGTS($B$1,1,$B$3,$B$5,$B$7,$B$9,R$16,R$17,R$18,$G$19,$H$19))</f>
        <v>0</v>
      </c>
      <c r="S19" s="65">
        <f>IF(_epmOfflineCondition_,0,_xll.EVGTS($B$1,1,$B$3,$B$5,$B$7,$B$9,S$16,S$17,S$18,$G$19,$H$19))</f>
        <v>0</v>
      </c>
      <c r="T19" s="65">
        <f>IF(_epmOfflineCondition_,0,_xll.EVGTS($B$1,1,$B$3,$B$5,$B$7,$B$9,T$16,T$17,T$18,$G$19,$H$19))</f>
        <v>0</v>
      </c>
      <c r="U19" s="65">
        <f>IF(_epmOfflineCondition_,0,_xll.EVGTS($B$1,1,$B$3,$B$5,$B$7,$B$9,U$16,U$17,U$18,$G$19,$H$19))</f>
        <v>0</v>
      </c>
      <c r="V19" s="65">
        <f>IF(_epmOfflineCondition_,0,_xll.EVGTS($B$1,1,$B$3,$B$5,$B$7,$B$9,V$16,V$17,V$18,$G$19,$H$19))</f>
        <v>0</v>
      </c>
      <c r="W19" s="65">
        <f>IF(_epmOfflineCondition_,0,_xll.EVGTS($B$1,1,$B$3,$B$5,$B$7,$B$9,W$16,W$17,W$18,$G$19,$H$19))</f>
        <v>0</v>
      </c>
      <c r="X19" s="65">
        <f>IF(_epmOfflineCondition_,0,_xll.EVGTS($B$1,1,$B$3,$B$5,$B$7,$B$9,X$16,X$17,X$18,$G$19,$H$19))</f>
        <v>0</v>
      </c>
      <c r="Y19" s="65">
        <f>IF(_epmOfflineCondition_,0,_xll.EVGTS($B$1,1,$B$3,$B$5,$B$7,$B$9,Y$16,Y$17,Y$18,$G$19,$H$19))</f>
        <v>0</v>
      </c>
      <c r="Z19" s="65">
        <f>IF(_epmOfflineCondition_,0,_xll.EVGTS($B$1,1,$B$3,$B$5,$B$7,$B$9,Z$16,Z$17,Z$18,$G$19,$H$19))</f>
        <v>0</v>
      </c>
      <c r="AA19" s="65">
        <f>SUM(O19:Z19)</f>
        <v>0</v>
      </c>
      <c r="AB19" s="63"/>
      <c r="AC19" s="63"/>
      <c r="AD19" s="65">
        <f>IF(_epmOfflineCondition_,0,_xll.EVGTS($B$1,1,$B$3,$B$5,$B$7,$B$9,AD$16,AD$17,AD$18,$G$19,$H$19))</f>
        <v>0</v>
      </c>
      <c r="AE19" s="63"/>
      <c r="AF19" s="63"/>
      <c r="AG19" s="65">
        <f>IF(_epmOfflineCondition_,0,_xll.EVGTS($B$1,1,$B$3,$B$5,$B$7,$B$9,AG$16,AG$17,AG$18,$G$19,$H$19))</f>
        <v>0</v>
      </c>
      <c r="AH19" s="63"/>
      <c r="AI19" s="63"/>
      <c r="AJ19" s="11"/>
      <c r="AK19" s="11"/>
      <c r="AL19" s="11"/>
      <c r="AM19" s="11"/>
      <c r="AN19" s="11"/>
      <c r="AO19" s="11"/>
    </row>
    <row r="20" spans="1:41" hidden="1" outlineLevel="1" x14ac:dyDescent="0.25">
      <c r="A20" s="61" t="s">
        <v>5</v>
      </c>
      <c r="B20" s="62"/>
      <c r="C20" s="11"/>
      <c r="D20" s="11"/>
      <c r="E20" s="11"/>
      <c r="F20" s="11"/>
      <c r="G20" s="63" t="str">
        <f>$B$6</f>
        <v>D2142</v>
      </c>
      <c r="H20" s="63">
        <v>946000</v>
      </c>
      <c r="I20" s="64"/>
      <c r="J20" s="64"/>
      <c r="K20" s="63"/>
      <c r="L20" s="64"/>
      <c r="M20" s="64"/>
      <c r="N20" s="63" t="str">
        <f>IF(_epmOfflineCondition_,"Total Customers",_xll.EVDES(H20))</f>
        <v>Total Customers</v>
      </c>
      <c r="O20" s="65">
        <f>IF(_epmOfflineCondition_,0,_xll.EVGTS($B$1,1,$B$3,$B$5,$B$7,$B$9,O$16,O$17,O$18,$G$20,$H$20))</f>
        <v>0</v>
      </c>
      <c r="P20" s="65">
        <f>IF(_epmOfflineCondition_,0,_xll.EVGTS($B$1,1,$B$3,$B$5,$B$7,$B$9,P$16,P$17,P$18,$G$20,$H$20))</f>
        <v>0</v>
      </c>
      <c r="Q20" s="65">
        <f>IF(_epmOfflineCondition_,0,_xll.EVGTS($B$1,1,$B$3,$B$5,$B$7,$B$9,Q$16,Q$17,Q$18,$G$20,$H$20))</f>
        <v>0</v>
      </c>
      <c r="R20" s="65">
        <f>IF(_epmOfflineCondition_,0,_xll.EVGTS($B$1,1,$B$3,$B$5,$B$7,$B$9,R$16,R$17,R$18,$G$20,$H$20))</f>
        <v>0</v>
      </c>
      <c r="S20" s="65">
        <f>IF(_epmOfflineCondition_,0,_xll.EVGTS($B$1,1,$B$3,$B$5,$B$7,$B$9,S$16,S$17,S$18,$G$20,$H$20))</f>
        <v>0</v>
      </c>
      <c r="T20" s="65">
        <f>IF(_epmOfflineCondition_,0,_xll.EVGTS($B$1,1,$B$3,$B$5,$B$7,$B$9,T$16,T$17,T$18,$G$20,$H$20))</f>
        <v>0</v>
      </c>
      <c r="U20" s="65">
        <f>IF(_epmOfflineCondition_,0,_xll.EVGTS($B$1,1,$B$3,$B$5,$B$7,$B$9,U$16,U$17,U$18,$G$20,$H$20))</f>
        <v>0</v>
      </c>
      <c r="V20" s="65">
        <f>IF(_epmOfflineCondition_,0,_xll.EVGTS($B$1,1,$B$3,$B$5,$B$7,$B$9,V$16,V$17,V$18,$G$20,$H$20))</f>
        <v>0</v>
      </c>
      <c r="W20" s="65">
        <f>IF(_epmOfflineCondition_,0,_xll.EVGTS($B$1,1,$B$3,$B$5,$B$7,$B$9,W$16,W$17,W$18,$G$20,$H$20))</f>
        <v>0</v>
      </c>
      <c r="X20" s="65">
        <f>IF(_epmOfflineCondition_,0,_xll.EVGTS($B$1,1,$B$3,$B$5,$B$7,$B$9,X$16,X$17,X$18,$G$20,$H$20))</f>
        <v>0</v>
      </c>
      <c r="Y20" s="65">
        <f>IF(_epmOfflineCondition_,0,_xll.EVGTS($B$1,1,$B$3,$B$5,$B$7,$B$9,Y$16,Y$17,Y$18,$G$20,$H$20))</f>
        <v>0</v>
      </c>
      <c r="Z20" s="65">
        <f>IF(_epmOfflineCondition_,0,_xll.EVGTS($B$1,1,$B$3,$B$5,$B$7,$B$9,Z$16,Z$17,Z$18,$G$20,$H$20))</f>
        <v>0</v>
      </c>
      <c r="AA20" s="65">
        <f>SUM(O20:Z20)</f>
        <v>0</v>
      </c>
      <c r="AB20" s="63"/>
      <c r="AC20" s="63"/>
      <c r="AD20" s="65">
        <f>IF(_epmOfflineCondition_,0,_xll.EVGTS($B$1,1,$B$3,$B$5,$B$7,$B$9,AD$16,AD$17,AD$18,$G$20,$H$20))</f>
        <v>0</v>
      </c>
      <c r="AE20" s="63"/>
      <c r="AF20" s="63"/>
      <c r="AG20" s="65">
        <f>IF(_epmOfflineCondition_,0,_xll.EVGTS($B$1,1,$B$3,$B$5,$B$7,$B$9,AG$16,AG$17,AG$18,$G$20,$H$20))</f>
        <v>0</v>
      </c>
      <c r="AH20" s="63"/>
      <c r="AI20" s="63"/>
      <c r="AJ20" s="11"/>
      <c r="AK20" s="11"/>
      <c r="AL20" s="11"/>
      <c r="AM20" s="11"/>
      <c r="AN20" s="11"/>
      <c r="AO20" s="11"/>
    </row>
    <row r="21" spans="1:41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idden="1" outlineLevel="1" x14ac:dyDescent="0.25">
      <c r="A22" s="61" t="s">
        <v>7</v>
      </c>
      <c r="B22" s="62" t="str">
        <f>IF(_epmOfflineCondition_,"'Venue3'!$A$36:$F$44",_xll.EVRNG(A36:F44))</f>
        <v>'Venue3'!$A$36:$F$44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idden="1" outlineLevel="1" x14ac:dyDescent="0.25">
      <c r="A23" s="61" t="s">
        <v>47</v>
      </c>
      <c r="B23" s="62" t="str">
        <f>IF(_epmOfflineCondition_,"'Venue3'!$A$125:$B$146",_xll.EVRNG($A$125:$B$146))</f>
        <v>'Venue3'!$A$125:$B$146</v>
      </c>
      <c r="C23" s="11"/>
      <c r="D23" s="11"/>
      <c r="E23" s="11"/>
      <c r="F23" s="11"/>
      <c r="G23" s="11"/>
      <c r="H23" s="11"/>
      <c r="I23" s="55"/>
      <c r="J23" s="55"/>
      <c r="K23" s="6"/>
      <c r="L23" s="6"/>
      <c r="M23" s="6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380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22.5" x14ac:dyDescent="0.3">
      <c r="A26" s="57" t="s">
        <v>9</v>
      </c>
      <c r="B26" s="58" t="s">
        <v>10</v>
      </c>
      <c r="C26" s="11"/>
      <c r="D26" s="11"/>
      <c r="E26" s="11"/>
      <c r="F26" s="11"/>
      <c r="G26" s="11"/>
      <c r="H26" s="11"/>
      <c r="I26" s="55"/>
      <c r="J26" s="55"/>
      <c r="K26" s="11"/>
      <c r="L26" s="11"/>
      <c r="M26" s="11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8" x14ac:dyDescent="0.25">
      <c r="A27" s="61" t="s">
        <v>11</v>
      </c>
      <c r="B27" s="62" t="s">
        <v>21</v>
      </c>
      <c r="C27" s="11"/>
      <c r="D27" s="11"/>
      <c r="E27" s="11"/>
      <c r="F27" s="11"/>
      <c r="G27" s="11"/>
      <c r="H27" s="11"/>
      <c r="I27" s="55"/>
      <c r="J27" s="55"/>
      <c r="K27" s="11"/>
      <c r="L27" s="11"/>
      <c r="M27" s="11"/>
      <c r="N27" s="67" t="str">
        <f>IF(_epmOfflineCondition_,"Venue 3 Department",IF($N$1="",IF(_xll.EVDES(B6,$B$1)="#NODATA","",_xll.EVDES(B6,$B$1)&amp;" Department"),$N$1))</f>
        <v>Venue 3 Department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x14ac:dyDescent="0.25">
      <c r="A28" s="61" t="s">
        <v>12</v>
      </c>
      <c r="B28" s="62" t="s">
        <v>22</v>
      </c>
      <c r="C28" s="11"/>
      <c r="D28" s="11"/>
      <c r="E28" s="11"/>
      <c r="F28" s="11"/>
      <c r="G28" s="11"/>
      <c r="H28" s="11"/>
      <c r="I28" s="55"/>
      <c r="J28" s="55"/>
      <c r="K28" s="11"/>
      <c r="L28" s="11"/>
      <c r="M28" s="11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" customHeight="1" x14ac:dyDescent="0.25">
      <c r="A29" s="61" t="s">
        <v>13</v>
      </c>
      <c r="B29" s="62" t="str">
        <f>"DEP(REV_F) AND "&amp;$E$6&amp;"=Y,REV_F,BEV,DEP(REV_BEV) AND "&amp;$E$6&amp;"=Y,REV_BEV,ALLOW_FB,REV_FB,OTHR_REV,DEP(REV_OTHR) AND "&amp;$E$6&amp;"=Y,REV_OTHR,400000"</f>
        <v>DEP(REV_F) AND D_VENUES=Y,REV_F,BEV,DEP(REV_BEV) AND D_VENUES=Y,REV_BEV,ALLOW_FB,REV_FB,OTHR_REV,DEP(REV_OTHR) AND D_VENUES=Y,REV_OTHR,400000</v>
      </c>
      <c r="C29" s="11"/>
      <c r="D29" s="11"/>
      <c r="E29" s="11"/>
      <c r="F29" s="11"/>
      <c r="G29" s="11"/>
      <c r="H29" s="11"/>
      <c r="I29" s="55"/>
      <c r="J29" s="55"/>
      <c r="K29" s="11"/>
      <c r="L29" s="11"/>
      <c r="M29" s="11"/>
      <c r="N29" s="68" t="str">
        <f>IF(_epmOfflineCondition_,"Local Currency",_xll.EVDES(B9,B1))</f>
        <v>Local Currency</v>
      </c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x14ac:dyDescent="0.25">
      <c r="A30" s="61" t="s">
        <v>14</v>
      </c>
      <c r="B30" s="62"/>
      <c r="C30" s="11"/>
      <c r="D30" s="11"/>
      <c r="E30" s="11"/>
      <c r="F30" s="11"/>
      <c r="G30" s="11"/>
      <c r="H30" s="11"/>
      <c r="I30" s="55"/>
      <c r="J30" s="55"/>
      <c r="K30" s="11"/>
      <c r="L30" s="11"/>
      <c r="M30" s="11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  <c r="AJ30" s="69" t="s">
        <v>752</v>
      </c>
      <c r="AK30" s="70"/>
      <c r="AL30" s="71"/>
      <c r="AM30" s="70" t="s">
        <v>751</v>
      </c>
      <c r="AN30" s="70"/>
      <c r="AO30" s="11"/>
    </row>
    <row r="31" spans="1:41" x14ac:dyDescent="0.25">
      <c r="A31" s="61" t="s">
        <v>15</v>
      </c>
      <c r="B31" s="62"/>
      <c r="C31" s="11"/>
      <c r="D31" s="11"/>
      <c r="E31" s="11"/>
      <c r="F31" s="11"/>
      <c r="G31" s="72"/>
      <c r="H31" s="11"/>
      <c r="I31" s="55"/>
      <c r="J31" s="55"/>
      <c r="K31" s="55"/>
      <c r="L31" s="55"/>
      <c r="M31" s="55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  <c r="AJ31" s="73" t="str">
        <f>IF(_epmOfflineCondition_,"2019",_xll.EVPRO($B$1,AA$16,"YEAR"))</f>
        <v>2019</v>
      </c>
      <c r="AK31" s="76" t="str">
        <f>IF(_epmOfflineCondition_,"2019",_xll.EVPRO($B$1,AD$16,"YEAR"))</f>
        <v>2019</v>
      </c>
      <c r="AL31" s="76" t="str">
        <f>IF(_epmOfflineCondition_,"2018",_xll.EVPRO($B$1,AG$16,"YEAR"))</f>
        <v>2018</v>
      </c>
      <c r="AM31" s="73" t="str">
        <f>"vs "&amp;AK31</f>
        <v>vs 2019</v>
      </c>
      <c r="AN31" s="73" t="str">
        <f>"vs "&amp;AL31</f>
        <v>vs 2018</v>
      </c>
      <c r="AO31" s="11"/>
    </row>
    <row r="32" spans="1:41" s="8" customFormat="1" ht="30" customHeight="1" x14ac:dyDescent="0.25">
      <c r="A32" s="77" t="s">
        <v>16</v>
      </c>
      <c r="B32" s="78"/>
      <c r="C32" s="79"/>
      <c r="D32" s="79"/>
      <c r="E32" s="79"/>
      <c r="F32" s="79"/>
      <c r="G32" s="359"/>
      <c r="H32" s="80"/>
      <c r="I32" s="81"/>
      <c r="J32" s="81"/>
      <c r="K32" s="174" t="s">
        <v>117</v>
      </c>
      <c r="L32" s="174"/>
      <c r="M32" s="174"/>
      <c r="N32" s="82" t="s">
        <v>120</v>
      </c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  <c r="AJ32" s="83" t="str">
        <f>Z32</f>
        <v>Actual</v>
      </c>
      <c r="AK32" s="76" t="str">
        <f>AD32</f>
        <v>Budget</v>
      </c>
      <c r="AL32" s="83" t="str">
        <f>AG32</f>
        <v>Actual</v>
      </c>
      <c r="AM32" s="73" t="s">
        <v>748</v>
      </c>
      <c r="AN32" s="73" t="s">
        <v>748</v>
      </c>
      <c r="AO32" s="79"/>
    </row>
    <row r="33" spans="1:41" x14ac:dyDescent="0.25">
      <c r="A33" s="61" t="s">
        <v>17</v>
      </c>
      <c r="B33" s="62"/>
      <c r="C33" s="11"/>
      <c r="D33" s="11"/>
      <c r="E33" s="11"/>
      <c r="F33" s="11"/>
      <c r="G33" s="11"/>
      <c r="H33" s="11" t="s">
        <v>69</v>
      </c>
      <c r="I33" s="55" t="str">
        <f>IF(_epmOfflineCondition_,"B1",_xll.EVPRO($B$1,$H33,"STYLE"))</f>
        <v>B1</v>
      </c>
      <c r="J33" s="55" t="str">
        <f>IF(_epmOfflineCondition_,"Y",_xll.EVPRO($B$1,$H33,"CALC"))</f>
        <v>Y</v>
      </c>
      <c r="K33" s="11"/>
      <c r="L33" s="11"/>
      <c r="M33" s="11"/>
      <c r="N33" s="101" t="str">
        <f>IF(_epmOfflineCondition_,"Revenues",IF(_xll.EVDES(H33,$B$1)="#NODATA","",_xll.EVDES(H33,$B$1)))</f>
        <v>Revenues</v>
      </c>
      <c r="O33" s="125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7"/>
      <c r="AC33" s="11"/>
      <c r="AD33" s="125"/>
      <c r="AE33" s="126"/>
      <c r="AF33" s="127"/>
      <c r="AG33" s="125"/>
      <c r="AH33" s="126"/>
      <c r="AI33" s="127"/>
      <c r="AJ33" s="11"/>
      <c r="AK33" s="11"/>
      <c r="AL33" s="11"/>
      <c r="AM33" s="11"/>
      <c r="AN33" s="11"/>
      <c r="AO33" s="11"/>
    </row>
    <row r="34" spans="1:41" x14ac:dyDescent="0.25">
      <c r="A34" s="11"/>
      <c r="B34" s="11"/>
      <c r="C34" s="11"/>
      <c r="D34" s="11"/>
      <c r="E34" s="11"/>
      <c r="F34" s="11"/>
      <c r="G34" s="11"/>
      <c r="H34" s="11" t="s">
        <v>259</v>
      </c>
      <c r="I34" s="55" t="str">
        <f>IF(_epmOfflineCondition_,"B1",_xll.EVPRO($B$1,$H34,"STYLE"))</f>
        <v>B1</v>
      </c>
      <c r="J34" s="55" t="str">
        <f>IF(_epmOfflineCondition_,"Y",_xll.EVPRO($B$1,$H34,"CALC"))</f>
        <v>Y</v>
      </c>
      <c r="K34" s="11"/>
      <c r="L34" s="129" t="s">
        <v>364</v>
      </c>
      <c r="M34" s="129" t="s">
        <v>783</v>
      </c>
      <c r="N34" s="49" t="str">
        <f>IF(_epmOfflineCondition_,"Food Revenue",IF(_xll.EVDES(H34,$B$1)="#NODATA","",_xll.EVDES(H34,$B$1)))</f>
        <v>Food Revenue</v>
      </c>
      <c r="O34" s="199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114"/>
      <c r="AC34" s="11"/>
      <c r="AD34" s="199"/>
      <c r="AE34" s="200"/>
      <c r="AF34" s="114"/>
      <c r="AG34" s="199"/>
      <c r="AH34" s="200"/>
      <c r="AI34" s="114"/>
      <c r="AJ34" s="11"/>
      <c r="AK34" s="11"/>
      <c r="AL34" s="11"/>
      <c r="AM34" s="11"/>
      <c r="AN34" s="11"/>
      <c r="AO34" s="11"/>
    </row>
    <row r="35" spans="1:41" x14ac:dyDescent="0.25">
      <c r="A35" s="93" t="s">
        <v>92</v>
      </c>
      <c r="B35" s="94" t="s">
        <v>93</v>
      </c>
      <c r="C35" s="94" t="s">
        <v>94</v>
      </c>
      <c r="D35" s="94" t="s">
        <v>95</v>
      </c>
      <c r="E35" s="94" t="s">
        <v>96</v>
      </c>
      <c r="F35" s="95" t="s">
        <v>97</v>
      </c>
      <c r="G35" s="11"/>
      <c r="H35" s="84" t="s">
        <v>260</v>
      </c>
      <c r="I35" s="118" t="str">
        <f>IF(_epmOfflineCondition_,"T5",_xll.EVPRO($B$1,$H35,"STYLE"))</f>
        <v>T5</v>
      </c>
      <c r="J35" s="118" t="str">
        <f>IF(_epmOfflineCondition_,"Y",_xll.EVPRO($B$1,$H35,"CALC"))</f>
        <v>Y</v>
      </c>
      <c r="K35" s="175" t="str">
        <f t="shared" ref="K35:K58" si="0">IF(AND(I35&gt;="T5"),"&gt;","")</f>
        <v>&gt;</v>
      </c>
      <c r="L35" s="86" t="str">
        <f>IF(_epmOfflineCondition_,"461100",_xll.EVPRO($B$1,H35,"JDEID"))</f>
        <v>461100</v>
      </c>
      <c r="M35" s="86" t="str">
        <f>IF(_epmOfflineCondition_,"",IF(AND(I35="N",J35="N"),_xll.EVPRO($B$1,H35,"PSFTID"),""))</f>
        <v/>
      </c>
      <c r="N35" s="86" t="str">
        <f>IF(_epmOfflineCondition_,"Breakfast Food",IF(_xll.EVDES(H35,$B$1)="#NODATA","",_xll.EVDES(H35,$B$1)))</f>
        <v>Breakfast Food</v>
      </c>
      <c r="O35" s="453"/>
      <c r="P35" s="223"/>
      <c r="Q35" s="223"/>
      <c r="R35" s="223"/>
      <c r="S35" s="223"/>
      <c r="T35" s="223"/>
      <c r="U35" s="223"/>
      <c r="V35" s="223"/>
      <c r="W35" s="223"/>
      <c r="X35" s="223"/>
      <c r="Y35" s="223"/>
      <c r="Z35" s="223"/>
      <c r="AA35" s="223">
        <f t="shared" ref="AA35:AA58" si="1">IF($I35="B1","",SUM(O35:Z35))</f>
        <v>0</v>
      </c>
      <c r="AB35" s="454" t="str">
        <f t="shared" ref="AB35:AB58" si="2">IF(AA35=0,"",IFERROR(AA35/AA$19,""))</f>
        <v/>
      </c>
      <c r="AC35" s="528"/>
      <c r="AD35" s="223"/>
      <c r="AE35" s="454" t="str">
        <f t="shared" ref="AE35:AE58" si="3">IF(AD35=0,"",IFERROR(AD35/AD$19,""))</f>
        <v/>
      </c>
      <c r="AF35" s="456">
        <f t="shared" ref="AF35:AF58" si="4">IF(AND($AA35="",AD35=""),"",$AA35-AD35)</f>
        <v>0</v>
      </c>
      <c r="AG35" s="223"/>
      <c r="AH35" s="454" t="str">
        <f t="shared" ref="AH35:AH58" si="5">IF(AG35=0,"",IFERROR(AG35/AG$19,""))</f>
        <v/>
      </c>
      <c r="AI35" s="457">
        <f t="shared" ref="AI35:AI58" si="6">IF(AND($AA35="",AG35=""),"",$AA35-AG35)</f>
        <v>0</v>
      </c>
      <c r="AJ35" s="458">
        <f t="shared" ref="AJ35:AJ58" si="7">IFERROR(AA35/AA$20,0)</f>
        <v>0</v>
      </c>
      <c r="AK35" s="459">
        <f t="shared" ref="AK35:AK58" si="8">IFERROR(AD35/AD$20,0)</f>
        <v>0</v>
      </c>
      <c r="AL35" s="460">
        <f t="shared" ref="AL35:AL58" si="9">IFERROR(AG35/AG$20,0)</f>
        <v>0</v>
      </c>
      <c r="AM35" s="461">
        <f t="shared" ref="AM35:AM58" si="10">+IFERROR(ROUND(($AB35-AE35)*100,2)&amp;" pts.",0)</f>
        <v>0</v>
      </c>
      <c r="AN35" s="462">
        <f t="shared" ref="AN35:AN58" si="11">+IFERROR(ROUND(($AB35-AH35)*100,2)&amp;" pts.",0)</f>
        <v>0</v>
      </c>
      <c r="AO35" s="11"/>
    </row>
    <row r="36" spans="1:41" x14ac:dyDescent="0.25">
      <c r="A36" s="11"/>
      <c r="B36" s="11"/>
      <c r="C36" s="11"/>
      <c r="D36" s="11"/>
      <c r="E36" s="11"/>
      <c r="F36" s="11"/>
      <c r="G36" s="11"/>
      <c r="H36" s="84" t="s">
        <v>261</v>
      </c>
      <c r="I36" s="118" t="str">
        <f>IF(_epmOfflineCondition_,"T5",_xll.EVPRO($B$1,$H36,"STYLE"))</f>
        <v>T5</v>
      </c>
      <c r="J36" s="118" t="str">
        <f>IF(_epmOfflineCondition_,"Y",_xll.EVPRO($B$1,$H36,"CALC"))</f>
        <v>Y</v>
      </c>
      <c r="K36" s="175" t="str">
        <f t="shared" si="0"/>
        <v>&gt;</v>
      </c>
      <c r="L36" s="86" t="str">
        <f>IF(_epmOfflineCondition_,"462100",_xll.EVPRO($B$1,H36,"JDEID"))</f>
        <v>462100</v>
      </c>
      <c r="M36" s="86" t="str">
        <f>IF(_epmOfflineCondition_,"",IF(AND(I36="N",J36="N"),_xll.EVPRO($B$1,H36,"PSFTID"),""))</f>
        <v/>
      </c>
      <c r="N36" s="86" t="str">
        <f>IF(_epmOfflineCondition_,"Lunch Food",IF(_xll.EVDES(H36,$B$1)="#NODATA","",_xll.EVDES(H36,$B$1)))</f>
        <v>Lunch Food</v>
      </c>
      <c r="O36" s="453"/>
      <c r="P36" s="223"/>
      <c r="Q36" s="223"/>
      <c r="R36" s="223"/>
      <c r="S36" s="223"/>
      <c r="T36" s="223"/>
      <c r="U36" s="223"/>
      <c r="V36" s="223"/>
      <c r="W36" s="223"/>
      <c r="X36" s="223"/>
      <c r="Y36" s="223"/>
      <c r="Z36" s="223"/>
      <c r="AA36" s="223">
        <f t="shared" si="1"/>
        <v>0</v>
      </c>
      <c r="AB36" s="454" t="str">
        <f t="shared" si="2"/>
        <v/>
      </c>
      <c r="AC36" s="528"/>
      <c r="AD36" s="223"/>
      <c r="AE36" s="454" t="str">
        <f t="shared" si="3"/>
        <v/>
      </c>
      <c r="AF36" s="456">
        <f t="shared" si="4"/>
        <v>0</v>
      </c>
      <c r="AG36" s="223"/>
      <c r="AH36" s="454" t="str">
        <f t="shared" si="5"/>
        <v/>
      </c>
      <c r="AI36" s="457">
        <f t="shared" si="6"/>
        <v>0</v>
      </c>
      <c r="AJ36" s="458">
        <f t="shared" si="7"/>
        <v>0</v>
      </c>
      <c r="AK36" s="459">
        <f t="shared" si="8"/>
        <v>0</v>
      </c>
      <c r="AL36" s="460">
        <f t="shared" si="9"/>
        <v>0</v>
      </c>
      <c r="AM36" s="461">
        <f t="shared" si="10"/>
        <v>0</v>
      </c>
      <c r="AN36" s="462">
        <f t="shared" si="11"/>
        <v>0</v>
      </c>
      <c r="AO36" s="11"/>
    </row>
    <row r="37" spans="1:41" x14ac:dyDescent="0.25">
      <c r="A37" s="11" t="s">
        <v>209</v>
      </c>
      <c r="B37" s="11" t="s">
        <v>21</v>
      </c>
      <c r="C37" s="391"/>
      <c r="D37" s="11" t="s">
        <v>590</v>
      </c>
      <c r="E37" s="11"/>
      <c r="F37" s="11" t="s">
        <v>99</v>
      </c>
      <c r="G37" s="11"/>
      <c r="H37" s="84" t="s">
        <v>262</v>
      </c>
      <c r="I37" s="118" t="str">
        <f>IF(_epmOfflineCondition_,"T5",_xll.EVPRO($B$1,$H37,"STYLE"))</f>
        <v>T5</v>
      </c>
      <c r="J37" s="118" t="str">
        <f>IF(_epmOfflineCondition_,"Y",_xll.EVPRO($B$1,$H37,"CALC"))</f>
        <v>Y</v>
      </c>
      <c r="K37" s="175" t="str">
        <f t="shared" si="0"/>
        <v>&gt;</v>
      </c>
      <c r="L37" s="86" t="str">
        <f>IF(_epmOfflineCondition_,"463100",_xll.EVPRO($B$1,H37,"JDEID"))</f>
        <v>463100</v>
      </c>
      <c r="M37" s="86" t="str">
        <f>IF(_epmOfflineCondition_,"",IF(AND(I37="N",J37="N"),_xll.EVPRO($B$1,H37,"PSFTID"),""))</f>
        <v/>
      </c>
      <c r="N37" s="86" t="str">
        <f>IF(_epmOfflineCondition_,"Dinner Food",IF(_xll.EVDES(H37,$B$1)="#NODATA","",_xll.EVDES(H37,$B$1)))</f>
        <v>Dinner Food</v>
      </c>
      <c r="O37" s="453"/>
      <c r="P37" s="223"/>
      <c r="Q37" s="223"/>
      <c r="R37" s="223"/>
      <c r="S37" s="223"/>
      <c r="T37" s="223"/>
      <c r="U37" s="223"/>
      <c r="V37" s="223"/>
      <c r="W37" s="223"/>
      <c r="X37" s="223"/>
      <c r="Y37" s="223"/>
      <c r="Z37" s="223"/>
      <c r="AA37" s="223">
        <f t="shared" si="1"/>
        <v>0</v>
      </c>
      <c r="AB37" s="454" t="str">
        <f t="shared" si="2"/>
        <v/>
      </c>
      <c r="AC37" s="528"/>
      <c r="AD37" s="223"/>
      <c r="AE37" s="454" t="str">
        <f t="shared" si="3"/>
        <v/>
      </c>
      <c r="AF37" s="456">
        <f t="shared" si="4"/>
        <v>0</v>
      </c>
      <c r="AG37" s="223"/>
      <c r="AH37" s="454" t="str">
        <f t="shared" si="5"/>
        <v/>
      </c>
      <c r="AI37" s="457">
        <f t="shared" si="6"/>
        <v>0</v>
      </c>
      <c r="AJ37" s="458">
        <f t="shared" si="7"/>
        <v>0</v>
      </c>
      <c r="AK37" s="459">
        <f t="shared" si="8"/>
        <v>0</v>
      </c>
      <c r="AL37" s="460">
        <f t="shared" si="9"/>
        <v>0</v>
      </c>
      <c r="AM37" s="461">
        <f t="shared" si="10"/>
        <v>0</v>
      </c>
      <c r="AN37" s="462">
        <f t="shared" si="11"/>
        <v>0</v>
      </c>
      <c r="AO37" s="11"/>
    </row>
    <row r="38" spans="1:41" x14ac:dyDescent="0.25">
      <c r="A38" s="11" t="s">
        <v>105</v>
      </c>
      <c r="B38" s="11"/>
      <c r="C38" s="100" t="s">
        <v>101</v>
      </c>
      <c r="D38" s="11" t="s">
        <v>106</v>
      </c>
      <c r="E38" s="11"/>
      <c r="F38" s="11" t="s">
        <v>98</v>
      </c>
      <c r="G38" s="11"/>
      <c r="H38" s="84" t="s">
        <v>263</v>
      </c>
      <c r="I38" s="118" t="str">
        <f>IF(_epmOfflineCondition_,"T5",_xll.EVPRO($B$1,$H38,"STYLE"))</f>
        <v>T5</v>
      </c>
      <c r="J38" s="118" t="str">
        <f>IF(_epmOfflineCondition_,"Y",_xll.EVPRO($B$1,$H38,"CALC"))</f>
        <v>Y</v>
      </c>
      <c r="K38" s="175" t="str">
        <f t="shared" si="0"/>
        <v>&gt;</v>
      </c>
      <c r="L38" s="86" t="str">
        <f>IF(_epmOfflineCondition_,"464100",_xll.EVPRO($B$1,H38,"JDEID"))</f>
        <v>464100</v>
      </c>
      <c r="M38" s="86" t="str">
        <f>IF(_epmOfflineCondition_,"",IF(AND(I38="N",J38="N"),_xll.EVPRO($B$1,H38,"PSFTID"),""))</f>
        <v/>
      </c>
      <c r="N38" s="86" t="str">
        <f>IF(_epmOfflineCondition_,"Bar Food",IF(_xll.EVDES(H38,$B$1)="#NODATA","",_xll.EVDES(H38,$B$1)))</f>
        <v>Bar Food</v>
      </c>
      <c r="O38" s="453"/>
      <c r="P38" s="223"/>
      <c r="Q38" s="223"/>
      <c r="R38" s="223"/>
      <c r="S38" s="223"/>
      <c r="T38" s="223"/>
      <c r="U38" s="223"/>
      <c r="V38" s="223"/>
      <c r="W38" s="223"/>
      <c r="X38" s="223"/>
      <c r="Y38" s="223"/>
      <c r="Z38" s="223"/>
      <c r="AA38" s="223">
        <f t="shared" si="1"/>
        <v>0</v>
      </c>
      <c r="AB38" s="454" t="str">
        <f t="shared" si="2"/>
        <v/>
      </c>
      <c r="AC38" s="528"/>
      <c r="AD38" s="223"/>
      <c r="AE38" s="454" t="str">
        <f t="shared" si="3"/>
        <v/>
      </c>
      <c r="AF38" s="456">
        <f t="shared" si="4"/>
        <v>0</v>
      </c>
      <c r="AG38" s="223"/>
      <c r="AH38" s="454" t="str">
        <f t="shared" si="5"/>
        <v/>
      </c>
      <c r="AI38" s="457">
        <f t="shared" si="6"/>
        <v>0</v>
      </c>
      <c r="AJ38" s="458">
        <f t="shared" si="7"/>
        <v>0</v>
      </c>
      <c r="AK38" s="459">
        <f t="shared" si="8"/>
        <v>0</v>
      </c>
      <c r="AL38" s="460">
        <f t="shared" si="9"/>
        <v>0</v>
      </c>
      <c r="AM38" s="461">
        <f t="shared" si="10"/>
        <v>0</v>
      </c>
      <c r="AN38" s="462">
        <f t="shared" si="11"/>
        <v>0</v>
      </c>
      <c r="AO38" s="11"/>
    </row>
    <row r="39" spans="1:41" x14ac:dyDescent="0.25">
      <c r="A39" s="11" t="s">
        <v>104</v>
      </c>
      <c r="B39" s="11"/>
      <c r="C39" s="100" t="s">
        <v>101</v>
      </c>
      <c r="D39" s="11" t="s">
        <v>106</v>
      </c>
      <c r="E39" s="11"/>
      <c r="F39" s="11" t="s">
        <v>98</v>
      </c>
      <c r="G39" s="11"/>
      <c r="H39" s="84" t="s">
        <v>264</v>
      </c>
      <c r="I39" s="118" t="str">
        <f>IF(_epmOfflineCondition_,"T5",_xll.EVPRO($B$1,$H39,"STYLE"))</f>
        <v>T5</v>
      </c>
      <c r="J39" s="118" t="str">
        <f>IF(_epmOfflineCondition_,"Y",_xll.EVPRO($B$1,$H39,"CALC"))</f>
        <v>Y</v>
      </c>
      <c r="K39" s="175" t="str">
        <f t="shared" si="0"/>
        <v>&gt;</v>
      </c>
      <c r="L39" s="86" t="str">
        <f>IF(_epmOfflineCondition_,"465100",_xll.EVPRO($B$1,H39,"JDEID"))</f>
        <v>465100</v>
      </c>
      <c r="M39" s="86" t="str">
        <f>IF(_epmOfflineCondition_,"",IF(AND(I39="N",J39="N"),_xll.EVPRO($B$1,H39,"PSFTID"),""))</f>
        <v/>
      </c>
      <c r="N39" s="86" t="str">
        <f>IF(_epmOfflineCondition_,"Private Dining Food",IF(_xll.EVDES(H39,$B$1)="#NODATA","",_xll.EVDES(H39,$B$1)))</f>
        <v>Private Dining Food</v>
      </c>
      <c r="O39" s="463"/>
      <c r="P39" s="229"/>
      <c r="Q39" s="229"/>
      <c r="R39" s="229"/>
      <c r="S39" s="229"/>
      <c r="T39" s="229"/>
      <c r="U39" s="229"/>
      <c r="V39" s="229"/>
      <c r="W39" s="229"/>
      <c r="X39" s="229"/>
      <c r="Y39" s="229"/>
      <c r="Z39" s="229"/>
      <c r="AA39" s="229">
        <f t="shared" si="1"/>
        <v>0</v>
      </c>
      <c r="AB39" s="464" t="str">
        <f t="shared" si="2"/>
        <v/>
      </c>
      <c r="AC39" s="455"/>
      <c r="AD39" s="229"/>
      <c r="AE39" s="464" t="str">
        <f t="shared" si="3"/>
        <v/>
      </c>
      <c r="AF39" s="465">
        <f t="shared" si="4"/>
        <v>0</v>
      </c>
      <c r="AG39" s="229"/>
      <c r="AH39" s="464" t="str">
        <f t="shared" si="5"/>
        <v/>
      </c>
      <c r="AI39" s="466">
        <f t="shared" si="6"/>
        <v>0</v>
      </c>
      <c r="AJ39" s="467">
        <f t="shared" si="7"/>
        <v>0</v>
      </c>
      <c r="AK39" s="468">
        <f t="shared" si="8"/>
        <v>0</v>
      </c>
      <c r="AL39" s="469">
        <f t="shared" si="9"/>
        <v>0</v>
      </c>
      <c r="AM39" s="470">
        <f t="shared" si="10"/>
        <v>0</v>
      </c>
      <c r="AN39" s="471">
        <f t="shared" si="11"/>
        <v>0</v>
      </c>
      <c r="AO39" s="11"/>
    </row>
    <row r="40" spans="1:41" x14ac:dyDescent="0.25">
      <c r="A40" s="11" t="s">
        <v>100</v>
      </c>
      <c r="B40" s="11"/>
      <c r="C40" s="49" t="s">
        <v>101</v>
      </c>
      <c r="D40" s="11" t="s">
        <v>106</v>
      </c>
      <c r="E40" s="11"/>
      <c r="F40" s="11" t="s">
        <v>98</v>
      </c>
      <c r="G40" s="11"/>
      <c r="H40" s="84" t="s">
        <v>265</v>
      </c>
      <c r="I40" s="184" t="str">
        <f>IF(_epmOfflineCondition_,"T4",_xll.EVPRO($B$1,$H40,"STYLE"))</f>
        <v>T4</v>
      </c>
      <c r="J40" s="184" t="str">
        <f>IF(_epmOfflineCondition_,"Y",_xll.EVPRO($B$1,$H40,"CALC"))</f>
        <v>Y</v>
      </c>
      <c r="K40" s="185" t="str">
        <f t="shared" si="0"/>
        <v/>
      </c>
      <c r="L40" s="186" t="str">
        <f>IF(_epmOfflineCondition_,"",_xll.EVPRO($B$1,H40,"JDEID"))</f>
        <v/>
      </c>
      <c r="M40" s="186" t="str">
        <f>IF(_epmOfflineCondition_,"",IF(AND(I40="N",J40="N"),_xll.EVPRO($B$1,H40,"PSFTID"),""))</f>
        <v/>
      </c>
      <c r="N40" s="186" t="str">
        <f>IF(_epmOfflineCondition_,"Total Food Revenue",IF(_xll.EVDES(H40,$B$1)="#NODATA","",_xll.EVDES(H40,$B$1)))</f>
        <v>Total Food Revenue</v>
      </c>
      <c r="O40" s="472"/>
      <c r="P40" s="236"/>
      <c r="Q40" s="236"/>
      <c r="R40" s="236"/>
      <c r="S40" s="236"/>
      <c r="T40" s="236"/>
      <c r="U40" s="236"/>
      <c r="V40" s="236"/>
      <c r="W40" s="236"/>
      <c r="X40" s="236"/>
      <c r="Y40" s="236"/>
      <c r="Z40" s="236"/>
      <c r="AA40" s="236">
        <f t="shared" si="1"/>
        <v>0</v>
      </c>
      <c r="AB40" s="237" t="str">
        <f t="shared" si="2"/>
        <v/>
      </c>
      <c r="AC40" s="238"/>
      <c r="AD40" s="236"/>
      <c r="AE40" s="237" t="str">
        <f t="shared" si="3"/>
        <v/>
      </c>
      <c r="AF40" s="239">
        <f t="shared" si="4"/>
        <v>0</v>
      </c>
      <c r="AG40" s="236"/>
      <c r="AH40" s="237" t="str">
        <f t="shared" si="5"/>
        <v/>
      </c>
      <c r="AI40" s="473">
        <f t="shared" si="6"/>
        <v>0</v>
      </c>
      <c r="AJ40" s="215">
        <f t="shared" si="7"/>
        <v>0</v>
      </c>
      <c r="AK40" s="216">
        <f t="shared" si="8"/>
        <v>0</v>
      </c>
      <c r="AL40" s="218">
        <f t="shared" si="9"/>
        <v>0</v>
      </c>
      <c r="AM40" s="423">
        <f t="shared" si="10"/>
        <v>0</v>
      </c>
      <c r="AN40" s="474">
        <f t="shared" si="11"/>
        <v>0</v>
      </c>
      <c r="AO40" s="11"/>
    </row>
    <row r="41" spans="1:41" x14ac:dyDescent="0.25">
      <c r="A41" s="11" t="s">
        <v>102</v>
      </c>
      <c r="B41" s="11"/>
      <c r="C41" s="102" t="s">
        <v>101</v>
      </c>
      <c r="D41" s="11" t="s">
        <v>106</v>
      </c>
      <c r="E41" s="11"/>
      <c r="F41" s="11" t="s">
        <v>98</v>
      </c>
      <c r="G41" s="11"/>
      <c r="H41" s="84" t="s">
        <v>266</v>
      </c>
      <c r="I41" s="184" t="str">
        <f>IF(_epmOfflineCondition_,"B1",_xll.EVPRO($B$1,$H41,"STYLE"))</f>
        <v>B1</v>
      </c>
      <c r="J41" s="184" t="str">
        <f>IF(_epmOfflineCondition_,"Y",_xll.EVPRO($B$1,$H41,"CALC"))</f>
        <v>Y</v>
      </c>
      <c r="K41" s="185" t="str">
        <f t="shared" si="0"/>
        <v/>
      </c>
      <c r="L41" s="186" t="str">
        <f>IF(_epmOfflineCondition_,"",_xll.EVPRO($B$1,H41,"JDEID"))</f>
        <v/>
      </c>
      <c r="M41" s="186" t="str">
        <f>IF(_epmOfflineCondition_,"",IF(AND(I41="N",J41="N"),_xll.EVPRO($B$1,H41,"PSFTID"),""))</f>
        <v/>
      </c>
      <c r="N41" s="186" t="str">
        <f>IF(_epmOfflineCondition_,"Beverage Revenue",IF(_xll.EVDES(H41,$B$1)="#NODATA","",_xll.EVDES(H41,$B$1)))</f>
        <v>Beverage Revenue</v>
      </c>
      <c r="O41" s="475"/>
      <c r="P41" s="241"/>
      <c r="Q41" s="241"/>
      <c r="R41" s="241"/>
      <c r="S41" s="241"/>
      <c r="T41" s="241"/>
      <c r="U41" s="241"/>
      <c r="V41" s="241"/>
      <c r="W41" s="241"/>
      <c r="X41" s="241"/>
      <c r="Y41" s="241"/>
      <c r="Z41" s="241"/>
      <c r="AA41" s="241" t="str">
        <f t="shared" si="1"/>
        <v/>
      </c>
      <c r="AB41" s="476" t="str">
        <f t="shared" si="2"/>
        <v/>
      </c>
      <c r="AC41" s="529"/>
      <c r="AD41" s="241"/>
      <c r="AE41" s="476" t="str">
        <f t="shared" si="3"/>
        <v/>
      </c>
      <c r="AF41" s="478" t="str">
        <f t="shared" si="4"/>
        <v/>
      </c>
      <c r="AG41" s="241"/>
      <c r="AH41" s="476" t="str">
        <f t="shared" si="5"/>
        <v/>
      </c>
      <c r="AI41" s="479" t="str">
        <f t="shared" si="6"/>
        <v/>
      </c>
      <c r="AJ41" s="244">
        <f t="shared" si="7"/>
        <v>0</v>
      </c>
      <c r="AK41" s="245">
        <f t="shared" si="8"/>
        <v>0</v>
      </c>
      <c r="AL41" s="247">
        <f t="shared" si="9"/>
        <v>0</v>
      </c>
      <c r="AM41" s="425">
        <f t="shared" si="10"/>
        <v>0</v>
      </c>
      <c r="AN41" s="480">
        <f t="shared" si="11"/>
        <v>0</v>
      </c>
      <c r="AO41" s="11"/>
    </row>
    <row r="42" spans="1:41" x14ac:dyDescent="0.25">
      <c r="A42" s="11" t="s">
        <v>102</v>
      </c>
      <c r="B42" s="11"/>
      <c r="C42" s="192" t="s">
        <v>101</v>
      </c>
      <c r="D42" s="11" t="s">
        <v>107</v>
      </c>
      <c r="E42" s="11"/>
      <c r="F42" s="11" t="s">
        <v>99</v>
      </c>
      <c r="G42" s="11"/>
      <c r="H42" s="84" t="s">
        <v>267</v>
      </c>
      <c r="I42" s="118" t="str">
        <f>IF(_epmOfflineCondition_,"T5",_xll.EVPRO($B$1,$H42,"STYLE"))</f>
        <v>T5</v>
      </c>
      <c r="J42" s="118" t="str">
        <f>IF(_epmOfflineCondition_,"Y",_xll.EVPRO($B$1,$H42,"CALC"))</f>
        <v>Y</v>
      </c>
      <c r="K42" s="175" t="str">
        <f t="shared" si="0"/>
        <v>&gt;</v>
      </c>
      <c r="L42" s="86" t="str">
        <f>IF(_epmOfflineCondition_,"",_xll.EVPRO($B$1,H42,"JDEID"))</f>
        <v/>
      </c>
      <c r="M42" s="86" t="str">
        <f>IF(_epmOfflineCondition_,"",IF(AND(I42="N",J42="N"),_xll.EVPRO($B$1,H42,"PSFTID"),""))</f>
        <v/>
      </c>
      <c r="N42" s="86" t="str">
        <f>IF(_epmOfflineCondition_,"Breakfast  Beverage Revenue",IF(_xll.EVDES(H42,$B$1)="#NODATA","",_xll.EVDES(H42,$B$1)))</f>
        <v>Breakfast  Beverage Revenue</v>
      </c>
      <c r="O42" s="453"/>
      <c r="P42" s="223"/>
      <c r="Q42" s="223"/>
      <c r="R42" s="223"/>
      <c r="S42" s="223"/>
      <c r="T42" s="223"/>
      <c r="U42" s="223"/>
      <c r="V42" s="223"/>
      <c r="W42" s="223"/>
      <c r="X42" s="223"/>
      <c r="Y42" s="223"/>
      <c r="Z42" s="223"/>
      <c r="AA42" s="223">
        <f t="shared" si="1"/>
        <v>0</v>
      </c>
      <c r="AB42" s="454" t="str">
        <f t="shared" si="2"/>
        <v/>
      </c>
      <c r="AC42" s="528"/>
      <c r="AD42" s="223"/>
      <c r="AE42" s="454" t="str">
        <f t="shared" si="3"/>
        <v/>
      </c>
      <c r="AF42" s="456">
        <f t="shared" si="4"/>
        <v>0</v>
      </c>
      <c r="AG42" s="223"/>
      <c r="AH42" s="454" t="str">
        <f t="shared" si="5"/>
        <v/>
      </c>
      <c r="AI42" s="457">
        <f t="shared" si="6"/>
        <v>0</v>
      </c>
      <c r="AJ42" s="458">
        <f t="shared" si="7"/>
        <v>0</v>
      </c>
      <c r="AK42" s="459">
        <f t="shared" si="8"/>
        <v>0</v>
      </c>
      <c r="AL42" s="460">
        <f t="shared" si="9"/>
        <v>0</v>
      </c>
      <c r="AM42" s="461">
        <f t="shared" si="10"/>
        <v>0</v>
      </c>
      <c r="AN42" s="462">
        <f t="shared" si="11"/>
        <v>0</v>
      </c>
      <c r="AO42" s="11"/>
    </row>
    <row r="43" spans="1:41" x14ac:dyDescent="0.25">
      <c r="A43" s="11" t="s">
        <v>108</v>
      </c>
      <c r="B43" s="11"/>
      <c r="C43" s="102" t="s">
        <v>101</v>
      </c>
      <c r="D43" s="11" t="s">
        <v>106</v>
      </c>
      <c r="E43" s="11"/>
      <c r="F43" s="11" t="s">
        <v>98</v>
      </c>
      <c r="G43" s="11"/>
      <c r="H43" s="84" t="s">
        <v>268</v>
      </c>
      <c r="I43" s="118" t="str">
        <f>IF(_epmOfflineCondition_,"T5",_xll.EVPRO($B$1,$H43,"STYLE"))</f>
        <v>T5</v>
      </c>
      <c r="J43" s="118" t="str">
        <f>IF(_epmOfflineCondition_,"Y",_xll.EVPRO($B$1,$H43,"CALC"))</f>
        <v>Y</v>
      </c>
      <c r="K43" s="175" t="str">
        <f t="shared" si="0"/>
        <v>&gt;</v>
      </c>
      <c r="L43" s="86" t="str">
        <f>IF(_epmOfflineCondition_,"",_xll.EVPRO($B$1,H43,"JDEID"))</f>
        <v/>
      </c>
      <c r="M43" s="86" t="str">
        <f>IF(_epmOfflineCondition_,"",IF(AND(I43="N",J43="N"),_xll.EVPRO($B$1,H43,"PSFTID"),""))</f>
        <v/>
      </c>
      <c r="N43" s="86" t="str">
        <f>IF(_epmOfflineCondition_,"Lunch Beverage Revenue",IF(_xll.EVDES(H43,$B$1)="#NODATA","",_xll.EVDES(H43,$B$1)))</f>
        <v>Lunch Beverage Revenue</v>
      </c>
      <c r="O43" s="453"/>
      <c r="P43" s="223"/>
      <c r="Q43" s="223"/>
      <c r="R43" s="223"/>
      <c r="S43" s="223"/>
      <c r="T43" s="223"/>
      <c r="U43" s="223"/>
      <c r="V43" s="223"/>
      <c r="W43" s="223"/>
      <c r="X43" s="223"/>
      <c r="Y43" s="223"/>
      <c r="Z43" s="223"/>
      <c r="AA43" s="223">
        <f t="shared" si="1"/>
        <v>0</v>
      </c>
      <c r="AB43" s="454" t="str">
        <f t="shared" si="2"/>
        <v/>
      </c>
      <c r="AC43" s="528"/>
      <c r="AD43" s="223"/>
      <c r="AE43" s="454" t="str">
        <f t="shared" si="3"/>
        <v/>
      </c>
      <c r="AF43" s="456">
        <f t="shared" si="4"/>
        <v>0</v>
      </c>
      <c r="AG43" s="223"/>
      <c r="AH43" s="454" t="str">
        <f t="shared" si="5"/>
        <v/>
      </c>
      <c r="AI43" s="457">
        <f t="shared" si="6"/>
        <v>0</v>
      </c>
      <c r="AJ43" s="458">
        <f t="shared" si="7"/>
        <v>0</v>
      </c>
      <c r="AK43" s="459">
        <f t="shared" si="8"/>
        <v>0</v>
      </c>
      <c r="AL43" s="460">
        <f t="shared" si="9"/>
        <v>0</v>
      </c>
      <c r="AM43" s="461">
        <f t="shared" si="10"/>
        <v>0</v>
      </c>
      <c r="AN43" s="462">
        <f t="shared" si="11"/>
        <v>0</v>
      </c>
      <c r="AO43" s="11"/>
    </row>
    <row r="44" spans="1:41" x14ac:dyDescent="0.25">
      <c r="A44" s="11" t="s">
        <v>108</v>
      </c>
      <c r="B44" s="11"/>
      <c r="C44" s="192" t="s">
        <v>101</v>
      </c>
      <c r="D44" s="11" t="s">
        <v>107</v>
      </c>
      <c r="E44" s="11"/>
      <c r="F44" s="11" t="s">
        <v>99</v>
      </c>
      <c r="G44" s="11"/>
      <c r="H44" s="84" t="s">
        <v>269</v>
      </c>
      <c r="I44" s="118" t="str">
        <f>IF(_epmOfflineCondition_,"T5",_xll.EVPRO($B$1,$H44,"STYLE"))</f>
        <v>T5</v>
      </c>
      <c r="J44" s="118" t="str">
        <f>IF(_epmOfflineCondition_,"Y",_xll.EVPRO($B$1,$H44,"CALC"))</f>
        <v>Y</v>
      </c>
      <c r="K44" s="175" t="str">
        <f t="shared" si="0"/>
        <v>&gt;</v>
      </c>
      <c r="L44" s="86" t="str">
        <f>IF(_epmOfflineCondition_,"",_xll.EVPRO($B$1,H44,"JDEID"))</f>
        <v/>
      </c>
      <c r="M44" s="86" t="str">
        <f>IF(_epmOfflineCondition_,"",IF(AND(I44="N",J44="N"),_xll.EVPRO($B$1,H44,"PSFTID"),""))</f>
        <v/>
      </c>
      <c r="N44" s="86" t="str">
        <f>IF(_epmOfflineCondition_,"Dinner Beverage Revenue",IF(_xll.EVDES(H44,$B$1)="#NODATA","",_xll.EVDES(H44,$B$1)))</f>
        <v>Dinner Beverage Revenue</v>
      </c>
      <c r="O44" s="453"/>
      <c r="P44" s="223"/>
      <c r="Q44" s="223"/>
      <c r="R44" s="223"/>
      <c r="S44" s="223"/>
      <c r="T44" s="223"/>
      <c r="U44" s="223"/>
      <c r="V44" s="223"/>
      <c r="W44" s="223"/>
      <c r="X44" s="223"/>
      <c r="Y44" s="223"/>
      <c r="Z44" s="223"/>
      <c r="AA44" s="223">
        <f t="shared" si="1"/>
        <v>0</v>
      </c>
      <c r="AB44" s="454" t="str">
        <f t="shared" si="2"/>
        <v/>
      </c>
      <c r="AC44" s="528"/>
      <c r="AD44" s="223"/>
      <c r="AE44" s="454" t="str">
        <f t="shared" si="3"/>
        <v/>
      </c>
      <c r="AF44" s="456">
        <f t="shared" si="4"/>
        <v>0</v>
      </c>
      <c r="AG44" s="223"/>
      <c r="AH44" s="454" t="str">
        <f t="shared" si="5"/>
        <v/>
      </c>
      <c r="AI44" s="457">
        <f t="shared" si="6"/>
        <v>0</v>
      </c>
      <c r="AJ44" s="458">
        <f t="shared" si="7"/>
        <v>0</v>
      </c>
      <c r="AK44" s="459">
        <f t="shared" si="8"/>
        <v>0</v>
      </c>
      <c r="AL44" s="460">
        <f t="shared" si="9"/>
        <v>0</v>
      </c>
      <c r="AM44" s="461">
        <f t="shared" si="10"/>
        <v>0</v>
      </c>
      <c r="AN44" s="462">
        <f t="shared" si="11"/>
        <v>0</v>
      </c>
      <c r="AO44" s="11"/>
    </row>
    <row r="45" spans="1:41" x14ac:dyDescent="0.25">
      <c r="A45" s="11"/>
      <c r="B45" s="11"/>
      <c r="C45" s="11"/>
      <c r="D45" s="11"/>
      <c r="E45" s="11"/>
      <c r="F45" s="11"/>
      <c r="G45" s="11"/>
      <c r="H45" s="84" t="s">
        <v>270</v>
      </c>
      <c r="I45" s="118" t="str">
        <f>IF(_epmOfflineCondition_,"T5",_xll.EVPRO($B$1,$H45,"STYLE"))</f>
        <v>T5</v>
      </c>
      <c r="J45" s="118" t="str">
        <f>IF(_epmOfflineCondition_,"Y",_xll.EVPRO($B$1,$H45,"CALC"))</f>
        <v>Y</v>
      </c>
      <c r="K45" s="175" t="str">
        <f t="shared" si="0"/>
        <v>&gt;</v>
      </c>
      <c r="L45" s="86" t="str">
        <f>IF(_epmOfflineCondition_,"",_xll.EVPRO($B$1,H45,"JDEID"))</f>
        <v/>
      </c>
      <c r="M45" s="86" t="str">
        <f>IF(_epmOfflineCondition_,"",IF(AND(I45="N",J45="N"),_xll.EVPRO($B$1,H45,"PSFTID"),""))</f>
        <v/>
      </c>
      <c r="N45" s="86" t="str">
        <f>IF(_epmOfflineCondition_,"Bar Beverage Revenue",IF(_xll.EVDES(H45,$B$1)="#NODATA","",_xll.EVDES(H45,$B$1)))</f>
        <v>Bar Beverage Revenue</v>
      </c>
      <c r="O45" s="453"/>
      <c r="P45" s="223"/>
      <c r="Q45" s="223"/>
      <c r="R45" s="223"/>
      <c r="S45" s="223"/>
      <c r="T45" s="223"/>
      <c r="U45" s="223"/>
      <c r="V45" s="223"/>
      <c r="W45" s="223"/>
      <c r="X45" s="223"/>
      <c r="Y45" s="223"/>
      <c r="Z45" s="223"/>
      <c r="AA45" s="223">
        <f t="shared" si="1"/>
        <v>0</v>
      </c>
      <c r="AB45" s="454" t="str">
        <f t="shared" si="2"/>
        <v/>
      </c>
      <c r="AC45" s="528"/>
      <c r="AD45" s="223"/>
      <c r="AE45" s="454" t="str">
        <f t="shared" si="3"/>
        <v/>
      </c>
      <c r="AF45" s="456">
        <f t="shared" si="4"/>
        <v>0</v>
      </c>
      <c r="AG45" s="223"/>
      <c r="AH45" s="454" t="str">
        <f t="shared" si="5"/>
        <v/>
      </c>
      <c r="AI45" s="457">
        <f t="shared" si="6"/>
        <v>0</v>
      </c>
      <c r="AJ45" s="458">
        <f t="shared" si="7"/>
        <v>0</v>
      </c>
      <c r="AK45" s="459">
        <f t="shared" si="8"/>
        <v>0</v>
      </c>
      <c r="AL45" s="460">
        <f t="shared" si="9"/>
        <v>0</v>
      </c>
      <c r="AM45" s="461">
        <f t="shared" si="10"/>
        <v>0</v>
      </c>
      <c r="AN45" s="462">
        <f t="shared" si="11"/>
        <v>0</v>
      </c>
      <c r="AO45" s="11"/>
    </row>
    <row r="46" spans="1:41" x14ac:dyDescent="0.25">
      <c r="A46" s="11"/>
      <c r="B46" s="11"/>
      <c r="C46" s="11"/>
      <c r="D46" s="11"/>
      <c r="E46" s="11"/>
      <c r="F46" s="11"/>
      <c r="G46" s="11"/>
      <c r="H46" s="84" t="s">
        <v>271</v>
      </c>
      <c r="I46" s="118" t="str">
        <f>IF(_epmOfflineCondition_,"T5",_xll.EVPRO($B$1,$H46,"STYLE"))</f>
        <v>T5</v>
      </c>
      <c r="J46" s="118" t="str">
        <f>IF(_epmOfflineCondition_,"Y",_xll.EVPRO($B$1,$H46,"CALC"))</f>
        <v>Y</v>
      </c>
      <c r="K46" s="175" t="str">
        <f t="shared" si="0"/>
        <v>&gt;</v>
      </c>
      <c r="L46" s="86" t="str">
        <f>IF(_epmOfflineCondition_,"",_xll.EVPRO($B$1,H46,"JDEID"))</f>
        <v/>
      </c>
      <c r="M46" s="86" t="str">
        <f>IF(_epmOfflineCondition_,"",IF(AND(I46="N",J46="N"),_xll.EVPRO($B$1,H46,"PSFTID"),""))</f>
        <v/>
      </c>
      <c r="N46" s="86" t="str">
        <f>IF(_epmOfflineCondition_,"Private Dining Beverage Revenue",IF(_xll.EVDES(H46,$B$1)="#NODATA","",_xll.EVDES(H46,$B$1)))</f>
        <v>Private Dining Beverage Revenue</v>
      </c>
      <c r="O46" s="463"/>
      <c r="P46" s="229"/>
      <c r="Q46" s="229"/>
      <c r="R46" s="229"/>
      <c r="S46" s="229"/>
      <c r="T46" s="229"/>
      <c r="U46" s="229"/>
      <c r="V46" s="229"/>
      <c r="W46" s="229"/>
      <c r="X46" s="229"/>
      <c r="Y46" s="229"/>
      <c r="Z46" s="229"/>
      <c r="AA46" s="229">
        <f t="shared" si="1"/>
        <v>0</v>
      </c>
      <c r="AB46" s="464" t="str">
        <f t="shared" si="2"/>
        <v/>
      </c>
      <c r="AC46" s="455"/>
      <c r="AD46" s="229"/>
      <c r="AE46" s="464" t="str">
        <f t="shared" si="3"/>
        <v/>
      </c>
      <c r="AF46" s="465">
        <f t="shared" si="4"/>
        <v>0</v>
      </c>
      <c r="AG46" s="229"/>
      <c r="AH46" s="464" t="str">
        <f t="shared" si="5"/>
        <v/>
      </c>
      <c r="AI46" s="466">
        <f t="shared" si="6"/>
        <v>0</v>
      </c>
      <c r="AJ46" s="467">
        <f t="shared" si="7"/>
        <v>0</v>
      </c>
      <c r="AK46" s="468">
        <f t="shared" si="8"/>
        <v>0</v>
      </c>
      <c r="AL46" s="469">
        <f t="shared" si="9"/>
        <v>0</v>
      </c>
      <c r="AM46" s="470">
        <f t="shared" si="10"/>
        <v>0</v>
      </c>
      <c r="AN46" s="471">
        <f t="shared" si="11"/>
        <v>0</v>
      </c>
      <c r="AO46" s="11"/>
    </row>
    <row r="47" spans="1:41" x14ac:dyDescent="0.25">
      <c r="A47" s="56" t="str">
        <f>IF(_epmOfflineCondition_,"Evdre:Ok",_xll.EVDRE($B$1,A50:B57,A60:B66))</f>
        <v>Evdre:Ok</v>
      </c>
      <c r="B47" s="11"/>
      <c r="C47" s="11"/>
      <c r="D47" s="11"/>
      <c r="E47" s="11"/>
      <c r="F47" s="11"/>
      <c r="G47" s="11"/>
      <c r="H47" s="84" t="s">
        <v>272</v>
      </c>
      <c r="I47" s="184" t="str">
        <f>IF(_epmOfflineCondition_,"T4",_xll.EVPRO($B$1,$H47,"STYLE"))</f>
        <v>T4</v>
      </c>
      <c r="J47" s="184" t="str">
        <f>IF(_epmOfflineCondition_,"Y",_xll.EVPRO($B$1,$H47,"CALC"))</f>
        <v>Y</v>
      </c>
      <c r="K47" s="185" t="str">
        <f t="shared" si="0"/>
        <v/>
      </c>
      <c r="L47" s="186" t="str">
        <f>IF(_epmOfflineCondition_,"",_xll.EVPRO($B$1,H47,"JDEID"))</f>
        <v/>
      </c>
      <c r="M47" s="186" t="str">
        <f>IF(_epmOfflineCondition_,"",IF(AND(I47="N",J47="N"),_xll.EVPRO($B$1,H47,"PSFTID"),""))</f>
        <v/>
      </c>
      <c r="N47" s="186" t="str">
        <f>IF(_epmOfflineCondition_,"Total Beverage Revenue",IF(_xll.EVDES(H47,$B$1)="#NODATA","",_xll.EVDES(H47,$B$1)))</f>
        <v>Total Beverage Revenue</v>
      </c>
      <c r="O47" s="472"/>
      <c r="P47" s="236"/>
      <c r="Q47" s="236"/>
      <c r="R47" s="236"/>
      <c r="S47" s="236"/>
      <c r="T47" s="236"/>
      <c r="U47" s="236"/>
      <c r="V47" s="236"/>
      <c r="W47" s="236"/>
      <c r="X47" s="236"/>
      <c r="Y47" s="236"/>
      <c r="Z47" s="236"/>
      <c r="AA47" s="236">
        <f t="shared" si="1"/>
        <v>0</v>
      </c>
      <c r="AB47" s="237" t="str">
        <f t="shared" si="2"/>
        <v/>
      </c>
      <c r="AC47" s="238"/>
      <c r="AD47" s="236"/>
      <c r="AE47" s="237" t="str">
        <f t="shared" si="3"/>
        <v/>
      </c>
      <c r="AF47" s="239">
        <f t="shared" si="4"/>
        <v>0</v>
      </c>
      <c r="AG47" s="236"/>
      <c r="AH47" s="237" t="str">
        <f t="shared" si="5"/>
        <v/>
      </c>
      <c r="AI47" s="473">
        <f t="shared" si="6"/>
        <v>0</v>
      </c>
      <c r="AJ47" s="215">
        <f t="shared" si="7"/>
        <v>0</v>
      </c>
      <c r="AK47" s="216">
        <f t="shared" si="8"/>
        <v>0</v>
      </c>
      <c r="AL47" s="218">
        <f t="shared" si="9"/>
        <v>0</v>
      </c>
      <c r="AM47" s="423">
        <f t="shared" si="10"/>
        <v>0</v>
      </c>
      <c r="AN47" s="474">
        <f t="shared" si="11"/>
        <v>0</v>
      </c>
      <c r="AO47" s="11"/>
    </row>
    <row r="48" spans="1:41" x14ac:dyDescent="0.25">
      <c r="A48" s="11"/>
      <c r="B48" s="11"/>
      <c r="C48" s="11"/>
      <c r="D48" s="11"/>
      <c r="E48" s="11"/>
      <c r="F48" s="11"/>
      <c r="G48" s="11"/>
      <c r="H48" s="84" t="s">
        <v>486</v>
      </c>
      <c r="I48" s="118" t="str">
        <f>IF(_epmOfflineCondition_,"T5",_xll.EVPRO($B$1,$H48,"STYLE"))</f>
        <v>T5</v>
      </c>
      <c r="J48" s="118" t="str">
        <f>IF(_epmOfflineCondition_,"Y",_xll.EVPRO($B$1,$H48,"CALC"))</f>
        <v>Y</v>
      </c>
      <c r="K48" s="175" t="str">
        <f t="shared" si="0"/>
        <v>&gt;</v>
      </c>
      <c r="L48" s="86" t="str">
        <f>IF(_epmOfflineCondition_,"",_xll.EVPRO($B$1,H48,"JDEID"))</f>
        <v/>
      </c>
      <c r="M48" s="86" t="str">
        <f>IF(_epmOfflineCondition_,"",IF(AND(I48="N",J48="N"),_xll.EVPRO($B$1,H48,"PSFTID"),""))</f>
        <v/>
      </c>
      <c r="N48" s="86" t="str">
        <f>IF(_epmOfflineCondition_,"Food &amp; Beverage: Allowances",IF(_xll.EVDES(H48,$B$1)="#NODATA","",_xll.EVDES(H48,$B$1)))</f>
        <v>Food &amp; Beverage: Allowances</v>
      </c>
      <c r="O48" s="530"/>
      <c r="P48" s="248"/>
      <c r="Q48" s="248"/>
      <c r="R48" s="248"/>
      <c r="S48" s="248"/>
      <c r="T48" s="248"/>
      <c r="U48" s="248"/>
      <c r="V48" s="248"/>
      <c r="W48" s="248"/>
      <c r="X48" s="248"/>
      <c r="Y48" s="248"/>
      <c r="Z48" s="248"/>
      <c r="AA48" s="248">
        <f t="shared" si="1"/>
        <v>0</v>
      </c>
      <c r="AB48" s="249" t="str">
        <f t="shared" si="2"/>
        <v/>
      </c>
      <c r="AC48" s="477"/>
      <c r="AD48" s="248"/>
      <c r="AE48" s="249" t="str">
        <f t="shared" si="3"/>
        <v/>
      </c>
      <c r="AF48" s="250">
        <f t="shared" si="4"/>
        <v>0</v>
      </c>
      <c r="AG48" s="248"/>
      <c r="AH48" s="249" t="str">
        <f t="shared" si="5"/>
        <v/>
      </c>
      <c r="AI48" s="531">
        <f t="shared" si="6"/>
        <v>0</v>
      </c>
      <c r="AJ48" s="532">
        <f t="shared" si="7"/>
        <v>0</v>
      </c>
      <c r="AK48" s="533">
        <f t="shared" si="8"/>
        <v>0</v>
      </c>
      <c r="AL48" s="534">
        <f t="shared" si="9"/>
        <v>0</v>
      </c>
      <c r="AM48" s="535">
        <f t="shared" si="10"/>
        <v>0</v>
      </c>
      <c r="AN48" s="536">
        <f t="shared" si="11"/>
        <v>0</v>
      </c>
      <c r="AO48" s="11"/>
    </row>
    <row r="49" spans="1:41" x14ac:dyDescent="0.25">
      <c r="A49" s="57" t="s">
        <v>0</v>
      </c>
      <c r="B49" s="58" t="s">
        <v>1</v>
      </c>
      <c r="C49" s="11"/>
      <c r="D49" s="11"/>
      <c r="E49" s="11"/>
      <c r="F49" s="11"/>
      <c r="G49" s="11"/>
      <c r="H49" s="84" t="s">
        <v>273</v>
      </c>
      <c r="I49" s="184" t="str">
        <f>IF(_epmOfflineCondition_,"T4",_xll.EVPRO($B$1,$H49,"STYLE"))</f>
        <v>T4</v>
      </c>
      <c r="J49" s="184" t="str">
        <f>IF(_epmOfflineCondition_,"Y",_xll.EVPRO($B$1,$H49,"CALC"))</f>
        <v>Y</v>
      </c>
      <c r="K49" s="185" t="str">
        <f t="shared" si="0"/>
        <v/>
      </c>
      <c r="L49" s="186" t="str">
        <f>IF(_epmOfflineCondition_,"",_xll.EVPRO($B$1,H49,"JDEID"))</f>
        <v/>
      </c>
      <c r="M49" s="186" t="str">
        <f>IF(_epmOfflineCondition_,"",IF(AND(I49="N",J49="N"),_xll.EVPRO($B$1,H49,"PSFTID"),""))</f>
        <v/>
      </c>
      <c r="N49" s="186" t="str">
        <f>IF(_epmOfflineCondition_,"Total Food &amp; Beverage Revenue",IF(_xll.EVDES(H49,$B$1)="#NODATA","",_xll.EVDES(H49,$B$1)))</f>
        <v>Total Food &amp; Beverage Revenue</v>
      </c>
      <c r="O49" s="472"/>
      <c r="P49" s="236"/>
      <c r="Q49" s="236"/>
      <c r="R49" s="236"/>
      <c r="S49" s="236"/>
      <c r="T49" s="236"/>
      <c r="U49" s="236"/>
      <c r="V49" s="236"/>
      <c r="W49" s="236"/>
      <c r="X49" s="236"/>
      <c r="Y49" s="236"/>
      <c r="Z49" s="236"/>
      <c r="AA49" s="236">
        <f t="shared" si="1"/>
        <v>0</v>
      </c>
      <c r="AB49" s="237" t="str">
        <f t="shared" si="2"/>
        <v/>
      </c>
      <c r="AC49" s="238"/>
      <c r="AD49" s="236"/>
      <c r="AE49" s="237" t="str">
        <f t="shared" si="3"/>
        <v/>
      </c>
      <c r="AF49" s="239">
        <f t="shared" si="4"/>
        <v>0</v>
      </c>
      <c r="AG49" s="236"/>
      <c r="AH49" s="237" t="str">
        <f t="shared" si="5"/>
        <v/>
      </c>
      <c r="AI49" s="473">
        <f t="shared" si="6"/>
        <v>0</v>
      </c>
      <c r="AJ49" s="215">
        <f t="shared" si="7"/>
        <v>0</v>
      </c>
      <c r="AK49" s="216">
        <f t="shared" si="8"/>
        <v>0</v>
      </c>
      <c r="AL49" s="218">
        <f t="shared" si="9"/>
        <v>0</v>
      </c>
      <c r="AM49" s="423">
        <f t="shared" si="10"/>
        <v>0</v>
      </c>
      <c r="AN49" s="474">
        <f t="shared" si="11"/>
        <v>0</v>
      </c>
      <c r="AO49" s="11"/>
    </row>
    <row r="50" spans="1:41" x14ac:dyDescent="0.25">
      <c r="A50" s="61" t="s">
        <v>2</v>
      </c>
      <c r="B50" s="62" t="str">
        <f>IF(_epmOfflineCondition_,"'Venue3'!$B$2:$B$10",_xll.EVRNG($B$2:$B$10))</f>
        <v>'Venue3'!$B$2:$B$10</v>
      </c>
      <c r="C50" s="11"/>
      <c r="D50" s="11"/>
      <c r="E50" s="11"/>
      <c r="F50" s="11"/>
      <c r="G50" s="11"/>
      <c r="H50" s="84" t="s">
        <v>279</v>
      </c>
      <c r="I50" s="184" t="str">
        <f>IF(_epmOfflineCondition_,"B1",_xll.EVPRO($B$1,$H50,"STYLE"))</f>
        <v>B1</v>
      </c>
      <c r="J50" s="184" t="str">
        <f>IF(_epmOfflineCondition_,"Y",_xll.EVPRO($B$1,$H50,"CALC"))</f>
        <v>Y</v>
      </c>
      <c r="K50" s="185" t="str">
        <f t="shared" si="0"/>
        <v/>
      </c>
      <c r="L50" s="186" t="str">
        <f>IF(_epmOfflineCondition_,"",_xll.EVPRO($B$1,H50,"JDEID"))</f>
        <v/>
      </c>
      <c r="M50" s="186" t="str">
        <f>IF(_epmOfflineCondition_,"",IF(AND(I50="N",J50="N"),_xll.EVPRO($B$1,H50,"PSFTID"),""))</f>
        <v/>
      </c>
      <c r="N50" s="186" t="str">
        <f>IF(_epmOfflineCondition_,"Other Revenue",IF(_xll.EVDES(H50,$B$1)="#NODATA","",_xll.EVDES(H50,$B$1)))</f>
        <v>Other Revenue</v>
      </c>
      <c r="O50" s="475"/>
      <c r="P50" s="241"/>
      <c r="Q50" s="241"/>
      <c r="R50" s="241"/>
      <c r="S50" s="241"/>
      <c r="T50" s="241"/>
      <c r="U50" s="241"/>
      <c r="V50" s="241"/>
      <c r="W50" s="241"/>
      <c r="X50" s="241"/>
      <c r="Y50" s="241"/>
      <c r="Z50" s="241"/>
      <c r="AA50" s="241" t="str">
        <f t="shared" si="1"/>
        <v/>
      </c>
      <c r="AB50" s="476" t="str">
        <f t="shared" si="2"/>
        <v/>
      </c>
      <c r="AC50" s="529"/>
      <c r="AD50" s="241"/>
      <c r="AE50" s="476" t="str">
        <f t="shared" si="3"/>
        <v/>
      </c>
      <c r="AF50" s="478" t="str">
        <f t="shared" si="4"/>
        <v/>
      </c>
      <c r="AG50" s="241"/>
      <c r="AH50" s="476" t="str">
        <f t="shared" si="5"/>
        <v/>
      </c>
      <c r="AI50" s="479" t="str">
        <f t="shared" si="6"/>
        <v/>
      </c>
      <c r="AJ50" s="244">
        <f t="shared" si="7"/>
        <v>0</v>
      </c>
      <c r="AK50" s="245">
        <f t="shared" si="8"/>
        <v>0</v>
      </c>
      <c r="AL50" s="247">
        <f t="shared" si="9"/>
        <v>0</v>
      </c>
      <c r="AM50" s="425">
        <f t="shared" si="10"/>
        <v>0</v>
      </c>
      <c r="AN50" s="480">
        <f t="shared" si="11"/>
        <v>0</v>
      </c>
      <c r="AO50" s="11"/>
    </row>
    <row r="51" spans="1:41" x14ac:dyDescent="0.25">
      <c r="A51" s="61" t="s">
        <v>3</v>
      </c>
      <c r="B51" s="62" t="str">
        <f>IF(_epmOfflineCondition_,"'Venue3'!$O$16:$AN$18",_xll.EVRNG($O$16:$AN$18))</f>
        <v>'Venue3'!$O$16:$AN$18</v>
      </c>
      <c r="C51" s="11"/>
      <c r="D51" s="11"/>
      <c r="E51" s="11"/>
      <c r="F51" s="11"/>
      <c r="G51" s="11"/>
      <c r="H51" s="84" t="s">
        <v>274</v>
      </c>
      <c r="I51" s="118" t="str">
        <f>IF(_epmOfflineCondition_,"T5",_xll.EVPRO($B$1,$H51,"STYLE"))</f>
        <v>T5</v>
      </c>
      <c r="J51" s="118" t="str">
        <f>IF(_epmOfflineCondition_,"Y",_xll.EVPRO($B$1,$H51,"CALC"))</f>
        <v>Y</v>
      </c>
      <c r="K51" s="175" t="str">
        <f t="shared" si="0"/>
        <v>&gt;</v>
      </c>
      <c r="L51" s="86" t="str">
        <f>IF(_epmOfflineCondition_,"468300",_xll.EVPRO($B$1,H51,"JDEID"))</f>
        <v>468300</v>
      </c>
      <c r="M51" s="86" t="str">
        <f>IF(_epmOfflineCondition_,"",IF(AND(I51="N",J51="N"),_xll.EVPRO($B$1,H51,"PSFTID"),""))</f>
        <v/>
      </c>
      <c r="N51" s="86" t="str">
        <f>IF(_epmOfflineCondition_,"Audio/Visual Rentals",IF(_xll.EVDES(H51,$B$1)="#NODATA","",_xll.EVDES(H51,$B$1)))</f>
        <v>Audio/Visual Rentals</v>
      </c>
      <c r="O51" s="453"/>
      <c r="P51" s="223"/>
      <c r="Q51" s="223"/>
      <c r="R51" s="223"/>
      <c r="S51" s="223"/>
      <c r="T51" s="223"/>
      <c r="U51" s="223"/>
      <c r="V51" s="223"/>
      <c r="W51" s="223"/>
      <c r="X51" s="223"/>
      <c r="Y51" s="223"/>
      <c r="Z51" s="223"/>
      <c r="AA51" s="223">
        <f t="shared" si="1"/>
        <v>0</v>
      </c>
      <c r="AB51" s="454" t="str">
        <f t="shared" si="2"/>
        <v/>
      </c>
      <c r="AC51" s="528"/>
      <c r="AD51" s="223"/>
      <c r="AE51" s="454" t="str">
        <f t="shared" si="3"/>
        <v/>
      </c>
      <c r="AF51" s="456">
        <f t="shared" si="4"/>
        <v>0</v>
      </c>
      <c r="AG51" s="223"/>
      <c r="AH51" s="454" t="str">
        <f t="shared" si="5"/>
        <v/>
      </c>
      <c r="AI51" s="457">
        <f t="shared" si="6"/>
        <v>0</v>
      </c>
      <c r="AJ51" s="458">
        <f t="shared" si="7"/>
        <v>0</v>
      </c>
      <c r="AK51" s="459">
        <f t="shared" si="8"/>
        <v>0</v>
      </c>
      <c r="AL51" s="460">
        <f t="shared" si="9"/>
        <v>0</v>
      </c>
      <c r="AM51" s="461">
        <f t="shared" si="10"/>
        <v>0</v>
      </c>
      <c r="AN51" s="462">
        <f t="shared" si="11"/>
        <v>0</v>
      </c>
      <c r="AO51" s="11"/>
    </row>
    <row r="52" spans="1:41" x14ac:dyDescent="0.25">
      <c r="A52" s="61" t="s">
        <v>4</v>
      </c>
      <c r="B52" s="62" t="str">
        <f>IF(_epmOfflineCondition_,"'Venue3'!$H$62:$H$70",_xll.EVRNG(H62:H70))</f>
        <v>'Venue3'!$H$62:$H$70</v>
      </c>
      <c r="C52" s="11"/>
      <c r="D52" s="11"/>
      <c r="E52" s="11"/>
      <c r="F52" s="11"/>
      <c r="G52" s="11"/>
      <c r="H52" s="84" t="s">
        <v>275</v>
      </c>
      <c r="I52" s="118" t="str">
        <f>IF(_epmOfflineCondition_,"T5",_xll.EVPRO($B$1,$H52,"STYLE"))</f>
        <v>T5</v>
      </c>
      <c r="J52" s="118" t="str">
        <f>IF(_epmOfflineCondition_,"Y",_xll.EVPRO($B$1,$H52,"CALC"))</f>
        <v>Y</v>
      </c>
      <c r="K52" s="175" t="str">
        <f t="shared" si="0"/>
        <v>&gt;</v>
      </c>
      <c r="L52" s="86" t="str">
        <f>IF(_epmOfflineCondition_,"468350",_xll.EVPRO($B$1,H52,"JDEID"))</f>
        <v>468350</v>
      </c>
      <c r="M52" s="86" t="str">
        <f>IF(_epmOfflineCondition_,"",IF(AND(I52="N",J52="N"),_xll.EVPRO($B$1,H52,"PSFTID"),""))</f>
        <v/>
      </c>
      <c r="N52" s="86" t="str">
        <f>IF(_epmOfflineCondition_,"Public Room Rental",IF(_xll.EVDES(H52,$B$1)="#NODATA","",_xll.EVDES(H52,$B$1)))</f>
        <v>Public Room Rental</v>
      </c>
      <c r="O52" s="453"/>
      <c r="P52" s="223"/>
      <c r="Q52" s="223"/>
      <c r="R52" s="223"/>
      <c r="S52" s="223"/>
      <c r="T52" s="223"/>
      <c r="U52" s="223"/>
      <c r="V52" s="223"/>
      <c r="W52" s="223"/>
      <c r="X52" s="223"/>
      <c r="Y52" s="223"/>
      <c r="Z52" s="223"/>
      <c r="AA52" s="223">
        <f t="shared" si="1"/>
        <v>0</v>
      </c>
      <c r="AB52" s="454" t="str">
        <f t="shared" si="2"/>
        <v/>
      </c>
      <c r="AC52" s="528"/>
      <c r="AD52" s="223"/>
      <c r="AE52" s="454" t="str">
        <f t="shared" si="3"/>
        <v/>
      </c>
      <c r="AF52" s="456">
        <f t="shared" si="4"/>
        <v>0</v>
      </c>
      <c r="AG52" s="223"/>
      <c r="AH52" s="454" t="str">
        <f t="shared" si="5"/>
        <v/>
      </c>
      <c r="AI52" s="457">
        <f t="shared" si="6"/>
        <v>0</v>
      </c>
      <c r="AJ52" s="458">
        <f t="shared" si="7"/>
        <v>0</v>
      </c>
      <c r="AK52" s="459">
        <f t="shared" si="8"/>
        <v>0</v>
      </c>
      <c r="AL52" s="460">
        <f t="shared" si="9"/>
        <v>0</v>
      </c>
      <c r="AM52" s="461">
        <f t="shared" si="10"/>
        <v>0</v>
      </c>
      <c r="AN52" s="462">
        <f t="shared" si="11"/>
        <v>0</v>
      </c>
      <c r="AO52" s="11"/>
    </row>
    <row r="53" spans="1:41" x14ac:dyDescent="0.25">
      <c r="A53" s="61" t="s">
        <v>5</v>
      </c>
      <c r="B53" s="62"/>
      <c r="C53" s="11"/>
      <c r="D53" s="11"/>
      <c r="E53" s="11"/>
      <c r="F53" s="380"/>
      <c r="G53" s="11"/>
      <c r="H53" s="84" t="s">
        <v>276</v>
      </c>
      <c r="I53" s="118" t="str">
        <f>IF(_epmOfflineCondition_,"T5",_xll.EVPRO($B$1,$H53,"STYLE"))</f>
        <v>T5</v>
      </c>
      <c r="J53" s="118" t="str">
        <f>IF(_epmOfflineCondition_,"Y",_xll.EVPRO($B$1,$H53,"CALC"))</f>
        <v>Y</v>
      </c>
      <c r="K53" s="175" t="str">
        <f t="shared" si="0"/>
        <v>&gt;</v>
      </c>
      <c r="L53" s="86" t="str">
        <f>IF(_epmOfflineCondition_,"468550",_xll.EVPRO($B$1,H53,"JDEID"))</f>
        <v>468550</v>
      </c>
      <c r="M53" s="86" t="str">
        <f>IF(_epmOfflineCondition_,"",IF(AND(I53="N",J53="N"),_xll.EVPRO($B$1,H53,"PSFTID"),""))</f>
        <v/>
      </c>
      <c r="N53" s="86" t="str">
        <f>IF(_epmOfflineCondition_,"Cover Charge",IF(_xll.EVDES(H53,$B$1)="#NODATA","",_xll.EVDES(H53,$B$1)))</f>
        <v>Cover Charge</v>
      </c>
      <c r="O53" s="453"/>
      <c r="P53" s="223"/>
      <c r="Q53" s="223"/>
      <c r="R53" s="223"/>
      <c r="S53" s="223"/>
      <c r="T53" s="223"/>
      <c r="U53" s="223"/>
      <c r="V53" s="223"/>
      <c r="W53" s="223"/>
      <c r="X53" s="223"/>
      <c r="Y53" s="223"/>
      <c r="Z53" s="223"/>
      <c r="AA53" s="223">
        <f t="shared" si="1"/>
        <v>0</v>
      </c>
      <c r="AB53" s="454" t="str">
        <f t="shared" si="2"/>
        <v/>
      </c>
      <c r="AC53" s="528"/>
      <c r="AD53" s="223"/>
      <c r="AE53" s="454" t="str">
        <f t="shared" si="3"/>
        <v/>
      </c>
      <c r="AF53" s="456">
        <f t="shared" si="4"/>
        <v>0</v>
      </c>
      <c r="AG53" s="223"/>
      <c r="AH53" s="454" t="str">
        <f t="shared" si="5"/>
        <v/>
      </c>
      <c r="AI53" s="457">
        <f t="shared" si="6"/>
        <v>0</v>
      </c>
      <c r="AJ53" s="458">
        <f t="shared" si="7"/>
        <v>0</v>
      </c>
      <c r="AK53" s="459">
        <f t="shared" si="8"/>
        <v>0</v>
      </c>
      <c r="AL53" s="460">
        <f t="shared" si="9"/>
        <v>0</v>
      </c>
      <c r="AM53" s="461">
        <f t="shared" si="10"/>
        <v>0</v>
      </c>
      <c r="AN53" s="462">
        <f t="shared" si="11"/>
        <v>0</v>
      </c>
      <c r="AO53" s="11"/>
    </row>
    <row r="54" spans="1:41" x14ac:dyDescent="0.25">
      <c r="A54" s="61" t="s">
        <v>6</v>
      </c>
      <c r="B54" s="62"/>
      <c r="C54" s="11"/>
      <c r="D54" s="11"/>
      <c r="E54" s="11"/>
      <c r="F54" s="380"/>
      <c r="G54" s="11"/>
      <c r="H54" s="84" t="s">
        <v>282</v>
      </c>
      <c r="I54" s="118" t="str">
        <f>IF(_epmOfflineCondition_,"T5",_xll.EVPRO($B$1,$H54,"STYLE"))</f>
        <v>T5</v>
      </c>
      <c r="J54" s="118" t="str">
        <f>IF(_epmOfflineCondition_,"Y",_xll.EVPRO($B$1,$H54,"CALC"))</f>
        <v>Y</v>
      </c>
      <c r="K54" s="175" t="str">
        <f t="shared" si="0"/>
        <v>&gt;</v>
      </c>
      <c r="L54" s="86" t="str">
        <f>IF(_epmOfflineCondition_,"",_xll.EVPRO($B$1,H54,"JDEID"))</f>
        <v/>
      </c>
      <c r="M54" s="86" t="str">
        <f>IF(_epmOfflineCondition_,"",IF(AND(I54="N",J54="N"),_xll.EVPRO($B$1,H54,"PSFTID"),""))</f>
        <v/>
      </c>
      <c r="N54" s="86" t="str">
        <f>IF(_epmOfflineCondition_,"Surcharges &amp; Services Charges",IF(_xll.EVDES(H54,$B$1)="#NODATA","",_xll.EVDES(H54,$B$1)))</f>
        <v>Surcharges &amp; Services Charges</v>
      </c>
      <c r="O54" s="453"/>
      <c r="P54" s="223"/>
      <c r="Q54" s="223"/>
      <c r="R54" s="223"/>
      <c r="S54" s="223"/>
      <c r="T54" s="223"/>
      <c r="U54" s="223"/>
      <c r="V54" s="223"/>
      <c r="W54" s="223"/>
      <c r="X54" s="223"/>
      <c r="Y54" s="223"/>
      <c r="Z54" s="223"/>
      <c r="AA54" s="223">
        <f t="shared" si="1"/>
        <v>0</v>
      </c>
      <c r="AB54" s="454" t="str">
        <f t="shared" si="2"/>
        <v/>
      </c>
      <c r="AC54" s="528"/>
      <c r="AD54" s="223"/>
      <c r="AE54" s="454" t="str">
        <f t="shared" si="3"/>
        <v/>
      </c>
      <c r="AF54" s="456">
        <f t="shared" si="4"/>
        <v>0</v>
      </c>
      <c r="AG54" s="223"/>
      <c r="AH54" s="454" t="str">
        <f t="shared" si="5"/>
        <v/>
      </c>
      <c r="AI54" s="457">
        <f t="shared" si="6"/>
        <v>0</v>
      </c>
      <c r="AJ54" s="458">
        <f t="shared" si="7"/>
        <v>0</v>
      </c>
      <c r="AK54" s="459">
        <f t="shared" si="8"/>
        <v>0</v>
      </c>
      <c r="AL54" s="460">
        <f t="shared" si="9"/>
        <v>0</v>
      </c>
      <c r="AM54" s="461">
        <f t="shared" si="10"/>
        <v>0</v>
      </c>
      <c r="AN54" s="462">
        <f t="shared" si="11"/>
        <v>0</v>
      </c>
      <c r="AO54" s="11"/>
    </row>
    <row r="55" spans="1:41" x14ac:dyDescent="0.25">
      <c r="A55" s="61" t="s">
        <v>7</v>
      </c>
      <c r="B55" s="62" t="str">
        <f>IF(_epmOfflineCondition_,"'Venue3'!$A$69:$F$77",_xll.EVRNG(A69:F77))</f>
        <v>'Venue3'!$A$69:$F$77</v>
      </c>
      <c r="C55" s="11"/>
      <c r="D55" s="11"/>
      <c r="E55" s="11"/>
      <c r="F55" s="380"/>
      <c r="G55" s="11"/>
      <c r="H55" s="84" t="s">
        <v>283</v>
      </c>
      <c r="I55" s="118" t="str">
        <f>IF(_epmOfflineCondition_,"T5",_xll.EVPRO($B$1,$H55,"STYLE"))</f>
        <v>T5</v>
      </c>
      <c r="J55" s="118" t="str">
        <f>IF(_epmOfflineCondition_,"Y",_xll.EVPRO($B$1,$H55,"CALC"))</f>
        <v>Y</v>
      </c>
      <c r="K55" s="175" t="str">
        <f t="shared" si="0"/>
        <v>&gt;</v>
      </c>
      <c r="L55" s="86" t="str">
        <f>IF(_epmOfflineCondition_,"",_xll.EVPRO($B$1,H55,"JDEID"))</f>
        <v/>
      </c>
      <c r="M55" s="86" t="str">
        <f>IF(_epmOfflineCondition_,"",IF(AND(I55="N",J55="N"),_xll.EVPRO($B$1,H55,"PSFTID"),""))</f>
        <v/>
      </c>
      <c r="N55" s="86" t="str">
        <f>IF(_epmOfflineCondition_,"Miscellaneous Other Revenue",IF(_xll.EVDES(H55,$B$1)="#NODATA","",_xll.EVDES(H55,$B$1)))</f>
        <v>Miscellaneous Other Revenue</v>
      </c>
      <c r="O55" s="453"/>
      <c r="P55" s="223"/>
      <c r="Q55" s="223"/>
      <c r="R55" s="223"/>
      <c r="S55" s="223"/>
      <c r="T55" s="223"/>
      <c r="U55" s="223"/>
      <c r="V55" s="223"/>
      <c r="W55" s="223"/>
      <c r="X55" s="223"/>
      <c r="Y55" s="223"/>
      <c r="Z55" s="223"/>
      <c r="AA55" s="223">
        <f t="shared" si="1"/>
        <v>0</v>
      </c>
      <c r="AB55" s="454" t="str">
        <f t="shared" si="2"/>
        <v/>
      </c>
      <c r="AC55" s="528"/>
      <c r="AD55" s="223"/>
      <c r="AE55" s="454" t="str">
        <f t="shared" si="3"/>
        <v/>
      </c>
      <c r="AF55" s="456">
        <f t="shared" si="4"/>
        <v>0</v>
      </c>
      <c r="AG55" s="223"/>
      <c r="AH55" s="454" t="str">
        <f t="shared" si="5"/>
        <v/>
      </c>
      <c r="AI55" s="457">
        <f t="shared" si="6"/>
        <v>0</v>
      </c>
      <c r="AJ55" s="458">
        <f t="shared" si="7"/>
        <v>0</v>
      </c>
      <c r="AK55" s="459">
        <f t="shared" si="8"/>
        <v>0</v>
      </c>
      <c r="AL55" s="460">
        <f t="shared" si="9"/>
        <v>0</v>
      </c>
      <c r="AM55" s="461">
        <f t="shared" si="10"/>
        <v>0</v>
      </c>
      <c r="AN55" s="462">
        <f t="shared" si="11"/>
        <v>0</v>
      </c>
      <c r="AO55" s="11"/>
    </row>
    <row r="56" spans="1:41" x14ac:dyDescent="0.25">
      <c r="A56" s="61" t="s">
        <v>47</v>
      </c>
      <c r="B56" s="62" t="str">
        <f>IF(_epmOfflineCondition_,"'Venue3'!$A$125:$B$146",_xll.EVRNG($A$125:$B$146))</f>
        <v>'Venue3'!$A$125:$B$146</v>
      </c>
      <c r="C56" s="11"/>
      <c r="D56" s="11"/>
      <c r="E56" s="11"/>
      <c r="F56" s="11"/>
      <c r="G56" s="11"/>
      <c r="H56" s="84" t="s">
        <v>473</v>
      </c>
      <c r="I56" s="118" t="str">
        <f>IF(_epmOfflineCondition_,"N",_xll.EVPRO($B$1,$H56,"STYLE"))</f>
        <v>N</v>
      </c>
      <c r="J56" s="118" t="str">
        <f>IF(_epmOfflineCondition_,"N",_xll.EVPRO($B$1,$H56,"CALC"))</f>
        <v>N</v>
      </c>
      <c r="K56" s="175" t="str">
        <f t="shared" si="0"/>
        <v/>
      </c>
      <c r="L56" s="86" t="str">
        <f>IF(_epmOfflineCondition_,"468990",_xll.EVPRO($B$1,H56,"JDEID"))</f>
        <v>468990</v>
      </c>
      <c r="M56" s="86" t="str">
        <f>IF(_epmOfflineCondition_,"206022",IF(AND(I56="N",J56="N"),_xll.EVPRO($B$1,H56,"PSFTID"),""))</f>
        <v>206022</v>
      </c>
      <c r="N56" s="86" t="str">
        <f>IF(_epmOfflineCondition_,"Other Revenue: Allowances",IF(_xll.EVDES(H56,$B$1)="#NODATA","",_xll.EVDES(H56,$B$1)))</f>
        <v>Other Revenue: Allowances</v>
      </c>
      <c r="O56" s="463"/>
      <c r="P56" s="229"/>
      <c r="Q56" s="229"/>
      <c r="R56" s="229"/>
      <c r="S56" s="229"/>
      <c r="T56" s="229"/>
      <c r="U56" s="229"/>
      <c r="V56" s="229"/>
      <c r="W56" s="229"/>
      <c r="X56" s="229"/>
      <c r="Y56" s="229"/>
      <c r="Z56" s="229"/>
      <c r="AA56" s="229">
        <f t="shared" si="1"/>
        <v>0</v>
      </c>
      <c r="AB56" s="464" t="str">
        <f t="shared" si="2"/>
        <v/>
      </c>
      <c r="AC56" s="455"/>
      <c r="AD56" s="229"/>
      <c r="AE56" s="464" t="str">
        <f t="shared" si="3"/>
        <v/>
      </c>
      <c r="AF56" s="465">
        <f t="shared" si="4"/>
        <v>0</v>
      </c>
      <c r="AG56" s="229"/>
      <c r="AH56" s="464" t="str">
        <f t="shared" si="5"/>
        <v/>
      </c>
      <c r="AI56" s="466">
        <f t="shared" si="6"/>
        <v>0</v>
      </c>
      <c r="AJ56" s="467">
        <f t="shared" si="7"/>
        <v>0</v>
      </c>
      <c r="AK56" s="468">
        <f t="shared" si="8"/>
        <v>0</v>
      </c>
      <c r="AL56" s="469">
        <f t="shared" si="9"/>
        <v>0</v>
      </c>
      <c r="AM56" s="470">
        <f t="shared" si="10"/>
        <v>0</v>
      </c>
      <c r="AN56" s="471">
        <f t="shared" si="11"/>
        <v>0</v>
      </c>
      <c r="AO56" s="11"/>
    </row>
    <row r="57" spans="1:41" x14ac:dyDescent="0.25">
      <c r="A57" s="61" t="s">
        <v>8</v>
      </c>
      <c r="B57" s="62"/>
      <c r="C57" s="11"/>
      <c r="D57" s="11"/>
      <c r="E57" s="11"/>
      <c r="F57" s="11"/>
      <c r="G57" s="11"/>
      <c r="H57" s="84" t="s">
        <v>277</v>
      </c>
      <c r="I57" s="184" t="str">
        <f>IF(_epmOfflineCondition_,"T4",_xll.EVPRO($B$1,$H57,"STYLE"))</f>
        <v>T4</v>
      </c>
      <c r="J57" s="184" t="str">
        <f>IF(_epmOfflineCondition_,"Y",_xll.EVPRO($B$1,$H57,"CALC"))</f>
        <v>Y</v>
      </c>
      <c r="K57" s="185" t="str">
        <f t="shared" si="0"/>
        <v/>
      </c>
      <c r="L57" s="186" t="str">
        <f>IF(_epmOfflineCondition_,"",_xll.EVPRO($B$1,H57,"JDEID"))</f>
        <v/>
      </c>
      <c r="M57" s="186" t="str">
        <f>IF(_epmOfflineCondition_,"",IF(AND(I57="N",J57="N"),_xll.EVPRO($B$1,H57,"PSFTID"),""))</f>
        <v/>
      </c>
      <c r="N57" s="186" t="str">
        <f>IF(_epmOfflineCondition_,"Total Other Revenue",IF(_xll.EVDES(H57,$B$1)="#NODATA","",_xll.EVDES(H57,$B$1)))</f>
        <v>Total Other Revenue</v>
      </c>
      <c r="O57" s="481"/>
      <c r="P57" s="210"/>
      <c r="Q57" s="210"/>
      <c r="R57" s="210"/>
      <c r="S57" s="210"/>
      <c r="T57" s="210"/>
      <c r="U57" s="210"/>
      <c r="V57" s="210"/>
      <c r="W57" s="210"/>
      <c r="X57" s="210"/>
      <c r="Y57" s="210"/>
      <c r="Z57" s="210"/>
      <c r="AA57" s="210">
        <f t="shared" si="1"/>
        <v>0</v>
      </c>
      <c r="AB57" s="211" t="str">
        <f t="shared" si="2"/>
        <v/>
      </c>
      <c r="AC57" s="251"/>
      <c r="AD57" s="210"/>
      <c r="AE57" s="211" t="str">
        <f t="shared" si="3"/>
        <v/>
      </c>
      <c r="AF57" s="252">
        <f t="shared" si="4"/>
        <v>0</v>
      </c>
      <c r="AG57" s="210"/>
      <c r="AH57" s="211" t="str">
        <f t="shared" si="5"/>
        <v/>
      </c>
      <c r="AI57" s="482">
        <f t="shared" si="6"/>
        <v>0</v>
      </c>
      <c r="AJ57" s="253">
        <f t="shared" si="7"/>
        <v>0</v>
      </c>
      <c r="AK57" s="254">
        <f t="shared" si="8"/>
        <v>0</v>
      </c>
      <c r="AL57" s="256">
        <f t="shared" si="9"/>
        <v>0</v>
      </c>
      <c r="AM57" s="427">
        <f t="shared" si="10"/>
        <v>0</v>
      </c>
      <c r="AN57" s="483">
        <f t="shared" si="11"/>
        <v>0</v>
      </c>
      <c r="AO57" s="11"/>
    </row>
    <row r="58" spans="1:41" x14ac:dyDescent="0.25">
      <c r="A58" s="11"/>
      <c r="B58" s="11"/>
      <c r="C58" s="11"/>
      <c r="D58" s="11"/>
      <c r="E58" s="11"/>
      <c r="F58" s="11"/>
      <c r="G58" s="72"/>
      <c r="H58" s="84" t="s">
        <v>280</v>
      </c>
      <c r="I58" s="184" t="str">
        <f>IF(_epmOfflineCondition_,"T3",_xll.EVPRO($B$1,$H58,"STYLE"))</f>
        <v>T3</v>
      </c>
      <c r="J58" s="184" t="str">
        <f>IF(_epmOfflineCondition_,"Y",_xll.EVPRO($B$1,$H58,"CALC"))</f>
        <v>Y</v>
      </c>
      <c r="K58" s="185" t="str">
        <f t="shared" si="0"/>
        <v/>
      </c>
      <c r="L58" s="186" t="str">
        <f>IF(_epmOfflineCondition_,"400000",_xll.EVPRO($B$1,H58,"JDEID"))</f>
        <v>400000</v>
      </c>
      <c r="M58" s="186" t="str">
        <f>IF(_epmOfflineCondition_,"",IF(AND(I58="N",J58="N"),_xll.EVPRO($B$1,H58,"PSFTID"),""))</f>
        <v/>
      </c>
      <c r="N58" s="186" t="str">
        <f>IF(_epmOfflineCondition_,"Total Revenue",IF(_xll.EVDES(H58,$B$1)="#NODATA","",_xll.EVDES(H58,$B$1)))</f>
        <v>Total Revenue</v>
      </c>
      <c r="O58" s="472"/>
      <c r="P58" s="236"/>
      <c r="Q58" s="236"/>
      <c r="R58" s="236"/>
      <c r="S58" s="236"/>
      <c r="T58" s="236"/>
      <c r="U58" s="236"/>
      <c r="V58" s="236"/>
      <c r="W58" s="236"/>
      <c r="X58" s="236"/>
      <c r="Y58" s="236"/>
      <c r="Z58" s="236"/>
      <c r="AA58" s="236">
        <f t="shared" si="1"/>
        <v>0</v>
      </c>
      <c r="AB58" s="237" t="str">
        <f t="shared" si="2"/>
        <v/>
      </c>
      <c r="AC58" s="238"/>
      <c r="AD58" s="236"/>
      <c r="AE58" s="237" t="str">
        <f t="shared" si="3"/>
        <v/>
      </c>
      <c r="AF58" s="239">
        <f t="shared" si="4"/>
        <v>0</v>
      </c>
      <c r="AG58" s="236"/>
      <c r="AH58" s="237" t="str">
        <f t="shared" si="5"/>
        <v/>
      </c>
      <c r="AI58" s="473">
        <f t="shared" si="6"/>
        <v>0</v>
      </c>
      <c r="AJ58" s="215">
        <f t="shared" si="7"/>
        <v>0</v>
      </c>
      <c r="AK58" s="216">
        <f t="shared" si="8"/>
        <v>0</v>
      </c>
      <c r="AL58" s="218">
        <f t="shared" si="9"/>
        <v>0</v>
      </c>
      <c r="AM58" s="423">
        <f t="shared" si="10"/>
        <v>0</v>
      </c>
      <c r="AN58" s="474">
        <f t="shared" si="11"/>
        <v>0</v>
      </c>
      <c r="AO58" s="11"/>
    </row>
    <row r="59" spans="1:41" x14ac:dyDescent="0.25">
      <c r="A59" s="57" t="s">
        <v>9</v>
      </c>
      <c r="B59" s="58" t="s">
        <v>10</v>
      </c>
      <c r="C59" s="11"/>
      <c r="D59" s="11"/>
      <c r="E59" s="11"/>
      <c r="F59" s="11"/>
      <c r="G59" s="11"/>
      <c r="H59" s="11"/>
      <c r="I59" s="55"/>
      <c r="J59" s="55"/>
      <c r="K59" s="11"/>
      <c r="L59" s="11"/>
      <c r="M59" s="11"/>
      <c r="N59" s="11"/>
      <c r="O59" s="199"/>
      <c r="P59" s="200"/>
      <c r="Q59" s="200"/>
      <c r="R59" s="200"/>
      <c r="S59" s="200"/>
      <c r="T59" s="200"/>
      <c r="U59" s="200"/>
      <c r="V59" s="200"/>
      <c r="W59" s="200"/>
      <c r="X59" s="200"/>
      <c r="Y59" s="200"/>
      <c r="Z59" s="200"/>
      <c r="AA59" s="200"/>
      <c r="AB59" s="114"/>
      <c r="AC59" s="11"/>
      <c r="AD59" s="199"/>
      <c r="AE59" s="200"/>
      <c r="AF59" s="114"/>
      <c r="AG59" s="199"/>
      <c r="AH59" s="200"/>
      <c r="AI59" s="114"/>
      <c r="AJ59" s="11"/>
      <c r="AK59" s="11"/>
      <c r="AL59" s="11"/>
      <c r="AM59" s="11"/>
      <c r="AN59" s="11"/>
      <c r="AO59" s="11"/>
    </row>
    <row r="60" spans="1:41" x14ac:dyDescent="0.25">
      <c r="A60" s="61" t="s">
        <v>11</v>
      </c>
      <c r="B60" s="62" t="s">
        <v>21</v>
      </c>
      <c r="C60" s="11"/>
      <c r="D60" s="11"/>
      <c r="E60" s="11"/>
      <c r="F60" s="11"/>
      <c r="G60" s="11"/>
      <c r="H60" s="11" t="s">
        <v>281</v>
      </c>
      <c r="I60" s="55" t="str">
        <f>IF(_epmOfflineCondition_,"B1",_xll.EVPRO($B$1,$H60,"STYLE"))</f>
        <v>B1</v>
      </c>
      <c r="J60" s="55" t="str">
        <f>IF(_epmOfflineCondition_,"Y",_xll.EVPRO($B$1,$H60,"CALC"))</f>
        <v>Y</v>
      </c>
      <c r="K60" s="11"/>
      <c r="L60" s="11"/>
      <c r="M60" s="11"/>
      <c r="N60" s="101" t="str">
        <f>IF(_epmOfflineCondition_,"Cost of Sales",IF(_xll.EVDES(H60,$B$1)="#NODATA","",_xll.EVDES(H60,$B$1)))</f>
        <v>Cost of Sales</v>
      </c>
      <c r="O60" s="199"/>
      <c r="P60" s="200"/>
      <c r="Q60" s="200"/>
      <c r="R60" s="200"/>
      <c r="S60" s="200"/>
      <c r="T60" s="200"/>
      <c r="U60" s="200"/>
      <c r="V60" s="200"/>
      <c r="W60" s="200"/>
      <c r="X60" s="200"/>
      <c r="Y60" s="200"/>
      <c r="Z60" s="200"/>
      <c r="AA60" s="200"/>
      <c r="AB60" s="114"/>
      <c r="AC60" s="11"/>
      <c r="AD60" s="199"/>
      <c r="AE60" s="200"/>
      <c r="AF60" s="114"/>
      <c r="AG60" s="199"/>
      <c r="AH60" s="200"/>
      <c r="AI60" s="114"/>
      <c r="AJ60" s="11"/>
      <c r="AK60" s="11"/>
      <c r="AL60" s="11"/>
      <c r="AM60" s="11"/>
      <c r="AN60" s="11"/>
      <c r="AO60" s="11"/>
    </row>
    <row r="61" spans="1:41" x14ac:dyDescent="0.25">
      <c r="A61" s="61" t="s">
        <v>12</v>
      </c>
      <c r="B61" s="62" t="s">
        <v>22</v>
      </c>
      <c r="C61" s="11"/>
      <c r="D61" s="11"/>
      <c r="E61" s="11"/>
      <c r="F61" s="11"/>
      <c r="G61" s="11"/>
      <c r="H61" s="11" t="s">
        <v>284</v>
      </c>
      <c r="I61" s="55" t="str">
        <f>IF(_epmOfflineCondition_,"B1",_xll.EVPRO($B$1,$H61,"STYLE"))</f>
        <v>B1</v>
      </c>
      <c r="J61" s="55" t="str">
        <f>IF(_epmOfflineCondition_,"Y",_xll.EVPRO($B$1,$H61,"CALC"))</f>
        <v>Y</v>
      </c>
      <c r="K61" s="11"/>
      <c r="L61" s="11"/>
      <c r="M61" s="11"/>
      <c r="N61" s="49" t="str">
        <f>IF(_epmOfflineCondition_,"Cost of Food &amp; Beverage Sales",IF(_xll.EVDES(H61,$B$1)="#NODATA","",_xll.EVDES(H61,$B$1)))</f>
        <v>Cost of Food &amp; Beverage Sales</v>
      </c>
      <c r="O61" s="199"/>
      <c r="P61" s="200"/>
      <c r="Q61" s="200"/>
      <c r="R61" s="200"/>
      <c r="S61" s="200"/>
      <c r="T61" s="200"/>
      <c r="U61" s="200"/>
      <c r="V61" s="200"/>
      <c r="W61" s="200"/>
      <c r="X61" s="200"/>
      <c r="Y61" s="200"/>
      <c r="Z61" s="200"/>
      <c r="AA61" s="200"/>
      <c r="AB61" s="114"/>
      <c r="AC61" s="11"/>
      <c r="AD61" s="199"/>
      <c r="AE61" s="200"/>
      <c r="AF61" s="114"/>
      <c r="AG61" s="199"/>
      <c r="AH61" s="200"/>
      <c r="AI61" s="114"/>
      <c r="AJ61" s="11"/>
      <c r="AK61" s="11"/>
      <c r="AL61" s="11"/>
      <c r="AM61" s="11"/>
      <c r="AN61" s="11"/>
      <c r="AO61" s="11"/>
    </row>
    <row r="62" spans="1:41" x14ac:dyDescent="0.25">
      <c r="A62" s="61" t="s">
        <v>13</v>
      </c>
      <c r="B62" s="62" t="str">
        <f>"DEP(COS_FB) AND "&amp;$E$6&amp;"=Y,COS_FB,COSOTH,DEP(COS_OTHR) AND "&amp;$E$6&amp;"=Y,COS_OTHR,500001"</f>
        <v>DEP(COS_FB) AND D_VENUES=Y,COS_FB,COSOTH,DEP(COS_OTHR) AND D_VENUES=Y,COS_OTHR,500001</v>
      </c>
      <c r="C62" s="11"/>
      <c r="D62" s="11"/>
      <c r="E62" s="11"/>
      <c r="F62" s="11"/>
      <c r="G62" s="11"/>
      <c r="H62" s="84" t="s">
        <v>285</v>
      </c>
      <c r="I62" s="118" t="str">
        <f>IF(_epmOfflineCondition_,"T5",_xll.EVPRO($B$1,$H62,"STYLE"))</f>
        <v>T5</v>
      </c>
      <c r="J62" s="118" t="str">
        <f>IF(_epmOfflineCondition_,"Y",_xll.EVPRO($B$1,$H62,"CALC"))</f>
        <v>Y</v>
      </c>
      <c r="K62" s="175" t="str">
        <f t="shared" ref="K62:K72" si="12">IF(AND(I62&gt;="T5"),"&gt;","")</f>
        <v>&gt;</v>
      </c>
      <c r="L62" s="86" t="str">
        <f>IF(_epmOfflineCondition_,"561100",_xll.EVPRO($B$1,H62,"JDEID"))</f>
        <v>561100</v>
      </c>
      <c r="M62" s="86" t="str">
        <f>IF(_epmOfflineCondition_,"",IF(AND(I62="N",J62="N"),_xll.EVPRO($B$1,H62,"PSFTID"),""))</f>
        <v/>
      </c>
      <c r="N62" s="86" t="str">
        <f>IF(_epmOfflineCondition_,"Cost of Food Sales",IF(_xll.EVDES(H62,$B$1)="#NODATA","",_xll.EVDES(H62,$B$1)))</f>
        <v>Cost of Food Sales</v>
      </c>
      <c r="O62" s="453"/>
      <c r="P62" s="223"/>
      <c r="Q62" s="223"/>
      <c r="R62" s="223"/>
      <c r="S62" s="223"/>
      <c r="T62" s="223"/>
      <c r="U62" s="223"/>
      <c r="V62" s="223"/>
      <c r="W62" s="223"/>
      <c r="X62" s="223"/>
      <c r="Y62" s="223"/>
      <c r="Z62" s="223"/>
      <c r="AA62" s="223">
        <f t="shared" ref="AA62:AA70" si="13">IF($I62="B1","",SUM(O62:Z62))</f>
        <v>0</v>
      </c>
      <c r="AB62" s="454" t="str">
        <f>IF(_epmOfflineCondition_,"",IF(AA62=0,"",IFERROR(AA62/_xll.EVGTS($B$1,1,_xll.EVPRO($B$1,$H62,"COSBASIS"),$B$3,$B$5,$B$6,$B$7,$B$9,AA$16,AA$17,AA$11),"")))</f>
        <v/>
      </c>
      <c r="AC62" s="528"/>
      <c r="AD62" s="223"/>
      <c r="AE62" s="454" t="str">
        <f>IF(_epmOfflineCondition_,"",IF(AD62=0,"",IFERROR(AD62/_xll.EVGTS($B$1,1,_xll.EVPRO($B$1,$H62,"COSBASIS"),$B$3,$B$5,$B$6,$B$7,$B$9,AD$16,AD$17,AD$18),"")))</f>
        <v/>
      </c>
      <c r="AF62" s="456">
        <f t="shared" ref="AF62:AF72" si="14">IF(AND($AA62="",AD62=""),"",$AA62-AD62)</f>
        <v>0</v>
      </c>
      <c r="AG62" s="223"/>
      <c r="AH62" s="454" t="str">
        <f>IF(_epmOfflineCondition_,"",IF(AG62=0,"",IFERROR(AG62/_xll.EVGTS($B$1,1,_xll.EVPRO($B$1,$H62,"COSBASIS"),$B$3,$B$5,$B$6,$B$7,$B$9,AG$16,AG$17,AG$18),"")))</f>
        <v/>
      </c>
      <c r="AI62" s="457">
        <f t="shared" ref="AI62:AI72" si="15">IF(AND($AA62="",AG62=""),"",$AA62-AG62)</f>
        <v>0</v>
      </c>
      <c r="AJ62" s="458">
        <f t="shared" ref="AJ62:AJ70" si="16">IFERROR(AA62/AA$20,0)</f>
        <v>0</v>
      </c>
      <c r="AK62" s="459">
        <f t="shared" ref="AK62:AK70" si="17">IFERROR(AD62/AD$20,0)</f>
        <v>0</v>
      </c>
      <c r="AL62" s="460">
        <f t="shared" ref="AL62:AL70" si="18">IFERROR(AG62/AG$20,0)</f>
        <v>0</v>
      </c>
      <c r="AM62" s="461">
        <f t="shared" ref="AM62:AM70" si="19">+IFERROR(ROUND(($AB62-AE62)*100,2)&amp;" pts.",0)</f>
        <v>0</v>
      </c>
      <c r="AN62" s="462">
        <f t="shared" ref="AN62:AN70" si="20">+IFERROR(ROUND(($AB62-AH62)*100,2)&amp;" pts.",0)</f>
        <v>0</v>
      </c>
      <c r="AO62" s="11"/>
    </row>
    <row r="63" spans="1:41" x14ac:dyDescent="0.25">
      <c r="A63" s="61" t="s">
        <v>14</v>
      </c>
      <c r="B63" s="62"/>
      <c r="C63" s="11"/>
      <c r="D63" s="11"/>
      <c r="E63" s="11"/>
      <c r="F63" s="11"/>
      <c r="G63" s="11"/>
      <c r="H63" s="84" t="s">
        <v>637</v>
      </c>
      <c r="I63" s="118" t="str">
        <f>IF(_epmOfflineCondition_,"T5",_xll.EVPRO($B$1,$H63,"STYLE"))</f>
        <v>T5</v>
      </c>
      <c r="J63" s="118" t="str">
        <f>IF(_epmOfflineCondition_,"Y",_xll.EVPRO($B$1,$H63,"CALC"))</f>
        <v>Y</v>
      </c>
      <c r="K63" s="175" t="str">
        <f t="shared" si="12"/>
        <v>&gt;</v>
      </c>
      <c r="L63" s="86" t="str">
        <f>IF(_epmOfflineCondition_,"",_xll.EVPRO($B$1,H63,"JDEID"))</f>
        <v/>
      </c>
      <c r="M63" s="86" t="str">
        <f>IF(_epmOfflineCondition_,"",IF(AND(I63="N",J63="N"),_xll.EVPRO($B$1,H63,"PSFTID"),""))</f>
        <v/>
      </c>
      <c r="N63" s="86" t="str">
        <f>IF(_epmOfflineCondition_,"Cost of Beverage Sales",IF(_xll.EVDES(H63,$B$1)="#NODATA","",_xll.EVDES(H63,$B$1)))</f>
        <v>Cost of Beverage Sales</v>
      </c>
      <c r="O63" s="463"/>
      <c r="P63" s="229"/>
      <c r="Q63" s="229"/>
      <c r="R63" s="229"/>
      <c r="S63" s="229"/>
      <c r="T63" s="229"/>
      <c r="U63" s="229"/>
      <c r="V63" s="229"/>
      <c r="W63" s="229"/>
      <c r="X63" s="229"/>
      <c r="Y63" s="229"/>
      <c r="Z63" s="229"/>
      <c r="AA63" s="229">
        <f t="shared" si="13"/>
        <v>0</v>
      </c>
      <c r="AB63" s="464" t="str">
        <f>IF(_epmOfflineCondition_,"",IF(AA63=0,"",IFERROR(AA63/_xll.EVGTS($B$1,1,_xll.EVPRO($B$1,$H63,"COSBASIS"),$B$3,$B$5,$B$6,$B$7,$B$9,AA$16,AA$17,AA$11),"")))</f>
        <v/>
      </c>
      <c r="AC63" s="455"/>
      <c r="AD63" s="229"/>
      <c r="AE63" s="464" t="str">
        <f>IF(_epmOfflineCondition_,"",IF(AD63=0,"",IFERROR(AD63/_xll.EVGTS($B$1,1,_xll.EVPRO($B$1,$H63,"COSBASIS"),$B$3,$B$5,$B$6,$B$7,$B$9,AD$16,AD$17,AD$18),"")))</f>
        <v/>
      </c>
      <c r="AF63" s="465">
        <f t="shared" si="14"/>
        <v>0</v>
      </c>
      <c r="AG63" s="229"/>
      <c r="AH63" s="464" t="str">
        <f>IF(_epmOfflineCondition_,"",IF(AG63=0,"",IFERROR(AG63/_xll.EVGTS($B$1,1,_xll.EVPRO($B$1,$H63,"COSBASIS"),$B$3,$B$5,$B$6,$B$7,$B$9,AG$16,AG$17,AG$18),"")))</f>
        <v/>
      </c>
      <c r="AI63" s="466">
        <f t="shared" si="15"/>
        <v>0</v>
      </c>
      <c r="AJ63" s="467">
        <f t="shared" si="16"/>
        <v>0</v>
      </c>
      <c r="AK63" s="468">
        <f t="shared" si="17"/>
        <v>0</v>
      </c>
      <c r="AL63" s="469">
        <f t="shared" si="18"/>
        <v>0</v>
      </c>
      <c r="AM63" s="470">
        <f t="shared" si="19"/>
        <v>0</v>
      </c>
      <c r="AN63" s="471">
        <f t="shared" si="20"/>
        <v>0</v>
      </c>
      <c r="AO63" s="11"/>
    </row>
    <row r="64" spans="1:41" x14ac:dyDescent="0.25">
      <c r="A64" s="61" t="s">
        <v>15</v>
      </c>
      <c r="B64" s="62"/>
      <c r="C64" s="11"/>
      <c r="D64" s="11"/>
      <c r="E64" s="11"/>
      <c r="F64" s="11"/>
      <c r="G64" s="11"/>
      <c r="H64" s="84" t="s">
        <v>286</v>
      </c>
      <c r="I64" s="184" t="str">
        <f>IF(_epmOfflineCondition_,"T4",_xll.EVPRO($B$1,$H64,"STYLE"))</f>
        <v>T4</v>
      </c>
      <c r="J64" s="184" t="str">
        <f>IF(_epmOfflineCondition_,"Y",_xll.EVPRO($B$1,$H64,"CALC"))</f>
        <v>Y</v>
      </c>
      <c r="K64" s="185" t="str">
        <f t="shared" si="12"/>
        <v/>
      </c>
      <c r="L64" s="186" t="str">
        <f>IF(_epmOfflineCondition_,"",_xll.EVPRO($B$1,H64,"JDEID"))</f>
        <v/>
      </c>
      <c r="M64" s="186" t="str">
        <f>IF(_epmOfflineCondition_,"",IF(AND(I64="N",J64="N"),_xll.EVPRO($B$1,H64,"PSFTID"),""))</f>
        <v/>
      </c>
      <c r="N64" s="186" t="str">
        <f>IF(_epmOfflineCondition_,"Total Cost of Food &amp; Beverage Sales",IF(_xll.EVDES(H64,$B$1)="#NODATA","",_xll.EVDES(H64,$B$1)))</f>
        <v>Total Cost of Food &amp; Beverage Sales</v>
      </c>
      <c r="O64" s="472"/>
      <c r="P64" s="236"/>
      <c r="Q64" s="236"/>
      <c r="R64" s="236"/>
      <c r="S64" s="236"/>
      <c r="T64" s="236"/>
      <c r="U64" s="236"/>
      <c r="V64" s="236"/>
      <c r="W64" s="236"/>
      <c r="X64" s="236"/>
      <c r="Y64" s="236"/>
      <c r="Z64" s="236"/>
      <c r="AA64" s="236">
        <f t="shared" si="13"/>
        <v>0</v>
      </c>
      <c r="AB64" s="237" t="str">
        <f>IF(_epmOfflineCondition_,"",IF(AA64=0,"",IFERROR(AA64/_xll.EVGTS($B$1,1,_xll.EVPRO($B$1,$H64,"COSBASIS"),$B$3,$B$5,$B$6,$B$7,$B$9,AA$16,AA$17,AA$11),"")))</f>
        <v/>
      </c>
      <c r="AC64" s="238"/>
      <c r="AD64" s="236"/>
      <c r="AE64" s="237" t="str">
        <f>IF(_epmOfflineCondition_,"",IF(AD64=0,"",IFERROR(AD64/_xll.EVGTS($B$1,1,_xll.EVPRO($B$1,$H64,"COSBASIS"),$B$3,$B$5,$B$6,$B$7,$B$9,AD$16,AD$17,AD$18),"")))</f>
        <v/>
      </c>
      <c r="AF64" s="239">
        <f t="shared" si="14"/>
        <v>0</v>
      </c>
      <c r="AG64" s="236"/>
      <c r="AH64" s="237" t="str">
        <f>IF(_epmOfflineCondition_,"",IF(AG64=0,"",IFERROR(AG64/_xll.EVGTS($B$1,1,_xll.EVPRO($B$1,$H64,"COSBASIS"),$B$3,$B$5,$B$6,$B$7,$B$9,AG$16,AG$17,AG$18),"")))</f>
        <v/>
      </c>
      <c r="AI64" s="473">
        <f t="shared" si="15"/>
        <v>0</v>
      </c>
      <c r="AJ64" s="215">
        <f t="shared" si="16"/>
        <v>0</v>
      </c>
      <c r="AK64" s="216">
        <f t="shared" si="17"/>
        <v>0</v>
      </c>
      <c r="AL64" s="218">
        <f t="shared" si="18"/>
        <v>0</v>
      </c>
      <c r="AM64" s="423">
        <f t="shared" si="19"/>
        <v>0</v>
      </c>
      <c r="AN64" s="474">
        <f t="shared" si="20"/>
        <v>0</v>
      </c>
      <c r="AO64" s="11"/>
    </row>
    <row r="65" spans="1:41" x14ac:dyDescent="0.25">
      <c r="A65" s="61" t="s">
        <v>16</v>
      </c>
      <c r="B65" s="62"/>
      <c r="C65" s="11"/>
      <c r="D65" s="11"/>
      <c r="E65" s="11"/>
      <c r="F65" s="11"/>
      <c r="G65" s="11"/>
      <c r="H65" s="84" t="s">
        <v>287</v>
      </c>
      <c r="I65" s="184" t="str">
        <f>IF(_epmOfflineCondition_,"B1",_xll.EVPRO($B$1,$H65,"STYLE"))</f>
        <v>B1</v>
      </c>
      <c r="J65" s="184" t="str">
        <f>IF(_epmOfflineCondition_,"Y",_xll.EVPRO($B$1,$H65,"CALC"))</f>
        <v>Y</v>
      </c>
      <c r="K65" s="185" t="str">
        <f t="shared" si="12"/>
        <v/>
      </c>
      <c r="L65" s="186" t="str">
        <f>IF(_epmOfflineCondition_,"",_xll.EVPRO($B$1,H65,"JDEID"))</f>
        <v/>
      </c>
      <c r="M65" s="186" t="str">
        <f>IF(_epmOfflineCondition_,"",IF(AND(I65="N",J65="N"),_xll.EVPRO($B$1,H65,"PSFTID"),""))</f>
        <v/>
      </c>
      <c r="N65" s="186" t="str">
        <f>IF(_epmOfflineCondition_,"Cost of Other Revenue",IF(_xll.EVDES(H65,$B$1)="#NODATA","",_xll.EVDES(H65,$B$1)))</f>
        <v>Cost of Other Revenue</v>
      </c>
      <c r="O65" s="475"/>
      <c r="P65" s="241"/>
      <c r="Q65" s="241"/>
      <c r="R65" s="241"/>
      <c r="S65" s="241"/>
      <c r="T65" s="241"/>
      <c r="U65" s="241"/>
      <c r="V65" s="241"/>
      <c r="W65" s="241"/>
      <c r="X65" s="241"/>
      <c r="Y65" s="241"/>
      <c r="Z65" s="241"/>
      <c r="AA65" s="241" t="str">
        <f t="shared" si="13"/>
        <v/>
      </c>
      <c r="AB65" s="476" t="str">
        <f>IF(_epmOfflineCondition_,"",IF(AA65=0,"",IFERROR(AA65/_xll.EVGTS($B$1,1,_xll.EVPRO($B$1,$H65,"COSBASIS"),$B$3,$B$5,$B$6,$B$7,$B$9,AA$16,AA$17,AA$11),"")))</f>
        <v/>
      </c>
      <c r="AC65" s="529"/>
      <c r="AD65" s="241"/>
      <c r="AE65" s="476" t="str">
        <f>IF(_epmOfflineCondition_,"",IF(AD65=0,"",IFERROR(AD65/_xll.EVGTS($B$1,1,_xll.EVPRO($B$1,$H65,"COSBASIS"),$B$3,$B$5,$B$6,$B$7,$B$9,AD$16,AD$17,AD$18),"")))</f>
        <v/>
      </c>
      <c r="AF65" s="478" t="str">
        <f t="shared" si="14"/>
        <v/>
      </c>
      <c r="AG65" s="241"/>
      <c r="AH65" s="476" t="str">
        <f>IF(_epmOfflineCondition_,"",IF(AG65=0,"",IFERROR(AG65/_xll.EVGTS($B$1,1,_xll.EVPRO($B$1,$H65,"COSBASIS"),$B$3,$B$5,$B$6,$B$7,$B$9,AG$16,AG$17,AG$18),"")))</f>
        <v/>
      </c>
      <c r="AI65" s="479" t="str">
        <f t="shared" si="15"/>
        <v/>
      </c>
      <c r="AJ65" s="244">
        <f t="shared" si="16"/>
        <v>0</v>
      </c>
      <c r="AK65" s="245">
        <f t="shared" si="17"/>
        <v>0</v>
      </c>
      <c r="AL65" s="247">
        <f t="shared" si="18"/>
        <v>0</v>
      </c>
      <c r="AM65" s="425">
        <f t="shared" si="19"/>
        <v>0</v>
      </c>
      <c r="AN65" s="480">
        <f t="shared" si="20"/>
        <v>0</v>
      </c>
      <c r="AO65" s="11"/>
    </row>
    <row r="66" spans="1:41" x14ac:dyDescent="0.25">
      <c r="A66" s="61" t="s">
        <v>17</v>
      </c>
      <c r="B66" s="62"/>
      <c r="C66" s="11"/>
      <c r="D66" s="11"/>
      <c r="E66" s="11"/>
      <c r="F66" s="11"/>
      <c r="G66" s="11"/>
      <c r="H66" s="84" t="s">
        <v>638</v>
      </c>
      <c r="I66" s="118" t="str">
        <f>IF(_epmOfflineCondition_,"N",_xll.EVPRO($B$1,$H66,"STYLE"))</f>
        <v>N</v>
      </c>
      <c r="J66" s="118" t="str">
        <f>IF(_epmOfflineCondition_,"N",_xll.EVPRO($B$1,$H66,"CALC"))</f>
        <v>N</v>
      </c>
      <c r="K66" s="175" t="str">
        <f t="shared" si="12"/>
        <v/>
      </c>
      <c r="L66" s="86" t="str">
        <f>IF(_epmOfflineCondition_,"568300",_xll.EVPRO($B$1,H66,"JDEID"))</f>
        <v>568300</v>
      </c>
      <c r="M66" s="86" t="str">
        <f>IF(_epmOfflineCondition_,"306005",IF(AND(I66="N",J66="N"),_xll.EVPRO($B$1,H66,"PSFTID"),""))</f>
        <v>306005</v>
      </c>
      <c r="N66" s="86" t="str">
        <f>IF(_epmOfflineCondition_,"A/V Cost of Sales",IF(_xll.EVDES(H66,$B$1)="#NODATA","",_xll.EVDES(H66,$B$1)))</f>
        <v>A/V Cost of Sales</v>
      </c>
      <c r="O66" s="453"/>
      <c r="P66" s="223"/>
      <c r="Q66" s="223"/>
      <c r="R66" s="223"/>
      <c r="S66" s="223"/>
      <c r="T66" s="223"/>
      <c r="U66" s="223"/>
      <c r="V66" s="223"/>
      <c r="W66" s="223"/>
      <c r="X66" s="223"/>
      <c r="Y66" s="223"/>
      <c r="Z66" s="223"/>
      <c r="AA66" s="223">
        <f t="shared" si="13"/>
        <v>0</v>
      </c>
      <c r="AB66" s="454" t="str">
        <f>IF(_epmOfflineCondition_,"",IF(AA66=0,"",IFERROR(AA66/_xll.EVGTS($B$1,1,_xll.EVPRO($B$1,$H66,"COSBASIS"),$B$3,$B$5,$B$6,$B$7,$B$9,AA$16,AA$17,AA$11),"")))</f>
        <v/>
      </c>
      <c r="AC66" s="528"/>
      <c r="AD66" s="223"/>
      <c r="AE66" s="454" t="str">
        <f>IF(_epmOfflineCondition_,"",IF(AD66=0,"",IFERROR(AD66/_xll.EVGTS($B$1,1,_xll.EVPRO($B$1,$H66,"COSBASIS"),$B$3,$B$5,$B$6,$B$7,$B$9,AD$16,AD$17,AD$18),"")))</f>
        <v/>
      </c>
      <c r="AF66" s="456">
        <f t="shared" si="14"/>
        <v>0</v>
      </c>
      <c r="AG66" s="223"/>
      <c r="AH66" s="454" t="str">
        <f>IF(_epmOfflineCondition_,"",IF(AG66=0,"",IFERROR(AG66/_xll.EVGTS($B$1,1,_xll.EVPRO($B$1,$H66,"COSBASIS"),$B$3,$B$5,$B$6,$B$7,$B$9,AG$16,AG$17,AG$18),"")))</f>
        <v/>
      </c>
      <c r="AI66" s="457">
        <f t="shared" si="15"/>
        <v>0</v>
      </c>
      <c r="AJ66" s="458">
        <f t="shared" si="16"/>
        <v>0</v>
      </c>
      <c r="AK66" s="459">
        <f t="shared" si="17"/>
        <v>0</v>
      </c>
      <c r="AL66" s="460">
        <f t="shared" si="18"/>
        <v>0</v>
      </c>
      <c r="AM66" s="461">
        <f t="shared" si="19"/>
        <v>0</v>
      </c>
      <c r="AN66" s="462">
        <f t="shared" si="20"/>
        <v>0</v>
      </c>
      <c r="AO66" s="11"/>
    </row>
    <row r="67" spans="1:41" x14ac:dyDescent="0.25">
      <c r="A67" s="11"/>
      <c r="B67" s="11"/>
      <c r="C67" s="11"/>
      <c r="D67" s="11"/>
      <c r="E67" s="11"/>
      <c r="F67" s="11"/>
      <c r="G67" s="11"/>
      <c r="H67" s="84" t="s">
        <v>639</v>
      </c>
      <c r="I67" s="118" t="str">
        <f>IF(_epmOfflineCondition_,"N",_xll.EVPRO($B$1,$H67,"STYLE"))</f>
        <v>N</v>
      </c>
      <c r="J67" s="118" t="str">
        <f>IF(_epmOfflineCondition_,"N",_xll.EVPRO($B$1,$H67,"CALC"))</f>
        <v>N</v>
      </c>
      <c r="K67" s="175" t="str">
        <f t="shared" si="12"/>
        <v/>
      </c>
      <c r="L67" s="86" t="str">
        <f>IF(_epmOfflineCondition_,"568350",_xll.EVPRO($B$1,H67,"JDEID"))</f>
        <v>568350</v>
      </c>
      <c r="M67" s="86" t="str">
        <f>IF(_epmOfflineCondition_,"306099",IF(AND(I67="N",J67="N"),_xll.EVPRO($B$1,H67,"PSFTID"),""))</f>
        <v>306099</v>
      </c>
      <c r="N67" s="86" t="str">
        <f>IF(_epmOfflineCondition_,"Public Room Rental",IF(_xll.EVDES(H67,$B$1)="#NODATA","",_xll.EVDES(H67,$B$1)))</f>
        <v>Public Room Rental</v>
      </c>
      <c r="O67" s="453"/>
      <c r="P67" s="223"/>
      <c r="Q67" s="223"/>
      <c r="R67" s="223"/>
      <c r="S67" s="223"/>
      <c r="T67" s="223"/>
      <c r="U67" s="223"/>
      <c r="V67" s="223"/>
      <c r="W67" s="223"/>
      <c r="X67" s="223"/>
      <c r="Y67" s="223"/>
      <c r="Z67" s="223"/>
      <c r="AA67" s="223">
        <f t="shared" si="13"/>
        <v>0</v>
      </c>
      <c r="AB67" s="454" t="str">
        <f>IF(_epmOfflineCondition_,"",IF(AA67=0,"",IFERROR(AA67/_xll.EVGTS($B$1,1,_xll.EVPRO($B$1,$H67,"COSBASIS"),$B$3,$B$5,$B$6,$B$7,$B$9,AA$16,AA$17,AA$11),"")))</f>
        <v/>
      </c>
      <c r="AC67" s="528"/>
      <c r="AD67" s="223"/>
      <c r="AE67" s="454" t="str">
        <f>IF(_epmOfflineCondition_,"",IF(AD67=0,"",IFERROR(AD67/_xll.EVGTS($B$1,1,_xll.EVPRO($B$1,$H67,"COSBASIS"),$B$3,$B$5,$B$6,$B$7,$B$9,AD$16,AD$17,AD$18),"")))</f>
        <v/>
      </c>
      <c r="AF67" s="456">
        <f t="shared" si="14"/>
        <v>0</v>
      </c>
      <c r="AG67" s="223"/>
      <c r="AH67" s="454" t="str">
        <f>IF(_epmOfflineCondition_,"",IF(AG67=0,"",IFERROR(AG67/_xll.EVGTS($B$1,1,_xll.EVPRO($B$1,$H67,"COSBASIS"),$B$3,$B$5,$B$6,$B$7,$B$9,AG$16,AG$17,AG$18),"")))</f>
        <v/>
      </c>
      <c r="AI67" s="457">
        <f t="shared" si="15"/>
        <v>0</v>
      </c>
      <c r="AJ67" s="458">
        <f t="shared" si="16"/>
        <v>0</v>
      </c>
      <c r="AK67" s="459">
        <f t="shared" si="17"/>
        <v>0</v>
      </c>
      <c r="AL67" s="460">
        <f t="shared" si="18"/>
        <v>0</v>
      </c>
      <c r="AM67" s="461">
        <f t="shared" si="19"/>
        <v>0</v>
      </c>
      <c r="AN67" s="462">
        <f t="shared" si="20"/>
        <v>0</v>
      </c>
      <c r="AO67" s="11"/>
    </row>
    <row r="68" spans="1:41" x14ac:dyDescent="0.25">
      <c r="A68" s="93" t="s">
        <v>92</v>
      </c>
      <c r="B68" s="94" t="s">
        <v>93</v>
      </c>
      <c r="C68" s="94" t="s">
        <v>94</v>
      </c>
      <c r="D68" s="94" t="s">
        <v>95</v>
      </c>
      <c r="E68" s="94" t="s">
        <v>96</v>
      </c>
      <c r="F68" s="95" t="s">
        <v>97</v>
      </c>
      <c r="G68" s="11"/>
      <c r="H68" s="84" t="s">
        <v>640</v>
      </c>
      <c r="I68" s="118" t="str">
        <f>IF(_epmOfflineCondition_,"T5",_xll.EVPRO($B$1,$H68,"STYLE"))</f>
        <v>T5</v>
      </c>
      <c r="J68" s="118" t="str">
        <f>IF(_epmOfflineCondition_,"Y",_xll.EVPRO($B$1,$H68,"CALC"))</f>
        <v>Y</v>
      </c>
      <c r="K68" s="175" t="str">
        <f t="shared" si="12"/>
        <v>&gt;</v>
      </c>
      <c r="L68" s="86" t="str">
        <f>IF(_epmOfflineCondition_,"",_xll.EVPRO($B$1,H68,"JDEID"))</f>
        <v/>
      </c>
      <c r="M68" s="86" t="str">
        <f>IF(_epmOfflineCondition_,"",IF(AND(I68="N",J68="N"),_xll.EVPRO($B$1,H68,"PSFTID"),""))</f>
        <v/>
      </c>
      <c r="N68" s="86" t="str">
        <f>IF(_epmOfflineCondition_,"Miscellaneous Cost",IF(_xll.EVDES(H68,$B$1)="#NODATA","",_xll.EVDES(H68,$B$1)))</f>
        <v>Miscellaneous Cost</v>
      </c>
      <c r="O68" s="463"/>
      <c r="P68" s="229"/>
      <c r="Q68" s="229"/>
      <c r="R68" s="229"/>
      <c r="S68" s="229"/>
      <c r="T68" s="229"/>
      <c r="U68" s="229"/>
      <c r="V68" s="229"/>
      <c r="W68" s="229"/>
      <c r="X68" s="229"/>
      <c r="Y68" s="229"/>
      <c r="Z68" s="229"/>
      <c r="AA68" s="229">
        <f t="shared" si="13"/>
        <v>0</v>
      </c>
      <c r="AB68" s="464" t="str">
        <f>IF(_epmOfflineCondition_,"",IF(AA68=0,"",IFERROR(AA68/_xll.EVGTS($B$1,1,_xll.EVPRO($B$1,$H68,"COSBASIS"),$B$3,$B$5,$B$6,$B$7,$B$9,AA$16,AA$17,AA$11),"")))</f>
        <v/>
      </c>
      <c r="AC68" s="455"/>
      <c r="AD68" s="229"/>
      <c r="AE68" s="464" t="str">
        <f>IF(_epmOfflineCondition_,"",IF(AD68=0,"",IFERROR(AD68/_xll.EVGTS($B$1,1,_xll.EVPRO($B$1,$H68,"COSBASIS"),$B$3,$B$5,$B$6,$B$7,$B$9,AD$16,AD$17,AD$18),"")))</f>
        <v/>
      </c>
      <c r="AF68" s="465">
        <f t="shared" si="14"/>
        <v>0</v>
      </c>
      <c r="AG68" s="229"/>
      <c r="AH68" s="464" t="str">
        <f>IF(_epmOfflineCondition_,"",IF(AG68=0,"",IFERROR(AG68/_xll.EVGTS($B$1,1,_xll.EVPRO($B$1,$H68,"COSBASIS"),$B$3,$B$5,$B$6,$B$7,$B$9,AG$16,AG$17,AG$18),"")))</f>
        <v/>
      </c>
      <c r="AI68" s="466">
        <f t="shared" si="15"/>
        <v>0</v>
      </c>
      <c r="AJ68" s="467">
        <f t="shared" si="16"/>
        <v>0</v>
      </c>
      <c r="AK68" s="468">
        <f t="shared" si="17"/>
        <v>0</v>
      </c>
      <c r="AL68" s="469">
        <f t="shared" si="18"/>
        <v>0</v>
      </c>
      <c r="AM68" s="470">
        <f t="shared" si="19"/>
        <v>0</v>
      </c>
      <c r="AN68" s="471">
        <f t="shared" si="20"/>
        <v>0</v>
      </c>
      <c r="AO68" s="11"/>
    </row>
    <row r="69" spans="1:41" x14ac:dyDescent="0.25">
      <c r="A69" s="11"/>
      <c r="B69" s="11"/>
      <c r="C69" s="11"/>
      <c r="D69" s="11"/>
      <c r="E69" s="11"/>
      <c r="F69" s="11"/>
      <c r="G69" s="11"/>
      <c r="H69" s="84" t="s">
        <v>288</v>
      </c>
      <c r="I69" s="184" t="str">
        <f>IF(_epmOfflineCondition_,"T4",_xll.EVPRO($B$1,$H69,"STYLE"))</f>
        <v>T4</v>
      </c>
      <c r="J69" s="184" t="str">
        <f>IF(_epmOfflineCondition_,"Y",_xll.EVPRO($B$1,$H69,"CALC"))</f>
        <v>Y</v>
      </c>
      <c r="K69" s="185" t="str">
        <f t="shared" si="12"/>
        <v/>
      </c>
      <c r="L69" s="186" t="str">
        <f>IF(_epmOfflineCondition_,"",_xll.EVPRO($B$1,H69,"JDEID"))</f>
        <v/>
      </c>
      <c r="M69" s="186" t="str">
        <f>IF(_epmOfflineCondition_,"",IF(AND(I69="N",J69="N"),_xll.EVPRO($B$1,H69,"PSFTID"),""))</f>
        <v/>
      </c>
      <c r="N69" s="186" t="str">
        <f>IF(_epmOfflineCondition_,"Total Cost of Other Revenue",IF(_xll.EVDES(H69,$B$1)="#NODATA","",_xll.EVDES(H69,$B$1)))</f>
        <v>Total Cost of Other Revenue</v>
      </c>
      <c r="O69" s="481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>
        <f t="shared" si="13"/>
        <v>0</v>
      </c>
      <c r="AB69" s="211" t="str">
        <f>IF(_epmOfflineCondition_,"",IF(AA69=0,"",IFERROR(AA69/_xll.EVGTS($B$1,1,_xll.EVPRO($B$1,$H69,"COSBASIS"),$B$3,$B$5,$B$6,$B$7,$B$9,AA$16,AA$17,AA$11),"")))</f>
        <v/>
      </c>
      <c r="AC69" s="251"/>
      <c r="AD69" s="210"/>
      <c r="AE69" s="211" t="str">
        <f>IF(_epmOfflineCondition_,"",IF(AD69=0,"",IFERROR(AD69/_xll.EVGTS($B$1,1,_xll.EVPRO($B$1,$H69,"COSBASIS"),$B$3,$B$5,$B$6,$B$7,$B$9,AD$16,AD$17,AD$18),"")))</f>
        <v/>
      </c>
      <c r="AF69" s="252">
        <f t="shared" si="14"/>
        <v>0</v>
      </c>
      <c r="AG69" s="210"/>
      <c r="AH69" s="211" t="str">
        <f>IF(_epmOfflineCondition_,"",IF(AG69=0,"",IFERROR(AG69/_xll.EVGTS($B$1,1,_xll.EVPRO($B$1,$H69,"COSBASIS"),$B$3,$B$5,$B$6,$B$7,$B$9,AG$16,AG$17,AG$18),"")))</f>
        <v/>
      </c>
      <c r="AI69" s="482">
        <f t="shared" si="15"/>
        <v>0</v>
      </c>
      <c r="AJ69" s="253">
        <f t="shared" si="16"/>
        <v>0</v>
      </c>
      <c r="AK69" s="254">
        <f t="shared" si="17"/>
        <v>0</v>
      </c>
      <c r="AL69" s="256">
        <f t="shared" si="18"/>
        <v>0</v>
      </c>
      <c r="AM69" s="427">
        <f t="shared" si="19"/>
        <v>0</v>
      </c>
      <c r="AN69" s="483">
        <f t="shared" si="20"/>
        <v>0</v>
      </c>
      <c r="AO69" s="11"/>
    </row>
    <row r="70" spans="1:41" x14ac:dyDescent="0.25">
      <c r="A70" s="11" t="s">
        <v>209</v>
      </c>
      <c r="B70" s="11" t="s">
        <v>21</v>
      </c>
      <c r="C70" s="391"/>
      <c r="D70" s="11" t="s">
        <v>590</v>
      </c>
      <c r="E70" s="11"/>
      <c r="F70" s="11" t="s">
        <v>99</v>
      </c>
      <c r="G70" s="11"/>
      <c r="H70" s="84" t="s">
        <v>289</v>
      </c>
      <c r="I70" s="184" t="str">
        <f>IF(_epmOfflineCondition_,"T3",_xll.EVPRO($B$1,$H70,"STYLE"))</f>
        <v>T3</v>
      </c>
      <c r="J70" s="184" t="str">
        <f>IF(_epmOfflineCondition_,"Y",_xll.EVPRO($B$1,$H70,"CALC"))</f>
        <v>Y</v>
      </c>
      <c r="K70" s="185" t="str">
        <f t="shared" si="12"/>
        <v/>
      </c>
      <c r="L70" s="186" t="str">
        <f>IF(_epmOfflineCondition_,"500001",_xll.EVPRO($B$1,H70,"JDEID"))</f>
        <v>500001</v>
      </c>
      <c r="M70" s="186" t="str">
        <f>IF(_epmOfflineCondition_,"",IF(AND(I70="N",J70="N"),_xll.EVPRO($B$1,H70,"PSFTID"),""))</f>
        <v/>
      </c>
      <c r="N70" s="186" t="str">
        <f>IF(_epmOfflineCondition_,"Total Cost of Sales",IF(_xll.EVDES(H70,$B$1)="#NODATA","",_xll.EVDES(H70,$B$1)))</f>
        <v>Total Cost of Sales</v>
      </c>
      <c r="O70" s="472"/>
      <c r="P70" s="236"/>
      <c r="Q70" s="236"/>
      <c r="R70" s="236"/>
      <c r="S70" s="236"/>
      <c r="T70" s="236"/>
      <c r="U70" s="236"/>
      <c r="V70" s="236"/>
      <c r="W70" s="236"/>
      <c r="X70" s="236"/>
      <c r="Y70" s="236"/>
      <c r="Z70" s="236"/>
      <c r="AA70" s="236">
        <f t="shared" si="13"/>
        <v>0</v>
      </c>
      <c r="AB70" s="237" t="str">
        <f>IF(_epmOfflineCondition_,"",IF(AA70=0,"",IFERROR(AA70/_xll.EVGTS($B$1,1,_xll.EVPRO($B$1,$H70,"COSBASIS"),$B$3,$B$5,$B$6,$B$7,$B$9,AA$16,AA$17,AA$11),"")))</f>
        <v/>
      </c>
      <c r="AC70" s="238"/>
      <c r="AD70" s="236"/>
      <c r="AE70" s="237" t="str">
        <f>IF(_epmOfflineCondition_,"",IF(AD70=0,"",IFERROR(AD70/_xll.EVGTS($B$1,1,_xll.EVPRO($B$1,$H70,"COSBASIS"),$B$3,$B$5,$B$6,$B$7,$B$9,AD$16,AD$17,AD$18),"")))</f>
        <v/>
      </c>
      <c r="AF70" s="239">
        <f t="shared" si="14"/>
        <v>0</v>
      </c>
      <c r="AG70" s="236"/>
      <c r="AH70" s="237" t="str">
        <f>IF(_epmOfflineCondition_,"",IF(AG70=0,"",IFERROR(AG70/_xll.EVGTS($B$1,1,_xll.EVPRO($B$1,$H70,"COSBASIS"),$B$3,$B$5,$B$6,$B$7,$B$9,AG$16,AG$17,AG$18),"")))</f>
        <v/>
      </c>
      <c r="AI70" s="473">
        <f t="shared" si="15"/>
        <v>0</v>
      </c>
      <c r="AJ70" s="215">
        <f t="shared" si="16"/>
        <v>0</v>
      </c>
      <c r="AK70" s="216">
        <f t="shared" si="17"/>
        <v>0</v>
      </c>
      <c r="AL70" s="218">
        <f t="shared" si="18"/>
        <v>0</v>
      </c>
      <c r="AM70" s="423">
        <f t="shared" si="19"/>
        <v>0</v>
      </c>
      <c r="AN70" s="474">
        <f t="shared" si="20"/>
        <v>0</v>
      </c>
      <c r="AO70" s="11"/>
    </row>
    <row r="71" spans="1:41" x14ac:dyDescent="0.25">
      <c r="A71" s="11" t="s">
        <v>105</v>
      </c>
      <c r="B71" s="11"/>
      <c r="C71" s="100" t="s">
        <v>101</v>
      </c>
      <c r="D71" s="11" t="s">
        <v>106</v>
      </c>
      <c r="E71" s="11"/>
      <c r="F71" s="11" t="s">
        <v>98</v>
      </c>
      <c r="G71" s="11"/>
      <c r="H71" s="181" t="s">
        <v>175</v>
      </c>
      <c r="I71" s="85" t="str">
        <f>IF(_epmOfflineCondition_,"B1",_xll.EVPRO($B$1,$H71,"STYLE"))</f>
        <v>B1</v>
      </c>
      <c r="J71" s="85" t="str">
        <f>IF(_epmOfflineCondition_,"Y",_xll.EVPRO($B$1,$H71,"CALC"))</f>
        <v>Y</v>
      </c>
      <c r="K71" s="261" t="str">
        <f t="shared" si="12"/>
        <v/>
      </c>
      <c r="L71" s="261"/>
      <c r="M71" s="261"/>
      <c r="N71" s="102" t="str">
        <f>IF(_epmOfflineCondition_,"BLANKROW",IF(_xll.EVDES(H71,$B$1)="#NODATA","",_xll.EVDES(H71,$B$1)))</f>
        <v>BLANKROW</v>
      </c>
      <c r="O71" s="201"/>
      <c r="P71" s="201"/>
      <c r="Q71" s="201"/>
      <c r="R71" s="201"/>
      <c r="S71" s="201"/>
      <c r="T71" s="201"/>
      <c r="U71" s="201"/>
      <c r="V71" s="201"/>
      <c r="W71" s="201"/>
      <c r="X71" s="201"/>
      <c r="Y71" s="201"/>
      <c r="Z71" s="201"/>
      <c r="AA71" s="201"/>
      <c r="AB71" s="202" t="str">
        <f>IF(_epmOfflineCondition_,"",IF(O71=0,"",IFERROR(O71/_xll.EVGTS($B$1,1,INDEX($C$152:$C$175,MATCH($H71,$A$152:$A$175,0)),$B$3,$B$5,$B$6,$B$7,$B$9,O$16,O$17,O$18),"")))</f>
        <v/>
      </c>
      <c r="AC71" s="11"/>
      <c r="AD71" s="201"/>
      <c r="AE71" s="202" t="str">
        <f>IF(_epmOfflineCondition_,"",IF(AD71=0,"",IFERROR(AD71/_xll.EVGTS($B$1,1,INDEX($C$152:$C$175,MATCH($H71,$A$152:$A$175,0)),$B$3,$B$5,$B$6,$B$7,$B$9,AD$16,AD$17,AD$18),"")))</f>
        <v/>
      </c>
      <c r="AF71" s="203" t="str">
        <f t="shared" si="14"/>
        <v/>
      </c>
      <c r="AG71" s="201"/>
      <c r="AH71" s="202" t="str">
        <f>IF(_epmOfflineCondition_,"",IF(AG71=0,"",IFERROR(AG71/_xll.EVGTS($B$1,1,INDEX($C$152:$C$175,MATCH($H71,$A$152:$A$175,0)),$B$3,$B$5,$B$6,$B$7,$B$9,AG$16,AG$17,AG$18),"")))</f>
        <v/>
      </c>
      <c r="AI71" s="203" t="str">
        <f t="shared" si="15"/>
        <v/>
      </c>
      <c r="AJ71" s="11"/>
      <c r="AK71" s="11"/>
      <c r="AL71" s="11"/>
      <c r="AM71" s="11"/>
      <c r="AN71" s="11"/>
      <c r="AO71" s="11"/>
    </row>
    <row r="72" spans="1:41" x14ac:dyDescent="0.25">
      <c r="A72" s="11" t="s">
        <v>104</v>
      </c>
      <c r="B72" s="11"/>
      <c r="C72" s="100" t="s">
        <v>101</v>
      </c>
      <c r="D72" s="11" t="s">
        <v>106</v>
      </c>
      <c r="E72" s="11"/>
      <c r="F72" s="11" t="s">
        <v>98</v>
      </c>
      <c r="G72" s="11"/>
      <c r="H72" s="181" t="s">
        <v>292</v>
      </c>
      <c r="I72" s="85" t="str">
        <f>IF(_epmOfflineCondition_,"T3",_xll.EVPRO($B$1,$H72,"STYLE"))</f>
        <v>T3</v>
      </c>
      <c r="J72" s="85" t="str">
        <f>IF(_epmOfflineCondition_,"Y",_xll.EVPRO($B$1,$H72,"CALC"))</f>
        <v>Y</v>
      </c>
      <c r="K72" s="261" t="str">
        <f t="shared" si="12"/>
        <v/>
      </c>
      <c r="L72" s="261"/>
      <c r="M72" s="261"/>
      <c r="N72" s="102" t="str">
        <f>IF(_epmOfflineCondition_,"Gross Profit",IF(_xll.EVDES(H72,$B$1)="#NODATA","",_xll.EVDES(H72,$B$1)))</f>
        <v>Gross Profit</v>
      </c>
      <c r="O72" s="119">
        <f t="shared" ref="O72:Z72" si="21">SUMIF($H$35:$H$70,"400000",O35:O70)-SUMIF($H$35:$H$70,"500001",O35:O70)</f>
        <v>0</v>
      </c>
      <c r="P72" s="119">
        <f t="shared" si="21"/>
        <v>0</v>
      </c>
      <c r="Q72" s="119">
        <f t="shared" si="21"/>
        <v>0</v>
      </c>
      <c r="R72" s="119">
        <f t="shared" si="21"/>
        <v>0</v>
      </c>
      <c r="S72" s="119">
        <f t="shared" si="21"/>
        <v>0</v>
      </c>
      <c r="T72" s="119">
        <f t="shared" si="21"/>
        <v>0</v>
      </c>
      <c r="U72" s="119">
        <f t="shared" si="21"/>
        <v>0</v>
      </c>
      <c r="V72" s="119">
        <f t="shared" si="21"/>
        <v>0</v>
      </c>
      <c r="W72" s="119">
        <f t="shared" si="21"/>
        <v>0</v>
      </c>
      <c r="X72" s="119">
        <f t="shared" si="21"/>
        <v>0</v>
      </c>
      <c r="Y72" s="119">
        <f t="shared" si="21"/>
        <v>0</v>
      </c>
      <c r="Z72" s="119">
        <f t="shared" si="21"/>
        <v>0</v>
      </c>
      <c r="AA72" s="187">
        <f>IF($I72="B1","",SUM(O72:Z72))</f>
        <v>0</v>
      </c>
      <c r="AB72" s="188" t="str">
        <f>IF(AA72=0,"",IFERROR(AA72/AA$19,""))</f>
        <v/>
      </c>
      <c r="AC72" s="11"/>
      <c r="AD72" s="119">
        <f>SUMIF($H$35:$H$70,"400000",AD35:AD70)-SUMIF($H$35:$H$70,"500001",AD35:AD70)</f>
        <v>0</v>
      </c>
      <c r="AE72" s="188" t="str">
        <f>IF(AD72=0,"",IFERROR(AD72/AD$19,""))</f>
        <v/>
      </c>
      <c r="AF72" s="121">
        <f t="shared" si="14"/>
        <v>0</v>
      </c>
      <c r="AG72" s="119">
        <f>SUMIF($H$35:$H$70,"400000",AG35:AG70)-SUMIF($H$35:$H$70,"500001",AG35:AG70)</f>
        <v>0</v>
      </c>
      <c r="AH72" s="188" t="str">
        <f>IF(AG72=0,"",IFERROR(AG72/AG$19,""))</f>
        <v/>
      </c>
      <c r="AI72" s="121">
        <f t="shared" si="15"/>
        <v>0</v>
      </c>
      <c r="AJ72" s="384">
        <f>IFERROR(AA72/AA$20,0)</f>
        <v>0</v>
      </c>
      <c r="AK72" s="385">
        <f>IFERROR(AD72/AD$20,0)</f>
        <v>0</v>
      </c>
      <c r="AL72" s="386">
        <f>IFERROR(AG72/AG$20,0)</f>
        <v>0</v>
      </c>
      <c r="AM72" s="387">
        <f>+IFERROR(ROUND(($AB72-AE72)*100,2)&amp;" pts.",0)</f>
        <v>0</v>
      </c>
      <c r="AN72" s="539">
        <f>+IFERROR(ROUND(($AB72-AH72)*100,2)&amp;" pts.",0)</f>
        <v>0</v>
      </c>
      <c r="AO72" s="11"/>
    </row>
    <row r="73" spans="1:41" x14ac:dyDescent="0.25">
      <c r="A73" s="11" t="s">
        <v>100</v>
      </c>
      <c r="B73" s="11"/>
      <c r="C73" s="49" t="s">
        <v>101</v>
      </c>
      <c r="D73" s="11" t="s">
        <v>106</v>
      </c>
      <c r="E73" s="11"/>
      <c r="F73" s="11" t="s">
        <v>98</v>
      </c>
      <c r="G73" s="11"/>
      <c r="H73" s="11"/>
      <c r="I73" s="55"/>
      <c r="J73" s="55"/>
      <c r="K73" s="11"/>
      <c r="L73" s="11"/>
      <c r="M73" s="11"/>
      <c r="N73" s="11"/>
      <c r="O73" s="389"/>
      <c r="P73" s="390"/>
      <c r="Q73" s="390"/>
      <c r="R73" s="390"/>
      <c r="S73" s="390"/>
      <c r="T73" s="390"/>
      <c r="U73" s="390"/>
      <c r="V73" s="390"/>
      <c r="W73" s="390"/>
      <c r="X73" s="390"/>
      <c r="Y73" s="390"/>
      <c r="Z73" s="390"/>
      <c r="AA73" s="390"/>
      <c r="AB73" s="114"/>
      <c r="AC73" s="11"/>
      <c r="AD73" s="199"/>
      <c r="AE73" s="200"/>
      <c r="AF73" s="114"/>
      <c r="AG73" s="200"/>
      <c r="AH73" s="200"/>
      <c r="AI73" s="114"/>
      <c r="AJ73" s="11"/>
      <c r="AK73" s="11"/>
      <c r="AL73" s="11"/>
      <c r="AM73" s="11"/>
      <c r="AN73" s="11"/>
      <c r="AO73" s="11"/>
    </row>
    <row r="74" spans="1:41" x14ac:dyDescent="0.25">
      <c r="A74" s="11" t="s">
        <v>102</v>
      </c>
      <c r="B74" s="11"/>
      <c r="C74" s="102" t="s">
        <v>101</v>
      </c>
      <c r="D74" s="11" t="s">
        <v>106</v>
      </c>
      <c r="E74" s="11"/>
      <c r="F74" s="11" t="s">
        <v>98</v>
      </c>
      <c r="G74" s="11"/>
      <c r="H74" s="11" t="s">
        <v>73</v>
      </c>
      <c r="I74" s="55" t="str">
        <f>IF(_epmOfflineCondition_,"B1",_xll.EVPRO($B$1,$H74,"STYLE"))</f>
        <v>B1</v>
      </c>
      <c r="J74" s="55" t="str">
        <f>IF(_epmOfflineCondition_,"Y",_xll.EVPRO($B$1,$H74,"CALC"))</f>
        <v>Y</v>
      </c>
      <c r="K74" s="11"/>
      <c r="L74" s="11"/>
      <c r="M74" s="11"/>
      <c r="N74" s="101" t="str">
        <f>IF(_epmOfflineCondition_,"Labor &amp; Related Expenses",IF(_xll.EVDES(H74,$B$1)="#NODATA","",_xll.EVDES(H74,$B$1)))</f>
        <v>Labor &amp; Related Expenses</v>
      </c>
      <c r="O74" s="199"/>
      <c r="P74" s="200"/>
      <c r="Q74" s="200"/>
      <c r="R74" s="200"/>
      <c r="S74" s="200"/>
      <c r="T74" s="200"/>
      <c r="U74" s="200"/>
      <c r="V74" s="200"/>
      <c r="W74" s="200"/>
      <c r="X74" s="200"/>
      <c r="Y74" s="200"/>
      <c r="Z74" s="200"/>
      <c r="AA74" s="200"/>
      <c r="AB74" s="406"/>
      <c r="AC74" s="11"/>
      <c r="AD74" s="407"/>
      <c r="AE74" s="408"/>
      <c r="AF74" s="114"/>
      <c r="AG74" s="200"/>
      <c r="AH74" s="408"/>
      <c r="AI74" s="114"/>
      <c r="AJ74" s="11"/>
      <c r="AK74" s="11"/>
      <c r="AL74" s="11"/>
      <c r="AM74" s="11"/>
      <c r="AN74" s="11"/>
      <c r="AO74" s="11"/>
    </row>
    <row r="75" spans="1:41" x14ac:dyDescent="0.25">
      <c r="A75" s="11" t="s">
        <v>102</v>
      </c>
      <c r="B75" s="11"/>
      <c r="C75" s="192" t="s">
        <v>101</v>
      </c>
      <c r="D75" s="11" t="s">
        <v>107</v>
      </c>
      <c r="E75" s="11"/>
      <c r="F75" s="11" t="s">
        <v>99</v>
      </c>
      <c r="G75" s="11"/>
      <c r="H75" s="11" t="s">
        <v>74</v>
      </c>
      <c r="I75" s="55" t="str">
        <f>IF(_epmOfflineCondition_,"B1",_xll.EVPRO($B$1,$H75,"STYLE"))</f>
        <v>B1</v>
      </c>
      <c r="J75" s="55" t="str">
        <f>IF(_epmOfflineCondition_,"Y",_xll.EVPRO($B$1,$H75,"CALC"))</f>
        <v>Y</v>
      </c>
      <c r="K75" s="11"/>
      <c r="L75" s="11"/>
      <c r="M75" s="11"/>
      <c r="N75" s="49" t="str">
        <f>IF(_epmOfflineCondition_,"Salaries &amp; Wages",IF(_xll.EVDES(H75,$B$1)="#NODATA","",_xll.EVDES(H75,$B$1)))</f>
        <v>Salaries &amp; Wages</v>
      </c>
      <c r="O75" s="115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7"/>
      <c r="AC75" s="11"/>
      <c r="AD75" s="115"/>
      <c r="AE75" s="116"/>
      <c r="AF75" s="117"/>
      <c r="AG75" s="116"/>
      <c r="AH75" s="116"/>
      <c r="AI75" s="117"/>
      <c r="AJ75" s="11"/>
      <c r="AK75" s="11"/>
      <c r="AL75" s="11"/>
      <c r="AM75" s="11"/>
      <c r="AN75" s="11"/>
      <c r="AO75" s="11"/>
    </row>
    <row r="76" spans="1:41" hidden="1" x14ac:dyDescent="0.25">
      <c r="A76" s="11" t="s">
        <v>108</v>
      </c>
      <c r="B76" s="11"/>
      <c r="C76" s="102" t="s">
        <v>101</v>
      </c>
      <c r="D76" s="11" t="s">
        <v>106</v>
      </c>
      <c r="E76" s="11"/>
      <c r="F76" s="11" t="s">
        <v>98</v>
      </c>
      <c r="G76" s="11"/>
      <c r="H76" s="84" t="s">
        <v>668</v>
      </c>
      <c r="I76" s="118" t="str">
        <f>IF(_epmOfflineCondition_,"",_xll.EVPRO($B$1,$H76,"STYLE"))</f>
        <v/>
      </c>
      <c r="J76" s="118" t="str">
        <f>IF(_epmOfflineCondition_,"",_xll.EVPRO($B$1,$H76,"CALC"))</f>
        <v/>
      </c>
      <c r="K76" s="175" t="str">
        <f>IF(AND(I76&gt;="T3"),"&gt;","")</f>
        <v/>
      </c>
      <c r="L76" s="86" t="str">
        <f>IF(_epmOfflineCondition_,"",_xll.EVPRO($B$1,H76,"JDEID"))</f>
        <v/>
      </c>
      <c r="M76" s="86" t="str">
        <f>IF(_epmOfflineCondition_,"",IF(AND(I76="N",J76="N"),_xll.EVPRO($B$1,H76,"PSFTID"),""))</f>
        <v/>
      </c>
      <c r="N76" s="86" t="str">
        <f>IF(_epmOfflineCondition_,"",IF(_xll.EVDES(H76,$B$1)="#NODATA","",_xll.EVDES(H76,$B$1)))</f>
        <v/>
      </c>
      <c r="O76" s="240"/>
      <c r="P76" s="240"/>
      <c r="Q76" s="240"/>
      <c r="R76" s="240"/>
      <c r="S76" s="240"/>
      <c r="T76" s="240"/>
      <c r="U76" s="240"/>
      <c r="V76" s="240"/>
      <c r="W76" s="240"/>
      <c r="X76" s="240"/>
      <c r="Y76" s="240"/>
      <c r="Z76" s="240"/>
      <c r="AA76" s="223">
        <f>IF($I76="B1","",SUM(O76:Z76))</f>
        <v>0</v>
      </c>
      <c r="AB76" s="242" t="str">
        <f>IF(AA76=0,"",IFERROR(AA76/AA$19,""))</f>
        <v/>
      </c>
      <c r="AC76" s="136"/>
      <c r="AD76" s="240"/>
      <c r="AE76" s="242" t="str">
        <f>IF(AD76=0,"",IFERROR(AD76/AD$19,""))</f>
        <v/>
      </c>
      <c r="AF76" s="243">
        <f>IF(AND($AA76="",AD76=""),"",$AA76-AD76)</f>
        <v>0</v>
      </c>
      <c r="AG76" s="240"/>
      <c r="AH76" s="242" t="str">
        <f>IF(AG76=0,"",IFERROR(AG76/AG$19,""))</f>
        <v/>
      </c>
      <c r="AI76" s="243">
        <f>IF(AND($AA76="",AG76=""),"",$AA76-AG76)</f>
        <v>0</v>
      </c>
      <c r="AJ76" s="458">
        <f>IFERROR(AA76/AA$20,0)</f>
        <v>0</v>
      </c>
      <c r="AK76" s="459">
        <f>IFERROR(AD76/AD$20,0)</f>
        <v>0</v>
      </c>
      <c r="AL76" s="460">
        <f>IFERROR(AG76/AG$20,0)</f>
        <v>0</v>
      </c>
      <c r="AM76" s="461">
        <f>+IFERROR(ROUND(($AB76-AE76)*100,2)&amp;" pts.",0)</f>
        <v>0</v>
      </c>
      <c r="AN76" s="462">
        <f>+IFERROR(ROUND(($AB76-AH76)*100,2)&amp;" pts.",0)</f>
        <v>0</v>
      </c>
      <c r="AO76" s="11"/>
    </row>
    <row r="77" spans="1:41" hidden="1" x14ac:dyDescent="0.25">
      <c r="A77" s="11" t="s">
        <v>108</v>
      </c>
      <c r="B77" s="11"/>
      <c r="C77" s="192" t="s">
        <v>101</v>
      </c>
      <c r="D77" s="11" t="s">
        <v>107</v>
      </c>
      <c r="E77" s="11"/>
      <c r="F77" s="11" t="s">
        <v>99</v>
      </c>
      <c r="G77" s="11"/>
      <c r="H77" s="84"/>
      <c r="I77" s="118" t="str">
        <f>IF(_epmOfflineCondition_,"",_xll.EVPRO($B$1,$H77,"STYLE"))</f>
        <v/>
      </c>
      <c r="J77" s="118" t="str">
        <f>IF(_epmOfflineCondition_,"",_xll.EVPRO($B$1,$H77,"CALC"))</f>
        <v/>
      </c>
      <c r="K77" s="175" t="str">
        <f>IF(AND(I77&gt;="T3"),"&gt;","")</f>
        <v/>
      </c>
      <c r="L77" s="86" t="str">
        <f>IF(_epmOfflineCondition_,"",_xll.EVPRO($B$1,H77,"JDEID"))</f>
        <v/>
      </c>
      <c r="M77" s="86" t="str">
        <f>IF(_epmOfflineCondition_,"",IF(AND(I77="N",J77="N"),_xll.EVPRO($B$1,H77,"PSFTID"),""))</f>
        <v/>
      </c>
      <c r="N77" s="86" t="str">
        <f>IF(_epmOfflineCondition_,"",IF(_xll.EVDES(H77,$B$1)="#NODATA","",_xll.EVDES(H77,$B$1)))</f>
        <v/>
      </c>
      <c r="O77" s="240"/>
      <c r="P77" s="240"/>
      <c r="Q77" s="240"/>
      <c r="R77" s="240"/>
      <c r="S77" s="240"/>
      <c r="T77" s="240"/>
      <c r="U77" s="240"/>
      <c r="V77" s="240"/>
      <c r="W77" s="240"/>
      <c r="X77" s="240"/>
      <c r="Y77" s="240"/>
      <c r="Z77" s="240"/>
      <c r="AA77" s="223">
        <f>IF($I77="B1","",SUM(O77:Z77))</f>
        <v>0</v>
      </c>
      <c r="AB77" s="242" t="str">
        <f>IF(AA77=0,"",IFERROR(AA77/AA$19,""))</f>
        <v/>
      </c>
      <c r="AC77" s="136"/>
      <c r="AD77" s="240"/>
      <c r="AE77" s="242" t="str">
        <f>IF(AD77=0,"",IFERROR(AD77/AD$19,""))</f>
        <v/>
      </c>
      <c r="AF77" s="243">
        <f>IF(AND($AA77="",AD77=""),"",$AA77-AD77)</f>
        <v>0</v>
      </c>
      <c r="AG77" s="240"/>
      <c r="AH77" s="242" t="str">
        <f>IF(AG77=0,"",IFERROR(AG77/AG$19,""))</f>
        <v/>
      </c>
      <c r="AI77" s="243">
        <f>IF(AND($AA77="",AG77=""),"",$AA77-AG77)</f>
        <v>0</v>
      </c>
      <c r="AJ77" s="458">
        <f>IFERROR(AA77/AA$20,0)</f>
        <v>0</v>
      </c>
      <c r="AK77" s="459">
        <f>IFERROR(AD77/AD$20,0)</f>
        <v>0</v>
      </c>
      <c r="AL77" s="460">
        <f>IFERROR(AG77/AG$20,0)</f>
        <v>0</v>
      </c>
      <c r="AM77" s="461">
        <f>+IFERROR(ROUND(($AB77-AE77)*100,2)&amp;" pts.",0)</f>
        <v>0</v>
      </c>
      <c r="AN77" s="462">
        <f>+IFERROR(ROUND(($AB77-AH77)*100,2)&amp;" pts.",0)</f>
        <v>0</v>
      </c>
      <c r="AO77" s="11"/>
    </row>
    <row r="78" spans="1:41" x14ac:dyDescent="0.25">
      <c r="A78" s="11"/>
      <c r="B78" s="11"/>
      <c r="C78" s="11"/>
      <c r="D78" s="11"/>
      <c r="E78" s="11"/>
      <c r="F78" s="11"/>
      <c r="G78" s="11"/>
      <c r="H78" s="84" t="s">
        <v>75</v>
      </c>
      <c r="I78" s="85" t="str">
        <f>IF(_epmOfflineCondition_,"B1",_xll.EVPRO($B$1,$H78,"STYLE"))</f>
        <v>B1</v>
      </c>
      <c r="J78" s="85" t="str">
        <f>IF(_epmOfflineCondition_,"Y",_xll.EVPRO($B$1,$H78,"CALC"))</f>
        <v>Y</v>
      </c>
      <c r="K78" s="261" t="str">
        <f>IF(AND(I78&gt;="T3"),"&gt;","")</f>
        <v/>
      </c>
      <c r="L78" s="102" t="str">
        <f>IF(_epmOfflineCondition_,"",_xll.EVPRO($B$1,H78,"JDEID"))</f>
        <v/>
      </c>
      <c r="M78" s="86" t="str">
        <f>IF(_epmOfflineCondition_,"",IF(AND(I78="N",J78="N"),_xll.EVPRO($B$1,H78,"PSFTID"),""))</f>
        <v/>
      </c>
      <c r="N78" s="102" t="str">
        <f>IF(_epmOfflineCondition_,"Non-Management",IF(_xll.EVDES(H78,$B$1)="#NODATA","",_xll.EVDES(H78,$B$1)))</f>
        <v>Non-Management</v>
      </c>
      <c r="O78" s="193"/>
      <c r="P78" s="193"/>
      <c r="Q78" s="193"/>
      <c r="R78" s="193"/>
      <c r="S78" s="193"/>
      <c r="T78" s="193"/>
      <c r="U78" s="193"/>
      <c r="V78" s="193"/>
      <c r="W78" s="193"/>
      <c r="X78" s="193"/>
      <c r="Y78" s="193"/>
      <c r="Z78" s="193"/>
      <c r="AA78" s="176" t="str">
        <f>IF($I78="B1","",SUM(O78:Z78))</f>
        <v/>
      </c>
      <c r="AB78" s="194" t="str">
        <f>IF(AA78=0,"",IFERROR(AA78/AA$19,""))</f>
        <v/>
      </c>
      <c r="AC78" s="11"/>
      <c r="AD78" s="193"/>
      <c r="AE78" s="194" t="str">
        <f>IF(AD78=0,"",IFERROR(AD78/AD$19,""))</f>
        <v/>
      </c>
      <c r="AF78" s="195" t="str">
        <f>IF(AND($AA78="",AD78=""),"",$AA78-AD78)</f>
        <v/>
      </c>
      <c r="AG78" s="193"/>
      <c r="AH78" s="194" t="str">
        <f>IF(AG78=0,"",IFERROR(AG78/AG$19,""))</f>
        <v/>
      </c>
      <c r="AI78" s="195" t="str">
        <f>IF(AND($AA78="",AG78=""),"",$AA78-AG78)</f>
        <v/>
      </c>
      <c r="AJ78" s="393">
        <f>IFERROR(AA78/AA$20,0)</f>
        <v>0</v>
      </c>
      <c r="AK78" s="394">
        <f>IFERROR(AD78/AD$20,0)</f>
        <v>0</v>
      </c>
      <c r="AL78" s="395">
        <f>IFERROR(AG78/AG$20,0)</f>
        <v>0</v>
      </c>
      <c r="AM78" s="396">
        <f>+IFERROR(ROUND(($AB78-AE78)*100,2)&amp;" pts.",0)</f>
        <v>0</v>
      </c>
      <c r="AN78" s="397">
        <f>+IFERROR(ROUND(($AB78-AH78)*100,2)&amp;" pts.",0)</f>
        <v>0</v>
      </c>
      <c r="AO78" s="11"/>
    </row>
    <row r="79" spans="1:41" hidden="1" x14ac:dyDescent="0.25">
      <c r="A79" s="11"/>
      <c r="B79" s="11"/>
      <c r="C79" s="204"/>
      <c r="D79" s="11"/>
      <c r="E79" s="11"/>
      <c r="F79" s="11"/>
      <c r="G79" s="11"/>
      <c r="H79" s="84" t="s">
        <v>668</v>
      </c>
      <c r="I79" s="118" t="str">
        <f>IF(_epmOfflineCondition_,"",_xll.EVPRO($B$1,$H79,"STYLE"))</f>
        <v/>
      </c>
      <c r="J79" s="118" t="str">
        <f>IF(_epmOfflineCondition_,"",_xll.EVPRO($B$1,$H79,"CALC"))</f>
        <v/>
      </c>
      <c r="K79" s="175" t="str">
        <f>IF(AND(I79&gt;="T3"),"&gt;","")</f>
        <v/>
      </c>
      <c r="L79" s="86" t="str">
        <f>IF(_epmOfflineCondition_,"",_xll.EVPRO($B$1,H79,"JDEID"))</f>
        <v/>
      </c>
      <c r="M79" s="86" t="str">
        <f>IF(_epmOfflineCondition_,"",IF(AND(I79="N",J79="N"),_xll.EVPRO($B$1,H79,"PSFTID"),""))</f>
        <v/>
      </c>
      <c r="N79" s="86" t="str">
        <f>IF(_epmOfflineCondition_,"",IF(_xll.EVDES(H79,$B$1)="#NODATA","",_xll.EVDES(H79,$B$1)))</f>
        <v/>
      </c>
      <c r="O79" s="248"/>
      <c r="P79" s="248"/>
      <c r="Q79" s="248"/>
      <c r="R79" s="248"/>
      <c r="S79" s="248"/>
      <c r="T79" s="248"/>
      <c r="U79" s="248"/>
      <c r="V79" s="248"/>
      <c r="W79" s="248"/>
      <c r="X79" s="248"/>
      <c r="Y79" s="248"/>
      <c r="Z79" s="248"/>
      <c r="AA79" s="229">
        <f>IF($I79="B1","",SUM(O79:Z79))</f>
        <v>0</v>
      </c>
      <c r="AB79" s="249" t="str">
        <f>IF(AA79=0,"",IFERROR(AA79/AA$19,""))</f>
        <v/>
      </c>
      <c r="AC79" s="136"/>
      <c r="AD79" s="248"/>
      <c r="AE79" s="249" t="str">
        <f>IF(AD79=0,"",IFERROR(AD79/AD$19,""))</f>
        <v/>
      </c>
      <c r="AF79" s="250">
        <f>IF(AND($AA79="",AD79=""),"",$AA79-AD79)</f>
        <v>0</v>
      </c>
      <c r="AG79" s="248"/>
      <c r="AH79" s="249" t="str">
        <f>IF(AG79=0,"",IFERROR(AG79/AG$19,""))</f>
        <v/>
      </c>
      <c r="AI79" s="250">
        <f>IF(AND($AA79="",AG79=""),"",$AA79-AG79)</f>
        <v>0</v>
      </c>
      <c r="AJ79" s="467">
        <f>IFERROR(AA79/AA$20,0)</f>
        <v>0</v>
      </c>
      <c r="AK79" s="468">
        <f>IFERROR(AD79/AD$20,0)</f>
        <v>0</v>
      </c>
      <c r="AL79" s="469">
        <f>IFERROR(AG79/AG$20,0)</f>
        <v>0</v>
      </c>
      <c r="AM79" s="470">
        <f>+IFERROR(ROUND(($AB79-AE79)*100,2)&amp;" pts.",0)</f>
        <v>0</v>
      </c>
      <c r="AN79" s="471">
        <f>+IFERROR(ROUND(($AB79-AH79)*100,2)&amp;" pts.",0)</f>
        <v>0</v>
      </c>
      <c r="AO79" s="11"/>
    </row>
    <row r="80" spans="1:41" hidden="1" x14ac:dyDescent="0.25">
      <c r="A80" s="56" t="str">
        <f>IF(_epmOfflineCondition_,"Evdre:Ok",_xll.EVDRE($B$1,A83:B90,A93:B99))</f>
        <v>Evdre:Ok</v>
      </c>
      <c r="B80" s="11"/>
      <c r="C80" s="11"/>
      <c r="D80" s="11"/>
      <c r="E80" s="11"/>
      <c r="F80" s="11"/>
      <c r="G80" s="11"/>
      <c r="H80" s="84"/>
      <c r="I80" s="118" t="str">
        <f>IF(_epmOfflineCondition_,"",_xll.EVPRO($B$1,$H80,"STYLE"))</f>
        <v/>
      </c>
      <c r="J80" s="118" t="str">
        <f>IF(_epmOfflineCondition_,"",_xll.EVPRO($B$1,$H80,"CALC"))</f>
        <v/>
      </c>
      <c r="K80" s="175" t="str">
        <f>IF(AND(I80&gt;="T3"),"&gt;","")</f>
        <v/>
      </c>
      <c r="L80" s="86" t="str">
        <f>IF(_epmOfflineCondition_,"",_xll.EVPRO($B$1,H80,"JDEID"))</f>
        <v/>
      </c>
      <c r="M80" s="86" t="str">
        <f>IF(_epmOfflineCondition_,"",IF(AND(I80="N",J80="N"),_xll.EVPRO($B$1,H80,"PSFTID"),""))</f>
        <v/>
      </c>
      <c r="N80" s="86" t="str">
        <f>IF(_epmOfflineCondition_,"",IF(_xll.EVDES(H80,$B$1)="#NODATA","",_xll.EVDES(H80,$B$1)))</f>
        <v/>
      </c>
      <c r="O80" s="248"/>
      <c r="P80" s="248"/>
      <c r="Q80" s="248"/>
      <c r="R80" s="248"/>
      <c r="S80" s="248"/>
      <c r="T80" s="248"/>
      <c r="U80" s="248"/>
      <c r="V80" s="248"/>
      <c r="W80" s="248"/>
      <c r="X80" s="248"/>
      <c r="Y80" s="248"/>
      <c r="Z80" s="248"/>
      <c r="AA80" s="229">
        <f>IF($I80="B1","",SUM(O80:Z80))</f>
        <v>0</v>
      </c>
      <c r="AB80" s="249" t="str">
        <f>IF(AA80=0,"",IFERROR(AA80/AA$19,""))</f>
        <v/>
      </c>
      <c r="AC80" s="136"/>
      <c r="AD80" s="248"/>
      <c r="AE80" s="249" t="str">
        <f>IF(AD80=0,"",IFERROR(AD80/AD$19,""))</f>
        <v/>
      </c>
      <c r="AF80" s="250">
        <f>IF(AND($AA80="",AD80=""),"",$AA80-AD80)</f>
        <v>0</v>
      </c>
      <c r="AG80" s="248"/>
      <c r="AH80" s="249" t="str">
        <f>IF(AG80=0,"",IFERROR(AG80/AG$19,""))</f>
        <v/>
      </c>
      <c r="AI80" s="250">
        <f>IF(AND($AA80="",AG80=""),"",$AA80-AG80)</f>
        <v>0</v>
      </c>
      <c r="AJ80" s="467">
        <f>IFERROR(AA80/AA$20,0)</f>
        <v>0</v>
      </c>
      <c r="AK80" s="468">
        <f>IFERROR(AD80/AD$20,0)</f>
        <v>0</v>
      </c>
      <c r="AL80" s="469">
        <f>IFERROR(AG80/AG$20,0)</f>
        <v>0</v>
      </c>
      <c r="AM80" s="470">
        <f>+IFERROR(ROUND(($AB80-AE80)*100,2)&amp;" pts.",0)</f>
        <v>0</v>
      </c>
      <c r="AN80" s="471">
        <f>+IFERROR(ROUND(($AB80-AH80)*100,2)&amp;" pts.",0)</f>
        <v>0</v>
      </c>
      <c r="AO80" s="11"/>
    </row>
    <row r="81" spans="1:41" x14ac:dyDescent="0.25">
      <c r="A81" s="11"/>
      <c r="B81" s="11"/>
      <c r="C81" s="11"/>
      <c r="D81" s="11"/>
      <c r="E81" s="11"/>
      <c r="F81" s="11"/>
      <c r="G81" s="11"/>
      <c r="H81" s="11"/>
      <c r="I81" s="55"/>
      <c r="J81" s="55"/>
      <c r="K81" s="11"/>
      <c r="L81" s="11"/>
      <c r="M81" s="11"/>
      <c r="N81" s="11"/>
      <c r="O81" s="125"/>
      <c r="P81" s="126"/>
      <c r="Q81" s="126"/>
      <c r="R81" s="126"/>
      <c r="S81" s="126"/>
      <c r="T81" s="126"/>
      <c r="U81" s="126"/>
      <c r="V81" s="126"/>
      <c r="W81" s="126"/>
      <c r="X81" s="126"/>
      <c r="Y81" s="126"/>
      <c r="Z81" s="126"/>
      <c r="AA81" s="126"/>
      <c r="AB81" s="127"/>
      <c r="AC81" s="11"/>
      <c r="AD81" s="125"/>
      <c r="AE81" s="126"/>
      <c r="AF81" s="127"/>
      <c r="AG81" s="125"/>
      <c r="AH81" s="126"/>
      <c r="AI81" s="127"/>
      <c r="AJ81" s="11"/>
      <c r="AK81" s="11"/>
      <c r="AL81" s="11"/>
      <c r="AM81" s="11"/>
      <c r="AN81" s="11"/>
      <c r="AO81" s="11"/>
    </row>
    <row r="82" spans="1:41" x14ac:dyDescent="0.25">
      <c r="A82" s="57" t="s">
        <v>0</v>
      </c>
      <c r="B82" s="58" t="s">
        <v>1</v>
      </c>
      <c r="C82" s="11"/>
      <c r="D82" s="11"/>
      <c r="E82" s="11"/>
      <c r="F82" s="11"/>
      <c r="G82" s="11"/>
      <c r="H82" s="11" t="s">
        <v>82</v>
      </c>
      <c r="I82" s="55" t="str">
        <f>IF(_epmOfflineCondition_,"B1",_xll.EVPRO($B$1,$H82,"STYLE"))</f>
        <v>B1</v>
      </c>
      <c r="J82" s="55" t="str">
        <f>IF(_epmOfflineCondition_,"Y",_xll.EVPRO($B$1,$H82,"CALC"))</f>
        <v>Y</v>
      </c>
      <c r="K82" s="11"/>
      <c r="L82" s="11"/>
      <c r="M82" s="11"/>
      <c r="N82" s="101" t="str">
        <f>IF(_epmOfflineCondition_,"Other Expenses",IF(_xll.EVDES(H82,$B$1)="#NODATA","",_xll.EVDES(H82,$B$1)))</f>
        <v>Other Expenses</v>
      </c>
      <c r="O82" s="115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7"/>
      <c r="AC82" s="11"/>
      <c r="AD82" s="115"/>
      <c r="AE82" s="116"/>
      <c r="AF82" s="117"/>
      <c r="AG82" s="115"/>
      <c r="AH82" s="116"/>
      <c r="AI82" s="117"/>
      <c r="AJ82" s="11"/>
      <c r="AK82" s="11"/>
      <c r="AL82" s="11"/>
      <c r="AM82" s="11"/>
      <c r="AN82" s="11"/>
      <c r="AO82" s="11"/>
    </row>
    <row r="83" spans="1:41" hidden="1" x14ac:dyDescent="0.25">
      <c r="A83" s="61" t="s">
        <v>2</v>
      </c>
      <c r="B83" s="62" t="str">
        <f>IF(_epmOfflineCondition_,"'Venue3'!$B$2:$B$10",_xll.EVRNG($B$2:$B$10))</f>
        <v>'Venue3'!$B$2:$B$10</v>
      </c>
      <c r="C83" s="11"/>
      <c r="D83" s="11"/>
      <c r="E83" s="11"/>
      <c r="F83" s="11"/>
      <c r="G83" s="11"/>
      <c r="H83" s="84" t="s">
        <v>668</v>
      </c>
      <c r="I83" s="118" t="str">
        <f>IF(_epmOfflineCondition_,"",_xll.EVPRO($B$1,$H83,"STYLE"))</f>
        <v/>
      </c>
      <c r="J83" s="118" t="str">
        <f>IF(_epmOfflineCondition_,"",_xll.EVPRO($B$1,$H83,"CALC"))</f>
        <v/>
      </c>
      <c r="K83" s="175" t="str">
        <f>IF(AND(I83&lt;&gt;"B1",J83="Y"),"&gt;","")</f>
        <v/>
      </c>
      <c r="L83" s="86" t="str">
        <f>IF(_epmOfflineCondition_,"",_xll.EVPRO($B$1,H83,"JDEID"))</f>
        <v/>
      </c>
      <c r="M83" s="86" t="str">
        <f>IF(_epmOfflineCondition_,"",IF(AND(I83="N",J83="N"),_xll.EVPRO($B$1,H83,"PSFTID"),""))</f>
        <v/>
      </c>
      <c r="N83" s="86" t="str">
        <f>IF(_epmOfflineCondition_,"",IF(_xll.EVDES(H83,$B$1)="#NODATA","",_xll.EVDES(H83,$B$1)))</f>
        <v/>
      </c>
      <c r="O83" s="134"/>
      <c r="P83" s="134"/>
      <c r="Q83" s="134"/>
      <c r="R83" s="134"/>
      <c r="S83" s="134"/>
      <c r="T83" s="134"/>
      <c r="U83" s="134"/>
      <c r="V83" s="134"/>
      <c r="W83" s="134"/>
      <c r="X83" s="134"/>
      <c r="Y83" s="134"/>
      <c r="Z83" s="134"/>
      <c r="AA83" s="223">
        <f>IF($I83="B1","",SUM(O83:Z83))</f>
        <v>0</v>
      </c>
      <c r="AB83" s="138" t="str">
        <f>IF(AA83=0,"",IFERROR(AA83/AA$19,""))</f>
        <v/>
      </c>
      <c r="AC83" s="136"/>
      <c r="AD83" s="134"/>
      <c r="AE83" s="138" t="str">
        <f>IF(AD83=0,"",IFERROR(AD83/AD$19,""))</f>
        <v/>
      </c>
      <c r="AF83" s="137">
        <f>IF(AND($AA83="",AD83=""),"",$AA83-AD83)</f>
        <v>0</v>
      </c>
      <c r="AG83" s="134"/>
      <c r="AH83" s="138" t="str">
        <f>IF(AG83=0,"",IFERROR(AG83/AG$19,""))</f>
        <v/>
      </c>
      <c r="AI83" s="137">
        <f>IF(AND($AA83="",AG83=""),"",$AA83-AG83)</f>
        <v>0</v>
      </c>
      <c r="AJ83" s="458">
        <f>IFERROR(AA83/AA$20,0)</f>
        <v>0</v>
      </c>
      <c r="AK83" s="459">
        <f>IFERROR(AD83/AD$20,0)</f>
        <v>0</v>
      </c>
      <c r="AL83" s="460">
        <f>IFERROR(AG83/AG$20,0)</f>
        <v>0</v>
      </c>
      <c r="AM83" s="461">
        <f>+IFERROR(ROUND(($AB83-AE83)*100,2)&amp;" pts.",0)</f>
        <v>0</v>
      </c>
      <c r="AN83" s="462">
        <f>+IFERROR(ROUND(($AB83-AH83)*100,2)&amp;" pts.",0)</f>
        <v>0</v>
      </c>
      <c r="AO83" s="11"/>
    </row>
    <row r="84" spans="1:41" hidden="1" x14ac:dyDescent="0.25">
      <c r="A84" s="61" t="s">
        <v>3</v>
      </c>
      <c r="B84" s="62" t="str">
        <f>IF(_epmOfflineCondition_,"'Venue3'!$O$16:$AN$18",_xll.EVRNG($O$16:$AN$18))</f>
        <v>'Venue3'!$O$16:$AN$18</v>
      </c>
      <c r="C84" s="11"/>
      <c r="D84" s="11"/>
      <c r="E84" s="11"/>
      <c r="F84" s="11"/>
      <c r="G84" s="11"/>
      <c r="H84" s="84"/>
      <c r="I84" s="118" t="str">
        <f>IF(_epmOfflineCondition_,"",_xll.EVPRO($B$1,$H84,"STYLE"))</f>
        <v/>
      </c>
      <c r="J84" s="118" t="str">
        <f>IF(_epmOfflineCondition_,"",_xll.EVPRO($B$1,$H84,"CALC"))</f>
        <v/>
      </c>
      <c r="K84" s="175" t="str">
        <f>IF(AND(I84&lt;&gt;"B1",J84="Y"),"&gt;","")</f>
        <v/>
      </c>
      <c r="L84" s="86" t="str">
        <f>IF(_epmOfflineCondition_,"",_xll.EVPRO($B$1,H84,"JDEID"))</f>
        <v/>
      </c>
      <c r="M84" s="86" t="str">
        <f>IF(_epmOfflineCondition_,"",IF(AND(I84="N",J84="N"),_xll.EVPRO($B$1,H84,"PSFTID"),""))</f>
        <v/>
      </c>
      <c r="N84" s="86" t="str">
        <f>IF(_epmOfflineCondition_,"",IF(_xll.EVDES(H84,$B$1)="#NODATA","",_xll.EVDES(H84,$B$1)))</f>
        <v/>
      </c>
      <c r="O84" s="134"/>
      <c r="P84" s="134"/>
      <c r="Q84" s="134"/>
      <c r="R84" s="134"/>
      <c r="S84" s="134"/>
      <c r="T84" s="134"/>
      <c r="U84" s="134"/>
      <c r="V84" s="134"/>
      <c r="W84" s="134"/>
      <c r="X84" s="134"/>
      <c r="Y84" s="134"/>
      <c r="Z84" s="134"/>
      <c r="AA84" s="223">
        <f>IF($I84="B1","",SUM(O84:Z84))</f>
        <v>0</v>
      </c>
      <c r="AB84" s="138" t="str">
        <f>IF(AA84=0,"",IFERROR(AA84/AA$19,""))</f>
        <v/>
      </c>
      <c r="AC84" s="136"/>
      <c r="AD84" s="134"/>
      <c r="AE84" s="138" t="str">
        <f>IF(AD84=0,"",IFERROR(AD84/AD$19,""))</f>
        <v/>
      </c>
      <c r="AF84" s="137">
        <f>IF(AND($AA84="",AD84=""),"",$AA84-AD84)</f>
        <v>0</v>
      </c>
      <c r="AG84" s="134"/>
      <c r="AH84" s="138" t="str">
        <f>IF(AG84=0,"",IFERROR(AG84/AG$19,""))</f>
        <v/>
      </c>
      <c r="AI84" s="137">
        <f>IF(AND($AA84="",AG84=""),"",$AA84-AG84)</f>
        <v>0</v>
      </c>
      <c r="AJ84" s="458">
        <f>IFERROR(AA84/AA$20,0)</f>
        <v>0</v>
      </c>
      <c r="AK84" s="459">
        <f>IFERROR(AD84/AD$20,0)</f>
        <v>0</v>
      </c>
      <c r="AL84" s="460">
        <f>IFERROR(AG84/AG$20,0)</f>
        <v>0</v>
      </c>
      <c r="AM84" s="461">
        <f>+IFERROR(ROUND(($AB84-AE84)*100,2)&amp;" pts.",0)</f>
        <v>0</v>
      </c>
      <c r="AN84" s="462">
        <f>+IFERROR(ROUND(($AB84-AH84)*100,2)&amp;" pts.",0)</f>
        <v>0</v>
      </c>
      <c r="AO84" s="11"/>
    </row>
    <row r="85" spans="1:41" x14ac:dyDescent="0.25">
      <c r="A85" s="61" t="s">
        <v>4</v>
      </c>
      <c r="B85" s="62" t="str">
        <f>IF(_epmOfflineCondition_,"'Venue3'!$H$76:$H$77,'Venue3'!$H$79:$H$80,'Venue3'!$H$83:$H$84",_xll.EVRNG(H76:H77,H79:H80,H83:H84))</f>
        <v>'Venue3'!$H$76:$H$77,'Venue3'!$H$79:$H$80,'Venue3'!$H$83:$H$84</v>
      </c>
      <c r="C85" s="11"/>
      <c r="D85" s="11"/>
      <c r="E85" s="11"/>
      <c r="F85" s="11"/>
      <c r="G85" s="11"/>
      <c r="H85" s="84" t="s">
        <v>79</v>
      </c>
      <c r="I85" s="132" t="str">
        <f>IF(_epmOfflineCondition_,"T3",_xll.EVPRO($B$1,$H85,"STYLE"))</f>
        <v>T3</v>
      </c>
      <c r="J85" s="132" t="str">
        <f>IF(_epmOfflineCondition_,"Y",_xll.EVPRO($B$1,$H85,"CALC"))</f>
        <v>Y</v>
      </c>
      <c r="K85" s="100"/>
      <c r="L85" s="100"/>
      <c r="M85" s="100"/>
      <c r="N85" s="102" t="str">
        <f>IF(_epmOfflineCondition_,"Total Operations Expense",IF(_xll.EVDES(H85,$B$1)="#NODATA","",_xll.EVDES(H85,$B$1)))</f>
        <v>Total Operations Expense</v>
      </c>
      <c r="O85" s="146"/>
      <c r="P85" s="146"/>
      <c r="Q85" s="146"/>
      <c r="R85" s="146"/>
      <c r="S85" s="146"/>
      <c r="T85" s="146"/>
      <c r="U85" s="146"/>
      <c r="V85" s="146"/>
      <c r="W85" s="146"/>
      <c r="X85" s="146"/>
      <c r="Y85" s="146"/>
      <c r="Z85" s="146"/>
      <c r="AA85" s="146">
        <f>IF($I85="B1","",SUM(O85:Z85))</f>
        <v>0</v>
      </c>
      <c r="AB85" s="147" t="str">
        <f>IF(AA85=0,"",IFERROR(AA85/AA$19,""))</f>
        <v/>
      </c>
      <c r="AC85" s="136"/>
      <c r="AD85" s="146"/>
      <c r="AE85" s="147" t="str">
        <f>IF(AD85=0,"",IFERROR(AD85/AD$19,""))</f>
        <v/>
      </c>
      <c r="AF85" s="148">
        <f>IF(AND($AA85="",AD85=""),"",$AA85-AD85)</f>
        <v>0</v>
      </c>
      <c r="AG85" s="146"/>
      <c r="AH85" s="147" t="str">
        <f>IF(AG85=0,"",IFERROR(AG85/AG$19,""))</f>
        <v/>
      </c>
      <c r="AI85" s="148">
        <f>IF(AND($AA85="",AG85=""),"",$AA85-AG85)</f>
        <v>0</v>
      </c>
      <c r="AJ85" s="553">
        <f>IFERROR(AA85/AA$20,0)</f>
        <v>0</v>
      </c>
      <c r="AK85" s="554">
        <f>IFERROR(AD85/AD$20,0)</f>
        <v>0</v>
      </c>
      <c r="AL85" s="555">
        <f>IFERROR(AG85/AG$20,0)</f>
        <v>0</v>
      </c>
      <c r="AM85" s="556">
        <f>+IFERROR(ROUND(($AB85-AE85)*100,2)&amp;" pts.",0)</f>
        <v>0</v>
      </c>
      <c r="AN85" s="557">
        <f>+IFERROR(ROUND(($AB85-AH85)*100,2)&amp;" pts.",0)</f>
        <v>0</v>
      </c>
      <c r="AO85" s="11"/>
    </row>
    <row r="86" spans="1:41" x14ac:dyDescent="0.25">
      <c r="A86" s="61" t="s">
        <v>5</v>
      </c>
      <c r="B86" s="62"/>
      <c r="C86" s="11"/>
      <c r="D86" s="11"/>
      <c r="E86" s="11"/>
      <c r="F86" s="11"/>
      <c r="G86" s="11"/>
      <c r="H86" s="11"/>
      <c r="I86" s="55"/>
      <c r="J86" s="55"/>
      <c r="K86" s="11"/>
      <c r="L86" s="11"/>
      <c r="M86" s="11"/>
      <c r="N86" s="11"/>
      <c r="O86" s="136"/>
      <c r="P86" s="136"/>
      <c r="Q86" s="136"/>
      <c r="R86" s="136"/>
      <c r="S86" s="136"/>
      <c r="T86" s="136"/>
      <c r="U86" s="136"/>
      <c r="V86" s="136"/>
      <c r="W86" s="136"/>
      <c r="X86" s="136"/>
      <c r="Y86" s="136"/>
      <c r="Z86" s="136"/>
      <c r="AA86" s="136"/>
      <c r="AB86" s="136"/>
      <c r="AC86" s="136"/>
      <c r="AD86" s="136"/>
      <c r="AE86" s="136"/>
      <c r="AF86" s="136"/>
      <c r="AG86" s="136"/>
      <c r="AH86" s="136"/>
      <c r="AI86" s="136"/>
      <c r="AJ86" s="136"/>
      <c r="AK86" s="136"/>
      <c r="AL86" s="136"/>
      <c r="AM86" s="136"/>
      <c r="AN86" s="136"/>
      <c r="AO86" s="11"/>
    </row>
    <row r="87" spans="1:41" x14ac:dyDescent="0.25">
      <c r="A87" s="61" t="s">
        <v>6</v>
      </c>
      <c r="B87" s="62"/>
      <c r="C87" s="11"/>
      <c r="D87" s="11"/>
      <c r="E87" s="11"/>
      <c r="F87" s="11"/>
      <c r="G87" s="11"/>
      <c r="H87" s="84" t="s">
        <v>80</v>
      </c>
      <c r="I87" s="132" t="str">
        <f>IF(_epmOfflineCondition_,"T3",_xll.EVPRO($B$1,$H87,"STYLE"))</f>
        <v>T3</v>
      </c>
      <c r="J87" s="132" t="str">
        <f>IF(_epmOfflineCondition_,"Y",_xll.EVPRO($B$1,$H87,"CALC"))</f>
        <v>Y</v>
      </c>
      <c r="K87" s="102"/>
      <c r="L87" s="102"/>
      <c r="M87" s="102"/>
      <c r="N87" s="102" t="str">
        <f>IF(_epmOfflineCondition_,"Total Expenses",IF(_xll.EVDES(H87,$B$1)="#NODATA","",_xll.EVDES(H87,$B$1)))</f>
        <v>Total Expenses</v>
      </c>
      <c r="O87" s="210"/>
      <c r="P87" s="210"/>
      <c r="Q87" s="210"/>
      <c r="R87" s="210"/>
      <c r="S87" s="210"/>
      <c r="T87" s="210"/>
      <c r="U87" s="210"/>
      <c r="V87" s="210"/>
      <c r="W87" s="210"/>
      <c r="X87" s="210"/>
      <c r="Y87" s="210"/>
      <c r="Z87" s="210"/>
      <c r="AA87" s="210">
        <f>IF($I87="B1","",SUM(O87:Z87))</f>
        <v>0</v>
      </c>
      <c r="AB87" s="211" t="str">
        <f>IF(AA87=0,"",IFERROR(AA87/AA$19,""))</f>
        <v/>
      </c>
      <c r="AC87" s="136"/>
      <c r="AD87" s="210"/>
      <c r="AE87" s="211" t="str">
        <f>IF(AD87=0,"",IFERROR(AD87/AD$19,""))</f>
        <v/>
      </c>
      <c r="AF87" s="212">
        <f>IF(AND($AA87="",AD87=""),"",$AA87-AD87)</f>
        <v>0</v>
      </c>
      <c r="AG87" s="213"/>
      <c r="AH87" s="214" t="str">
        <f>IF(AG87=0,"",IFERROR(AG87/AG$19,""))</f>
        <v/>
      </c>
      <c r="AI87" s="212">
        <f>IF(AND($AA87="",AG87=""),"",$AA87-AG87)</f>
        <v>0</v>
      </c>
      <c r="AJ87" s="253">
        <f>IFERROR(AA87/AA$20,0)</f>
        <v>0</v>
      </c>
      <c r="AK87" s="254">
        <f>IFERROR(AD87/AD$20,0)</f>
        <v>0</v>
      </c>
      <c r="AL87" s="256">
        <f>IFERROR(AG87/AG$20,0)</f>
        <v>0</v>
      </c>
      <c r="AM87" s="427">
        <f>+IFERROR(ROUND(($AB87-AE87)*100,2)&amp;" pts.",0)</f>
        <v>0</v>
      </c>
      <c r="AN87" s="483">
        <f>+IFERROR(ROUND(($AB87-AH87)*100,2)&amp;" pts.",0)</f>
        <v>0</v>
      </c>
      <c r="AO87" s="11"/>
    </row>
    <row r="88" spans="1:41" ht="15.75" thickBot="1" x14ac:dyDescent="0.3">
      <c r="A88" s="61" t="s">
        <v>7</v>
      </c>
      <c r="B88" s="62" t="str">
        <f>IF(_epmOfflineCondition_,"'Venue3'!$A$102:$F$108",_xll.EVRNG(A102:F108))</f>
        <v>'Venue3'!$A$102:$F$108</v>
      </c>
      <c r="C88" s="11"/>
      <c r="D88" s="11"/>
      <c r="E88" s="11"/>
      <c r="F88" s="11"/>
      <c r="G88" s="11"/>
      <c r="H88" s="84" t="s">
        <v>81</v>
      </c>
      <c r="I88" s="132" t="str">
        <f>IF(_epmOfflineCondition_,"T3",_xll.EVPRO($B$1,$H88,"STYLE"))</f>
        <v>T3</v>
      </c>
      <c r="J88" s="132" t="str">
        <f>IF(_epmOfflineCondition_,"Y",_xll.EVPRO($B$1,$H88,"CALC"))</f>
        <v>Y</v>
      </c>
      <c r="K88" s="102"/>
      <c r="L88" s="102"/>
      <c r="M88" s="102"/>
      <c r="N88" s="102" t="str">
        <f>IF(_epmOfflineCondition_,"Department Profit (Loss)",IF(_xll.EVDES(H88,$B$1)="#NODATA","",_xll.EVDES(H88,$B$1)))</f>
        <v>Department Profit (Loss)</v>
      </c>
      <c r="O88" s="161"/>
      <c r="P88" s="161"/>
      <c r="Q88" s="161"/>
      <c r="R88" s="161"/>
      <c r="S88" s="161"/>
      <c r="T88" s="161"/>
      <c r="U88" s="161"/>
      <c r="V88" s="161"/>
      <c r="W88" s="161"/>
      <c r="X88" s="161"/>
      <c r="Y88" s="161"/>
      <c r="Z88" s="161"/>
      <c r="AA88" s="161">
        <f>IF($I88="B1","",SUM(O88:Z88))</f>
        <v>0</v>
      </c>
      <c r="AB88" s="162" t="str">
        <f>IF(AA88=0,"",IFERROR(AA88/AA$19,""))</f>
        <v/>
      </c>
      <c r="AC88" s="136"/>
      <c r="AD88" s="161"/>
      <c r="AE88" s="162" t="str">
        <f>IF(AD88=0,"",IFERROR(AD88/AD$19,""))</f>
        <v/>
      </c>
      <c r="AF88" s="163">
        <f>IF(AND($AA88="",AD88=""),"",$AA88-AD88)</f>
        <v>0</v>
      </c>
      <c r="AG88" s="161"/>
      <c r="AH88" s="162" t="str">
        <f>IF(AG88=0,"",IFERROR(AG88/AG$19,""))</f>
        <v/>
      </c>
      <c r="AI88" s="163">
        <f>IF(AND($AA88="",AG88=""),"",$AA88-AG88)</f>
        <v>0</v>
      </c>
      <c r="AJ88" s="442">
        <f>IFERROR(AA88/AA$20,0)</f>
        <v>0</v>
      </c>
      <c r="AK88" s="443">
        <f>IFERROR(AD88/AD$20,0)</f>
        <v>0</v>
      </c>
      <c r="AL88" s="444">
        <f>IFERROR(AG88/AG$20,0)</f>
        <v>0</v>
      </c>
      <c r="AM88" s="445">
        <f>+IFERROR(ROUND(($AB88-AE88)*100,2)&amp;" pts.",0)</f>
        <v>0</v>
      </c>
      <c r="AN88" s="552">
        <f>+IFERROR(ROUND(($AB88-AH88)*100,2)&amp;" pts.",0)</f>
        <v>0</v>
      </c>
      <c r="AO88" s="11"/>
    </row>
    <row r="89" spans="1:41" ht="15.75" thickTop="1" x14ac:dyDescent="0.25">
      <c r="A89" s="61" t="s">
        <v>47</v>
      </c>
      <c r="B89" s="62" t="str">
        <f>IF(_epmOfflineCondition_,"'Venue3'!$A$125:$B$146",_xll.EVRNG($A$125:$B$146))</f>
        <v>'Venue3'!$A$125:$B$146</v>
      </c>
      <c r="C89" s="11"/>
      <c r="D89" s="11"/>
      <c r="E89" s="11"/>
      <c r="F89" s="11"/>
      <c r="G89" s="11"/>
      <c r="H89" s="11"/>
      <c r="I89" s="55"/>
      <c r="J89" s="55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x14ac:dyDescent="0.25">
      <c r="A90" s="61" t="s">
        <v>8</v>
      </c>
      <c r="B90" s="62"/>
      <c r="C90" s="11"/>
      <c r="D90" s="11"/>
      <c r="E90" s="11"/>
      <c r="F90" s="11"/>
      <c r="G90" s="11"/>
      <c r="H90" s="11"/>
      <c r="I90" s="55"/>
      <c r="J90" s="55"/>
      <c r="K90" s="11"/>
      <c r="L90" s="11"/>
      <c r="M90" s="11"/>
      <c r="N90" s="100" t="str">
        <f>N87&amp;" - Check"</f>
        <v>Total Expenses - Check</v>
      </c>
      <c r="O90" s="205">
        <f t="shared" ref="O90:AA90" si="22">SUMIF($H$35:$H$88,"600000",O$35:O$88)+SUMIF($H$35:$H$88,"700000",O$35:O$88)-SUMIF($H$35:$H$88,"TOTDEPTEXP",O$35:O$88)</f>
        <v>0</v>
      </c>
      <c r="P90" s="205">
        <f t="shared" si="22"/>
        <v>0</v>
      </c>
      <c r="Q90" s="205">
        <f t="shared" si="22"/>
        <v>0</v>
      </c>
      <c r="R90" s="205">
        <f t="shared" si="22"/>
        <v>0</v>
      </c>
      <c r="S90" s="205">
        <f t="shared" si="22"/>
        <v>0</v>
      </c>
      <c r="T90" s="205">
        <f t="shared" si="22"/>
        <v>0</v>
      </c>
      <c r="U90" s="205">
        <f t="shared" si="22"/>
        <v>0</v>
      </c>
      <c r="V90" s="205">
        <f t="shared" si="22"/>
        <v>0</v>
      </c>
      <c r="W90" s="205">
        <f t="shared" si="22"/>
        <v>0</v>
      </c>
      <c r="X90" s="205">
        <f t="shared" si="22"/>
        <v>0</v>
      </c>
      <c r="Y90" s="205">
        <f t="shared" si="22"/>
        <v>0</v>
      </c>
      <c r="Z90" s="205">
        <f t="shared" si="22"/>
        <v>0</v>
      </c>
      <c r="AA90" s="205">
        <f t="shared" si="22"/>
        <v>0</v>
      </c>
      <c r="AB90" s="96"/>
      <c r="AC90" s="11"/>
      <c r="AD90" s="205">
        <f>SUMIF($H$35:$H$88,"600000",AD$35:AD$88)+SUMIF($H$35:$H$88,"700000",AD$35:AD$88)-SUMIF($H$35:$H$88,"TOTDEPTEXP",AD$35:AD$88)</f>
        <v>0</v>
      </c>
      <c r="AE90" s="96"/>
      <c r="AF90" s="87"/>
      <c r="AG90" s="205">
        <f>SUMIF($H$35:$H$88,"600000",AG$35:AG$88)+SUMIF($H$35:$H$88,"700000",AG$35:AG$88)-SUMIF($H$35:$H$88,"TOTDEPTEXP",AG$35:AG$88)</f>
        <v>0</v>
      </c>
      <c r="AH90" s="96"/>
      <c r="AI90" s="87"/>
      <c r="AJ90" s="11"/>
      <c r="AK90" s="11"/>
      <c r="AL90" s="11"/>
      <c r="AM90" s="11"/>
      <c r="AN90" s="11"/>
      <c r="AO90" s="11"/>
    </row>
    <row r="91" spans="1:41" x14ac:dyDescent="0.25">
      <c r="A91" s="11"/>
      <c r="B91" s="11"/>
      <c r="C91" s="11"/>
      <c r="D91" s="11"/>
      <c r="E91" s="11"/>
      <c r="F91" s="11"/>
      <c r="G91" s="72"/>
      <c r="H91" s="11"/>
      <c r="I91" s="55"/>
      <c r="J91" s="55"/>
      <c r="K91" s="11"/>
      <c r="L91" s="11"/>
      <c r="M91" s="11"/>
      <c r="N91" s="100" t="str">
        <f>N88&amp;" - Check"</f>
        <v>Department Profit (Loss) - Check</v>
      </c>
      <c r="O91" s="205">
        <f t="shared" ref="O91:AA91" si="23">SUMIF($H$35:$H$88,"KPI_GP",O$35:O$88)-SUMIF($H$35:$H$88,"TOTDEPTEXP",O$35:O$88)-SUMIF($H$35:$H$88,"TOTDEPTPL",O$35:O$88)</f>
        <v>0</v>
      </c>
      <c r="P91" s="205">
        <f t="shared" si="23"/>
        <v>0</v>
      </c>
      <c r="Q91" s="205">
        <f t="shared" si="23"/>
        <v>0</v>
      </c>
      <c r="R91" s="205">
        <f t="shared" si="23"/>
        <v>0</v>
      </c>
      <c r="S91" s="205">
        <f t="shared" si="23"/>
        <v>0</v>
      </c>
      <c r="T91" s="205">
        <f t="shared" si="23"/>
        <v>0</v>
      </c>
      <c r="U91" s="205">
        <f t="shared" si="23"/>
        <v>0</v>
      </c>
      <c r="V91" s="205">
        <f t="shared" si="23"/>
        <v>0</v>
      </c>
      <c r="W91" s="205">
        <f t="shared" si="23"/>
        <v>0</v>
      </c>
      <c r="X91" s="205">
        <f t="shared" si="23"/>
        <v>0</v>
      </c>
      <c r="Y91" s="205">
        <f t="shared" si="23"/>
        <v>0</v>
      </c>
      <c r="Z91" s="205">
        <f t="shared" si="23"/>
        <v>0</v>
      </c>
      <c r="AA91" s="205">
        <f t="shared" si="23"/>
        <v>0</v>
      </c>
      <c r="AB91" s="96"/>
      <c r="AC91" s="11"/>
      <c r="AD91" s="205">
        <f>SUMIF($H$35:$H$88,"KPI_GP",AD$35:AD$88)-SUMIF($H$35:$H$88,"TOTDEPTEXP",AD$35:AD$88)-SUMIF($H$35:$H$88,"TOTDEPTPL",AD$35:AD$88)</f>
        <v>0</v>
      </c>
      <c r="AE91" s="96"/>
      <c r="AF91" s="87"/>
      <c r="AG91" s="205">
        <f>SUMIF($H$35:$H$88,"KPI_GP",AG$35:AG$88)-SUMIF($H$35:$H$88,"TOTDEPTEXP",AG$35:AG$88)-SUMIF($H$35:$H$88,"TOTDEPTPL",AG$35:AG$88)</f>
        <v>0</v>
      </c>
      <c r="AH91" s="96"/>
      <c r="AI91" s="87"/>
      <c r="AJ91" s="11"/>
      <c r="AK91" s="11"/>
      <c r="AL91" s="11"/>
      <c r="AM91" s="11"/>
      <c r="AN91" s="11"/>
      <c r="AO91" s="11"/>
    </row>
    <row r="92" spans="1:41" x14ac:dyDescent="0.25">
      <c r="A92" s="57" t="s">
        <v>9</v>
      </c>
      <c r="B92" s="58" t="s">
        <v>10</v>
      </c>
      <c r="C92" s="11"/>
      <c r="D92" s="11"/>
      <c r="E92" s="11"/>
      <c r="F92" s="11"/>
      <c r="G92" s="11"/>
      <c r="H92" s="11"/>
      <c r="I92" s="55"/>
      <c r="J92" s="55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x14ac:dyDescent="0.25">
      <c r="A93" s="61" t="s">
        <v>11</v>
      </c>
      <c r="B93" s="62" t="s">
        <v>21</v>
      </c>
      <c r="C93" s="11"/>
      <c r="D93" s="11"/>
      <c r="E93" s="11"/>
      <c r="F93" s="11"/>
      <c r="G93" s="11"/>
      <c r="H93" s="11"/>
      <c r="I93" s="55"/>
      <c r="J93" s="55"/>
      <c r="K93" s="11"/>
      <c r="L93" s="11"/>
      <c r="M93" s="11"/>
      <c r="N93" s="11"/>
      <c r="O93" s="133"/>
      <c r="P93" s="133"/>
      <c r="Q93" s="133"/>
      <c r="R93" s="133"/>
      <c r="S93" s="133"/>
      <c r="T93" s="133"/>
      <c r="U93" s="133"/>
      <c r="V93" s="133"/>
      <c r="W93" s="133"/>
      <c r="X93" s="133"/>
      <c r="Y93" s="133"/>
      <c r="Z93" s="133"/>
      <c r="AA93" s="133"/>
      <c r="AB93" s="11"/>
      <c r="AC93" s="11"/>
      <c r="AD93" s="133"/>
      <c r="AE93" s="11"/>
      <c r="AF93" s="11"/>
      <c r="AG93" s="133"/>
      <c r="AH93" s="11"/>
      <c r="AI93" s="11"/>
      <c r="AJ93" s="11"/>
      <c r="AK93" s="11"/>
      <c r="AL93" s="11"/>
      <c r="AM93" s="11"/>
      <c r="AN93" s="11"/>
      <c r="AO93" s="11"/>
    </row>
    <row r="94" spans="1:41" x14ac:dyDescent="0.25">
      <c r="A94" s="61" t="s">
        <v>12</v>
      </c>
      <c r="B94" s="62" t="s">
        <v>22</v>
      </c>
      <c r="C94" s="11"/>
      <c r="D94" s="11"/>
      <c r="E94" s="11"/>
      <c r="F94" s="11"/>
      <c r="G94" s="11"/>
      <c r="H94" s="11"/>
      <c r="I94" s="55"/>
      <c r="J94" s="55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x14ac:dyDescent="0.25">
      <c r="A95" s="61" t="s">
        <v>13</v>
      </c>
      <c r="B95" s="62" t="s">
        <v>738</v>
      </c>
      <c r="C95" s="11"/>
      <c r="D95" s="11"/>
      <c r="E95" s="11"/>
      <c r="F95" s="11"/>
      <c r="G95" s="11"/>
      <c r="H95" s="11"/>
      <c r="I95" s="55"/>
      <c r="J95" s="55"/>
      <c r="K95" s="11"/>
      <c r="L95" s="11"/>
      <c r="M95" s="11"/>
      <c r="N95" s="11"/>
      <c r="O95" s="133"/>
      <c r="P95" s="133"/>
      <c r="Q95" s="133"/>
      <c r="R95" s="133"/>
      <c r="S95" s="133"/>
      <c r="T95" s="133"/>
      <c r="U95" s="133"/>
      <c r="V95" s="133"/>
      <c r="W95" s="133"/>
      <c r="X95" s="133"/>
      <c r="Y95" s="133"/>
      <c r="Z95" s="133"/>
      <c r="AA95" s="133"/>
      <c r="AB95" s="11"/>
      <c r="AC95" s="11"/>
      <c r="AD95" s="133"/>
      <c r="AE95" s="11"/>
      <c r="AF95" s="11"/>
      <c r="AG95" s="133"/>
      <c r="AH95" s="11"/>
      <c r="AI95" s="11"/>
      <c r="AJ95" s="11"/>
      <c r="AK95" s="11"/>
      <c r="AL95" s="11"/>
      <c r="AM95" s="11"/>
      <c r="AN95" s="11"/>
      <c r="AO95" s="11"/>
    </row>
    <row r="96" spans="1:41" x14ac:dyDescent="0.25">
      <c r="A96" s="61" t="s">
        <v>14</v>
      </c>
      <c r="B96" s="62"/>
      <c r="C96" s="11"/>
      <c r="D96" s="11"/>
      <c r="E96" s="11"/>
      <c r="F96" s="11"/>
      <c r="G96" s="11"/>
      <c r="H96" s="11"/>
      <c r="I96" s="55"/>
      <c r="J96" s="55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x14ac:dyDescent="0.25">
      <c r="A97" s="61" t="s">
        <v>15</v>
      </c>
      <c r="B97" s="62"/>
      <c r="C97" s="11"/>
      <c r="D97" s="11"/>
      <c r="E97" s="11"/>
      <c r="F97" s="11"/>
      <c r="G97" s="11"/>
      <c r="H97" s="11"/>
      <c r="I97" s="55"/>
      <c r="J97" s="55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x14ac:dyDescent="0.25">
      <c r="A98" s="61" t="s">
        <v>16</v>
      </c>
      <c r="B98" s="62" t="s">
        <v>78</v>
      </c>
      <c r="C98" s="11"/>
      <c r="D98" s="11"/>
      <c r="E98" s="11"/>
      <c r="F98" s="11"/>
      <c r="G98" s="11"/>
      <c r="H98" s="55"/>
      <c r="I98" s="55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x14ac:dyDescent="0.25">
      <c r="A99" s="61" t="s">
        <v>17</v>
      </c>
      <c r="B99" s="62"/>
      <c r="C99" s="11"/>
      <c r="D99" s="11"/>
      <c r="E99" s="11"/>
      <c r="F99" s="11"/>
      <c r="G99" s="11"/>
      <c r="H99" s="55"/>
      <c r="I99" s="55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x14ac:dyDescent="0.25">
      <c r="A100" s="11"/>
      <c r="B100" s="11"/>
      <c r="C100" s="11"/>
      <c r="D100" s="11"/>
      <c r="E100" s="11"/>
      <c r="F100" s="11"/>
      <c r="G100" s="11"/>
      <c r="H100" s="55"/>
      <c r="I100" s="55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x14ac:dyDescent="0.25">
      <c r="A101" s="93" t="s">
        <v>92</v>
      </c>
      <c r="B101" s="94" t="s">
        <v>93</v>
      </c>
      <c r="C101" s="94" t="s">
        <v>94</v>
      </c>
      <c r="D101" s="94" t="s">
        <v>95</v>
      </c>
      <c r="E101" s="94" t="s">
        <v>96</v>
      </c>
      <c r="F101" s="95" t="s">
        <v>97</v>
      </c>
      <c r="G101" s="11"/>
      <c r="H101" s="55"/>
      <c r="I101" s="55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x14ac:dyDescent="0.25">
      <c r="A102" s="11"/>
      <c r="B102" s="11"/>
      <c r="C102" s="11"/>
      <c r="D102" s="11"/>
      <c r="E102" s="11"/>
      <c r="F102" s="11"/>
      <c r="G102" s="11"/>
      <c r="H102" s="55"/>
      <c r="I102" s="55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x14ac:dyDescent="0.25">
      <c r="A103" s="11" t="s">
        <v>108</v>
      </c>
      <c r="B103" s="11"/>
      <c r="C103" s="100" t="s">
        <v>101</v>
      </c>
      <c r="D103" s="11" t="s">
        <v>106</v>
      </c>
      <c r="E103" s="11"/>
      <c r="F103" s="11" t="s">
        <v>98</v>
      </c>
      <c r="G103" s="11"/>
      <c r="H103" s="55"/>
      <c r="I103" s="55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x14ac:dyDescent="0.25">
      <c r="A104" s="11" t="s">
        <v>100</v>
      </c>
      <c r="B104" s="11"/>
      <c r="C104" s="49" t="s">
        <v>101</v>
      </c>
      <c r="D104" s="11" t="s">
        <v>106</v>
      </c>
      <c r="E104" s="11"/>
      <c r="F104" s="11" t="s">
        <v>98</v>
      </c>
      <c r="G104" s="11"/>
      <c r="H104" s="55"/>
      <c r="I104" s="55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x14ac:dyDescent="0.25">
      <c r="A105" s="11" t="s">
        <v>109</v>
      </c>
      <c r="B105" s="11"/>
      <c r="C105" s="102" t="s">
        <v>101</v>
      </c>
      <c r="D105" s="11" t="s">
        <v>106</v>
      </c>
      <c r="E105" s="11"/>
      <c r="F105" s="11" t="s">
        <v>98</v>
      </c>
      <c r="G105" s="72"/>
      <c r="H105" s="55"/>
      <c r="I105" s="55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x14ac:dyDescent="0.25">
      <c r="A106" s="11" t="s">
        <v>109</v>
      </c>
      <c r="B106" s="11"/>
      <c r="C106" s="192" t="s">
        <v>101</v>
      </c>
      <c r="D106" s="11" t="s">
        <v>107</v>
      </c>
      <c r="E106" s="11"/>
      <c r="F106" s="11" t="s">
        <v>99</v>
      </c>
      <c r="G106" s="11"/>
      <c r="H106" s="55"/>
      <c r="I106" s="55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x14ac:dyDescent="0.25">
      <c r="A107" s="11" t="s">
        <v>110</v>
      </c>
      <c r="B107" s="11"/>
      <c r="C107" s="102" t="s">
        <v>101</v>
      </c>
      <c r="D107" s="11" t="s">
        <v>106</v>
      </c>
      <c r="E107" s="11"/>
      <c r="F107" s="11" t="s">
        <v>98</v>
      </c>
      <c r="G107" s="11"/>
      <c r="H107" s="55"/>
      <c r="I107" s="55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x14ac:dyDescent="0.25">
      <c r="A108" s="11" t="s">
        <v>110</v>
      </c>
      <c r="B108" s="11"/>
      <c r="C108" s="105" t="s">
        <v>101</v>
      </c>
      <c r="D108" s="11" t="s">
        <v>107</v>
      </c>
      <c r="E108" s="11"/>
      <c r="F108" s="11" t="s">
        <v>99</v>
      </c>
      <c r="G108" s="11"/>
      <c r="H108" s="55"/>
      <c r="I108" s="55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x14ac:dyDescent="0.25">
      <c r="A109" s="11"/>
      <c r="B109" s="11"/>
      <c r="C109" s="204"/>
      <c r="D109" s="11"/>
      <c r="E109" s="11"/>
      <c r="F109" s="11"/>
      <c r="G109" s="11"/>
      <c r="H109" s="55"/>
      <c r="I109" s="55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x14ac:dyDescent="0.25">
      <c r="A110" s="11"/>
      <c r="B110" s="11"/>
      <c r="C110" s="11"/>
      <c r="D110" s="11"/>
      <c r="E110" s="11"/>
      <c r="F110" s="11"/>
      <c r="G110" s="11"/>
      <c r="H110" s="55"/>
      <c r="I110" s="55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x14ac:dyDescent="0.25">
      <c r="A111" s="56" t="str">
        <f>IF(_epmOfflineCondition_,"Evdre:Ok",_xll.EVDRE($B$1,A114:B121))</f>
        <v>Evdre:Ok</v>
      </c>
      <c r="B111" s="11" t="s">
        <v>737</v>
      </c>
      <c r="C111" s="11"/>
      <c r="D111" s="11"/>
      <c r="E111" s="11"/>
      <c r="F111" s="11"/>
      <c r="G111" s="72"/>
      <c r="H111" s="55"/>
      <c r="I111" s="55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x14ac:dyDescent="0.25">
      <c r="A112" s="11"/>
      <c r="B112" s="11"/>
      <c r="C112" s="11"/>
      <c r="D112" s="11"/>
      <c r="E112" s="11"/>
      <c r="F112" s="11"/>
      <c r="G112" s="11"/>
      <c r="H112" s="55"/>
      <c r="I112" s="55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x14ac:dyDescent="0.25">
      <c r="A113" s="57" t="s">
        <v>0</v>
      </c>
      <c r="B113" s="58" t="s">
        <v>1</v>
      </c>
      <c r="C113" s="11"/>
      <c r="D113" s="11"/>
      <c r="E113" s="11"/>
      <c r="F113" s="11"/>
      <c r="G113" s="11"/>
      <c r="H113" s="55"/>
      <c r="I113" s="55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  <row r="114" spans="1:41" x14ac:dyDescent="0.25">
      <c r="A114" s="61" t="s">
        <v>2</v>
      </c>
      <c r="B114" s="62" t="str">
        <f>IF(_epmOfflineCondition_,"'Venue3'!$B$2:$B$10",_xll.EVRNG($B$2:$B$10))</f>
        <v>'Venue3'!$B$2:$B$10</v>
      </c>
      <c r="C114" s="11"/>
      <c r="D114" s="11"/>
      <c r="E114" s="11"/>
      <c r="F114" s="11"/>
      <c r="G114" s="11"/>
      <c r="H114" s="55"/>
      <c r="I114" s="55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x14ac:dyDescent="0.25">
      <c r="A115" s="61" t="s">
        <v>3</v>
      </c>
      <c r="B115" s="62" t="str">
        <f>IF(_epmOfflineCondition_,"'Venue3'!$O$16:$AN$18",_xll.EVRNG($O$16:$AN$18))</f>
        <v>'Venue3'!$O$16:$AN$18</v>
      </c>
      <c r="C115" s="11"/>
      <c r="D115" s="11"/>
      <c r="E115" s="11"/>
      <c r="F115" s="11"/>
      <c r="G115" s="11"/>
      <c r="H115" s="55"/>
      <c r="I115" s="55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x14ac:dyDescent="0.25">
      <c r="A116" s="61" t="s">
        <v>4</v>
      </c>
      <c r="B116" s="62" t="str">
        <f>IF(_epmOfflineCondition_,"'Venue3'!$H$85:$H$88",_xll.EVRNG(H85:H88))</f>
        <v>'Venue3'!$H$85:$H$88</v>
      </c>
      <c r="C116" s="11"/>
      <c r="D116" s="11"/>
      <c r="E116" s="11"/>
      <c r="F116" s="11"/>
      <c r="G116" s="11"/>
      <c r="H116" s="55"/>
      <c r="I116" s="55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x14ac:dyDescent="0.25">
      <c r="A117" s="61" t="s">
        <v>5</v>
      </c>
      <c r="B117" s="62"/>
      <c r="C117" s="11"/>
      <c r="D117" s="11"/>
      <c r="E117" s="11"/>
      <c r="F117" s="11"/>
      <c r="G117" s="11"/>
      <c r="H117" s="55"/>
      <c r="I117" s="55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x14ac:dyDescent="0.25">
      <c r="A118" s="61" t="s">
        <v>6</v>
      </c>
      <c r="B118" s="62"/>
      <c r="C118" s="11"/>
      <c r="D118" s="11"/>
      <c r="E118" s="11"/>
      <c r="F118" s="11"/>
      <c r="G118" s="11"/>
      <c r="H118" s="55"/>
      <c r="I118" s="55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x14ac:dyDescent="0.25">
      <c r="A119" s="61" t="s">
        <v>7</v>
      </c>
      <c r="B119" s="62"/>
      <c r="C119" s="11"/>
      <c r="D119" s="11"/>
      <c r="E119" s="11"/>
      <c r="F119" s="11"/>
      <c r="G119" s="11"/>
      <c r="H119" s="55"/>
      <c r="I119" s="55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x14ac:dyDescent="0.25">
      <c r="A120" s="61" t="s">
        <v>47</v>
      </c>
      <c r="B120" s="62" t="str">
        <f>IF(_epmOfflineCondition_,"'Venue3'!$A$125:$B$146",_xll.EVRNG($A$125:$B$146))</f>
        <v>'Venue3'!$A$125:$B$146</v>
      </c>
      <c r="C120" s="11"/>
      <c r="D120" s="11"/>
      <c r="E120" s="11"/>
      <c r="F120" s="11"/>
      <c r="G120" s="11"/>
      <c r="H120" s="55"/>
      <c r="I120" s="55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x14ac:dyDescent="0.25">
      <c r="A121" s="61" t="s">
        <v>8</v>
      </c>
      <c r="B121" s="62"/>
      <c r="C121" s="11"/>
      <c r="D121" s="11"/>
      <c r="E121" s="11"/>
      <c r="F121" s="11"/>
      <c r="G121" s="11"/>
      <c r="H121" s="11"/>
      <c r="I121" s="55"/>
      <c r="J121" s="55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x14ac:dyDescent="0.25">
      <c r="A122" s="11"/>
      <c r="B122" s="11"/>
      <c r="C122" s="11"/>
      <c r="D122" s="11"/>
      <c r="E122" s="11"/>
      <c r="F122" s="11"/>
      <c r="G122" s="11"/>
      <c r="H122" s="11"/>
      <c r="I122" s="55"/>
      <c r="J122" s="55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x14ac:dyDescent="0.25">
      <c r="A123" s="11"/>
      <c r="B123" s="11"/>
      <c r="C123" s="11"/>
      <c r="D123" s="11"/>
      <c r="E123" s="11"/>
      <c r="F123" s="11"/>
      <c r="G123" s="11"/>
      <c r="H123" s="11"/>
      <c r="I123" s="55"/>
      <c r="J123" s="55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x14ac:dyDescent="0.25">
      <c r="A124" s="57" t="s">
        <v>23</v>
      </c>
      <c r="B124" s="58" t="s">
        <v>24</v>
      </c>
      <c r="C124" s="11"/>
      <c r="D124" s="11"/>
      <c r="E124" s="11"/>
      <c r="F124" s="11"/>
      <c r="G124" s="11"/>
      <c r="H124" s="11"/>
      <c r="I124" s="55"/>
      <c r="J124" s="55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x14ac:dyDescent="0.25">
      <c r="A125" s="61" t="s">
        <v>25</v>
      </c>
      <c r="B125" s="62"/>
      <c r="C125" s="11"/>
      <c r="D125" s="11"/>
      <c r="E125" s="11"/>
      <c r="F125" s="11"/>
      <c r="G125" s="11"/>
      <c r="H125" s="11"/>
      <c r="I125" s="55"/>
      <c r="J125" s="55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x14ac:dyDescent="0.25">
      <c r="A126" s="61" t="s">
        <v>26</v>
      </c>
      <c r="B126" s="62"/>
      <c r="C126" s="11"/>
      <c r="D126" s="11"/>
      <c r="E126" s="11"/>
      <c r="F126" s="11"/>
      <c r="G126" s="11"/>
      <c r="H126" s="11"/>
      <c r="I126" s="55"/>
      <c r="J126" s="55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x14ac:dyDescent="0.25">
      <c r="A127" s="61" t="s">
        <v>27</v>
      </c>
      <c r="B127" s="62"/>
      <c r="C127" s="11"/>
      <c r="D127" s="11"/>
      <c r="E127" s="11"/>
      <c r="F127" s="11"/>
      <c r="G127" s="11"/>
      <c r="H127" s="11"/>
      <c r="I127" s="55"/>
      <c r="J127" s="55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x14ac:dyDescent="0.25">
      <c r="A128" s="61" t="s">
        <v>28</v>
      </c>
      <c r="B128" s="62"/>
      <c r="C128" s="11"/>
      <c r="D128" s="11"/>
      <c r="E128" s="11"/>
      <c r="F128" s="11"/>
      <c r="G128" s="11"/>
      <c r="H128" s="11"/>
      <c r="I128" s="55"/>
      <c r="J128" s="55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</row>
    <row r="129" spans="1:41" x14ac:dyDescent="0.25">
      <c r="A129" s="61" t="s">
        <v>29</v>
      </c>
      <c r="B129" s="62"/>
      <c r="C129" s="11"/>
      <c r="D129" s="11"/>
      <c r="E129" s="11"/>
      <c r="F129" s="11"/>
      <c r="G129" s="11"/>
      <c r="H129" s="11"/>
      <c r="I129" s="55"/>
      <c r="J129" s="55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x14ac:dyDescent="0.25">
      <c r="A130" s="61" t="s">
        <v>30</v>
      </c>
      <c r="B130" s="62" t="s">
        <v>78</v>
      </c>
      <c r="C130" s="11"/>
      <c r="D130" s="11"/>
      <c r="E130" s="11"/>
      <c r="F130" s="11"/>
      <c r="G130" s="11"/>
      <c r="H130" s="11"/>
      <c r="I130" s="55"/>
      <c r="J130" s="55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x14ac:dyDescent="0.25">
      <c r="A131" s="61" t="s">
        <v>31</v>
      </c>
      <c r="B131" s="62" t="s">
        <v>78</v>
      </c>
      <c r="C131" s="11"/>
      <c r="D131" s="11"/>
      <c r="E131" s="11"/>
      <c r="F131" s="11"/>
      <c r="G131" s="11"/>
      <c r="H131" s="11"/>
      <c r="I131" s="55"/>
      <c r="J131" s="55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x14ac:dyDescent="0.25">
      <c r="A132" s="61" t="s">
        <v>32</v>
      </c>
      <c r="B132" s="62"/>
      <c r="C132" s="11"/>
      <c r="D132" s="11"/>
      <c r="E132" s="11"/>
      <c r="F132" s="11"/>
      <c r="G132" s="11"/>
      <c r="H132" s="11"/>
      <c r="I132" s="55"/>
      <c r="J132" s="55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x14ac:dyDescent="0.25">
      <c r="A133" s="61" t="s">
        <v>33</v>
      </c>
      <c r="B133" s="62"/>
      <c r="C133" s="11"/>
      <c r="D133" s="11"/>
      <c r="E133" s="11"/>
      <c r="F133" s="11"/>
      <c r="G133" s="11"/>
      <c r="H133" s="11"/>
      <c r="I133" s="55"/>
      <c r="J133" s="55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x14ac:dyDescent="0.25">
      <c r="A134" s="61" t="s">
        <v>34</v>
      </c>
      <c r="B134" s="62"/>
      <c r="C134" s="11"/>
      <c r="D134" s="11"/>
      <c r="E134" s="11"/>
      <c r="F134" s="11"/>
      <c r="G134" s="11"/>
      <c r="H134" s="11"/>
      <c r="I134" s="55"/>
      <c r="J134" s="55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x14ac:dyDescent="0.25">
      <c r="A135" s="61" t="s">
        <v>35</v>
      </c>
      <c r="B135" s="62"/>
      <c r="C135" s="11"/>
      <c r="D135" s="11"/>
      <c r="E135" s="11"/>
      <c r="F135" s="11"/>
      <c r="G135" s="11"/>
      <c r="H135" s="11"/>
      <c r="I135" s="55"/>
      <c r="J135" s="55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x14ac:dyDescent="0.25">
      <c r="A136" s="61" t="s">
        <v>36</v>
      </c>
      <c r="B136" s="62"/>
      <c r="C136" s="11"/>
      <c r="D136" s="11"/>
      <c r="E136" s="11"/>
      <c r="F136" s="11"/>
      <c r="G136" s="11"/>
      <c r="H136" s="11"/>
      <c r="I136" s="55"/>
      <c r="J136" s="55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x14ac:dyDescent="0.25">
      <c r="A137" s="61" t="s">
        <v>37</v>
      </c>
      <c r="B137" s="62"/>
      <c r="C137" s="11"/>
      <c r="D137" s="11"/>
      <c r="E137" s="11"/>
      <c r="F137" s="11"/>
      <c r="G137" s="11"/>
      <c r="H137" s="11"/>
      <c r="I137" s="55"/>
      <c r="J137" s="55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x14ac:dyDescent="0.25">
      <c r="A138" s="61" t="s">
        <v>38</v>
      </c>
      <c r="B138" s="62"/>
      <c r="C138" s="11"/>
      <c r="D138" s="11"/>
      <c r="E138" s="11"/>
      <c r="F138" s="11"/>
      <c r="G138" s="11"/>
      <c r="H138" s="11"/>
      <c r="I138" s="55"/>
      <c r="J138" s="55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x14ac:dyDescent="0.25">
      <c r="A139" s="61" t="s">
        <v>39</v>
      </c>
      <c r="B139" s="62"/>
      <c r="C139" s="11"/>
      <c r="D139" s="11"/>
      <c r="E139" s="11"/>
      <c r="F139" s="11"/>
      <c r="G139" s="11"/>
      <c r="H139" s="11"/>
      <c r="I139" s="55"/>
      <c r="J139" s="55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x14ac:dyDescent="0.25">
      <c r="A140" s="61" t="s">
        <v>40</v>
      </c>
      <c r="B140" s="62"/>
      <c r="C140" s="11"/>
      <c r="D140" s="11"/>
      <c r="E140" s="11"/>
      <c r="F140" s="11"/>
      <c r="G140" s="11"/>
      <c r="H140" s="11"/>
      <c r="I140" s="55"/>
      <c r="J140" s="55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</row>
    <row r="141" spans="1:41" x14ac:dyDescent="0.25">
      <c r="A141" s="61" t="s">
        <v>41</v>
      </c>
      <c r="B141" s="62"/>
      <c r="C141" s="11"/>
      <c r="D141" s="11"/>
      <c r="E141" s="11"/>
      <c r="F141" s="11"/>
      <c r="G141" s="11"/>
      <c r="H141" s="11"/>
      <c r="I141" s="55"/>
      <c r="J141" s="55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x14ac:dyDescent="0.25">
      <c r="A142" s="61" t="s">
        <v>42</v>
      </c>
      <c r="B142" s="62"/>
      <c r="C142" s="11"/>
      <c r="D142" s="11"/>
      <c r="E142" s="11"/>
      <c r="F142" s="11"/>
      <c r="G142" s="11"/>
      <c r="H142" s="11"/>
      <c r="I142" s="55"/>
      <c r="J142" s="55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</row>
    <row r="143" spans="1:41" x14ac:dyDescent="0.25">
      <c r="A143" s="61" t="s">
        <v>43</v>
      </c>
      <c r="B143" s="62"/>
      <c r="C143" s="11"/>
      <c r="D143" s="11"/>
      <c r="E143" s="11"/>
      <c r="F143" s="11"/>
      <c r="G143" s="11"/>
      <c r="H143" s="11"/>
      <c r="I143" s="55"/>
      <c r="J143" s="55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x14ac:dyDescent="0.25">
      <c r="A144" s="61" t="s">
        <v>44</v>
      </c>
      <c r="B144" s="62"/>
      <c r="C144" s="11"/>
      <c r="D144" s="11"/>
      <c r="E144" s="11"/>
      <c r="F144" s="11"/>
      <c r="G144" s="11"/>
      <c r="H144" s="11"/>
      <c r="I144" s="55"/>
      <c r="J144" s="55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</row>
    <row r="145" spans="1:41" x14ac:dyDescent="0.25">
      <c r="A145" s="61" t="s">
        <v>45</v>
      </c>
      <c r="B145" s="62"/>
      <c r="C145" s="11"/>
      <c r="D145" s="11"/>
      <c r="E145" s="11"/>
      <c r="F145" s="11"/>
      <c r="G145" s="11"/>
      <c r="H145" s="11"/>
      <c r="I145" s="55"/>
      <c r="J145" s="55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</row>
    <row r="146" spans="1:41" x14ac:dyDescent="0.25">
      <c r="A146" s="61" t="s">
        <v>46</v>
      </c>
      <c r="B146" s="62"/>
      <c r="C146" s="11"/>
      <c r="D146" s="11"/>
      <c r="E146" s="11"/>
      <c r="F146" s="11"/>
      <c r="G146" s="11"/>
      <c r="H146" s="11"/>
      <c r="I146" s="55"/>
      <c r="J146" s="55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</row>
    <row r="147" spans="1:41" x14ac:dyDescent="0.25">
      <c r="A147" s="11"/>
      <c r="B147" s="11"/>
      <c r="C147" s="11"/>
      <c r="D147" s="11"/>
      <c r="E147" s="11"/>
      <c r="F147" s="11"/>
      <c r="G147" s="11"/>
      <c r="H147" s="11"/>
      <c r="I147" s="55"/>
      <c r="J147" s="55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</row>
    <row r="148" spans="1:41" x14ac:dyDescent="0.25">
      <c r="A148" s="11"/>
      <c r="B148" s="11"/>
      <c r="C148" s="11"/>
      <c r="D148" s="11"/>
      <c r="E148" s="11"/>
      <c r="F148" s="11"/>
      <c r="G148" s="11"/>
      <c r="H148" s="11"/>
      <c r="I148" s="55"/>
      <c r="J148" s="55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x14ac:dyDescent="0.25">
      <c r="A149" s="11"/>
      <c r="B149" s="11"/>
      <c r="C149" s="11"/>
      <c r="D149" s="11"/>
      <c r="E149" s="11"/>
      <c r="F149" s="11"/>
      <c r="G149" s="11"/>
      <c r="H149" s="11"/>
      <c r="I149" s="55"/>
      <c r="J149" s="55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</row>
    <row r="150" spans="1:41" x14ac:dyDescent="0.25">
      <c r="A150" s="11"/>
      <c r="B150" s="11"/>
      <c r="C150" s="11"/>
      <c r="D150" s="11"/>
      <c r="E150" s="11"/>
      <c r="F150" s="11"/>
      <c r="G150" s="11"/>
      <c r="H150" s="11"/>
      <c r="I150" s="55"/>
      <c r="J150" s="55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x14ac:dyDescent="0.25">
      <c r="A151" s="11"/>
      <c r="B151" s="11"/>
      <c r="C151" s="11"/>
      <c r="D151" s="11"/>
      <c r="E151" s="11"/>
      <c r="F151" s="11"/>
      <c r="G151" s="11"/>
      <c r="H151" s="11"/>
      <c r="I151" s="55"/>
      <c r="J151" s="55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</row>
    <row r="152" spans="1:41" x14ac:dyDescent="0.25">
      <c r="A152" s="11"/>
      <c r="B152" s="11"/>
      <c r="C152" s="11"/>
      <c r="D152" s="11"/>
      <c r="E152" s="11"/>
      <c r="F152" s="11"/>
      <c r="G152" s="11"/>
      <c r="H152" s="11"/>
      <c r="I152" s="55"/>
      <c r="J152" s="55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x14ac:dyDescent="0.25">
      <c r="A153" s="11"/>
      <c r="B153" s="11"/>
      <c r="C153" s="11"/>
      <c r="D153" s="11"/>
      <c r="E153" s="11"/>
      <c r="F153" s="11"/>
      <c r="G153" s="11"/>
      <c r="H153" s="11"/>
      <c r="I153" s="55"/>
      <c r="J153" s="55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x14ac:dyDescent="0.25">
      <c r="A154" s="11"/>
      <c r="B154" s="11"/>
      <c r="C154" s="11"/>
      <c r="D154" s="11"/>
      <c r="E154" s="11"/>
      <c r="F154" s="11"/>
      <c r="G154" s="11"/>
      <c r="H154" s="11"/>
      <c r="I154" s="55"/>
      <c r="J154" s="55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x14ac:dyDescent="0.25">
      <c r="A155" s="11"/>
      <c r="B155" s="11"/>
      <c r="C155" s="11"/>
      <c r="D155" s="11"/>
      <c r="E155" s="11"/>
      <c r="F155" s="11"/>
      <c r="G155" s="11"/>
      <c r="H155" s="11"/>
      <c r="I155" s="55"/>
      <c r="J155" s="55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x14ac:dyDescent="0.25">
      <c r="A156" s="11"/>
      <c r="B156" s="11"/>
      <c r="C156" s="11"/>
      <c r="D156" s="11"/>
      <c r="E156" s="11"/>
      <c r="F156" s="11"/>
      <c r="G156" s="11"/>
      <c r="H156" s="11"/>
      <c r="I156" s="55"/>
      <c r="J156" s="55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x14ac:dyDescent="0.25">
      <c r="A157" s="11"/>
      <c r="B157" s="11"/>
      <c r="C157" s="11"/>
      <c r="D157" s="11"/>
      <c r="E157" s="11"/>
      <c r="F157" s="11"/>
      <c r="G157" s="11"/>
      <c r="H157" s="11"/>
      <c r="I157" s="55"/>
      <c r="J157" s="55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</row>
    <row r="158" spans="1:41" x14ac:dyDescent="0.25">
      <c r="A158" s="11"/>
      <c r="B158" s="11"/>
      <c r="C158" s="11"/>
      <c r="D158" s="11"/>
      <c r="E158" s="11"/>
      <c r="F158" s="11"/>
      <c r="G158" s="11"/>
      <c r="H158" s="11"/>
      <c r="I158" s="55"/>
      <c r="J158" s="55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</row>
    <row r="159" spans="1:41" x14ac:dyDescent="0.25">
      <c r="A159" s="11"/>
      <c r="B159" s="11"/>
      <c r="C159" s="11"/>
      <c r="D159" s="11"/>
      <c r="E159" s="11"/>
      <c r="F159" s="11"/>
      <c r="G159" s="11"/>
      <c r="H159" s="11"/>
      <c r="I159" s="55"/>
      <c r="J159" s="55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</row>
    <row r="160" spans="1:41" x14ac:dyDescent="0.25">
      <c r="A160" s="11"/>
      <c r="B160" s="11"/>
      <c r="C160" s="11"/>
      <c r="D160" s="11"/>
      <c r="E160" s="11"/>
      <c r="F160" s="11"/>
      <c r="G160" s="11"/>
      <c r="H160" s="11"/>
      <c r="I160" s="55"/>
      <c r="J160" s="55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</row>
    <row r="161" spans="1:41" x14ac:dyDescent="0.25">
      <c r="A161" s="11"/>
      <c r="B161" s="11"/>
      <c r="C161" s="11"/>
      <c r="D161" s="11"/>
      <c r="E161" s="11"/>
      <c r="F161" s="11"/>
      <c r="G161" s="11"/>
      <c r="H161" s="11"/>
      <c r="I161" s="263"/>
      <c r="J161" s="11"/>
      <c r="K161" s="263"/>
      <c r="L161" s="263"/>
      <c r="M161" s="263"/>
      <c r="N161" s="11"/>
      <c r="O161" s="263"/>
      <c r="P161" s="263"/>
      <c r="Q161" s="263"/>
      <c r="R161" s="263"/>
      <c r="S161" s="263"/>
      <c r="T161" s="263"/>
      <c r="U161" s="263"/>
      <c r="V161" s="263"/>
      <c r="W161" s="263"/>
      <c r="X161" s="263"/>
      <c r="Y161" s="263"/>
      <c r="Z161" s="263"/>
      <c r="AA161" s="263"/>
      <c r="AB161" s="11"/>
      <c r="AC161" s="11"/>
      <c r="AD161" s="263"/>
      <c r="AE161" s="11"/>
      <c r="AF161" s="263"/>
      <c r="AG161" s="11"/>
      <c r="AH161" s="263"/>
      <c r="AI161" s="11"/>
      <c r="AJ161" s="11"/>
      <c r="AK161" s="11"/>
      <c r="AL161" s="11"/>
      <c r="AM161" s="11"/>
      <c r="AN161" s="11"/>
      <c r="AO161" s="11"/>
    </row>
    <row r="162" spans="1:41" x14ac:dyDescent="0.25">
      <c r="A162" s="11"/>
      <c r="B162" s="11"/>
      <c r="C162" s="11"/>
      <c r="D162" s="11"/>
      <c r="E162" s="11"/>
      <c r="F162" s="11"/>
      <c r="G162" s="11"/>
      <c r="H162" s="11"/>
      <c r="I162" s="55"/>
      <c r="J162" s="55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</row>
    <row r="163" spans="1:41" x14ac:dyDescent="0.25">
      <c r="A163" s="11"/>
      <c r="B163" s="11"/>
      <c r="C163" s="11"/>
      <c r="D163" s="11"/>
      <c r="E163" s="263"/>
      <c r="F163" s="11"/>
      <c r="G163" s="11"/>
      <c r="H163" s="11"/>
      <c r="I163" s="55"/>
      <c r="J163" s="55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</row>
    <row r="164" spans="1:41" x14ac:dyDescent="0.25">
      <c r="A164" s="11"/>
      <c r="B164" s="11"/>
      <c r="C164" s="11"/>
      <c r="D164" s="11"/>
      <c r="E164" s="11"/>
      <c r="F164" s="11"/>
      <c r="G164" s="11"/>
      <c r="H164" s="11"/>
      <c r="I164" s="55"/>
      <c r="J164" s="55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</row>
    <row r="165" spans="1:41" x14ac:dyDescent="0.25">
      <c r="A165" s="11"/>
      <c r="B165" s="11"/>
      <c r="C165" s="11"/>
      <c r="D165" s="11"/>
      <c r="E165" s="11"/>
      <c r="F165" s="11"/>
      <c r="G165" s="11"/>
      <c r="H165" s="11"/>
      <c r="I165" s="263"/>
      <c r="J165" s="11"/>
      <c r="K165" s="263"/>
      <c r="L165" s="263"/>
      <c r="M165" s="263"/>
      <c r="N165" s="11"/>
      <c r="O165" s="263"/>
      <c r="P165" s="263"/>
      <c r="Q165" s="263"/>
      <c r="R165" s="263"/>
      <c r="S165" s="263"/>
      <c r="T165" s="263"/>
      <c r="U165" s="263"/>
      <c r="V165" s="263"/>
      <c r="W165" s="263"/>
      <c r="X165" s="263"/>
      <c r="Y165" s="263"/>
      <c r="Z165" s="263"/>
      <c r="AA165" s="263"/>
      <c r="AB165" s="11"/>
      <c r="AC165" s="11"/>
      <c r="AD165" s="263"/>
      <c r="AE165" s="11"/>
      <c r="AF165" s="263"/>
      <c r="AG165" s="11"/>
      <c r="AH165" s="263"/>
      <c r="AI165" s="11"/>
      <c r="AJ165" s="11"/>
      <c r="AK165" s="11"/>
      <c r="AL165" s="11"/>
      <c r="AM165" s="11"/>
      <c r="AN165" s="11"/>
      <c r="AO165" s="11"/>
    </row>
    <row r="166" spans="1:41" x14ac:dyDescent="0.25">
      <c r="A166" s="11"/>
      <c r="B166" s="11"/>
      <c r="C166" s="11"/>
      <c r="D166" s="11"/>
      <c r="E166" s="11"/>
      <c r="F166" s="11"/>
      <c r="G166" s="11"/>
      <c r="H166" s="11"/>
      <c r="I166" s="55"/>
      <c r="J166" s="55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</row>
    <row r="167" spans="1:41" x14ac:dyDescent="0.25">
      <c r="A167" s="11"/>
      <c r="B167" s="11"/>
      <c r="C167" s="11"/>
      <c r="D167" s="11"/>
      <c r="E167" s="263"/>
      <c r="F167" s="11"/>
      <c r="G167" s="11"/>
      <c r="H167" s="11"/>
      <c r="I167" s="55"/>
      <c r="J167" s="55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</row>
    <row r="168" spans="1:41" x14ac:dyDescent="0.25">
      <c r="A168" s="11"/>
      <c r="B168" s="11"/>
      <c r="C168" s="11"/>
      <c r="D168" s="11"/>
      <c r="E168" s="11"/>
      <c r="F168" s="11"/>
      <c r="G168" s="11"/>
      <c r="H168" s="11"/>
      <c r="I168" s="55"/>
      <c r="J168" s="55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</row>
    <row r="169" spans="1:41" x14ac:dyDescent="0.25">
      <c r="A169" s="11"/>
      <c r="B169" s="11"/>
      <c r="C169" s="11"/>
      <c r="D169" s="11"/>
      <c r="E169" s="11"/>
      <c r="F169" s="11"/>
      <c r="G169" s="11"/>
      <c r="H169" s="11"/>
      <c r="I169" s="55"/>
      <c r="J169" s="55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</row>
    <row r="170" spans="1:41" x14ac:dyDescent="0.25">
      <c r="A170" s="11"/>
      <c r="B170" s="11"/>
      <c r="C170" s="11"/>
      <c r="D170" s="11"/>
      <c r="E170" s="11"/>
      <c r="F170" s="11"/>
      <c r="G170" s="11"/>
      <c r="H170" s="11"/>
      <c r="I170" s="55"/>
      <c r="J170" s="55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</row>
    <row r="171" spans="1:41" x14ac:dyDescent="0.25">
      <c r="A171" s="11"/>
      <c r="B171" s="11"/>
      <c r="C171" s="11"/>
      <c r="D171" s="11"/>
      <c r="E171" s="11"/>
      <c r="F171" s="11"/>
      <c r="G171" s="11"/>
      <c r="H171" s="11"/>
      <c r="I171" s="55"/>
      <c r="J171" s="55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</row>
    <row r="172" spans="1:41" x14ac:dyDescent="0.25">
      <c r="A172" s="11"/>
      <c r="B172" s="11"/>
      <c r="C172" s="11"/>
      <c r="D172" s="11"/>
      <c r="E172" s="11"/>
      <c r="F172" s="11"/>
      <c r="G172" s="11"/>
      <c r="H172" s="11"/>
      <c r="I172" s="55"/>
      <c r="J172" s="55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</row>
    <row r="173" spans="1:41" x14ac:dyDescent="0.25">
      <c r="A173" s="11"/>
      <c r="B173" s="11"/>
      <c r="C173" s="11"/>
      <c r="D173" s="11"/>
      <c r="E173" s="11"/>
      <c r="F173" s="11"/>
      <c r="G173" s="11"/>
      <c r="H173" s="11"/>
      <c r="I173" s="55"/>
      <c r="J173" s="55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</row>
    <row r="174" spans="1:41" x14ac:dyDescent="0.25">
      <c r="A174" s="11"/>
      <c r="B174" s="11"/>
      <c r="C174" s="11"/>
      <c r="D174" s="11"/>
      <c r="E174" s="11"/>
      <c r="F174" s="11"/>
      <c r="G174" s="11"/>
      <c r="H174" s="11"/>
      <c r="I174" s="55"/>
      <c r="J174" s="55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</row>
    <row r="175" spans="1:41" x14ac:dyDescent="0.25">
      <c r="A175" s="11"/>
      <c r="B175" s="11"/>
      <c r="C175" s="11"/>
      <c r="D175" s="11"/>
      <c r="E175" s="11"/>
      <c r="F175" s="11"/>
      <c r="G175" s="11"/>
      <c r="H175" s="11"/>
      <c r="I175" s="55"/>
      <c r="J175" s="55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</row>
    <row r="176" spans="1:41" x14ac:dyDescent="0.25">
      <c r="A176" s="11"/>
      <c r="B176" s="11"/>
      <c r="C176" s="11"/>
      <c r="D176" s="11"/>
      <c r="E176" s="11"/>
      <c r="F176" s="11"/>
      <c r="G176" s="11"/>
      <c r="H176" s="11"/>
      <c r="I176" s="55"/>
      <c r="J176" s="55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</row>
    <row r="177" spans="1:41" x14ac:dyDescent="0.25">
      <c r="A177" s="11"/>
      <c r="B177" s="11"/>
      <c r="C177" s="11"/>
      <c r="D177" s="11"/>
      <c r="E177" s="11"/>
      <c r="F177" s="11"/>
      <c r="G177" s="11"/>
      <c r="H177" s="11"/>
      <c r="I177" s="55"/>
      <c r="J177" s="55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</row>
    <row r="178" spans="1:41" x14ac:dyDescent="0.25">
      <c r="A178" s="11"/>
      <c r="B178" s="11"/>
      <c r="C178" s="11"/>
      <c r="D178" s="11"/>
      <c r="E178" s="11"/>
      <c r="F178" s="11"/>
      <c r="G178" s="11"/>
      <c r="H178" s="11"/>
      <c r="I178" s="55"/>
      <c r="J178" s="55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</row>
    <row r="179" spans="1:41" x14ac:dyDescent="0.25">
      <c r="A179" s="11"/>
      <c r="B179" s="11"/>
      <c r="C179" s="11"/>
      <c r="D179" s="11"/>
      <c r="E179" s="11"/>
      <c r="F179" s="11"/>
      <c r="G179" s="11"/>
      <c r="H179" s="11"/>
      <c r="I179" s="55"/>
      <c r="J179" s="55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</row>
    <row r="180" spans="1:41" x14ac:dyDescent="0.25">
      <c r="A180" s="11"/>
      <c r="B180" s="11"/>
      <c r="C180" s="11"/>
      <c r="D180" s="11"/>
      <c r="E180" s="11"/>
      <c r="F180" s="11"/>
      <c r="G180" s="11"/>
      <c r="H180" s="11"/>
      <c r="I180" s="55"/>
      <c r="J180" s="55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</row>
    <row r="181" spans="1:41" x14ac:dyDescent="0.25">
      <c r="A181" s="11"/>
      <c r="B181" s="11"/>
      <c r="C181" s="11"/>
      <c r="D181" s="11"/>
      <c r="E181" s="11"/>
      <c r="F181" s="11"/>
      <c r="G181" s="11"/>
      <c r="H181" s="11"/>
      <c r="I181" s="55"/>
      <c r="J181" s="55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</row>
    <row r="182" spans="1:41" x14ac:dyDescent="0.25">
      <c r="A182" s="11"/>
      <c r="B182" s="11"/>
      <c r="C182" s="11"/>
      <c r="D182" s="11"/>
      <c r="E182" s="11"/>
      <c r="F182" s="11"/>
      <c r="G182" s="11"/>
      <c r="H182" s="11"/>
      <c r="I182" s="55"/>
      <c r="J182" s="55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</row>
    <row r="183" spans="1:41" x14ac:dyDescent="0.25">
      <c r="A183" s="11"/>
      <c r="B183" s="11"/>
      <c r="C183" s="11"/>
      <c r="D183" s="11"/>
      <c r="E183" s="11"/>
      <c r="F183" s="11"/>
      <c r="G183" s="11"/>
      <c r="H183" s="11"/>
      <c r="I183" s="55"/>
      <c r="J183" s="55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</row>
    <row r="184" spans="1:41" x14ac:dyDescent="0.25">
      <c r="A184" s="11"/>
      <c r="B184" s="11"/>
      <c r="C184" s="11"/>
      <c r="D184" s="11"/>
      <c r="E184" s="11"/>
      <c r="F184" s="11"/>
      <c r="G184" s="11"/>
      <c r="H184" s="11"/>
      <c r="I184" s="55"/>
      <c r="J184" s="55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</row>
    <row r="185" spans="1:41" x14ac:dyDescent="0.25">
      <c r="A185" s="11"/>
      <c r="B185" s="11"/>
      <c r="C185" s="11"/>
      <c r="D185" s="11"/>
      <c r="E185" s="11"/>
      <c r="F185" s="11"/>
      <c r="G185" s="11"/>
      <c r="H185" s="11"/>
      <c r="I185" s="55"/>
      <c r="J185" s="55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</row>
    <row r="186" spans="1:41" x14ac:dyDescent="0.25">
      <c r="A186" s="11"/>
      <c r="B186" s="11"/>
      <c r="C186" s="11"/>
      <c r="D186" s="11"/>
      <c r="E186" s="11"/>
      <c r="F186" s="11"/>
      <c r="G186" s="11"/>
      <c r="H186" s="11"/>
      <c r="I186" s="55"/>
      <c r="J186" s="55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</row>
    <row r="187" spans="1:41" x14ac:dyDescent="0.25">
      <c r="A187" s="11"/>
      <c r="B187" s="11"/>
      <c r="C187" s="11"/>
      <c r="D187" s="11"/>
      <c r="E187" s="11"/>
      <c r="F187" s="11"/>
      <c r="G187" s="11"/>
      <c r="H187" s="11"/>
      <c r="I187" s="55"/>
      <c r="J187" s="55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</row>
    <row r="188" spans="1:41" x14ac:dyDescent="0.25">
      <c r="A188" s="11"/>
      <c r="B188" s="11"/>
      <c r="C188" s="11"/>
      <c r="D188" s="11"/>
      <c r="E188" s="11"/>
      <c r="F188" s="11"/>
      <c r="G188" s="11"/>
      <c r="H188" s="11"/>
      <c r="I188" s="55"/>
      <c r="J188" s="55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</row>
    <row r="189" spans="1:41" x14ac:dyDescent="0.25">
      <c r="A189" s="11"/>
      <c r="B189" s="11"/>
      <c r="C189" s="11"/>
      <c r="D189" s="11"/>
      <c r="E189" s="11"/>
      <c r="F189" s="11"/>
      <c r="G189" s="11"/>
      <c r="H189" s="11"/>
      <c r="I189" s="55"/>
      <c r="J189" s="55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</row>
    <row r="190" spans="1:41" x14ac:dyDescent="0.25">
      <c r="A190" s="11"/>
      <c r="B190" s="11"/>
      <c r="C190" s="11"/>
      <c r="D190" s="11"/>
      <c r="E190" s="11"/>
      <c r="F190" s="11"/>
      <c r="G190" s="263"/>
      <c r="H190" s="11"/>
      <c r="I190" s="55"/>
      <c r="J190" s="55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</row>
    <row r="191" spans="1:41" x14ac:dyDescent="0.25">
      <c r="A191" s="11"/>
      <c r="B191" s="11"/>
      <c r="C191" s="11"/>
      <c r="D191" s="11"/>
      <c r="E191" s="11"/>
      <c r="F191" s="11"/>
      <c r="G191" s="11"/>
      <c r="H191" s="11"/>
      <c r="I191" s="55"/>
      <c r="J191" s="55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</row>
    <row r="192" spans="1:41" x14ac:dyDescent="0.25">
      <c r="A192" s="11"/>
      <c r="B192" s="11"/>
      <c r="C192" s="11"/>
      <c r="D192" s="11"/>
      <c r="E192" s="11"/>
      <c r="F192" s="11"/>
      <c r="G192" s="11"/>
      <c r="H192" s="11"/>
      <c r="I192" s="55"/>
      <c r="J192" s="55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</row>
    <row r="193" spans="1:41" x14ac:dyDescent="0.25">
      <c r="A193" s="11"/>
      <c r="B193" s="11"/>
      <c r="C193" s="11"/>
      <c r="D193" s="11"/>
      <c r="E193" s="11"/>
      <c r="F193" s="11"/>
      <c r="G193" s="11"/>
      <c r="H193" s="11"/>
      <c r="I193" s="55"/>
      <c r="J193" s="55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</row>
    <row r="194" spans="1:41" x14ac:dyDescent="0.25">
      <c r="A194" s="11"/>
      <c r="B194" s="11"/>
      <c r="C194" s="11"/>
      <c r="D194" s="11"/>
      <c r="E194" s="11"/>
      <c r="F194" s="11"/>
      <c r="G194" s="263"/>
      <c r="H194" s="11"/>
      <c r="I194" s="55"/>
      <c r="J194" s="55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</row>
  </sheetData>
  <sheetProtection algorithmName="SHA-512" hashValue="WJak6OGTr7mIesaggV9Paod78VhWQVfn9A8+xIL+tC+4j9GrcPVDeOuS+xNEnS/Q3AfRWnYSlQNpqMSFB0W3Kg==" saltValue="ANVHFS6fbUn06pCwR2ehXQ==" spinCount="100000" sheet="1" scenarios="1"/>
  <mergeCells count="2">
    <mergeCell ref="AD31:AE31"/>
    <mergeCell ref="AG31:AH31"/>
  </mergeCells>
  <dataValidations count="2">
    <dataValidation type="list" allowBlank="1" sqref="B29 B95 B62" xr:uid="{00000000-0002-0000-0B00-000000000000}">
      <formula1>"SELF,ALL,BAS,DEP,BASMEMBERS,MEMBERS,NOEXPAND,GDEP"</formula1>
    </dataValidation>
    <dataValidation type="list" allowBlank="1" sqref="B28 B94 B61" xr:uid="{00000000-0002-0000-0B00-000001000000}">
      <formula1>"ACCOUNT,BUSINESSUNIT,CATEGORY,DATASRC,DEPARTMENT,INTCO,MEASURES,RPTCURRENCY,TIME"</formula1>
    </dataValidation>
  </dataValidations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customProperties>
    <customPr name="EpmWorksheetKeyString_GUID" r:id="rId2"/>
    <customPr name="FPMExcelClientCellBasedFunctionStatus" r:id="rId3"/>
    <customPr name="FPMExcelClientRefreshTime" r:id="rId4"/>
  </customProperties>
  <legacyDrawing r:id="rId5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7">
    <tabColor theme="6" tint="0.39997558519241921"/>
    <pageSetUpPr fitToPage="1"/>
  </sheetPr>
  <dimension ref="A1:AI211"/>
  <sheetViews>
    <sheetView topLeftCell="K1" zoomScale="85" zoomScaleNormal="85" workbookViewId="0">
      <pane xSplit="4" ySplit="32" topLeftCell="O33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3" width="9.7109375" style="1" hidden="1" customWidth="1" outlineLevel="1"/>
    <col min="14" max="14" width="38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16384" width="9.140625" style="1"/>
  </cols>
  <sheetData>
    <row r="1" spans="1:35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63" t="str">
        <f>Venue3!N1</f>
        <v/>
      </c>
      <c r="O1" s="11" t="s">
        <v>732</v>
      </c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</row>
    <row r="2" spans="1:35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11"/>
      <c r="H4" s="11"/>
      <c r="I4" s="55"/>
      <c r="J4" s="55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11"/>
      <c r="H5" s="11"/>
      <c r="I5" s="55"/>
      <c r="J5" s="55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idden="1" outlineLevel="1" x14ac:dyDescent="0.25">
      <c r="A6" s="49" t="s">
        <v>52</v>
      </c>
      <c r="B6" s="52" t="s">
        <v>733</v>
      </c>
      <c r="C6" s="11" t="str">
        <f>IF(_epmOfflineCondition_,"Venue 3",_xll.EVDES(B6,$B$1))</f>
        <v>Venue 3</v>
      </c>
      <c r="D6" s="11"/>
      <c r="E6" s="54" t="str">
        <f>IF(_epmOfflineCondition_,"D_VENUES",_xll.EVPRO($B$1,$B$6,$F$6))</f>
        <v>D_VENUES</v>
      </c>
      <c r="F6" s="11" t="s">
        <v>278</v>
      </c>
      <c r="G6" s="11"/>
      <c r="H6" s="11"/>
      <c r="I6" s="55"/>
      <c r="J6" s="55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11"/>
      <c r="H7" s="11"/>
      <c r="I7" s="55"/>
      <c r="J7" s="55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11"/>
      <c r="H8" s="11"/>
      <c r="I8" s="55"/>
      <c r="J8" s="55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59" t="str">
        <f>IF(SetUp!$O$1=TRUE,"TRAILING12",IF(AA17="CURRENT","ROLLINGFORECAST","PERIODIC"))</f>
        <v>PERIODIC</v>
      </c>
      <c r="AB11" s="11"/>
      <c r="AC11" s="11"/>
      <c r="AD11" s="11"/>
      <c r="AE11" s="11"/>
      <c r="AF11" s="11"/>
      <c r="AG11" s="11"/>
      <c r="AH11" s="11"/>
      <c r="AI11" s="11"/>
    </row>
    <row r="12" spans="1:35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11"/>
      <c r="M12" s="11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</row>
    <row r="13" spans="1:35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11"/>
      <c r="M13" s="11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</row>
    <row r="14" spans="1:35" hidden="1" outlineLevel="1" x14ac:dyDescent="0.25">
      <c r="A14" s="56" t="str">
        <f>IF(_epmOfflineCondition_,"Evdre:Ok",_xll.EVDRE($B$1,A17:B24))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11"/>
      <c r="M14" s="11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</row>
    <row r="15" spans="1:35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11"/>
      <c r="M15" s="11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</row>
    <row r="16" spans="1:35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11"/>
      <c r="M16" s="11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</row>
    <row r="17" spans="1:35" hidden="1" outlineLevel="1" x14ac:dyDescent="0.25">
      <c r="A17" s="61" t="s">
        <v>2</v>
      </c>
      <c r="B17" s="62" t="str">
        <f>IF(_epmOfflineCondition_,"'Venue3_KPI'!$B$2:$B$10",_xll.EVRNG($B$2:$B$10))</f>
        <v>'Venue3_KPI'!$B$2:$B$10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11"/>
      <c r="M17" s="11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 t="str">
        <f>Z17</f>
        <v>ACTUAL_CON</v>
      </c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</row>
    <row r="18" spans="1:35" hidden="1" outlineLevel="1" x14ac:dyDescent="0.25">
      <c r="A18" s="61" t="s">
        <v>3</v>
      </c>
      <c r="B18" s="62" t="str">
        <f>IF(_epmOfflineCondition_,"'Venue3_KPI'!$O$16:$AI$18",_xll.EVRNG(O16:AI18))</f>
        <v>'Venue3_KPI'!$O$16:$AI$18</v>
      </c>
      <c r="C18" s="11"/>
      <c r="D18" s="11"/>
      <c r="E18" s="11"/>
      <c r="F18" s="11"/>
      <c r="G18" s="11"/>
      <c r="H18" s="11"/>
      <c r="I18" s="55"/>
      <c r="J18" s="55"/>
      <c r="K18" s="11"/>
      <c r="L18" s="11"/>
      <c r="M18" s="11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59" t="str">
        <f>AA11</f>
        <v>PERIODIC</v>
      </c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</row>
    <row r="19" spans="1:35" hidden="1" outlineLevel="1" x14ac:dyDescent="0.25">
      <c r="A19" s="61" t="s">
        <v>4</v>
      </c>
      <c r="B19" s="62" t="str">
        <f>IF(_epmOfflineCondition_,"'Venue3_KPI'!$H$35:$H$146",_xll.EVRNG(H35:H146))</f>
        <v>'Venue3_KPI'!$H$35:$H$146</v>
      </c>
      <c r="C19" s="11"/>
      <c r="D19" s="11"/>
      <c r="E19" s="11"/>
      <c r="F19" s="11"/>
      <c r="G19" s="63" t="str">
        <f>$B$6</f>
        <v>D2142</v>
      </c>
      <c r="H19" s="63" t="s">
        <v>273</v>
      </c>
      <c r="I19" s="64"/>
      <c r="J19" s="64"/>
      <c r="K19" s="63"/>
      <c r="L19" s="63"/>
      <c r="M19" s="63"/>
      <c r="N19" s="63" t="str">
        <f>IF(_epmOfflineCondition_,"Total Food &amp; Beverage Revenue",_xll.EVDES(H19))</f>
        <v>Total Food &amp; Beverage Revenue</v>
      </c>
      <c r="O19" s="65">
        <f>IF(_epmOfflineCondition_,0,_xll.EVGTS($B$1,1,$B$3,$B$5,$B$7,$B$9,O$16,O$17,O$18,$G$19,$H$19))</f>
        <v>0</v>
      </c>
      <c r="P19" s="65">
        <f>IF(_epmOfflineCondition_,0,_xll.EVGTS($B$1,1,$B$3,$B$5,$B$7,$B$9,P$16,P$17,P$18,$G$19,$H$19))</f>
        <v>0</v>
      </c>
      <c r="Q19" s="65">
        <f>IF(_epmOfflineCondition_,0,_xll.EVGTS($B$1,1,$B$3,$B$5,$B$7,$B$9,Q$16,Q$17,Q$18,$G$19,$H$19))</f>
        <v>0</v>
      </c>
      <c r="R19" s="65">
        <f>IF(_epmOfflineCondition_,0,_xll.EVGTS($B$1,1,$B$3,$B$5,$B$7,$B$9,R$16,R$17,R$18,$G$19,$H$19))</f>
        <v>0</v>
      </c>
      <c r="S19" s="65">
        <f>IF(_epmOfflineCondition_,0,_xll.EVGTS($B$1,1,$B$3,$B$5,$B$7,$B$9,S$16,S$17,S$18,$G$19,$H$19))</f>
        <v>0</v>
      </c>
      <c r="T19" s="65">
        <f>IF(_epmOfflineCondition_,0,_xll.EVGTS($B$1,1,$B$3,$B$5,$B$7,$B$9,T$16,T$17,T$18,$G$19,$H$19))</f>
        <v>0</v>
      </c>
      <c r="U19" s="65">
        <f>IF(_epmOfflineCondition_,0,_xll.EVGTS($B$1,1,$B$3,$B$5,$B$7,$B$9,U$16,U$17,U$18,$G$19,$H$19))</f>
        <v>0</v>
      </c>
      <c r="V19" s="65">
        <f>IF(_epmOfflineCondition_,0,_xll.EVGTS($B$1,1,$B$3,$B$5,$B$7,$B$9,V$16,V$17,V$18,$G$19,$H$19))</f>
        <v>0</v>
      </c>
      <c r="W19" s="65">
        <f>IF(_epmOfflineCondition_,0,_xll.EVGTS($B$1,1,$B$3,$B$5,$B$7,$B$9,W$16,W$17,W$18,$G$19,$H$19))</f>
        <v>0</v>
      </c>
      <c r="X19" s="65">
        <f>IF(_epmOfflineCondition_,0,_xll.EVGTS($B$1,1,$B$3,$B$5,$B$7,$B$9,X$16,X$17,X$18,$G$19,$H$19))</f>
        <v>0</v>
      </c>
      <c r="Y19" s="65">
        <f>IF(_epmOfflineCondition_,0,_xll.EVGTS($B$1,1,$B$3,$B$5,$B$7,$B$9,Y$16,Y$17,Y$18,$G$19,$H$19))</f>
        <v>0</v>
      </c>
      <c r="Z19" s="65">
        <f>IF(_epmOfflineCondition_,0,_xll.EVGTS($B$1,1,$B$3,$B$5,$B$7,$B$9,Z$16,Z$17,Z$18,$G$19,$H$19))</f>
        <v>0</v>
      </c>
      <c r="AA19" s="65">
        <f>SUM(O19:Z19)</f>
        <v>0</v>
      </c>
      <c r="AB19" s="63"/>
      <c r="AC19" s="63"/>
      <c r="AD19" s="65">
        <f>IF(_epmOfflineCondition_,0,_xll.EVGTS($B$1,1,$B$3,$B$5,$B$7,$B$9,AD$16,AD$17,AD$18,$G$19,$H$19))</f>
        <v>0</v>
      </c>
      <c r="AE19" s="63"/>
      <c r="AF19" s="63"/>
      <c r="AG19" s="65">
        <f>IF(_epmOfflineCondition_,0,_xll.EVGTS($B$1,1,$B$3,$B$5,$B$7,$B$9,AG$16,AG$17,AG$18,$G$19,$H$19))</f>
        <v>0</v>
      </c>
      <c r="AH19" s="63"/>
      <c r="AI19" s="63"/>
    </row>
    <row r="20" spans="1:35" hidden="1" outlineLevel="1" x14ac:dyDescent="0.25">
      <c r="A20" s="61" t="s">
        <v>5</v>
      </c>
      <c r="B20" s="62"/>
      <c r="C20" s="11"/>
      <c r="D20" s="11"/>
      <c r="E20" s="11"/>
      <c r="F20" s="11"/>
      <c r="G20" s="63" t="str">
        <f>$B$6</f>
        <v>D2142</v>
      </c>
      <c r="H20" s="63">
        <v>946000</v>
      </c>
      <c r="I20" s="64"/>
      <c r="J20" s="64"/>
      <c r="K20" s="63"/>
      <c r="L20" s="63"/>
      <c r="M20" s="63"/>
      <c r="N20" s="63" t="str">
        <f>IF(_epmOfflineCondition_,"Total Customers",_xll.EVDES(H20))</f>
        <v>Total Customers</v>
      </c>
      <c r="O20" s="65">
        <f>IF(_epmOfflineCondition_,0,_xll.EVGTS($B$1,1,$B$3,$B$5,$B$7,$B$9,O$16,O$17,O$18,$G$20,$H$20))</f>
        <v>0</v>
      </c>
      <c r="P20" s="65">
        <f>IF(_epmOfflineCondition_,0,_xll.EVGTS($B$1,1,$B$3,$B$5,$B$7,$B$9,P$16,P$17,P$18,$G$20,$H$20))</f>
        <v>0</v>
      </c>
      <c r="Q20" s="65">
        <f>IF(_epmOfflineCondition_,0,_xll.EVGTS($B$1,1,$B$3,$B$5,$B$7,$B$9,Q$16,Q$17,Q$18,$G$20,$H$20))</f>
        <v>0</v>
      </c>
      <c r="R20" s="65">
        <f>IF(_epmOfflineCondition_,0,_xll.EVGTS($B$1,1,$B$3,$B$5,$B$7,$B$9,R$16,R$17,R$18,$G$20,$H$20))</f>
        <v>0</v>
      </c>
      <c r="S20" s="65">
        <f>IF(_epmOfflineCondition_,0,_xll.EVGTS($B$1,1,$B$3,$B$5,$B$7,$B$9,S$16,S$17,S$18,$G$20,$H$20))</f>
        <v>0</v>
      </c>
      <c r="T20" s="65">
        <f>IF(_epmOfflineCondition_,0,_xll.EVGTS($B$1,1,$B$3,$B$5,$B$7,$B$9,T$16,T$17,T$18,$G$20,$H$20))</f>
        <v>0</v>
      </c>
      <c r="U20" s="65">
        <f>IF(_epmOfflineCondition_,0,_xll.EVGTS($B$1,1,$B$3,$B$5,$B$7,$B$9,U$16,U$17,U$18,$G$20,$H$20))</f>
        <v>0</v>
      </c>
      <c r="V20" s="65">
        <f>IF(_epmOfflineCondition_,0,_xll.EVGTS($B$1,1,$B$3,$B$5,$B$7,$B$9,V$16,V$17,V$18,$G$20,$H$20))</f>
        <v>0</v>
      </c>
      <c r="W20" s="65">
        <f>IF(_epmOfflineCondition_,0,_xll.EVGTS($B$1,1,$B$3,$B$5,$B$7,$B$9,W$16,W$17,W$18,$G$20,$H$20))</f>
        <v>0</v>
      </c>
      <c r="X20" s="65">
        <f>IF(_epmOfflineCondition_,0,_xll.EVGTS($B$1,1,$B$3,$B$5,$B$7,$B$9,X$16,X$17,X$18,$G$20,$H$20))</f>
        <v>0</v>
      </c>
      <c r="Y20" s="65">
        <f>IF(_epmOfflineCondition_,0,_xll.EVGTS($B$1,1,$B$3,$B$5,$B$7,$B$9,Y$16,Y$17,Y$18,$G$20,$H$20))</f>
        <v>0</v>
      </c>
      <c r="Z20" s="65">
        <f>IF(_epmOfflineCondition_,0,_xll.EVGTS($B$1,1,$B$3,$B$5,$B$7,$B$9,Z$16,Z$17,Z$18,$G$20,$H$20))</f>
        <v>0</v>
      </c>
      <c r="AA20" s="65">
        <f>SUM(O20:Z20)</f>
        <v>0</v>
      </c>
      <c r="AB20" s="63"/>
      <c r="AC20" s="63"/>
      <c r="AD20" s="65">
        <f>IF(_epmOfflineCondition_,0,_xll.EVGTS($B$1,1,$B$3,$B$5,$B$7,$B$9,AD$16,AD$17,AD$18,$G$20,$H$20))</f>
        <v>0</v>
      </c>
      <c r="AE20" s="63"/>
      <c r="AF20" s="63"/>
      <c r="AG20" s="65">
        <f>IF(_epmOfflineCondition_,0,_xll.EVGTS($B$1,1,$B$3,$B$5,$B$7,$B$9,AG$16,AG$17,AG$18,$G$20,$H$20))</f>
        <v>0</v>
      </c>
      <c r="AH20" s="63"/>
      <c r="AI20" s="63"/>
    </row>
    <row r="21" spans="1:35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hidden="1" outlineLevel="1" x14ac:dyDescent="0.25">
      <c r="A22" s="61" t="s">
        <v>7</v>
      </c>
      <c r="B22" s="62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idden="1" outlineLevel="1" x14ac:dyDescent="0.25">
      <c r="A23" s="61" t="s">
        <v>47</v>
      </c>
      <c r="B23" s="62" t="str">
        <f>IF(_epmOfflineCondition_,"'Venue3_KPI'!$A$37:$B$58",_xll.EVRNG($A$37:$B$58))</f>
        <v>'Venue3_KPI'!$A$37:$B$58</v>
      </c>
      <c r="C23" s="11"/>
      <c r="D23" s="11"/>
      <c r="E23" s="11"/>
      <c r="F23" s="11"/>
      <c r="G23" s="11"/>
      <c r="H23" s="11"/>
      <c r="I23" s="55"/>
      <c r="J23" s="55"/>
      <c r="K23" s="6"/>
      <c r="L23" s="6"/>
      <c r="M23" s="6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380"/>
      <c r="AE23" s="11"/>
      <c r="AF23" s="11"/>
      <c r="AG23" s="11"/>
      <c r="AH23" s="11"/>
      <c r="AI23" s="11"/>
    </row>
    <row r="24" spans="1:35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22.5" x14ac:dyDescent="0.3">
      <c r="A26" s="57" t="s">
        <v>9</v>
      </c>
      <c r="B26" s="58" t="s">
        <v>10</v>
      </c>
      <c r="C26" s="11"/>
      <c r="D26" s="11"/>
      <c r="E26" s="11"/>
      <c r="F26" s="11"/>
      <c r="G26" s="11"/>
      <c r="H26" s="11"/>
      <c r="I26" s="55"/>
      <c r="J26" s="55"/>
      <c r="K26" s="11"/>
      <c r="L26" s="11"/>
      <c r="M26" s="11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8" x14ac:dyDescent="0.25">
      <c r="A27" s="61" t="s">
        <v>11</v>
      </c>
      <c r="B27" s="62" t="s">
        <v>21</v>
      </c>
      <c r="C27" s="11"/>
      <c r="D27" s="11"/>
      <c r="E27" s="11"/>
      <c r="F27" s="11"/>
      <c r="G27" s="11"/>
      <c r="H27" s="11"/>
      <c r="I27" s="55"/>
      <c r="J27" s="55"/>
      <c r="K27" s="11"/>
      <c r="L27" s="11"/>
      <c r="M27" s="11"/>
      <c r="N27" s="67" t="str">
        <f>IF(_epmOfflineCondition_,"Venue 3 Department",IF($N$1="",IF(_xll.EVDES(B6,$B$1)="#NODATA","",_xll.EVDES(B6,$B$1)&amp;" Department"),$N$1))</f>
        <v>Venue 3 Department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.75" x14ac:dyDescent="0.25">
      <c r="A28" s="61" t="s">
        <v>12</v>
      </c>
      <c r="B28" s="62" t="s">
        <v>22</v>
      </c>
      <c r="C28" s="11"/>
      <c r="D28" s="11"/>
      <c r="E28" s="11"/>
      <c r="F28" s="11"/>
      <c r="G28" s="11"/>
      <c r="H28" s="11"/>
      <c r="I28" s="55"/>
      <c r="J28" s="55"/>
      <c r="K28" s="11"/>
      <c r="L28" s="11"/>
      <c r="M28" s="11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ht="15" customHeight="1" x14ac:dyDescent="0.25">
      <c r="A29" s="61" t="s">
        <v>13</v>
      </c>
      <c r="B29" s="62" t="s">
        <v>293</v>
      </c>
      <c r="C29" s="11"/>
      <c r="D29" s="11"/>
      <c r="E29" s="11"/>
      <c r="F29" s="11"/>
      <c r="G29" s="11"/>
      <c r="H29" s="11"/>
      <c r="I29" s="55"/>
      <c r="J29" s="55"/>
      <c r="K29" s="11"/>
      <c r="L29" s="11"/>
      <c r="M29" s="11"/>
      <c r="N29" s="68" t="str">
        <f>IF(_epmOfflineCondition_,"Local Currency",_xll.EVDES(B9,B1))</f>
        <v>Local Currency</v>
      </c>
      <c r="O29" s="484" t="s">
        <v>344</v>
      </c>
      <c r="P29" s="484"/>
      <c r="Q29" s="484"/>
      <c r="R29" s="484"/>
      <c r="S29" s="484"/>
      <c r="T29" s="484"/>
      <c r="U29" s="484"/>
      <c r="V29" s="484"/>
      <c r="W29" s="484"/>
      <c r="X29" s="484"/>
      <c r="Y29" s="484"/>
      <c r="Z29" s="484"/>
      <c r="AA29" s="484"/>
      <c r="AB29" s="11"/>
      <c r="AC29" s="11"/>
      <c r="AD29" s="11"/>
      <c r="AE29" s="11"/>
      <c r="AF29" s="11"/>
      <c r="AG29" s="11"/>
      <c r="AH29" s="11"/>
      <c r="AI29" s="11"/>
    </row>
    <row r="30" spans="1:35" x14ac:dyDescent="0.25">
      <c r="A30" s="61" t="s">
        <v>14</v>
      </c>
      <c r="B30" s="62"/>
      <c r="C30" s="11"/>
      <c r="D30" s="11"/>
      <c r="E30" s="11"/>
      <c r="F30" s="11"/>
      <c r="G30" s="11"/>
      <c r="H30" s="11"/>
      <c r="I30" s="55"/>
      <c r="J30" s="55"/>
      <c r="K30" s="11"/>
      <c r="L30" s="11"/>
      <c r="M30" s="11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</row>
    <row r="31" spans="1:35" x14ac:dyDescent="0.25">
      <c r="A31" s="61" t="s">
        <v>15</v>
      </c>
      <c r="B31" s="62"/>
      <c r="C31" s="11"/>
      <c r="D31" s="11"/>
      <c r="E31" s="11"/>
      <c r="F31" s="11"/>
      <c r="G31" s="11"/>
      <c r="H31" s="11"/>
      <c r="I31" s="55"/>
      <c r="J31" s="55"/>
      <c r="K31" s="11"/>
      <c r="L31" s="11"/>
      <c r="M31" s="11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</row>
    <row r="32" spans="1:35" s="8" customFormat="1" ht="30" customHeight="1" x14ac:dyDescent="0.25">
      <c r="A32" s="77" t="s">
        <v>16</v>
      </c>
      <c r="B32" s="78"/>
      <c r="C32" s="79"/>
      <c r="D32" s="79"/>
      <c r="E32" s="11"/>
      <c r="F32" s="79"/>
      <c r="G32" s="79"/>
      <c r="H32" s="80"/>
      <c r="I32" s="81"/>
      <c r="J32" s="81"/>
      <c r="K32" s="79"/>
      <c r="L32" s="79"/>
      <c r="M32" s="79"/>
      <c r="N32" s="79"/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</row>
    <row r="33" spans="1:35" ht="15.75" x14ac:dyDescent="0.25">
      <c r="A33" s="61" t="s">
        <v>17</v>
      </c>
      <c r="B33" s="62"/>
      <c r="C33" s="11"/>
      <c r="D33" s="11"/>
      <c r="E33" s="11"/>
      <c r="F33" s="11"/>
      <c r="G33" s="11"/>
      <c r="H33" s="11"/>
      <c r="I33" s="55"/>
      <c r="J33" s="55"/>
      <c r="K33" s="11"/>
      <c r="L33" s="11"/>
      <c r="M33" s="11"/>
      <c r="N33" s="485" t="s">
        <v>330</v>
      </c>
      <c r="O33" s="125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7"/>
      <c r="AC33" s="11"/>
      <c r="AD33" s="125"/>
      <c r="AE33" s="126"/>
      <c r="AF33" s="127"/>
      <c r="AG33" s="125"/>
      <c r="AH33" s="126"/>
      <c r="AI33" s="127"/>
    </row>
    <row r="34" spans="1:35" x14ac:dyDescent="0.25">
      <c r="A34" s="11"/>
      <c r="B34" s="11"/>
      <c r="C34" s="11"/>
      <c r="D34" s="11"/>
      <c r="E34" s="11"/>
      <c r="F34" s="11"/>
      <c r="G34" s="11"/>
      <c r="H34" s="11"/>
      <c r="I34" s="55"/>
      <c r="J34" s="55"/>
      <c r="K34" s="11"/>
      <c r="L34" s="129" t="s">
        <v>364</v>
      </c>
      <c r="M34" s="129" t="s">
        <v>783</v>
      </c>
      <c r="N34" s="49" t="s">
        <v>312</v>
      </c>
      <c r="O34" s="199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114"/>
      <c r="AC34" s="11"/>
      <c r="AD34" s="199"/>
      <c r="AE34" s="200"/>
      <c r="AF34" s="114"/>
      <c r="AG34" s="199"/>
      <c r="AH34" s="200"/>
      <c r="AI34" s="114"/>
    </row>
    <row r="35" spans="1:35" x14ac:dyDescent="0.25">
      <c r="A35" s="11"/>
      <c r="B35" s="11"/>
      <c r="C35" s="11"/>
      <c r="D35" s="11"/>
      <c r="E35" s="11"/>
      <c r="F35" s="11"/>
      <c r="G35" s="11"/>
      <c r="H35" s="84" t="s">
        <v>260</v>
      </c>
      <c r="I35" s="118" t="str">
        <f>IF(_epmOfflineCondition_,"T5",_xll.EVPRO($B$1,$H35,"STYLE"))</f>
        <v>T5</v>
      </c>
      <c r="J35" s="118" t="str">
        <f>IF(_epmOfflineCondition_,"Y",_xll.EVPRO($B$1,$H35,"CALC"))</f>
        <v>Y</v>
      </c>
      <c r="K35" s="86"/>
      <c r="L35" s="86" t="str">
        <f>IF(_epmOfflineCondition_,"461100",_xll.EVPRO($B$1,H35,"JDEID"))</f>
        <v>461100</v>
      </c>
      <c r="M35" s="86" t="str">
        <f>IF(_epmOfflineCondition_,"",IF(AND(I35="N",J35="N"),_xll.EVPRO($B$1,H35,"PSFTID"),""))</f>
        <v/>
      </c>
      <c r="N35" s="86" t="str">
        <f>IF(_epmOfflineCondition_,"Breakfast Food",IF(_xll.EVDES(H35,$B$1)="#NODATA","",_xll.EVDES(H35,$B$1)))</f>
        <v>Breakfast Food</v>
      </c>
      <c r="O35" s="134"/>
      <c r="P35" s="134"/>
      <c r="Q35" s="134"/>
      <c r="R35" s="134"/>
      <c r="S35" s="134"/>
      <c r="T35" s="134"/>
      <c r="U35" s="134"/>
      <c r="V35" s="134"/>
      <c r="W35" s="134"/>
      <c r="X35" s="134"/>
      <c r="Y35" s="134"/>
      <c r="Z35" s="134"/>
      <c r="AA35" s="134">
        <f t="shared" ref="AA35:AA41" si="0">SUM(O35:Z35)</f>
        <v>0</v>
      </c>
      <c r="AB35" s="138" t="str">
        <f>IF(AA35=0,"",IFERROR(AA35/AA$19,""))</f>
        <v/>
      </c>
      <c r="AC35" s="136"/>
      <c r="AD35" s="134"/>
      <c r="AE35" s="138" t="str">
        <f>IF(AD35=0,"",IFERROR(AD35/AD$19,""))</f>
        <v/>
      </c>
      <c r="AF35" s="137">
        <f t="shared" ref="AF35:AF42" si="1">IF(AND($AA35="",AD35=""),"",$AA35-AD35)</f>
        <v>0</v>
      </c>
      <c r="AG35" s="134"/>
      <c r="AH35" s="138" t="str">
        <f>IF(AG35=0,"",IFERROR(AG35/AG$19,""))</f>
        <v/>
      </c>
      <c r="AI35" s="137">
        <f t="shared" ref="AI35:AI42" si="2">IF(AND($AA35="",AG35=""),"",$AA35-AG35)</f>
        <v>0</v>
      </c>
    </row>
    <row r="36" spans="1:35" x14ac:dyDescent="0.25">
      <c r="A36" s="57" t="s">
        <v>23</v>
      </c>
      <c r="B36" s="58" t="s">
        <v>24</v>
      </c>
      <c r="C36" s="11"/>
      <c r="D36" s="11"/>
      <c r="E36" s="11"/>
      <c r="F36" s="11"/>
      <c r="G36" s="11"/>
      <c r="H36" s="84" t="s">
        <v>294</v>
      </c>
      <c r="I36" s="118" t="str">
        <f>IF(_epmOfflineCondition_,"T6",_xll.EVPRO($B$1,$H36,"STYLE"))</f>
        <v>T6</v>
      </c>
      <c r="J36" s="118" t="str">
        <f>IF(_epmOfflineCondition_,"Y",_xll.EVPRO($B$1,$H36,"CALC"))</f>
        <v>Y</v>
      </c>
      <c r="K36" s="86"/>
      <c r="L36" s="86" t="str">
        <f>IF(_epmOfflineCondition_,"461200",_xll.EVPRO($B$1,H36,"JDEID"))</f>
        <v>461200</v>
      </c>
      <c r="M36" s="86" t="str">
        <f>IF(_epmOfflineCondition_,"",IF(AND(I36="N",J36="N"),_xll.EVPRO($B$1,H36,"PSFTID"),""))</f>
        <v/>
      </c>
      <c r="N36" s="86" t="str">
        <f>IF(_epmOfflineCondition_,"Breakfast Liquor",IF(_xll.EVDES(H36,$B$1)="#NODATA","",_xll.EVDES(H36,$B$1)))</f>
        <v>Breakfast Liquor</v>
      </c>
      <c r="O36" s="134"/>
      <c r="P36" s="134"/>
      <c r="Q36" s="134"/>
      <c r="R36" s="134"/>
      <c r="S36" s="134"/>
      <c r="T36" s="134"/>
      <c r="U36" s="134"/>
      <c r="V36" s="134"/>
      <c r="W36" s="134"/>
      <c r="X36" s="134"/>
      <c r="Y36" s="134"/>
      <c r="Z36" s="134"/>
      <c r="AA36" s="134">
        <f t="shared" si="0"/>
        <v>0</v>
      </c>
      <c r="AB36" s="138" t="str">
        <f>IF(AA36=0,"",IFERROR(AA36/AA$19,""))</f>
        <v/>
      </c>
      <c r="AC36" s="136"/>
      <c r="AD36" s="134"/>
      <c r="AE36" s="138" t="str">
        <f>IF(AD36=0,"",IFERROR(AD36/AD$19,""))</f>
        <v/>
      </c>
      <c r="AF36" s="137">
        <f t="shared" si="1"/>
        <v>0</v>
      </c>
      <c r="AG36" s="134"/>
      <c r="AH36" s="138" t="str">
        <f>IF(AG36=0,"",IFERROR(AG36/AG$19,""))</f>
        <v/>
      </c>
      <c r="AI36" s="137">
        <f t="shared" si="2"/>
        <v>0</v>
      </c>
    </row>
    <row r="37" spans="1:35" x14ac:dyDescent="0.25">
      <c r="A37" s="61" t="s">
        <v>25</v>
      </c>
      <c r="B37" s="62"/>
      <c r="C37" s="11"/>
      <c r="D37" s="11"/>
      <c r="E37" s="11"/>
      <c r="F37" s="11"/>
      <c r="G37" s="11"/>
      <c r="H37" s="84" t="s">
        <v>295</v>
      </c>
      <c r="I37" s="118" t="str">
        <f>IF(_epmOfflineCondition_,"T6",_xll.EVPRO($B$1,$H37,"STYLE"))</f>
        <v>T6</v>
      </c>
      <c r="J37" s="118" t="str">
        <f>IF(_epmOfflineCondition_,"Y",_xll.EVPRO($B$1,$H37,"CALC"))</f>
        <v>Y</v>
      </c>
      <c r="K37" s="86"/>
      <c r="L37" s="86" t="str">
        <f>IF(_epmOfflineCondition_,"461300",_xll.EVPRO($B$1,H37,"JDEID"))</f>
        <v>461300</v>
      </c>
      <c r="M37" s="86" t="str">
        <f>IF(_epmOfflineCondition_,"",IF(AND(I37="N",J37="N"),_xll.EVPRO($B$1,H37,"PSFTID"),""))</f>
        <v/>
      </c>
      <c r="N37" s="86" t="str">
        <f>IF(_epmOfflineCondition_,"Breakfast Beer",IF(_xll.EVDES(H37,$B$1)="#NODATA","",_xll.EVDES(H37,$B$1)))</f>
        <v>Breakfast Beer</v>
      </c>
      <c r="O37" s="134"/>
      <c r="P37" s="134"/>
      <c r="Q37" s="134"/>
      <c r="R37" s="134"/>
      <c r="S37" s="134"/>
      <c r="T37" s="134"/>
      <c r="U37" s="134"/>
      <c r="V37" s="134"/>
      <c r="W37" s="134"/>
      <c r="X37" s="134"/>
      <c r="Y37" s="134"/>
      <c r="Z37" s="134"/>
      <c r="AA37" s="134">
        <f t="shared" si="0"/>
        <v>0</v>
      </c>
      <c r="AB37" s="138" t="str">
        <f>IF(AA37=0,"",IFERROR(AA37/AA$19,""))</f>
        <v/>
      </c>
      <c r="AC37" s="136"/>
      <c r="AD37" s="134"/>
      <c r="AE37" s="138" t="str">
        <f>IF(AD37=0,"",IFERROR(AD37/AD$19,""))</f>
        <v/>
      </c>
      <c r="AF37" s="137">
        <f t="shared" si="1"/>
        <v>0</v>
      </c>
      <c r="AG37" s="134"/>
      <c r="AH37" s="138" t="str">
        <f>IF(AG37=0,"",IFERROR(AG37/AG$19,""))</f>
        <v/>
      </c>
      <c r="AI37" s="137">
        <f t="shared" si="2"/>
        <v>0</v>
      </c>
    </row>
    <row r="38" spans="1:35" x14ac:dyDescent="0.25">
      <c r="A38" s="61" t="s">
        <v>26</v>
      </c>
      <c r="B38" s="62"/>
      <c r="C38" s="11"/>
      <c r="D38" s="11"/>
      <c r="E38" s="11"/>
      <c r="F38" s="11"/>
      <c r="G38" s="11"/>
      <c r="H38" s="84" t="s">
        <v>296</v>
      </c>
      <c r="I38" s="118" t="str">
        <f>IF(_epmOfflineCondition_,"T6",_xll.EVPRO($B$1,$H38,"STYLE"))</f>
        <v>T6</v>
      </c>
      <c r="J38" s="118" t="str">
        <f>IF(_epmOfflineCondition_,"Y",_xll.EVPRO($B$1,$H38,"CALC"))</f>
        <v>Y</v>
      </c>
      <c r="K38" s="86"/>
      <c r="L38" s="86" t="str">
        <f>IF(_epmOfflineCondition_,"461400",_xll.EVPRO($B$1,H38,"JDEID"))</f>
        <v>461400</v>
      </c>
      <c r="M38" s="86" t="str">
        <f>IF(_epmOfflineCondition_,"",IF(AND(I38="N",J38="N"),_xll.EVPRO($B$1,H38,"PSFTID"),""))</f>
        <v/>
      </c>
      <c r="N38" s="86" t="str">
        <f>IF(_epmOfflineCondition_,"Breakfast Wine",IF(_xll.EVDES(H38,$B$1)="#NODATA","",_xll.EVDES(H38,$B$1)))</f>
        <v>Breakfast Wine</v>
      </c>
      <c r="O38" s="228"/>
      <c r="P38" s="228"/>
      <c r="Q38" s="228"/>
      <c r="R38" s="228"/>
      <c r="S38" s="228"/>
      <c r="T38" s="228"/>
      <c r="U38" s="228"/>
      <c r="V38" s="228"/>
      <c r="W38" s="228"/>
      <c r="X38" s="228"/>
      <c r="Y38" s="228"/>
      <c r="Z38" s="228"/>
      <c r="AA38" s="228">
        <f t="shared" si="0"/>
        <v>0</v>
      </c>
      <c r="AB38" s="230" t="str">
        <f>IF(AA38=0,"",IFERROR(AA38/AA$19,""))</f>
        <v/>
      </c>
      <c r="AC38" s="136"/>
      <c r="AD38" s="228"/>
      <c r="AE38" s="230" t="str">
        <f>IF(AD38=0,"",IFERROR(AD38/AD$19,""))</f>
        <v/>
      </c>
      <c r="AF38" s="231">
        <f t="shared" si="1"/>
        <v>0</v>
      </c>
      <c r="AG38" s="228"/>
      <c r="AH38" s="230" t="str">
        <f>IF(AG38=0,"",IFERROR(AG38/AG$19,""))</f>
        <v/>
      </c>
      <c r="AI38" s="231">
        <f t="shared" si="2"/>
        <v>0</v>
      </c>
    </row>
    <row r="39" spans="1:35" x14ac:dyDescent="0.25">
      <c r="A39" s="61" t="s">
        <v>27</v>
      </c>
      <c r="B39" s="62"/>
      <c r="C39" s="11"/>
      <c r="D39" s="11"/>
      <c r="E39" s="11"/>
      <c r="F39" s="11"/>
      <c r="G39" s="11"/>
      <c r="H39" s="84" t="s">
        <v>318</v>
      </c>
      <c r="I39" s="118" t="str">
        <f>IF(_epmOfflineCondition_,"N",_xll.EVPRO($B$1,$H39,"STYLE"))</f>
        <v>N</v>
      </c>
      <c r="J39" s="118" t="str">
        <f>IF(_epmOfflineCondition_,"Y",_xll.EVPRO($B$1,$H39,"CALC"))</f>
        <v>Y</v>
      </c>
      <c r="K39" s="86"/>
      <c r="L39" s="86" t="str">
        <f>IF(_epmOfflineCondition_,"",_xll.EVPRO($B$1,H39,"JDEID"))</f>
        <v/>
      </c>
      <c r="M39" s="86" t="str">
        <f>IF(_epmOfflineCondition_,"",IF(AND(I39="N",J39="N"),_xll.EVPRO($B$1,H39,"PSFTID"),""))</f>
        <v/>
      </c>
      <c r="N39" s="102" t="str">
        <f>IF(_epmOfflineCondition_,"Breakfast Revenue",IF(_xll.EVDES(H39,$B$1)="#NODATA","",_xll.EVDES(H39,$B$1)))</f>
        <v>Breakfast Revenue</v>
      </c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158">
        <f t="shared" si="0"/>
        <v>0</v>
      </c>
      <c r="AB39" s="159" t="str">
        <f>IF(AA39=0,"",IFERROR(AA39/AA$19,""))</f>
        <v/>
      </c>
      <c r="AC39" s="136"/>
      <c r="AD39" s="158"/>
      <c r="AE39" s="159" t="str">
        <f>IF(AD39=0,"",IFERROR(AD39/AD$19,""))</f>
        <v/>
      </c>
      <c r="AF39" s="160">
        <f t="shared" si="1"/>
        <v>0</v>
      </c>
      <c r="AG39" s="158"/>
      <c r="AH39" s="159" t="str">
        <f>IF(AG39=0,"",IFERROR(AG39/AG$19,""))</f>
        <v/>
      </c>
      <c r="AI39" s="160">
        <f t="shared" si="2"/>
        <v>0</v>
      </c>
    </row>
    <row r="40" spans="1:35" x14ac:dyDescent="0.25">
      <c r="A40" s="61" t="s">
        <v>28</v>
      </c>
      <c r="B40" s="62"/>
      <c r="C40" s="11"/>
      <c r="D40" s="11"/>
      <c r="E40" s="11"/>
      <c r="F40" s="11"/>
      <c r="G40" s="11"/>
      <c r="H40" s="84" t="s">
        <v>764</v>
      </c>
      <c r="I40" s="118" t="str">
        <f>IF(_epmOfflineCondition_,"N",_xll.EVPRO($B$1,$H40,"STYLE"))</f>
        <v>N</v>
      </c>
      <c r="J40" s="118" t="str">
        <f>IF(_epmOfflineCondition_,"N",_xll.EVPRO($B$1,$H40,"CALC"))</f>
        <v>N</v>
      </c>
      <c r="K40" s="86"/>
      <c r="L40" s="86" t="str">
        <f>IF(_epmOfflineCondition_,"947100",_xll.EVPRO($B$1,H40,"JDEID"))</f>
        <v>947100</v>
      </c>
      <c r="M40" s="86" t="str">
        <f>IF(_epmOfflineCondition_,"999991",IF(AND(I40="N",J40="N"),_xll.EVPRO($B$1,H40,"PSFTID"),""))</f>
        <v>999991</v>
      </c>
      <c r="N40" s="86" t="str">
        <f>IF(_epmOfflineCondition_,"# of Operating Days - Breakfast",IF(_xll.EVDES(H40,$B$1)="#NODATA","",_xll.EVDES(H40,$B$1)))</f>
        <v># of Operating Days - Breakfast</v>
      </c>
      <c r="O40" s="240"/>
      <c r="P40" s="240"/>
      <c r="Q40" s="240"/>
      <c r="R40" s="240"/>
      <c r="S40" s="240"/>
      <c r="T40" s="240"/>
      <c r="U40" s="240"/>
      <c r="V40" s="240"/>
      <c r="W40" s="240"/>
      <c r="X40" s="240"/>
      <c r="Y40" s="240"/>
      <c r="Z40" s="240"/>
      <c r="AA40" s="240">
        <f t="shared" si="0"/>
        <v>0</v>
      </c>
      <c r="AB40" s="242"/>
      <c r="AC40" s="136"/>
      <c r="AD40" s="240"/>
      <c r="AE40" s="242"/>
      <c r="AF40" s="243">
        <f t="shared" si="1"/>
        <v>0</v>
      </c>
      <c r="AG40" s="240"/>
      <c r="AH40" s="242"/>
      <c r="AI40" s="243">
        <f t="shared" si="2"/>
        <v>0</v>
      </c>
    </row>
    <row r="41" spans="1:35" x14ac:dyDescent="0.25">
      <c r="A41" s="61" t="s">
        <v>29</v>
      </c>
      <c r="B41" s="62"/>
      <c r="C41" s="11"/>
      <c r="D41" s="11"/>
      <c r="E41" s="11"/>
      <c r="F41" s="11"/>
      <c r="G41" s="11"/>
      <c r="H41" s="84" t="s">
        <v>297</v>
      </c>
      <c r="I41" s="118" t="str">
        <f>IF(_epmOfflineCondition_,"N",_xll.EVPRO($B$1,$H41,"STYLE"))</f>
        <v>N</v>
      </c>
      <c r="J41" s="118" t="str">
        <f>IF(_epmOfflineCondition_,"N",_xll.EVPRO($B$1,$H41,"CALC"))</f>
        <v>N</v>
      </c>
      <c r="K41" s="86"/>
      <c r="L41" s="86" t="str">
        <f>IF(_epmOfflineCondition_,"946100",_xll.EVPRO($B$1,H41,"JDEID"))</f>
        <v>946100</v>
      </c>
      <c r="M41" s="86" t="str">
        <f>IF(_epmOfflineCondition_,"991501",IF(AND(I41="N",J41="N"),_xll.EVPRO($B$1,H41,"PSFTID"),""))</f>
        <v>991501</v>
      </c>
      <c r="N41" s="86" t="str">
        <f>IF(_epmOfflineCondition_,"Breakfast Customers",IF(_xll.EVDES(H41,$B$1)="#NODATA","",_xll.EVDES(H41,$B$1)))</f>
        <v>Breakfast Customers</v>
      </c>
      <c r="O41" s="240"/>
      <c r="P41" s="240"/>
      <c r="Q41" s="240"/>
      <c r="R41" s="240"/>
      <c r="S41" s="240"/>
      <c r="T41" s="240"/>
      <c r="U41" s="240"/>
      <c r="V41" s="240"/>
      <c r="W41" s="240"/>
      <c r="X41" s="240"/>
      <c r="Y41" s="240"/>
      <c r="Z41" s="240"/>
      <c r="AA41" s="240">
        <f t="shared" si="0"/>
        <v>0</v>
      </c>
      <c r="AB41" s="242" t="str">
        <f>IF(AA41=0,"",IFERROR(AA41/AA$87,""))</f>
        <v/>
      </c>
      <c r="AC41" s="136"/>
      <c r="AD41" s="240"/>
      <c r="AE41" s="242" t="str">
        <f>IF(AD41=0,"",IFERROR(AD41/AD$87,""))</f>
        <v/>
      </c>
      <c r="AF41" s="243">
        <f t="shared" si="1"/>
        <v>0</v>
      </c>
      <c r="AG41" s="240"/>
      <c r="AH41" s="242" t="str">
        <f>IF(AG41=0,"",IFERROR(AG41/AG$87,""))</f>
        <v/>
      </c>
      <c r="AI41" s="243">
        <f t="shared" si="2"/>
        <v>0</v>
      </c>
    </row>
    <row r="42" spans="1:35" x14ac:dyDescent="0.25">
      <c r="A42" s="61" t="s">
        <v>30</v>
      </c>
      <c r="B42" s="62" t="s">
        <v>78</v>
      </c>
      <c r="C42" s="11"/>
      <c r="D42" s="11"/>
      <c r="E42" s="11"/>
      <c r="F42" s="11"/>
      <c r="G42" s="11"/>
      <c r="H42" s="84" t="s">
        <v>313</v>
      </c>
      <c r="I42" s="118" t="str">
        <f>IF(_epmOfflineCondition_,"N",_xll.EVPRO($B$1,$H42,"STYLE"))</f>
        <v>N</v>
      </c>
      <c r="J42" s="118" t="str">
        <f>IF(_epmOfflineCondition_,"Y",_xll.EVPRO($B$1,$H42,"CALC"))</f>
        <v>Y</v>
      </c>
      <c r="K42" s="86"/>
      <c r="L42" s="86" t="str">
        <f>IF(_epmOfflineCondition_,"",_xll.EVPRO($B$1,H42,"JDEID"))</f>
        <v/>
      </c>
      <c r="M42" s="86" t="str">
        <f>IF(_epmOfflineCondition_,"",IF(AND(I42="N",J42="N"),_xll.EVPRO($B$1,H42,"PSFTID"),""))</f>
        <v/>
      </c>
      <c r="N42" s="186" t="str">
        <f>IF(_epmOfflineCondition_,"Breakfast - Average Check",IF(_xll.EVDES(H42,$B$1)="#NODATA","",_xll.EVDES(H42,$B$1)))</f>
        <v>Breakfast - Average Check</v>
      </c>
      <c r="O42" s="490"/>
      <c r="P42" s="490"/>
      <c r="Q42" s="490"/>
      <c r="R42" s="490"/>
      <c r="S42" s="490"/>
      <c r="T42" s="490"/>
      <c r="U42" s="490"/>
      <c r="V42" s="490"/>
      <c r="W42" s="490"/>
      <c r="X42" s="490"/>
      <c r="Y42" s="490"/>
      <c r="Z42" s="490"/>
      <c r="AA42" s="490" t="str">
        <f>IFERROR(AA39/AA41,"")</f>
        <v/>
      </c>
      <c r="AB42" s="490"/>
      <c r="AC42" s="136"/>
      <c r="AD42" s="490"/>
      <c r="AE42" s="490"/>
      <c r="AF42" s="491" t="str">
        <f t="shared" si="1"/>
        <v/>
      </c>
      <c r="AG42" s="490"/>
      <c r="AH42" s="490"/>
      <c r="AI42" s="491" t="str">
        <f t="shared" si="2"/>
        <v/>
      </c>
    </row>
    <row r="43" spans="1:35" x14ac:dyDescent="0.25">
      <c r="A43" s="61" t="s">
        <v>31</v>
      </c>
      <c r="B43" s="62" t="s">
        <v>78</v>
      </c>
      <c r="C43" s="11"/>
      <c r="D43" s="11"/>
      <c r="E43" s="11"/>
      <c r="F43" s="11"/>
      <c r="G43" s="486">
        <f>COUNTIF(O44:AI44,FALSE)</f>
        <v>0</v>
      </c>
      <c r="H43" s="84"/>
      <c r="I43" s="118"/>
      <c r="J43" s="118"/>
      <c r="K43" s="86"/>
      <c r="L43" s="86"/>
      <c r="M43" s="86"/>
      <c r="N43" s="487" t="s">
        <v>345</v>
      </c>
      <c r="O43" s="492">
        <f t="shared" ref="O43:AA43" si="3">ROUND(IFERROR(O39/O41,0),2)</f>
        <v>0</v>
      </c>
      <c r="P43" s="493">
        <f t="shared" si="3"/>
        <v>0</v>
      </c>
      <c r="Q43" s="493">
        <f t="shared" si="3"/>
        <v>0</v>
      </c>
      <c r="R43" s="493">
        <f t="shared" si="3"/>
        <v>0</v>
      </c>
      <c r="S43" s="493">
        <f t="shared" si="3"/>
        <v>0</v>
      </c>
      <c r="T43" s="493">
        <f t="shared" si="3"/>
        <v>0</v>
      </c>
      <c r="U43" s="493">
        <f t="shared" si="3"/>
        <v>0</v>
      </c>
      <c r="V43" s="493">
        <f t="shared" si="3"/>
        <v>0</v>
      </c>
      <c r="W43" s="493">
        <f t="shared" si="3"/>
        <v>0</v>
      </c>
      <c r="X43" s="493">
        <f t="shared" si="3"/>
        <v>0</v>
      </c>
      <c r="Y43" s="493">
        <f t="shared" si="3"/>
        <v>0</v>
      </c>
      <c r="Z43" s="493">
        <f t="shared" si="3"/>
        <v>0</v>
      </c>
      <c r="AA43" s="493">
        <f t="shared" si="3"/>
        <v>0</v>
      </c>
      <c r="AB43" s="494"/>
      <c r="AC43" s="136"/>
      <c r="AD43" s="492">
        <f>ROUND(IFERROR(AD39/AD41,0),2)</f>
        <v>0</v>
      </c>
      <c r="AE43" s="493"/>
      <c r="AF43" s="151"/>
      <c r="AG43" s="492">
        <f>ROUND(IFERROR(AG39/AG41,0),2)</f>
        <v>0</v>
      </c>
      <c r="AH43" s="493"/>
      <c r="AI43" s="151"/>
    </row>
    <row r="44" spans="1:35" x14ac:dyDescent="0.25">
      <c r="A44" s="61" t="s">
        <v>32</v>
      </c>
      <c r="B44" s="62"/>
      <c r="C44" s="11"/>
      <c r="D44" s="11"/>
      <c r="E44" s="11"/>
      <c r="F44" s="11"/>
      <c r="G44" s="11"/>
      <c r="H44" s="84"/>
      <c r="I44" s="118"/>
      <c r="J44" s="118"/>
      <c r="K44" s="86"/>
      <c r="L44" s="86"/>
      <c r="M44" s="86"/>
      <c r="N44" s="49" t="s">
        <v>314</v>
      </c>
      <c r="O44" s="495" t="b">
        <f t="shared" ref="O44:AA44" si="4">ROUND(O42,2)=ROUND(O43,2)</f>
        <v>1</v>
      </c>
      <c r="P44" s="496" t="b">
        <f t="shared" si="4"/>
        <v>1</v>
      </c>
      <c r="Q44" s="496" t="b">
        <f t="shared" si="4"/>
        <v>1</v>
      </c>
      <c r="R44" s="496" t="b">
        <f t="shared" si="4"/>
        <v>1</v>
      </c>
      <c r="S44" s="496" t="b">
        <f t="shared" si="4"/>
        <v>1</v>
      </c>
      <c r="T44" s="496" t="b">
        <f t="shared" si="4"/>
        <v>1</v>
      </c>
      <c r="U44" s="496" t="b">
        <f t="shared" si="4"/>
        <v>1</v>
      </c>
      <c r="V44" s="496" t="b">
        <f t="shared" si="4"/>
        <v>1</v>
      </c>
      <c r="W44" s="496" t="b">
        <f t="shared" si="4"/>
        <v>1</v>
      </c>
      <c r="X44" s="496" t="b">
        <f t="shared" si="4"/>
        <v>1</v>
      </c>
      <c r="Y44" s="496" t="b">
        <f t="shared" si="4"/>
        <v>1</v>
      </c>
      <c r="Z44" s="496" t="b">
        <f t="shared" si="4"/>
        <v>1</v>
      </c>
      <c r="AA44" s="496" t="e">
        <f t="shared" si="4"/>
        <v>#VALUE!</v>
      </c>
      <c r="AB44" s="497"/>
      <c r="AC44" s="498"/>
      <c r="AD44" s="495"/>
      <c r="AE44" s="496" t="b">
        <f>ROUND(AD42,2)=ROUND(AD43,2)</f>
        <v>1</v>
      </c>
      <c r="AF44" s="497"/>
      <c r="AG44" s="495"/>
      <c r="AH44" s="496" t="b">
        <f>ROUND(AG42,2)=ROUND(AG43,2)</f>
        <v>1</v>
      </c>
      <c r="AI44" s="497"/>
    </row>
    <row r="45" spans="1:35" x14ac:dyDescent="0.25">
      <c r="A45" s="61" t="s">
        <v>33</v>
      </c>
      <c r="B45" s="62"/>
      <c r="C45" s="11"/>
      <c r="D45" s="11"/>
      <c r="E45" s="11"/>
      <c r="F45" s="11"/>
      <c r="G45" s="11"/>
      <c r="H45" s="84" t="s">
        <v>261</v>
      </c>
      <c r="I45" s="118" t="str">
        <f>IF(_epmOfflineCondition_,"T5",_xll.EVPRO($B$1,$H45,"STYLE"))</f>
        <v>T5</v>
      </c>
      <c r="J45" s="118" t="str">
        <f>IF(_epmOfflineCondition_,"Y",_xll.EVPRO($B$1,$H45,"CALC"))</f>
        <v>Y</v>
      </c>
      <c r="K45" s="86"/>
      <c r="L45" s="86" t="str">
        <f>IF(_epmOfflineCondition_,"462100",_xll.EVPRO($B$1,H45,"JDEID"))</f>
        <v>462100</v>
      </c>
      <c r="M45" s="86" t="str">
        <f>IF(_epmOfflineCondition_,"",IF(AND(I45="N",J45="N"),_xll.EVPRO($B$1,H45,"PSFTID"),""))</f>
        <v/>
      </c>
      <c r="N45" s="86" t="str">
        <f>IF(_epmOfflineCondition_,"Lunch Food",IF(_xll.EVDES(H45,$B$1)="#NODATA","",_xll.EVDES(H45,$B$1)))</f>
        <v>Lunch Food</v>
      </c>
      <c r="O45" s="134"/>
      <c r="P45" s="134"/>
      <c r="Q45" s="134"/>
      <c r="R45" s="134"/>
      <c r="S45" s="134"/>
      <c r="T45" s="134"/>
      <c r="U45" s="134"/>
      <c r="V45" s="134"/>
      <c r="W45" s="134"/>
      <c r="X45" s="134"/>
      <c r="Y45" s="134"/>
      <c r="Z45" s="134"/>
      <c r="AA45" s="134">
        <f t="shared" ref="AA45:AA51" si="5">SUM(O45:Z45)</f>
        <v>0</v>
      </c>
      <c r="AB45" s="138" t="str">
        <f>IF(AA45=0,"",IFERROR(AA45/AA$19,""))</f>
        <v/>
      </c>
      <c r="AC45" s="136"/>
      <c r="AD45" s="134"/>
      <c r="AE45" s="138" t="str">
        <f>IF(AD45=0,"",IFERROR(AD45/AD$19,""))</f>
        <v/>
      </c>
      <c r="AF45" s="137">
        <f t="shared" ref="AF45:AF52" si="6">IF(AND($AA45="",AD45=""),"",$AA45-AD45)</f>
        <v>0</v>
      </c>
      <c r="AG45" s="134"/>
      <c r="AH45" s="138" t="str">
        <f>IF(AG45=0,"",IFERROR(AG45/AG$19,""))</f>
        <v/>
      </c>
      <c r="AI45" s="137">
        <f t="shared" ref="AI45:AI52" si="7">IF(AND($AA45="",AG45=""),"",$AA45-AG45)</f>
        <v>0</v>
      </c>
    </row>
    <row r="46" spans="1:35" x14ac:dyDescent="0.25">
      <c r="A46" s="61" t="s">
        <v>34</v>
      </c>
      <c r="B46" s="62"/>
      <c r="C46" s="11"/>
      <c r="D46" s="11"/>
      <c r="E46" s="11"/>
      <c r="F46" s="11"/>
      <c r="G46" s="11"/>
      <c r="H46" s="181" t="s">
        <v>301</v>
      </c>
      <c r="I46" s="118" t="str">
        <f>IF(_epmOfflineCondition_,"T6",_xll.EVPRO($B$1,$H46,"STYLE"))</f>
        <v>T6</v>
      </c>
      <c r="J46" s="118" t="str">
        <f>IF(_epmOfflineCondition_,"Y",_xll.EVPRO($B$1,$H46,"CALC"))</f>
        <v>Y</v>
      </c>
      <c r="K46" s="86"/>
      <c r="L46" s="86" t="str">
        <f>IF(_epmOfflineCondition_,"462200",_xll.EVPRO($B$1,H46,"JDEID"))</f>
        <v>462200</v>
      </c>
      <c r="M46" s="86" t="str">
        <f>IF(_epmOfflineCondition_,"",IF(AND(I46="N",J46="N"),_xll.EVPRO($B$1,H46,"PSFTID"),""))</f>
        <v/>
      </c>
      <c r="N46" s="86" t="str">
        <f>IF(_epmOfflineCondition_,"Lunch Liquor",IF(_xll.EVDES(H46,$B$1)="#NODATA","",_xll.EVDES(H46,$B$1)))</f>
        <v>Lunch Liquor</v>
      </c>
      <c r="O46" s="134"/>
      <c r="P46" s="134"/>
      <c r="Q46" s="134"/>
      <c r="R46" s="134"/>
      <c r="S46" s="134"/>
      <c r="T46" s="134"/>
      <c r="U46" s="134"/>
      <c r="V46" s="134"/>
      <c r="W46" s="134"/>
      <c r="X46" s="134"/>
      <c r="Y46" s="134"/>
      <c r="Z46" s="134"/>
      <c r="AA46" s="134">
        <f t="shared" si="5"/>
        <v>0</v>
      </c>
      <c r="AB46" s="138" t="str">
        <f>IF(AA46=0,"",IFERROR(AA46/AA$19,""))</f>
        <v/>
      </c>
      <c r="AC46" s="136"/>
      <c r="AD46" s="134"/>
      <c r="AE46" s="138" t="str">
        <f>IF(AD46=0,"",IFERROR(AD46/AD$19,""))</f>
        <v/>
      </c>
      <c r="AF46" s="137">
        <f t="shared" si="6"/>
        <v>0</v>
      </c>
      <c r="AG46" s="134"/>
      <c r="AH46" s="138" t="str">
        <f>IF(AG46=0,"",IFERROR(AG46/AG$19,""))</f>
        <v/>
      </c>
      <c r="AI46" s="137">
        <f t="shared" si="7"/>
        <v>0</v>
      </c>
    </row>
    <row r="47" spans="1:35" x14ac:dyDescent="0.25">
      <c r="A47" s="61" t="s">
        <v>35</v>
      </c>
      <c r="B47" s="62"/>
      <c r="C47" s="11"/>
      <c r="D47" s="11"/>
      <c r="E47" s="11"/>
      <c r="F47" s="11"/>
      <c r="G47" s="11"/>
      <c r="H47" s="181" t="s">
        <v>305</v>
      </c>
      <c r="I47" s="118" t="str">
        <f>IF(_epmOfflineCondition_,"T6",_xll.EVPRO($B$1,$H47,"STYLE"))</f>
        <v>T6</v>
      </c>
      <c r="J47" s="118" t="str">
        <f>IF(_epmOfflineCondition_,"Y",_xll.EVPRO($B$1,$H47,"CALC"))</f>
        <v>Y</v>
      </c>
      <c r="K47" s="86"/>
      <c r="L47" s="86" t="str">
        <f>IF(_epmOfflineCondition_,"462300",_xll.EVPRO($B$1,H47,"JDEID"))</f>
        <v>462300</v>
      </c>
      <c r="M47" s="86" t="str">
        <f>IF(_epmOfflineCondition_,"",IF(AND(I47="N",J47="N"),_xll.EVPRO($B$1,H47,"PSFTID"),""))</f>
        <v/>
      </c>
      <c r="N47" s="86" t="str">
        <f>IF(_epmOfflineCondition_,"Lunch Beer",IF(_xll.EVDES(H47,$B$1)="#NODATA","",_xll.EVDES(H47,$B$1)))</f>
        <v>Lunch Beer</v>
      </c>
      <c r="O47" s="134"/>
      <c r="P47" s="134"/>
      <c r="Q47" s="134"/>
      <c r="R47" s="134"/>
      <c r="S47" s="134"/>
      <c r="T47" s="134"/>
      <c r="U47" s="134"/>
      <c r="V47" s="134"/>
      <c r="W47" s="134"/>
      <c r="X47" s="134"/>
      <c r="Y47" s="134"/>
      <c r="Z47" s="134"/>
      <c r="AA47" s="134">
        <f t="shared" si="5"/>
        <v>0</v>
      </c>
      <c r="AB47" s="138" t="str">
        <f>IF(AA47=0,"",IFERROR(AA47/AA$19,""))</f>
        <v/>
      </c>
      <c r="AC47" s="136"/>
      <c r="AD47" s="134"/>
      <c r="AE47" s="138" t="str">
        <f>IF(AD47=0,"",IFERROR(AD47/AD$19,""))</f>
        <v/>
      </c>
      <c r="AF47" s="137">
        <f t="shared" si="6"/>
        <v>0</v>
      </c>
      <c r="AG47" s="134"/>
      <c r="AH47" s="138" t="str">
        <f>IF(AG47=0,"",IFERROR(AG47/AG$19,""))</f>
        <v/>
      </c>
      <c r="AI47" s="137">
        <f t="shared" si="7"/>
        <v>0</v>
      </c>
    </row>
    <row r="48" spans="1:35" x14ac:dyDescent="0.25">
      <c r="A48" s="61" t="s">
        <v>36</v>
      </c>
      <c r="B48" s="62"/>
      <c r="C48" s="11"/>
      <c r="D48" s="11"/>
      <c r="E48" s="11"/>
      <c r="F48" s="11"/>
      <c r="G48" s="11"/>
      <c r="H48" s="181" t="s">
        <v>303</v>
      </c>
      <c r="I48" s="118" t="str">
        <f>IF(_epmOfflineCondition_,"T6",_xll.EVPRO($B$1,$H48,"STYLE"))</f>
        <v>T6</v>
      </c>
      <c r="J48" s="118" t="str">
        <f>IF(_epmOfflineCondition_,"Y",_xll.EVPRO($B$1,$H48,"CALC"))</f>
        <v>Y</v>
      </c>
      <c r="K48" s="86"/>
      <c r="L48" s="86" t="str">
        <f>IF(_epmOfflineCondition_,"462400",_xll.EVPRO($B$1,H48,"JDEID"))</f>
        <v>462400</v>
      </c>
      <c r="M48" s="86" t="str">
        <f>IF(_epmOfflineCondition_,"",IF(AND(I48="N",J48="N"),_xll.EVPRO($B$1,H48,"PSFTID"),""))</f>
        <v/>
      </c>
      <c r="N48" s="86" t="str">
        <f>IF(_epmOfflineCondition_,"Lunch Wine",IF(_xll.EVDES(H48,$B$1)="#NODATA","",_xll.EVDES(H48,$B$1)))</f>
        <v>Lunch Wine</v>
      </c>
      <c r="O48" s="228"/>
      <c r="P48" s="228"/>
      <c r="Q48" s="228"/>
      <c r="R48" s="228"/>
      <c r="S48" s="228"/>
      <c r="T48" s="228"/>
      <c r="U48" s="228"/>
      <c r="V48" s="228"/>
      <c r="W48" s="228"/>
      <c r="X48" s="228"/>
      <c r="Y48" s="228"/>
      <c r="Z48" s="228"/>
      <c r="AA48" s="228">
        <f t="shared" si="5"/>
        <v>0</v>
      </c>
      <c r="AB48" s="230" t="str">
        <f>IF(AA48=0,"",IFERROR(AA48/AA$19,""))</f>
        <v/>
      </c>
      <c r="AC48" s="136"/>
      <c r="AD48" s="228"/>
      <c r="AE48" s="230" t="str">
        <f>IF(AD48=0,"",IFERROR(AD48/AD$19,""))</f>
        <v/>
      </c>
      <c r="AF48" s="231">
        <f t="shared" si="6"/>
        <v>0</v>
      </c>
      <c r="AG48" s="228"/>
      <c r="AH48" s="230" t="str">
        <f>IF(AG48=0,"",IFERROR(AG48/AG$19,""))</f>
        <v/>
      </c>
      <c r="AI48" s="231">
        <f t="shared" si="7"/>
        <v>0</v>
      </c>
    </row>
    <row r="49" spans="1:35" x14ac:dyDescent="0.25">
      <c r="A49" s="61" t="s">
        <v>37</v>
      </c>
      <c r="B49" s="62"/>
      <c r="C49" s="11"/>
      <c r="D49" s="11"/>
      <c r="E49" s="11"/>
      <c r="F49" s="11"/>
      <c r="G49" s="11"/>
      <c r="H49" s="84" t="s">
        <v>319</v>
      </c>
      <c r="I49" s="118" t="str">
        <f>IF(_epmOfflineCondition_,"N",_xll.EVPRO($B$1,$H49,"STYLE"))</f>
        <v>N</v>
      </c>
      <c r="J49" s="118" t="str">
        <f>IF(_epmOfflineCondition_,"Y",_xll.EVPRO($B$1,$H49,"CALC"))</f>
        <v>Y</v>
      </c>
      <c r="K49" s="86"/>
      <c r="L49" s="86" t="str">
        <f>IF(_epmOfflineCondition_,"",_xll.EVPRO($B$1,H49,"JDEID"))</f>
        <v/>
      </c>
      <c r="M49" s="86" t="str">
        <f>IF(_epmOfflineCondition_,"",IF(AND(I49="N",J49="N"),_xll.EVPRO($B$1,H49,"PSFTID"),""))</f>
        <v/>
      </c>
      <c r="N49" s="102" t="str">
        <f>IF(_epmOfflineCondition_,"Lunch Revenue",IF(_xll.EVDES(H49,$B$1)="#NODATA","",_xll.EVDES(H49,$B$1)))</f>
        <v>Lunch Revenue</v>
      </c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158">
        <f t="shared" si="5"/>
        <v>0</v>
      </c>
      <c r="AB49" s="159" t="str">
        <f>IF(AA49=0,"",IFERROR(AA49/AA$19,""))</f>
        <v/>
      </c>
      <c r="AC49" s="136"/>
      <c r="AD49" s="158"/>
      <c r="AE49" s="159" t="str">
        <f>IF(AD49=0,"",IFERROR(AD49/AD$19,""))</f>
        <v/>
      </c>
      <c r="AF49" s="160">
        <f t="shared" si="6"/>
        <v>0</v>
      </c>
      <c r="AG49" s="158"/>
      <c r="AH49" s="159" t="str">
        <f>IF(AG49=0,"",IFERROR(AG49/AG$19,""))</f>
        <v/>
      </c>
      <c r="AI49" s="160">
        <f t="shared" si="7"/>
        <v>0</v>
      </c>
    </row>
    <row r="50" spans="1:35" x14ac:dyDescent="0.25">
      <c r="A50" s="61" t="s">
        <v>38</v>
      </c>
      <c r="B50" s="62"/>
      <c r="C50" s="11"/>
      <c r="D50" s="11"/>
      <c r="E50" s="11"/>
      <c r="F50" s="11"/>
      <c r="G50" s="11"/>
      <c r="H50" s="84" t="s">
        <v>765</v>
      </c>
      <c r="I50" s="118" t="str">
        <f>IF(_epmOfflineCondition_,"N",_xll.EVPRO($B$1,$H50,"STYLE"))</f>
        <v>N</v>
      </c>
      <c r="J50" s="118" t="str">
        <f>IF(_epmOfflineCondition_,"N",_xll.EVPRO($B$1,$H50,"CALC"))</f>
        <v>N</v>
      </c>
      <c r="K50" s="86"/>
      <c r="L50" s="86" t="str">
        <f>IF(_epmOfflineCondition_,"947200",_xll.EVPRO($B$1,H50,"JDEID"))</f>
        <v>947200</v>
      </c>
      <c r="M50" s="86" t="str">
        <f>IF(_epmOfflineCondition_,"999992",IF(AND(I50="N",J50="N"),_xll.EVPRO($B$1,H50,"PSFTID"),""))</f>
        <v>999992</v>
      </c>
      <c r="N50" s="86" t="str">
        <f>IF(_epmOfflineCondition_,"# of Operating Days - Lunch",IF(_xll.EVDES(H50,$B$1)="#NODATA","",_xll.EVDES(H50,$B$1)))</f>
        <v># of Operating Days - Lunch</v>
      </c>
      <c r="O50" s="240"/>
      <c r="P50" s="240"/>
      <c r="Q50" s="240"/>
      <c r="R50" s="240"/>
      <c r="S50" s="240"/>
      <c r="T50" s="240"/>
      <c r="U50" s="240"/>
      <c r="V50" s="240"/>
      <c r="W50" s="240"/>
      <c r="X50" s="240"/>
      <c r="Y50" s="240"/>
      <c r="Z50" s="240"/>
      <c r="AA50" s="240">
        <f t="shared" si="5"/>
        <v>0</v>
      </c>
      <c r="AB50" s="242"/>
      <c r="AC50" s="136"/>
      <c r="AD50" s="240"/>
      <c r="AE50" s="242"/>
      <c r="AF50" s="243">
        <f t="shared" si="6"/>
        <v>0</v>
      </c>
      <c r="AG50" s="240"/>
      <c r="AH50" s="242"/>
      <c r="AI50" s="243">
        <f t="shared" si="7"/>
        <v>0</v>
      </c>
    </row>
    <row r="51" spans="1:35" x14ac:dyDescent="0.25">
      <c r="A51" s="61" t="s">
        <v>39</v>
      </c>
      <c r="B51" s="62"/>
      <c r="C51" s="11"/>
      <c r="D51" s="11"/>
      <c r="E51" s="11"/>
      <c r="F51" s="11"/>
      <c r="G51" s="11"/>
      <c r="H51" s="84" t="s">
        <v>298</v>
      </c>
      <c r="I51" s="118" t="str">
        <f>IF(_epmOfflineCondition_,"N",_xll.EVPRO($B$1,$H51,"STYLE"))</f>
        <v>N</v>
      </c>
      <c r="J51" s="118" t="str">
        <f>IF(_epmOfflineCondition_,"N",_xll.EVPRO($B$1,$H51,"CALC"))</f>
        <v>N</v>
      </c>
      <c r="K51" s="86"/>
      <c r="L51" s="86" t="str">
        <f>IF(_epmOfflineCondition_,"946200",_xll.EVPRO($B$1,H51,"JDEID"))</f>
        <v>946200</v>
      </c>
      <c r="M51" s="86" t="str">
        <f>IF(_epmOfflineCondition_,"991502",IF(AND(I51="N",J51="N"),_xll.EVPRO($B$1,H51,"PSFTID"),""))</f>
        <v>991502</v>
      </c>
      <c r="N51" s="86" t="str">
        <f>IF(_epmOfflineCondition_,"Lunch Customers",IF(_xll.EVDES(H51,$B$1)="#NODATA","",_xll.EVDES(H51,$B$1)))</f>
        <v>Lunch Customers</v>
      </c>
      <c r="O51" s="240"/>
      <c r="P51" s="240"/>
      <c r="Q51" s="240"/>
      <c r="R51" s="240"/>
      <c r="S51" s="240"/>
      <c r="T51" s="240"/>
      <c r="U51" s="240"/>
      <c r="V51" s="240"/>
      <c r="W51" s="240"/>
      <c r="X51" s="240"/>
      <c r="Y51" s="240"/>
      <c r="Z51" s="240"/>
      <c r="AA51" s="240">
        <f t="shared" si="5"/>
        <v>0</v>
      </c>
      <c r="AB51" s="242" t="str">
        <f>IF(AA51=0,"",IFERROR(AA51/AA$87,""))</f>
        <v/>
      </c>
      <c r="AC51" s="136"/>
      <c r="AD51" s="240"/>
      <c r="AE51" s="242" t="str">
        <f>IF(AD51=0,"",IFERROR(AD51/AD$87,""))</f>
        <v/>
      </c>
      <c r="AF51" s="243">
        <f t="shared" si="6"/>
        <v>0</v>
      </c>
      <c r="AG51" s="240"/>
      <c r="AH51" s="242" t="str">
        <f>IF(AG51=0,"",IFERROR(AG51/AG$87,""))</f>
        <v/>
      </c>
      <c r="AI51" s="243">
        <f t="shared" si="7"/>
        <v>0</v>
      </c>
    </row>
    <row r="52" spans="1:35" x14ac:dyDescent="0.25">
      <c r="A52" s="61" t="s">
        <v>40</v>
      </c>
      <c r="B52" s="62"/>
      <c r="C52" s="11"/>
      <c r="D52" s="11"/>
      <c r="E52" s="11"/>
      <c r="F52" s="11"/>
      <c r="G52" s="11"/>
      <c r="H52" s="84" t="s">
        <v>315</v>
      </c>
      <c r="I52" s="118" t="str">
        <f>IF(_epmOfflineCondition_,"N",_xll.EVPRO($B$1,$H52,"STYLE"))</f>
        <v>N</v>
      </c>
      <c r="J52" s="118" t="str">
        <f>IF(_epmOfflineCondition_,"Y",_xll.EVPRO($B$1,$H52,"CALC"))</f>
        <v>Y</v>
      </c>
      <c r="K52" s="86"/>
      <c r="L52" s="86" t="str">
        <f>IF(_epmOfflineCondition_,"",_xll.EVPRO($B$1,H52,"JDEID"))</f>
        <v/>
      </c>
      <c r="M52" s="86" t="str">
        <f>IF(_epmOfflineCondition_,"",IF(AND(I52="N",J52="N"),_xll.EVPRO($B$1,H52,"PSFTID"),""))</f>
        <v/>
      </c>
      <c r="N52" s="186" t="str">
        <f>IF(_epmOfflineCondition_,"Lunch - Average Check",IF(_xll.EVDES(H52,$B$1)="#NODATA","",_xll.EVDES(H52,$B$1)))</f>
        <v>Lunch - Average Check</v>
      </c>
      <c r="O52" s="490"/>
      <c r="P52" s="490"/>
      <c r="Q52" s="490"/>
      <c r="R52" s="490"/>
      <c r="S52" s="490"/>
      <c r="T52" s="490"/>
      <c r="U52" s="490"/>
      <c r="V52" s="490"/>
      <c r="W52" s="490"/>
      <c r="X52" s="490"/>
      <c r="Y52" s="490"/>
      <c r="Z52" s="490"/>
      <c r="AA52" s="490" t="str">
        <f>IFERROR(AA49/AA51,"")</f>
        <v/>
      </c>
      <c r="AB52" s="490"/>
      <c r="AC52" s="136"/>
      <c r="AD52" s="490"/>
      <c r="AE52" s="490"/>
      <c r="AF52" s="491" t="str">
        <f t="shared" si="6"/>
        <v/>
      </c>
      <c r="AG52" s="490"/>
      <c r="AH52" s="490"/>
      <c r="AI52" s="491" t="str">
        <f t="shared" si="7"/>
        <v/>
      </c>
    </row>
    <row r="53" spans="1:35" x14ac:dyDescent="0.25">
      <c r="A53" s="61" t="s">
        <v>41</v>
      </c>
      <c r="B53" s="62"/>
      <c r="C53" s="11"/>
      <c r="D53" s="11"/>
      <c r="E53" s="11"/>
      <c r="F53" s="11"/>
      <c r="G53" s="486">
        <f>COUNTIF(O54:AI54,FALSE)</f>
        <v>0</v>
      </c>
      <c r="H53" s="84"/>
      <c r="I53" s="118"/>
      <c r="J53" s="118"/>
      <c r="K53" s="86"/>
      <c r="L53" s="86"/>
      <c r="M53" s="86"/>
      <c r="N53" s="487" t="s">
        <v>345</v>
      </c>
      <c r="O53" s="492">
        <f t="shared" ref="O53:AA53" si="8">ROUND(IFERROR(O49/O51,0),2)</f>
        <v>0</v>
      </c>
      <c r="P53" s="493">
        <f t="shared" si="8"/>
        <v>0</v>
      </c>
      <c r="Q53" s="493">
        <f t="shared" si="8"/>
        <v>0</v>
      </c>
      <c r="R53" s="493">
        <f t="shared" si="8"/>
        <v>0</v>
      </c>
      <c r="S53" s="493">
        <f t="shared" si="8"/>
        <v>0</v>
      </c>
      <c r="T53" s="493">
        <f t="shared" si="8"/>
        <v>0</v>
      </c>
      <c r="U53" s="493">
        <f t="shared" si="8"/>
        <v>0</v>
      </c>
      <c r="V53" s="493">
        <f t="shared" si="8"/>
        <v>0</v>
      </c>
      <c r="W53" s="493">
        <f t="shared" si="8"/>
        <v>0</v>
      </c>
      <c r="X53" s="493">
        <f t="shared" si="8"/>
        <v>0</v>
      </c>
      <c r="Y53" s="493">
        <f t="shared" si="8"/>
        <v>0</v>
      </c>
      <c r="Z53" s="493">
        <f t="shared" si="8"/>
        <v>0</v>
      </c>
      <c r="AA53" s="493">
        <f t="shared" si="8"/>
        <v>0</v>
      </c>
      <c r="AB53" s="494"/>
      <c r="AC53" s="136"/>
      <c r="AD53" s="492">
        <f>ROUND(IFERROR(AD49/AD51,0),2)</f>
        <v>0</v>
      </c>
      <c r="AE53" s="493"/>
      <c r="AF53" s="151"/>
      <c r="AG53" s="492">
        <f>ROUND(IFERROR(AG49/AG51,0),2)</f>
        <v>0</v>
      </c>
      <c r="AH53" s="493"/>
      <c r="AI53" s="151"/>
    </row>
    <row r="54" spans="1:35" x14ac:dyDescent="0.25">
      <c r="A54" s="61" t="s">
        <v>42</v>
      </c>
      <c r="B54" s="62"/>
      <c r="C54" s="11"/>
      <c r="D54" s="11"/>
      <c r="E54" s="11"/>
      <c r="F54" s="11"/>
      <c r="G54" s="11"/>
      <c r="H54" s="84"/>
      <c r="I54" s="118"/>
      <c r="J54" s="118"/>
      <c r="K54" s="86"/>
      <c r="L54" s="86"/>
      <c r="M54" s="86"/>
      <c r="N54" s="49" t="s">
        <v>316</v>
      </c>
      <c r="O54" s="495" t="b">
        <f t="shared" ref="O54:AA54" si="9">ROUND(O52,2)=ROUND(O53,2)</f>
        <v>1</v>
      </c>
      <c r="P54" s="496" t="b">
        <f t="shared" si="9"/>
        <v>1</v>
      </c>
      <c r="Q54" s="496" t="b">
        <f t="shared" si="9"/>
        <v>1</v>
      </c>
      <c r="R54" s="496" t="b">
        <f t="shared" si="9"/>
        <v>1</v>
      </c>
      <c r="S54" s="496" t="b">
        <f t="shared" si="9"/>
        <v>1</v>
      </c>
      <c r="T54" s="496" t="b">
        <f t="shared" si="9"/>
        <v>1</v>
      </c>
      <c r="U54" s="496" t="b">
        <f t="shared" si="9"/>
        <v>1</v>
      </c>
      <c r="V54" s="496" t="b">
        <f t="shared" si="9"/>
        <v>1</v>
      </c>
      <c r="W54" s="496" t="b">
        <f t="shared" si="9"/>
        <v>1</v>
      </c>
      <c r="X54" s="496" t="b">
        <f t="shared" si="9"/>
        <v>1</v>
      </c>
      <c r="Y54" s="496" t="b">
        <f t="shared" si="9"/>
        <v>1</v>
      </c>
      <c r="Z54" s="496" t="b">
        <f t="shared" si="9"/>
        <v>1</v>
      </c>
      <c r="AA54" s="496" t="e">
        <f t="shared" si="9"/>
        <v>#VALUE!</v>
      </c>
      <c r="AB54" s="497"/>
      <c r="AC54" s="498"/>
      <c r="AD54" s="495"/>
      <c r="AE54" s="496" t="b">
        <f>ROUND(AD52,2)=ROUND(AD53,2)</f>
        <v>1</v>
      </c>
      <c r="AF54" s="497"/>
      <c r="AG54" s="495"/>
      <c r="AH54" s="496" t="b">
        <f>ROUND(AG52,2)=ROUND(AG53,2)</f>
        <v>1</v>
      </c>
      <c r="AI54" s="497"/>
    </row>
    <row r="55" spans="1:35" x14ac:dyDescent="0.25">
      <c r="A55" s="61" t="s">
        <v>43</v>
      </c>
      <c r="B55" s="62"/>
      <c r="C55" s="11"/>
      <c r="D55" s="11"/>
      <c r="E55" s="11"/>
      <c r="F55" s="11"/>
      <c r="G55" s="11"/>
      <c r="H55" s="84" t="s">
        <v>262</v>
      </c>
      <c r="I55" s="118" t="str">
        <f>IF(_epmOfflineCondition_,"T5",_xll.EVPRO($B$1,$H55,"STYLE"))</f>
        <v>T5</v>
      </c>
      <c r="J55" s="118" t="str">
        <f>IF(_epmOfflineCondition_,"Y",_xll.EVPRO($B$1,$H55,"CALC"))</f>
        <v>Y</v>
      </c>
      <c r="K55" s="86"/>
      <c r="L55" s="86" t="str">
        <f>IF(_epmOfflineCondition_,"463100",_xll.EVPRO($B$1,H55,"JDEID"))</f>
        <v>463100</v>
      </c>
      <c r="M55" s="86" t="str">
        <f>IF(_epmOfflineCondition_,"",IF(AND(I55="N",J55="N"),_xll.EVPRO($B$1,H55,"PSFTID"),""))</f>
        <v/>
      </c>
      <c r="N55" s="86" t="str">
        <f>IF(_epmOfflineCondition_,"Dinner Food",IF(_xll.EVDES(H55,$B$1)="#NODATA","",_xll.EVDES(H55,$B$1)))</f>
        <v>Dinner Food</v>
      </c>
      <c r="O55" s="134"/>
      <c r="P55" s="134"/>
      <c r="Q55" s="134"/>
      <c r="R55" s="134"/>
      <c r="S55" s="134"/>
      <c r="T55" s="134"/>
      <c r="U55" s="134"/>
      <c r="V55" s="134"/>
      <c r="W55" s="134"/>
      <c r="X55" s="134"/>
      <c r="Y55" s="134"/>
      <c r="Z55" s="134"/>
      <c r="AA55" s="134">
        <f t="shared" ref="AA55:AA61" si="10">SUM(O55:Z55)</f>
        <v>0</v>
      </c>
      <c r="AB55" s="138" t="str">
        <f>IF(AA55=0,"",IFERROR(AA55/AA$19,""))</f>
        <v/>
      </c>
      <c r="AC55" s="136"/>
      <c r="AD55" s="134"/>
      <c r="AE55" s="138" t="str">
        <f>IF(AD55=0,"",IFERROR(AD55/AD$19,""))</f>
        <v/>
      </c>
      <c r="AF55" s="137">
        <f t="shared" ref="AF55:AF62" si="11">IF(AND($AA55="",AD55=""),"",$AA55-AD55)</f>
        <v>0</v>
      </c>
      <c r="AG55" s="134"/>
      <c r="AH55" s="138" t="str">
        <f>IF(AG55=0,"",IFERROR(AG55/AG$19,""))</f>
        <v/>
      </c>
      <c r="AI55" s="137">
        <f t="shared" ref="AI55:AI62" si="12">IF(AND($AA55="",AG55=""),"",$AA55-AG55)</f>
        <v>0</v>
      </c>
    </row>
    <row r="56" spans="1:35" x14ac:dyDescent="0.25">
      <c r="A56" s="61" t="s">
        <v>44</v>
      </c>
      <c r="B56" s="62"/>
      <c r="C56" s="11"/>
      <c r="D56" s="11"/>
      <c r="E56" s="11"/>
      <c r="F56" s="11"/>
      <c r="G56" s="11"/>
      <c r="H56" s="84" t="s">
        <v>302</v>
      </c>
      <c r="I56" s="118" t="str">
        <f>IF(_epmOfflineCondition_,"T6",_xll.EVPRO($B$1,$H56,"STYLE"))</f>
        <v>T6</v>
      </c>
      <c r="J56" s="118" t="str">
        <f>IF(_epmOfflineCondition_,"Y",_xll.EVPRO($B$1,$H56,"CALC"))</f>
        <v>Y</v>
      </c>
      <c r="K56" s="86"/>
      <c r="L56" s="86" t="str">
        <f>IF(_epmOfflineCondition_,"463200",_xll.EVPRO($B$1,H56,"JDEID"))</f>
        <v>463200</v>
      </c>
      <c r="M56" s="86" t="str">
        <f>IF(_epmOfflineCondition_,"",IF(AND(I56="N",J56="N"),_xll.EVPRO($B$1,H56,"PSFTID"),""))</f>
        <v/>
      </c>
      <c r="N56" s="86" t="str">
        <f>IF(_epmOfflineCondition_,"Dinner Liquor",IF(_xll.EVDES(H56,$B$1)="#NODATA","",_xll.EVDES(H56,$B$1)))</f>
        <v>Dinner Liquor</v>
      </c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/>
      <c r="Z56" s="134"/>
      <c r="AA56" s="134">
        <f t="shared" si="10"/>
        <v>0</v>
      </c>
      <c r="AB56" s="138" t="str">
        <f>IF(AA56=0,"",IFERROR(AA56/AA$19,""))</f>
        <v/>
      </c>
      <c r="AC56" s="136"/>
      <c r="AD56" s="134"/>
      <c r="AE56" s="138" t="str">
        <f>IF(AD56=0,"",IFERROR(AD56/AD$19,""))</f>
        <v/>
      </c>
      <c r="AF56" s="137">
        <f t="shared" si="11"/>
        <v>0</v>
      </c>
      <c r="AG56" s="134"/>
      <c r="AH56" s="138" t="str">
        <f>IF(AG56=0,"",IFERROR(AG56/AG$19,""))</f>
        <v/>
      </c>
      <c r="AI56" s="137">
        <f t="shared" si="12"/>
        <v>0</v>
      </c>
    </row>
    <row r="57" spans="1:35" x14ac:dyDescent="0.25">
      <c r="A57" s="61" t="s">
        <v>45</v>
      </c>
      <c r="B57" s="62"/>
      <c r="C57" s="11"/>
      <c r="D57" s="11"/>
      <c r="E57" s="11"/>
      <c r="F57" s="11"/>
      <c r="G57" s="11"/>
      <c r="H57" s="84" t="s">
        <v>306</v>
      </c>
      <c r="I57" s="118" t="str">
        <f>IF(_epmOfflineCondition_,"T6",_xll.EVPRO($B$1,$H57,"STYLE"))</f>
        <v>T6</v>
      </c>
      <c r="J57" s="118" t="str">
        <f>IF(_epmOfflineCondition_,"Y",_xll.EVPRO($B$1,$H57,"CALC"))</f>
        <v>Y</v>
      </c>
      <c r="K57" s="86"/>
      <c r="L57" s="86" t="str">
        <f>IF(_epmOfflineCondition_,"463300",_xll.EVPRO($B$1,H57,"JDEID"))</f>
        <v>463300</v>
      </c>
      <c r="M57" s="86" t="str">
        <f>IF(_epmOfflineCondition_,"",IF(AND(I57="N",J57="N"),_xll.EVPRO($B$1,H57,"PSFTID"),""))</f>
        <v/>
      </c>
      <c r="N57" s="86" t="str">
        <f>IF(_epmOfflineCondition_,"Dinner Beer",IF(_xll.EVDES(H57,$B$1)="#NODATA","",_xll.EVDES(H57,$B$1)))</f>
        <v>Dinner Beer</v>
      </c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>
        <f t="shared" si="10"/>
        <v>0</v>
      </c>
      <c r="AB57" s="138" t="str">
        <f>IF(AA57=0,"",IFERROR(AA57/AA$19,""))</f>
        <v/>
      </c>
      <c r="AC57" s="136"/>
      <c r="AD57" s="134"/>
      <c r="AE57" s="138" t="str">
        <f>IF(AD57=0,"",IFERROR(AD57/AD$19,""))</f>
        <v/>
      </c>
      <c r="AF57" s="137">
        <f t="shared" si="11"/>
        <v>0</v>
      </c>
      <c r="AG57" s="134"/>
      <c r="AH57" s="138" t="str">
        <f>IF(AG57=0,"",IFERROR(AG57/AG$19,""))</f>
        <v/>
      </c>
      <c r="AI57" s="137">
        <f t="shared" si="12"/>
        <v>0</v>
      </c>
    </row>
    <row r="58" spans="1:35" x14ac:dyDescent="0.25">
      <c r="A58" s="61" t="s">
        <v>46</v>
      </c>
      <c r="B58" s="62"/>
      <c r="C58" s="11"/>
      <c r="D58" s="11"/>
      <c r="E58" s="11"/>
      <c r="F58" s="11"/>
      <c r="G58" s="11"/>
      <c r="H58" s="84" t="s">
        <v>304</v>
      </c>
      <c r="I58" s="118" t="str">
        <f>IF(_epmOfflineCondition_,"T6",_xll.EVPRO($B$1,$H58,"STYLE"))</f>
        <v>T6</v>
      </c>
      <c r="J58" s="118" t="str">
        <f>IF(_epmOfflineCondition_,"Y",_xll.EVPRO($B$1,$H58,"CALC"))</f>
        <v>Y</v>
      </c>
      <c r="K58" s="86"/>
      <c r="L58" s="86" t="str">
        <f>IF(_epmOfflineCondition_,"463400",_xll.EVPRO($B$1,H58,"JDEID"))</f>
        <v>463400</v>
      </c>
      <c r="M58" s="86" t="str">
        <f>IF(_epmOfflineCondition_,"",IF(AND(I58="N",J58="N"),_xll.EVPRO($B$1,H58,"PSFTID"),""))</f>
        <v/>
      </c>
      <c r="N58" s="86" t="str">
        <f>IF(_epmOfflineCondition_,"Dinner Wine",IF(_xll.EVDES(H58,$B$1)="#NODATA","",_xll.EVDES(H58,$B$1)))</f>
        <v>Dinner Wine</v>
      </c>
      <c r="O58" s="228"/>
      <c r="P58" s="228"/>
      <c r="Q58" s="228"/>
      <c r="R58" s="228"/>
      <c r="S58" s="228"/>
      <c r="T58" s="228"/>
      <c r="U58" s="228"/>
      <c r="V58" s="228"/>
      <c r="W58" s="228"/>
      <c r="X58" s="228"/>
      <c r="Y58" s="228"/>
      <c r="Z58" s="228"/>
      <c r="AA58" s="228">
        <f t="shared" si="10"/>
        <v>0</v>
      </c>
      <c r="AB58" s="230" t="str">
        <f>IF(AA58=0,"",IFERROR(AA58/AA$19,""))</f>
        <v/>
      </c>
      <c r="AC58" s="136"/>
      <c r="AD58" s="228"/>
      <c r="AE58" s="230" t="str">
        <f>IF(AD58=0,"",IFERROR(AD58/AD$19,""))</f>
        <v/>
      </c>
      <c r="AF58" s="231">
        <f t="shared" si="11"/>
        <v>0</v>
      </c>
      <c r="AG58" s="228"/>
      <c r="AH58" s="230" t="str">
        <f>IF(AG58=0,"",IFERROR(AG58/AG$19,""))</f>
        <v/>
      </c>
      <c r="AI58" s="231">
        <f t="shared" si="12"/>
        <v>0</v>
      </c>
    </row>
    <row r="59" spans="1:35" x14ac:dyDescent="0.25">
      <c r="A59" s="11"/>
      <c r="B59" s="11"/>
      <c r="C59" s="11"/>
      <c r="D59" s="11"/>
      <c r="E59" s="11"/>
      <c r="F59" s="11"/>
      <c r="G59" s="11"/>
      <c r="H59" s="84" t="s">
        <v>320</v>
      </c>
      <c r="I59" s="118" t="str">
        <f>IF(_epmOfflineCondition_,"N",_xll.EVPRO($B$1,$H59,"STYLE"))</f>
        <v>N</v>
      </c>
      <c r="J59" s="118" t="str">
        <f>IF(_epmOfflineCondition_,"Y",_xll.EVPRO($B$1,$H59,"CALC"))</f>
        <v>Y</v>
      </c>
      <c r="K59" s="86"/>
      <c r="L59" s="86" t="str">
        <f>IF(_epmOfflineCondition_,"",_xll.EVPRO($B$1,H59,"JDEID"))</f>
        <v/>
      </c>
      <c r="M59" s="86" t="str">
        <f>IF(_epmOfflineCondition_,"",IF(AND(I59="N",J59="N"),_xll.EVPRO($B$1,H59,"PSFTID"),""))</f>
        <v/>
      </c>
      <c r="N59" s="102" t="str">
        <f>IF(_epmOfflineCondition_,"Dinner Revenue",IF(_xll.EVDES(H59,$B$1)="#NODATA","",_xll.EVDES(H59,$B$1)))</f>
        <v>Dinner Revenue</v>
      </c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158">
        <f t="shared" si="10"/>
        <v>0</v>
      </c>
      <c r="AB59" s="159" t="str">
        <f>IF(AA59=0,"",IFERROR(AA59/AA$19,""))</f>
        <v/>
      </c>
      <c r="AC59" s="136"/>
      <c r="AD59" s="158"/>
      <c r="AE59" s="159" t="str">
        <f>IF(AD59=0,"",IFERROR(AD59/AD$19,""))</f>
        <v/>
      </c>
      <c r="AF59" s="160">
        <f t="shared" si="11"/>
        <v>0</v>
      </c>
      <c r="AG59" s="158"/>
      <c r="AH59" s="159" t="str">
        <f>IF(AG59=0,"",IFERROR(AG59/AG$19,""))</f>
        <v/>
      </c>
      <c r="AI59" s="160">
        <f t="shared" si="12"/>
        <v>0</v>
      </c>
    </row>
    <row r="60" spans="1:35" x14ac:dyDescent="0.25">
      <c r="A60" s="11"/>
      <c r="B60" s="11"/>
      <c r="C60" s="11"/>
      <c r="D60" s="11"/>
      <c r="E60" s="11"/>
      <c r="F60" s="11"/>
      <c r="G60" s="11"/>
      <c r="H60" s="84" t="s">
        <v>766</v>
      </c>
      <c r="I60" s="118" t="str">
        <f>IF(_epmOfflineCondition_,"N",_xll.EVPRO($B$1,$H60,"STYLE"))</f>
        <v>N</v>
      </c>
      <c r="J60" s="118" t="str">
        <f>IF(_epmOfflineCondition_,"N",_xll.EVPRO($B$1,$H60,"CALC"))</f>
        <v>N</v>
      </c>
      <c r="K60" s="86"/>
      <c r="L60" s="86" t="str">
        <f>IF(_epmOfflineCondition_,"947300",_xll.EVPRO($B$1,H60,"JDEID"))</f>
        <v>947300</v>
      </c>
      <c r="M60" s="86" t="str">
        <f>IF(_epmOfflineCondition_,"999993",IF(AND(I60="N",J60="N"),_xll.EVPRO($B$1,H60,"PSFTID"),""))</f>
        <v>999993</v>
      </c>
      <c r="N60" s="86" t="str">
        <f>IF(_epmOfflineCondition_,"# of Operating Days - Dinner",IF(_xll.EVDES(H60,$B$1)="#NODATA","",_xll.EVDES(H60,$B$1)))</f>
        <v># of Operating Days - Dinner</v>
      </c>
      <c r="O60" s="240"/>
      <c r="P60" s="240"/>
      <c r="Q60" s="240"/>
      <c r="R60" s="240"/>
      <c r="S60" s="240"/>
      <c r="T60" s="240"/>
      <c r="U60" s="240"/>
      <c r="V60" s="240"/>
      <c r="W60" s="240"/>
      <c r="X60" s="240"/>
      <c r="Y60" s="240"/>
      <c r="Z60" s="240"/>
      <c r="AA60" s="240">
        <f t="shared" si="10"/>
        <v>0</v>
      </c>
      <c r="AB60" s="242"/>
      <c r="AC60" s="136"/>
      <c r="AD60" s="240"/>
      <c r="AE60" s="242"/>
      <c r="AF60" s="243">
        <f t="shared" si="11"/>
        <v>0</v>
      </c>
      <c r="AG60" s="240"/>
      <c r="AH60" s="242"/>
      <c r="AI60" s="243">
        <f t="shared" si="12"/>
        <v>0</v>
      </c>
    </row>
    <row r="61" spans="1:35" x14ac:dyDescent="0.25">
      <c r="A61" s="11"/>
      <c r="B61" s="11"/>
      <c r="C61" s="11"/>
      <c r="D61" s="11"/>
      <c r="E61" s="11"/>
      <c r="F61" s="11"/>
      <c r="G61" s="11"/>
      <c r="H61" s="84" t="s">
        <v>299</v>
      </c>
      <c r="I61" s="118" t="str">
        <f>IF(_epmOfflineCondition_,"N",_xll.EVPRO($B$1,$H61,"STYLE"))</f>
        <v>N</v>
      </c>
      <c r="J61" s="118" t="str">
        <f>IF(_epmOfflineCondition_,"N",_xll.EVPRO($B$1,$H61,"CALC"))</f>
        <v>N</v>
      </c>
      <c r="K61" s="86"/>
      <c r="L61" s="86" t="str">
        <f>IF(_epmOfflineCondition_,"946300",_xll.EVPRO($B$1,H61,"JDEID"))</f>
        <v>946300</v>
      </c>
      <c r="M61" s="86" t="str">
        <f>IF(_epmOfflineCondition_,"991503",IF(AND(I61="N",J61="N"),_xll.EVPRO($B$1,H61,"PSFTID"),""))</f>
        <v>991503</v>
      </c>
      <c r="N61" s="86" t="str">
        <f>IF(_epmOfflineCondition_,"Dinner Customers",IF(_xll.EVDES(H61,$B$1)="#NODATA","",_xll.EVDES(H61,$B$1)))</f>
        <v>Dinner Customers</v>
      </c>
      <c r="O61" s="240"/>
      <c r="P61" s="240"/>
      <c r="Q61" s="240"/>
      <c r="R61" s="240"/>
      <c r="S61" s="240"/>
      <c r="T61" s="240"/>
      <c r="U61" s="240"/>
      <c r="V61" s="240"/>
      <c r="W61" s="240"/>
      <c r="X61" s="240"/>
      <c r="Y61" s="240"/>
      <c r="Z61" s="240"/>
      <c r="AA61" s="240">
        <f t="shared" si="10"/>
        <v>0</v>
      </c>
      <c r="AB61" s="242" t="str">
        <f>IF(AA61=0,"",IFERROR(AA61/AA$87,""))</f>
        <v/>
      </c>
      <c r="AC61" s="136"/>
      <c r="AD61" s="240"/>
      <c r="AE61" s="242" t="str">
        <f>IF(AD61=0,"",IFERROR(AD61/AD$87,""))</f>
        <v/>
      </c>
      <c r="AF61" s="243">
        <f t="shared" si="11"/>
        <v>0</v>
      </c>
      <c r="AG61" s="240"/>
      <c r="AH61" s="242" t="str">
        <f>IF(AG61=0,"",IFERROR(AG61/AG$87,""))</f>
        <v/>
      </c>
      <c r="AI61" s="243">
        <f t="shared" si="12"/>
        <v>0</v>
      </c>
    </row>
    <row r="62" spans="1:35" x14ac:dyDescent="0.25">
      <c r="A62" s="11"/>
      <c r="B62" s="11"/>
      <c r="C62" s="11"/>
      <c r="D62" s="11"/>
      <c r="E62" s="11"/>
      <c r="F62" s="11"/>
      <c r="G62" s="11"/>
      <c r="H62" s="181" t="s">
        <v>317</v>
      </c>
      <c r="I62" s="118" t="str">
        <f>IF(_epmOfflineCondition_,"N",_xll.EVPRO($B$1,$H62,"STYLE"))</f>
        <v>N</v>
      </c>
      <c r="J62" s="118" t="str">
        <f>IF(_epmOfflineCondition_,"Y",_xll.EVPRO($B$1,$H62,"CALC"))</f>
        <v>Y</v>
      </c>
      <c r="K62" s="86"/>
      <c r="L62" s="86" t="str">
        <f>IF(_epmOfflineCondition_,"",_xll.EVPRO($B$1,H62,"JDEID"))</f>
        <v/>
      </c>
      <c r="M62" s="86" t="str">
        <f>IF(_epmOfflineCondition_,"",IF(AND(I62="N",J62="N"),_xll.EVPRO($B$1,H62,"PSFTID"),""))</f>
        <v/>
      </c>
      <c r="N62" s="186" t="str">
        <f>IF(_epmOfflineCondition_,"Dinner - Average Check",IF(_xll.EVDES(H62,$B$1)="#NODATA","",_xll.EVDES(H62,$B$1)))</f>
        <v>Dinner - Average Check</v>
      </c>
      <c r="O62" s="490"/>
      <c r="P62" s="490"/>
      <c r="Q62" s="490"/>
      <c r="R62" s="490"/>
      <c r="S62" s="490"/>
      <c r="T62" s="490"/>
      <c r="U62" s="490"/>
      <c r="V62" s="490"/>
      <c r="W62" s="490"/>
      <c r="X62" s="490"/>
      <c r="Y62" s="490"/>
      <c r="Z62" s="490"/>
      <c r="AA62" s="490" t="str">
        <f>IFERROR(AA59/AA61,"")</f>
        <v/>
      </c>
      <c r="AB62" s="490"/>
      <c r="AC62" s="136"/>
      <c r="AD62" s="490"/>
      <c r="AE62" s="490"/>
      <c r="AF62" s="491" t="str">
        <f t="shared" si="11"/>
        <v/>
      </c>
      <c r="AG62" s="490"/>
      <c r="AH62" s="490"/>
      <c r="AI62" s="491" t="str">
        <f t="shared" si="12"/>
        <v/>
      </c>
    </row>
    <row r="63" spans="1:35" x14ac:dyDescent="0.25">
      <c r="A63" s="11"/>
      <c r="B63" s="11"/>
      <c r="C63" s="11"/>
      <c r="D63" s="11"/>
      <c r="E63" s="11"/>
      <c r="F63" s="11"/>
      <c r="G63" s="486">
        <f>COUNTIF(O64:AI64,FALSE)</f>
        <v>0</v>
      </c>
      <c r="H63" s="84"/>
      <c r="I63" s="118"/>
      <c r="J63" s="118"/>
      <c r="K63" s="86"/>
      <c r="L63" s="86"/>
      <c r="M63" s="86"/>
      <c r="N63" s="487" t="s">
        <v>345</v>
      </c>
      <c r="O63" s="492">
        <f t="shared" ref="O63:AA63" si="13">ROUND(IFERROR(O59/O61,0),2)</f>
        <v>0</v>
      </c>
      <c r="P63" s="493">
        <f t="shared" si="13"/>
        <v>0</v>
      </c>
      <c r="Q63" s="493">
        <f t="shared" si="13"/>
        <v>0</v>
      </c>
      <c r="R63" s="493">
        <f t="shared" si="13"/>
        <v>0</v>
      </c>
      <c r="S63" s="493">
        <f t="shared" si="13"/>
        <v>0</v>
      </c>
      <c r="T63" s="493">
        <f t="shared" si="13"/>
        <v>0</v>
      </c>
      <c r="U63" s="493">
        <f t="shared" si="13"/>
        <v>0</v>
      </c>
      <c r="V63" s="493">
        <f t="shared" si="13"/>
        <v>0</v>
      </c>
      <c r="W63" s="493">
        <f t="shared" si="13"/>
        <v>0</v>
      </c>
      <c r="X63" s="493">
        <f t="shared" si="13"/>
        <v>0</v>
      </c>
      <c r="Y63" s="493">
        <f t="shared" si="13"/>
        <v>0</v>
      </c>
      <c r="Z63" s="493">
        <f t="shared" si="13"/>
        <v>0</v>
      </c>
      <c r="AA63" s="493">
        <f t="shared" si="13"/>
        <v>0</v>
      </c>
      <c r="AB63" s="494"/>
      <c r="AC63" s="136"/>
      <c r="AD63" s="492">
        <f>ROUND(IFERROR(AD59/AD61,0),2)</f>
        <v>0</v>
      </c>
      <c r="AE63" s="493"/>
      <c r="AF63" s="151"/>
      <c r="AG63" s="492">
        <f>ROUND(IFERROR(AG59/AG61,0),2)</f>
        <v>0</v>
      </c>
      <c r="AH63" s="493"/>
      <c r="AI63" s="151"/>
    </row>
    <row r="64" spans="1:35" x14ac:dyDescent="0.25">
      <c r="A64" s="11"/>
      <c r="B64" s="11"/>
      <c r="C64" s="11"/>
      <c r="D64" s="11"/>
      <c r="E64" s="11"/>
      <c r="F64" s="11"/>
      <c r="G64" s="11"/>
      <c r="H64" s="181"/>
      <c r="I64" s="118"/>
      <c r="J64" s="118"/>
      <c r="K64" s="86"/>
      <c r="L64" s="86"/>
      <c r="M64" s="86"/>
      <c r="N64" s="49" t="s">
        <v>307</v>
      </c>
      <c r="O64" s="495" t="b">
        <f t="shared" ref="O64:AA64" si="14">ROUND(O62,2)=ROUND(O63,2)</f>
        <v>1</v>
      </c>
      <c r="P64" s="496" t="b">
        <f t="shared" si="14"/>
        <v>1</v>
      </c>
      <c r="Q64" s="496" t="b">
        <f t="shared" si="14"/>
        <v>1</v>
      </c>
      <c r="R64" s="496" t="b">
        <f t="shared" si="14"/>
        <v>1</v>
      </c>
      <c r="S64" s="496" t="b">
        <f t="shared" si="14"/>
        <v>1</v>
      </c>
      <c r="T64" s="496" t="b">
        <f t="shared" si="14"/>
        <v>1</v>
      </c>
      <c r="U64" s="496" t="b">
        <f t="shared" si="14"/>
        <v>1</v>
      </c>
      <c r="V64" s="496" t="b">
        <f t="shared" si="14"/>
        <v>1</v>
      </c>
      <c r="W64" s="496" t="b">
        <f t="shared" si="14"/>
        <v>1</v>
      </c>
      <c r="X64" s="496" t="b">
        <f t="shared" si="14"/>
        <v>1</v>
      </c>
      <c r="Y64" s="496" t="b">
        <f t="shared" si="14"/>
        <v>1</v>
      </c>
      <c r="Z64" s="496" t="b">
        <f t="shared" si="14"/>
        <v>1</v>
      </c>
      <c r="AA64" s="496" t="e">
        <f t="shared" si="14"/>
        <v>#VALUE!</v>
      </c>
      <c r="AB64" s="497"/>
      <c r="AC64" s="498"/>
      <c r="AD64" s="495"/>
      <c r="AE64" s="496" t="b">
        <f>ROUND(AD62,2)=ROUND(AD63,2)</f>
        <v>1</v>
      </c>
      <c r="AF64" s="497"/>
      <c r="AG64" s="495"/>
      <c r="AH64" s="496" t="b">
        <f>ROUND(AG62,2)=ROUND(AG63,2)</f>
        <v>1</v>
      </c>
      <c r="AI64" s="497"/>
    </row>
    <row r="65" spans="1:35" x14ac:dyDescent="0.25">
      <c r="A65" s="11"/>
      <c r="B65" s="11"/>
      <c r="C65" s="11"/>
      <c r="D65" s="11"/>
      <c r="E65" s="11"/>
      <c r="F65" s="11"/>
      <c r="G65" s="11"/>
      <c r="H65" s="181" t="s">
        <v>263</v>
      </c>
      <c r="I65" s="118" t="str">
        <f>IF(_epmOfflineCondition_,"T5",_xll.EVPRO($B$1,$H65,"STYLE"))</f>
        <v>T5</v>
      </c>
      <c r="J65" s="118" t="str">
        <f>IF(_epmOfflineCondition_,"Y",_xll.EVPRO($B$1,$H65,"CALC"))</f>
        <v>Y</v>
      </c>
      <c r="K65" s="86"/>
      <c r="L65" s="86" t="str">
        <f>IF(_epmOfflineCondition_,"464100",_xll.EVPRO($B$1,H65,"JDEID"))</f>
        <v>464100</v>
      </c>
      <c r="M65" s="86" t="str">
        <f>IF(_epmOfflineCondition_,"",IF(AND(I65="N",J65="N"),_xll.EVPRO($B$1,H65,"PSFTID"),""))</f>
        <v/>
      </c>
      <c r="N65" s="86" t="str">
        <f>IF(_epmOfflineCondition_,"Bar Food",IF(_xll.EVDES(H65,$B$1)="#NODATA","",_xll.EVDES(H65,$B$1)))</f>
        <v>Bar Food</v>
      </c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>
        <f t="shared" ref="AA65:AA71" si="15">SUM(O65:Z65)</f>
        <v>0</v>
      </c>
      <c r="AB65" s="138" t="str">
        <f>IF(AA65=0,"",IFERROR(AA65/AA$19,""))</f>
        <v/>
      </c>
      <c r="AC65" s="136"/>
      <c r="AD65" s="134"/>
      <c r="AE65" s="138" t="str">
        <f>IF(AD65=0,"",IFERROR(AD65/AD$19,""))</f>
        <v/>
      </c>
      <c r="AF65" s="137">
        <f t="shared" ref="AF65:AF72" si="16">IF(AND($AA65="",AD65=""),"",$AA65-AD65)</f>
        <v>0</v>
      </c>
      <c r="AG65" s="134"/>
      <c r="AH65" s="138" t="str">
        <f>IF(AG65=0,"",IFERROR(AG65/AG$19,""))</f>
        <v/>
      </c>
      <c r="AI65" s="137">
        <f t="shared" ref="AI65:AI72" si="17">IF(AND($AA65="",AG65=""),"",$AA65-AG65)</f>
        <v>0</v>
      </c>
    </row>
    <row r="66" spans="1:35" x14ac:dyDescent="0.25">
      <c r="A66" s="11"/>
      <c r="B66" s="11"/>
      <c r="C66" s="11"/>
      <c r="D66" s="11"/>
      <c r="E66" s="11"/>
      <c r="F66" s="11"/>
      <c r="G66" s="11"/>
      <c r="H66" s="181" t="s">
        <v>308</v>
      </c>
      <c r="I66" s="118" t="str">
        <f>IF(_epmOfflineCondition_,"T6",_xll.EVPRO($B$1,$H66,"STYLE"))</f>
        <v>T6</v>
      </c>
      <c r="J66" s="118" t="str">
        <f>IF(_epmOfflineCondition_,"Y",_xll.EVPRO($B$1,$H66,"CALC"))</f>
        <v>Y</v>
      </c>
      <c r="K66" s="86"/>
      <c r="L66" s="86" t="str">
        <f>IF(_epmOfflineCondition_,"464200",_xll.EVPRO($B$1,H66,"JDEID"))</f>
        <v>464200</v>
      </c>
      <c r="M66" s="86" t="str">
        <f>IF(_epmOfflineCondition_,"",IF(AND(I66="N",J66="N"),_xll.EVPRO($B$1,H66,"PSFTID"),""))</f>
        <v/>
      </c>
      <c r="N66" s="86" t="str">
        <f>IF(_epmOfflineCondition_,"Bar Liquor",IF(_xll.EVDES(H66,$B$1)="#NODATA","",_xll.EVDES(H66,$B$1)))</f>
        <v>Bar Liquor</v>
      </c>
      <c r="O66" s="134"/>
      <c r="P66" s="134"/>
      <c r="Q66" s="134"/>
      <c r="R66" s="134"/>
      <c r="S66" s="134"/>
      <c r="T66" s="134"/>
      <c r="U66" s="134"/>
      <c r="V66" s="134"/>
      <c r="W66" s="134"/>
      <c r="X66" s="134"/>
      <c r="Y66" s="134"/>
      <c r="Z66" s="134"/>
      <c r="AA66" s="134">
        <f t="shared" si="15"/>
        <v>0</v>
      </c>
      <c r="AB66" s="138" t="str">
        <f>IF(AA66=0,"",IFERROR(AA66/AA$19,""))</f>
        <v/>
      </c>
      <c r="AC66" s="136"/>
      <c r="AD66" s="134"/>
      <c r="AE66" s="138" t="str">
        <f>IF(AD66=0,"",IFERROR(AD66/AD$19,""))</f>
        <v/>
      </c>
      <c r="AF66" s="137">
        <f t="shared" si="16"/>
        <v>0</v>
      </c>
      <c r="AG66" s="134"/>
      <c r="AH66" s="138" t="str">
        <f>IF(AG66=0,"",IFERROR(AG66/AG$19,""))</f>
        <v/>
      </c>
      <c r="AI66" s="137">
        <f t="shared" si="17"/>
        <v>0</v>
      </c>
    </row>
    <row r="67" spans="1:35" x14ac:dyDescent="0.25">
      <c r="A67" s="11"/>
      <c r="B67" s="11"/>
      <c r="C67" s="11"/>
      <c r="D67" s="11"/>
      <c r="E67" s="11"/>
      <c r="F67" s="11"/>
      <c r="G67" s="11"/>
      <c r="H67" s="181" t="s">
        <v>310</v>
      </c>
      <c r="I67" s="118" t="str">
        <f>IF(_epmOfflineCondition_,"T6",_xll.EVPRO($B$1,$H67,"STYLE"))</f>
        <v>T6</v>
      </c>
      <c r="J67" s="118" t="str">
        <f>IF(_epmOfflineCondition_,"Y",_xll.EVPRO($B$1,$H67,"CALC"))</f>
        <v>Y</v>
      </c>
      <c r="K67" s="86"/>
      <c r="L67" s="86" t="str">
        <f>IF(_epmOfflineCondition_,"464300",_xll.EVPRO($B$1,H67,"JDEID"))</f>
        <v>464300</v>
      </c>
      <c r="M67" s="86" t="str">
        <f>IF(_epmOfflineCondition_,"",IF(AND(I67="N",J67="N"),_xll.EVPRO($B$1,H67,"PSFTID"),""))</f>
        <v/>
      </c>
      <c r="N67" s="86" t="str">
        <f>IF(_epmOfflineCondition_,"Bar Beer",IF(_xll.EVDES(H67,$B$1)="#NODATA","",_xll.EVDES(H67,$B$1)))</f>
        <v>Bar Beer</v>
      </c>
      <c r="O67" s="134"/>
      <c r="P67" s="134"/>
      <c r="Q67" s="134"/>
      <c r="R67" s="134"/>
      <c r="S67" s="134"/>
      <c r="T67" s="134"/>
      <c r="U67" s="134"/>
      <c r="V67" s="134"/>
      <c r="W67" s="134"/>
      <c r="X67" s="134"/>
      <c r="Y67" s="134"/>
      <c r="Z67" s="134"/>
      <c r="AA67" s="134">
        <f t="shared" si="15"/>
        <v>0</v>
      </c>
      <c r="AB67" s="138" t="str">
        <f>IF(AA67=0,"",IFERROR(AA67/AA$19,""))</f>
        <v/>
      </c>
      <c r="AC67" s="136"/>
      <c r="AD67" s="134"/>
      <c r="AE67" s="138" t="str">
        <f>IF(AD67=0,"",IFERROR(AD67/AD$19,""))</f>
        <v/>
      </c>
      <c r="AF67" s="137">
        <f t="shared" si="16"/>
        <v>0</v>
      </c>
      <c r="AG67" s="134"/>
      <c r="AH67" s="138" t="str">
        <f>IF(AG67=0,"",IFERROR(AG67/AG$19,""))</f>
        <v/>
      </c>
      <c r="AI67" s="137">
        <f t="shared" si="17"/>
        <v>0</v>
      </c>
    </row>
    <row r="68" spans="1:35" x14ac:dyDescent="0.25">
      <c r="A68" s="11"/>
      <c r="B68" s="11"/>
      <c r="C68" s="11"/>
      <c r="D68" s="11"/>
      <c r="E68" s="11"/>
      <c r="F68" s="11"/>
      <c r="G68" s="11"/>
      <c r="H68" s="181" t="s">
        <v>309</v>
      </c>
      <c r="I68" s="118" t="str">
        <f>IF(_epmOfflineCondition_,"T6",_xll.EVPRO($B$1,$H68,"STYLE"))</f>
        <v>T6</v>
      </c>
      <c r="J68" s="118" t="str">
        <f>IF(_epmOfflineCondition_,"Y",_xll.EVPRO($B$1,$H68,"CALC"))</f>
        <v>Y</v>
      </c>
      <c r="K68" s="86"/>
      <c r="L68" s="86" t="str">
        <f>IF(_epmOfflineCondition_,"464400",_xll.EVPRO($B$1,H68,"JDEID"))</f>
        <v>464400</v>
      </c>
      <c r="M68" s="86" t="str">
        <f>IF(_epmOfflineCondition_,"",IF(AND(I68="N",J68="N"),_xll.EVPRO($B$1,H68,"PSFTID"),""))</f>
        <v/>
      </c>
      <c r="N68" s="86" t="str">
        <f>IF(_epmOfflineCondition_,"Bar Wine",IF(_xll.EVDES(H68,$B$1)="#NODATA","",_xll.EVDES(H68,$B$1)))</f>
        <v>Bar Wine</v>
      </c>
      <c r="O68" s="228"/>
      <c r="P68" s="228"/>
      <c r="Q68" s="228"/>
      <c r="R68" s="228"/>
      <c r="S68" s="228"/>
      <c r="T68" s="228"/>
      <c r="U68" s="228"/>
      <c r="V68" s="228"/>
      <c r="W68" s="228"/>
      <c r="X68" s="228"/>
      <c r="Y68" s="228"/>
      <c r="Z68" s="228"/>
      <c r="AA68" s="228">
        <f t="shared" si="15"/>
        <v>0</v>
      </c>
      <c r="AB68" s="230" t="str">
        <f>IF(AA68=0,"",IFERROR(AA68/AA$19,""))</f>
        <v/>
      </c>
      <c r="AC68" s="136"/>
      <c r="AD68" s="228"/>
      <c r="AE68" s="230" t="str">
        <f>IF(AD68=0,"",IFERROR(AD68/AD$19,""))</f>
        <v/>
      </c>
      <c r="AF68" s="231">
        <f t="shared" si="16"/>
        <v>0</v>
      </c>
      <c r="AG68" s="228"/>
      <c r="AH68" s="230" t="str">
        <f>IF(AG68=0,"",IFERROR(AG68/AG$19,""))</f>
        <v/>
      </c>
      <c r="AI68" s="231">
        <f t="shared" si="17"/>
        <v>0</v>
      </c>
    </row>
    <row r="69" spans="1:35" x14ac:dyDescent="0.25">
      <c r="A69" s="11"/>
      <c r="B69" s="11"/>
      <c r="C69" s="11"/>
      <c r="D69" s="11"/>
      <c r="E69" s="11"/>
      <c r="F69" s="11"/>
      <c r="G69" s="11"/>
      <c r="H69" s="181" t="s">
        <v>327</v>
      </c>
      <c r="I69" s="118" t="str">
        <f>IF(_epmOfflineCondition_,"N",_xll.EVPRO($B$1,$H69,"STYLE"))</f>
        <v>N</v>
      </c>
      <c r="J69" s="118" t="str">
        <f>IF(_epmOfflineCondition_,"Y",_xll.EVPRO($B$1,$H69,"CALC"))</f>
        <v>Y</v>
      </c>
      <c r="K69" s="86"/>
      <c r="L69" s="86" t="str">
        <f>IF(_epmOfflineCondition_,"",_xll.EVPRO($B$1,H69,"JDEID"))</f>
        <v/>
      </c>
      <c r="M69" s="86" t="str">
        <f>IF(_epmOfflineCondition_,"",IF(AND(I69="N",J69="N"),_xll.EVPRO($B$1,H69,"PSFTID"),""))</f>
        <v/>
      </c>
      <c r="N69" s="102" t="str">
        <f>IF(_epmOfflineCondition_,"Bar Revenue",IF(_xll.EVDES(H69,$B$1)="#NODATA","",_xll.EVDES(H69,$B$1)))</f>
        <v>Bar Revenue</v>
      </c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>
        <f t="shared" si="15"/>
        <v>0</v>
      </c>
      <c r="AB69" s="159" t="str">
        <f>IF(AA69=0,"",IFERROR(AA69/AA$19,""))</f>
        <v/>
      </c>
      <c r="AC69" s="136"/>
      <c r="AD69" s="158"/>
      <c r="AE69" s="159" t="str">
        <f>IF(AD69=0,"",IFERROR(AD69/AD$19,""))</f>
        <v/>
      </c>
      <c r="AF69" s="160">
        <f t="shared" si="16"/>
        <v>0</v>
      </c>
      <c r="AG69" s="158"/>
      <c r="AH69" s="159" t="str">
        <f>IF(AG69=0,"",IFERROR(AG69/AG$19,""))</f>
        <v/>
      </c>
      <c r="AI69" s="160">
        <f t="shared" si="17"/>
        <v>0</v>
      </c>
    </row>
    <row r="70" spans="1:35" x14ac:dyDescent="0.25">
      <c r="A70" s="11"/>
      <c r="B70" s="11"/>
      <c r="C70" s="11"/>
      <c r="D70" s="11"/>
      <c r="E70" s="11"/>
      <c r="F70" s="11"/>
      <c r="G70" s="11"/>
      <c r="H70" s="181" t="s">
        <v>767</v>
      </c>
      <c r="I70" s="118" t="str">
        <f>IF(_epmOfflineCondition_,"N",_xll.EVPRO($B$1,$H70,"STYLE"))</f>
        <v>N</v>
      </c>
      <c r="J70" s="118" t="str">
        <f>IF(_epmOfflineCondition_,"N",_xll.EVPRO($B$1,$H70,"CALC"))</f>
        <v>N</v>
      </c>
      <c r="K70" s="86"/>
      <c r="L70" s="86" t="str">
        <f>IF(_epmOfflineCondition_,"947400",_xll.EVPRO($B$1,H70,"JDEID"))</f>
        <v>947400</v>
      </c>
      <c r="M70" s="86" t="str">
        <f>IF(_epmOfflineCondition_,"999994",IF(AND(I70="N",J70="N"),_xll.EVPRO($B$1,H70,"PSFTID"),""))</f>
        <v>999994</v>
      </c>
      <c r="N70" s="86" t="str">
        <f>IF(_epmOfflineCondition_,"# of Operating Days - Bar",IF(_xll.EVDES(H70,$B$1)="#NODATA","",_xll.EVDES(H70,$B$1)))</f>
        <v># of Operating Days - Bar</v>
      </c>
      <c r="O70" s="240"/>
      <c r="P70" s="240"/>
      <c r="Q70" s="240"/>
      <c r="R70" s="240"/>
      <c r="S70" s="240"/>
      <c r="T70" s="240"/>
      <c r="U70" s="240"/>
      <c r="V70" s="240"/>
      <c r="W70" s="240"/>
      <c r="X70" s="240"/>
      <c r="Y70" s="240"/>
      <c r="Z70" s="240"/>
      <c r="AA70" s="240">
        <f t="shared" si="15"/>
        <v>0</v>
      </c>
      <c r="AB70" s="242"/>
      <c r="AC70" s="136"/>
      <c r="AD70" s="240"/>
      <c r="AE70" s="242"/>
      <c r="AF70" s="243">
        <f t="shared" si="16"/>
        <v>0</v>
      </c>
      <c r="AG70" s="240"/>
      <c r="AH70" s="242"/>
      <c r="AI70" s="243">
        <f t="shared" si="17"/>
        <v>0</v>
      </c>
    </row>
    <row r="71" spans="1:35" x14ac:dyDescent="0.25">
      <c r="A71" s="11"/>
      <c r="B71" s="11"/>
      <c r="C71" s="11"/>
      <c r="D71" s="11"/>
      <c r="E71" s="11"/>
      <c r="F71" s="11"/>
      <c r="G71" s="11"/>
      <c r="H71" s="181" t="s">
        <v>326</v>
      </c>
      <c r="I71" s="118" t="str">
        <f>IF(_epmOfflineCondition_,"N",_xll.EVPRO($B$1,$H71,"STYLE"))</f>
        <v>N</v>
      </c>
      <c r="J71" s="118" t="str">
        <f>IF(_epmOfflineCondition_,"N",_xll.EVPRO($B$1,$H71,"CALC"))</f>
        <v>N</v>
      </c>
      <c r="K71" s="86"/>
      <c r="L71" s="86" t="str">
        <f>IF(_epmOfflineCondition_,"946500",_xll.EVPRO($B$1,H71,"JDEID"))</f>
        <v>946500</v>
      </c>
      <c r="M71" s="86" t="str">
        <f>IF(_epmOfflineCondition_,"991522",IF(AND(I71="N",J71="N"),_xll.EVPRO($B$1,H71,"PSFTID"),""))</f>
        <v>991522</v>
      </c>
      <c r="N71" s="86" t="str">
        <f>IF(_epmOfflineCondition_,"Bar Customers",IF(_xll.EVDES(H71,$B$1)="#NODATA","",_xll.EVDES(H71,$B$1)))</f>
        <v>Bar Customers</v>
      </c>
      <c r="O71" s="240"/>
      <c r="P71" s="240"/>
      <c r="Q71" s="240"/>
      <c r="R71" s="240"/>
      <c r="S71" s="240"/>
      <c r="T71" s="240"/>
      <c r="U71" s="240"/>
      <c r="V71" s="240"/>
      <c r="W71" s="240"/>
      <c r="X71" s="240"/>
      <c r="Y71" s="240"/>
      <c r="Z71" s="240"/>
      <c r="AA71" s="240">
        <f t="shared" si="15"/>
        <v>0</v>
      </c>
      <c r="AB71" s="242" t="str">
        <f>IF(AA71=0,"",IFERROR(AA71/AA$87,""))</f>
        <v/>
      </c>
      <c r="AC71" s="136"/>
      <c r="AD71" s="240"/>
      <c r="AE71" s="242" t="str">
        <f>IF(AD71=0,"",IFERROR(AD71/AD$87,""))</f>
        <v/>
      </c>
      <c r="AF71" s="243">
        <f t="shared" si="16"/>
        <v>0</v>
      </c>
      <c r="AG71" s="240"/>
      <c r="AH71" s="242" t="str">
        <f>IF(AG71=0,"",IFERROR(AG71/AG$87,""))</f>
        <v/>
      </c>
      <c r="AI71" s="243">
        <f t="shared" si="17"/>
        <v>0</v>
      </c>
    </row>
    <row r="72" spans="1:35" x14ac:dyDescent="0.25">
      <c r="A72" s="11"/>
      <c r="B72" s="11"/>
      <c r="C72" s="11"/>
      <c r="D72" s="11"/>
      <c r="E72" s="11"/>
      <c r="F72" s="11"/>
      <c r="G72" s="11"/>
      <c r="H72" s="181" t="s">
        <v>328</v>
      </c>
      <c r="I72" s="118" t="str">
        <f>IF(_epmOfflineCondition_,"N",_xll.EVPRO($B$1,$H72,"STYLE"))</f>
        <v>N</v>
      </c>
      <c r="J72" s="118" t="str">
        <f>IF(_epmOfflineCondition_,"Y",_xll.EVPRO($B$1,$H72,"CALC"))</f>
        <v>Y</v>
      </c>
      <c r="K72" s="86"/>
      <c r="L72" s="86" t="str">
        <f>IF(_epmOfflineCondition_,"",_xll.EVPRO($B$1,H72,"JDEID"))</f>
        <v/>
      </c>
      <c r="M72" s="86" t="str">
        <f>IF(_epmOfflineCondition_,"",IF(AND(I72="N",J72="N"),_xll.EVPRO($B$1,H72,"PSFTID"),""))</f>
        <v/>
      </c>
      <c r="N72" s="186" t="str">
        <f>IF(_epmOfflineCondition_,"Bar- Average Check",IF(_xll.EVDES(H72,$B$1)="#NODATA","",_xll.EVDES(H72,$B$1)))</f>
        <v>Bar- Average Check</v>
      </c>
      <c r="O72" s="490"/>
      <c r="P72" s="490"/>
      <c r="Q72" s="490"/>
      <c r="R72" s="490"/>
      <c r="S72" s="490"/>
      <c r="T72" s="490"/>
      <c r="U72" s="490"/>
      <c r="V72" s="490"/>
      <c r="W72" s="490"/>
      <c r="X72" s="490"/>
      <c r="Y72" s="490"/>
      <c r="Z72" s="490"/>
      <c r="AA72" s="490" t="str">
        <f>IFERROR(AA69/AA71,"")</f>
        <v/>
      </c>
      <c r="AB72" s="490"/>
      <c r="AC72" s="136"/>
      <c r="AD72" s="490"/>
      <c r="AE72" s="490"/>
      <c r="AF72" s="491" t="str">
        <f t="shared" si="16"/>
        <v/>
      </c>
      <c r="AG72" s="490"/>
      <c r="AH72" s="490"/>
      <c r="AI72" s="491" t="str">
        <f t="shared" si="17"/>
        <v/>
      </c>
    </row>
    <row r="73" spans="1:35" x14ac:dyDescent="0.25">
      <c r="A73" s="11"/>
      <c r="B73" s="11"/>
      <c r="C73" s="11"/>
      <c r="D73" s="11"/>
      <c r="E73" s="11"/>
      <c r="F73" s="11"/>
      <c r="G73" s="486">
        <f>COUNTIF(O74:AI74,FALSE)</f>
        <v>0</v>
      </c>
      <c r="H73" s="84"/>
      <c r="I73" s="118"/>
      <c r="J73" s="118"/>
      <c r="K73" s="86"/>
      <c r="L73" s="86"/>
      <c r="M73" s="86"/>
      <c r="N73" s="487" t="s">
        <v>345</v>
      </c>
      <c r="O73" s="492">
        <f t="shared" ref="O73:AA73" si="18">ROUND(IFERROR(O69/O71,0),2)</f>
        <v>0</v>
      </c>
      <c r="P73" s="493">
        <f t="shared" si="18"/>
        <v>0</v>
      </c>
      <c r="Q73" s="493">
        <f t="shared" si="18"/>
        <v>0</v>
      </c>
      <c r="R73" s="493">
        <f t="shared" si="18"/>
        <v>0</v>
      </c>
      <c r="S73" s="493">
        <f t="shared" si="18"/>
        <v>0</v>
      </c>
      <c r="T73" s="493">
        <f t="shared" si="18"/>
        <v>0</v>
      </c>
      <c r="U73" s="493">
        <f t="shared" si="18"/>
        <v>0</v>
      </c>
      <c r="V73" s="493">
        <f t="shared" si="18"/>
        <v>0</v>
      </c>
      <c r="W73" s="493">
        <f t="shared" si="18"/>
        <v>0</v>
      </c>
      <c r="X73" s="493">
        <f t="shared" si="18"/>
        <v>0</v>
      </c>
      <c r="Y73" s="493">
        <f t="shared" si="18"/>
        <v>0</v>
      </c>
      <c r="Z73" s="493">
        <f t="shared" si="18"/>
        <v>0</v>
      </c>
      <c r="AA73" s="493">
        <f t="shared" si="18"/>
        <v>0</v>
      </c>
      <c r="AB73" s="494"/>
      <c r="AC73" s="136"/>
      <c r="AD73" s="492">
        <f>ROUND(IFERROR(AD69/AD71,0),2)</f>
        <v>0</v>
      </c>
      <c r="AE73" s="493"/>
      <c r="AF73" s="151"/>
      <c r="AG73" s="492">
        <f>ROUND(IFERROR(AG69/AG71,0),2)</f>
        <v>0</v>
      </c>
      <c r="AH73" s="493"/>
      <c r="AI73" s="151"/>
    </row>
    <row r="74" spans="1:35" x14ac:dyDescent="0.25">
      <c r="A74" s="11"/>
      <c r="B74" s="11"/>
      <c r="C74" s="11"/>
      <c r="D74" s="11"/>
      <c r="E74" s="11"/>
      <c r="F74" s="11"/>
      <c r="G74" s="11"/>
      <c r="H74" s="181"/>
      <c r="I74" s="118"/>
      <c r="J74" s="118"/>
      <c r="K74" s="86"/>
      <c r="L74" s="86"/>
      <c r="M74" s="86"/>
      <c r="N74" s="49" t="s">
        <v>324</v>
      </c>
      <c r="O74" s="495" t="b">
        <f t="shared" ref="O74:AA74" si="19">ROUND(O72,2)=ROUND(O73,2)</f>
        <v>1</v>
      </c>
      <c r="P74" s="496" t="b">
        <f t="shared" si="19"/>
        <v>1</v>
      </c>
      <c r="Q74" s="496" t="b">
        <f t="shared" si="19"/>
        <v>1</v>
      </c>
      <c r="R74" s="496" t="b">
        <f t="shared" si="19"/>
        <v>1</v>
      </c>
      <c r="S74" s="496" t="b">
        <f t="shared" si="19"/>
        <v>1</v>
      </c>
      <c r="T74" s="496" t="b">
        <f t="shared" si="19"/>
        <v>1</v>
      </c>
      <c r="U74" s="496" t="b">
        <f t="shared" si="19"/>
        <v>1</v>
      </c>
      <c r="V74" s="496" t="b">
        <f t="shared" si="19"/>
        <v>1</v>
      </c>
      <c r="W74" s="496" t="b">
        <f t="shared" si="19"/>
        <v>1</v>
      </c>
      <c r="X74" s="496" t="b">
        <f t="shared" si="19"/>
        <v>1</v>
      </c>
      <c r="Y74" s="496" t="b">
        <f t="shared" si="19"/>
        <v>1</v>
      </c>
      <c r="Z74" s="496" t="b">
        <f t="shared" si="19"/>
        <v>1</v>
      </c>
      <c r="AA74" s="496" t="e">
        <f t="shared" si="19"/>
        <v>#VALUE!</v>
      </c>
      <c r="AB74" s="497"/>
      <c r="AC74" s="498"/>
      <c r="AD74" s="495"/>
      <c r="AE74" s="496" t="b">
        <f>ROUND(AD72,2)=ROUND(AD73,2)</f>
        <v>1</v>
      </c>
      <c r="AF74" s="497"/>
      <c r="AG74" s="495"/>
      <c r="AH74" s="496" t="b">
        <f>ROUND(AG72,2)=ROUND(AG73,2)</f>
        <v>1</v>
      </c>
      <c r="AI74" s="497"/>
    </row>
    <row r="75" spans="1:35" x14ac:dyDescent="0.25">
      <c r="A75" s="11"/>
      <c r="B75" s="11"/>
      <c r="C75" s="11"/>
      <c r="D75" s="11"/>
      <c r="E75" s="11"/>
      <c r="F75" s="11"/>
      <c r="G75" s="11"/>
      <c r="H75" s="181" t="s">
        <v>264</v>
      </c>
      <c r="I75" s="118" t="str">
        <f>IF(_epmOfflineCondition_,"T5",_xll.EVPRO($B$1,$H75,"STYLE"))</f>
        <v>T5</v>
      </c>
      <c r="J75" s="118" t="str">
        <f>IF(_epmOfflineCondition_,"Y",_xll.EVPRO($B$1,$H75,"CALC"))</f>
        <v>Y</v>
      </c>
      <c r="K75" s="86"/>
      <c r="L75" s="86" t="str">
        <f>IF(_epmOfflineCondition_,"465100",_xll.EVPRO($B$1,H75,"JDEID"))</f>
        <v>465100</v>
      </c>
      <c r="M75" s="86" t="str">
        <f>IF(_epmOfflineCondition_,"",IF(AND(I75="N",J75="N"),_xll.EVPRO($B$1,H75,"PSFTID"),""))</f>
        <v/>
      </c>
      <c r="N75" s="86" t="str">
        <f>IF(_epmOfflineCondition_,"Private Dining Food",IF(_xll.EVDES(H75,$B$1)="#NODATA","",_xll.EVDES(H75,$B$1)))</f>
        <v>Private Dining Food</v>
      </c>
      <c r="O75" s="134"/>
      <c r="P75" s="134"/>
      <c r="Q75" s="134"/>
      <c r="R75" s="134"/>
      <c r="S75" s="134"/>
      <c r="T75" s="134"/>
      <c r="U75" s="134"/>
      <c r="V75" s="134"/>
      <c r="W75" s="134"/>
      <c r="X75" s="134"/>
      <c r="Y75" s="134"/>
      <c r="Z75" s="134"/>
      <c r="AA75" s="134">
        <f t="shared" ref="AA75:AA80" si="20">SUM(O75:Z75)</f>
        <v>0</v>
      </c>
      <c r="AB75" s="138" t="str">
        <f>IF(AA75=0,"",IFERROR(AA75/AA$19,""))</f>
        <v/>
      </c>
      <c r="AC75" s="136"/>
      <c r="AD75" s="134"/>
      <c r="AE75" s="138" t="str">
        <f>IF(AD75=0,"",IFERROR(AD75/AD$19,""))</f>
        <v/>
      </c>
      <c r="AF75" s="137">
        <f t="shared" ref="AF75:AF81" si="21">IF(AND($AA75="",AD75=""),"",$AA75-AD75)</f>
        <v>0</v>
      </c>
      <c r="AG75" s="134"/>
      <c r="AH75" s="138" t="str">
        <f>IF(AG75=0,"",IFERROR(AG75/AG$19,""))</f>
        <v/>
      </c>
      <c r="AI75" s="137">
        <f t="shared" ref="AI75:AI81" si="22">IF(AND($AA75="",AG75=""),"",$AA75-AG75)</f>
        <v>0</v>
      </c>
    </row>
    <row r="76" spans="1:35" x14ac:dyDescent="0.25">
      <c r="A76" s="11"/>
      <c r="B76" s="11"/>
      <c r="C76" s="11"/>
      <c r="D76" s="11"/>
      <c r="E76" s="11"/>
      <c r="F76" s="11"/>
      <c r="G76" s="11"/>
      <c r="H76" s="181" t="s">
        <v>321</v>
      </c>
      <c r="I76" s="118" t="str">
        <f>IF(_epmOfflineCondition_,"T6",_xll.EVPRO($B$1,$H76,"STYLE"))</f>
        <v>T6</v>
      </c>
      <c r="J76" s="118" t="str">
        <f>IF(_epmOfflineCondition_,"Y",_xll.EVPRO($B$1,$H76,"CALC"))</f>
        <v>Y</v>
      </c>
      <c r="K76" s="86"/>
      <c r="L76" s="86" t="str">
        <f>IF(_epmOfflineCondition_,"465200",_xll.EVPRO($B$1,H76,"JDEID"))</f>
        <v>465200</v>
      </c>
      <c r="M76" s="86" t="str">
        <f>IF(_epmOfflineCondition_,"",IF(AND(I76="N",J76="N"),_xll.EVPRO($B$1,H76,"PSFTID"),""))</f>
        <v/>
      </c>
      <c r="N76" s="86" t="str">
        <f>IF(_epmOfflineCondition_,"Private Dining Liquor",IF(_xll.EVDES(H76,$B$1)="#NODATA","",_xll.EVDES(H76,$B$1)))</f>
        <v>Private Dining Liquor</v>
      </c>
      <c r="O76" s="134"/>
      <c r="P76" s="134"/>
      <c r="Q76" s="134"/>
      <c r="R76" s="134"/>
      <c r="S76" s="134"/>
      <c r="T76" s="134"/>
      <c r="U76" s="134"/>
      <c r="V76" s="134"/>
      <c r="W76" s="134"/>
      <c r="X76" s="134"/>
      <c r="Y76" s="134"/>
      <c r="Z76" s="134"/>
      <c r="AA76" s="134">
        <f t="shared" si="20"/>
        <v>0</v>
      </c>
      <c r="AB76" s="138" t="str">
        <f>IF(AA76=0,"",IFERROR(AA76/AA$19,""))</f>
        <v/>
      </c>
      <c r="AC76" s="136"/>
      <c r="AD76" s="134"/>
      <c r="AE76" s="138" t="str">
        <f>IF(AD76=0,"",IFERROR(AD76/AD$19,""))</f>
        <v/>
      </c>
      <c r="AF76" s="137">
        <f t="shared" si="21"/>
        <v>0</v>
      </c>
      <c r="AG76" s="134"/>
      <c r="AH76" s="138" t="str">
        <f>IF(AG76=0,"",IFERROR(AG76/AG$19,""))</f>
        <v/>
      </c>
      <c r="AI76" s="137">
        <f t="shared" si="22"/>
        <v>0</v>
      </c>
    </row>
    <row r="77" spans="1:35" x14ac:dyDescent="0.25">
      <c r="A77" s="11"/>
      <c r="B77" s="11"/>
      <c r="C77" s="11"/>
      <c r="D77" s="11"/>
      <c r="E77" s="11"/>
      <c r="F77" s="11"/>
      <c r="G77" s="11"/>
      <c r="H77" s="181" t="s">
        <v>323</v>
      </c>
      <c r="I77" s="118" t="str">
        <f>IF(_epmOfflineCondition_,"T6",_xll.EVPRO($B$1,$H77,"STYLE"))</f>
        <v>T6</v>
      </c>
      <c r="J77" s="118" t="str">
        <f>IF(_epmOfflineCondition_,"Y",_xll.EVPRO($B$1,$H77,"CALC"))</f>
        <v>Y</v>
      </c>
      <c r="K77" s="86"/>
      <c r="L77" s="86" t="str">
        <f>IF(_epmOfflineCondition_,"465300",_xll.EVPRO($B$1,H77,"JDEID"))</f>
        <v>465300</v>
      </c>
      <c r="M77" s="86" t="str">
        <f>IF(_epmOfflineCondition_,"",IF(AND(I77="N",J77="N"),_xll.EVPRO($B$1,H77,"PSFTID"),""))</f>
        <v/>
      </c>
      <c r="N77" s="86" t="str">
        <f>IF(_epmOfflineCondition_,"Private Dining Beer",IF(_xll.EVDES(H77,$B$1)="#NODATA","",_xll.EVDES(H77,$B$1)))</f>
        <v>Private Dining Beer</v>
      </c>
      <c r="O77" s="134"/>
      <c r="P77" s="134"/>
      <c r="Q77" s="134"/>
      <c r="R77" s="134"/>
      <c r="S77" s="134"/>
      <c r="T77" s="134"/>
      <c r="U77" s="134"/>
      <c r="V77" s="134"/>
      <c r="W77" s="134"/>
      <c r="X77" s="134"/>
      <c r="Y77" s="134"/>
      <c r="Z77" s="134"/>
      <c r="AA77" s="134">
        <f t="shared" si="20"/>
        <v>0</v>
      </c>
      <c r="AB77" s="138" t="str">
        <f>IF(AA77=0,"",IFERROR(AA77/AA$19,""))</f>
        <v/>
      </c>
      <c r="AC77" s="136"/>
      <c r="AD77" s="134"/>
      <c r="AE77" s="138" t="str">
        <f>IF(AD77=0,"",IFERROR(AD77/AD$19,""))</f>
        <v/>
      </c>
      <c r="AF77" s="137">
        <f t="shared" si="21"/>
        <v>0</v>
      </c>
      <c r="AG77" s="134"/>
      <c r="AH77" s="138" t="str">
        <f>IF(AG77=0,"",IFERROR(AG77/AG$19,""))</f>
        <v/>
      </c>
      <c r="AI77" s="137">
        <f t="shared" si="22"/>
        <v>0</v>
      </c>
    </row>
    <row r="78" spans="1:35" x14ac:dyDescent="0.25">
      <c r="A78" s="11"/>
      <c r="B78" s="11"/>
      <c r="C78" s="204"/>
      <c r="D78" s="11"/>
      <c r="E78" s="11"/>
      <c r="F78" s="11"/>
      <c r="G78" s="11"/>
      <c r="H78" s="181" t="s">
        <v>322</v>
      </c>
      <c r="I78" s="118" t="str">
        <f>IF(_epmOfflineCondition_,"T6",_xll.EVPRO($B$1,$H78,"STYLE"))</f>
        <v>T6</v>
      </c>
      <c r="J78" s="118" t="str">
        <f>IF(_epmOfflineCondition_,"Y",_xll.EVPRO($B$1,$H78,"CALC"))</f>
        <v>Y</v>
      </c>
      <c r="K78" s="86"/>
      <c r="L78" s="86" t="str">
        <f>IF(_epmOfflineCondition_,"465400",_xll.EVPRO($B$1,H78,"JDEID"))</f>
        <v>465400</v>
      </c>
      <c r="M78" s="86" t="str">
        <f>IF(_epmOfflineCondition_,"",IF(AND(I78="N",J78="N"),_xll.EVPRO($B$1,H78,"PSFTID"),""))</f>
        <v/>
      </c>
      <c r="N78" s="86" t="str">
        <f>IF(_epmOfflineCondition_,"Private Dining Wine",IF(_xll.EVDES(H78,$B$1)="#NODATA","",_xll.EVDES(H78,$B$1)))</f>
        <v>Private Dining Wine</v>
      </c>
      <c r="O78" s="228"/>
      <c r="P78" s="228"/>
      <c r="Q78" s="228"/>
      <c r="R78" s="228"/>
      <c r="S78" s="228"/>
      <c r="T78" s="228"/>
      <c r="U78" s="228"/>
      <c r="V78" s="228"/>
      <c r="W78" s="228"/>
      <c r="X78" s="228"/>
      <c r="Y78" s="228"/>
      <c r="Z78" s="228"/>
      <c r="AA78" s="228">
        <f t="shared" si="20"/>
        <v>0</v>
      </c>
      <c r="AB78" s="230" t="str">
        <f>IF(AA78=0,"",IFERROR(AA78/AA$19,""))</f>
        <v/>
      </c>
      <c r="AC78" s="136"/>
      <c r="AD78" s="228"/>
      <c r="AE78" s="230" t="str">
        <f>IF(AD78=0,"",IFERROR(AD78/AD$19,""))</f>
        <v/>
      </c>
      <c r="AF78" s="231">
        <f t="shared" si="21"/>
        <v>0</v>
      </c>
      <c r="AG78" s="228"/>
      <c r="AH78" s="230" t="str">
        <f>IF(AG78=0,"",IFERROR(AG78/AG$19,""))</f>
        <v/>
      </c>
      <c r="AI78" s="231">
        <f t="shared" si="22"/>
        <v>0</v>
      </c>
    </row>
    <row r="79" spans="1:35" x14ac:dyDescent="0.25">
      <c r="A79" s="11"/>
      <c r="B79" s="11"/>
      <c r="C79" s="204"/>
      <c r="D79" s="11"/>
      <c r="E79" s="11"/>
      <c r="F79" s="11"/>
      <c r="G79" s="11"/>
      <c r="H79" s="181" t="s">
        <v>329</v>
      </c>
      <c r="I79" s="118" t="str">
        <f>IF(_epmOfflineCondition_,"N",_xll.EVPRO($B$1,$H79,"STYLE"))</f>
        <v>N</v>
      </c>
      <c r="J79" s="118" t="str">
        <f>IF(_epmOfflineCondition_,"Y",_xll.EVPRO($B$1,$H79,"CALC"))</f>
        <v>Y</v>
      </c>
      <c r="K79" s="86"/>
      <c r="L79" s="86" t="str">
        <f>IF(_epmOfflineCondition_,"",_xll.EVPRO($B$1,H79,"JDEID"))</f>
        <v/>
      </c>
      <c r="M79" s="86" t="str">
        <f>IF(_epmOfflineCondition_,"",IF(AND(I79="N",J79="N"),_xll.EVPRO($B$1,H79,"PSFTID"),""))</f>
        <v/>
      </c>
      <c r="N79" s="102" t="str">
        <f>IF(_epmOfflineCondition_,"Private Dining Revenue",IF(_xll.EVDES(H79,$B$1)="#NODATA","",_xll.EVDES(H79,$B$1)))</f>
        <v>Private Dining Revenue</v>
      </c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>
        <f t="shared" si="20"/>
        <v>0</v>
      </c>
      <c r="AB79" s="159" t="str">
        <f>IF(AA79=0,"",IFERROR(AA79/AA$19,""))</f>
        <v/>
      </c>
      <c r="AC79" s="136"/>
      <c r="AD79" s="158"/>
      <c r="AE79" s="159" t="str">
        <f>IF(AD79=0,"",IFERROR(AD79/AD$19,""))</f>
        <v/>
      </c>
      <c r="AF79" s="160">
        <f t="shared" si="21"/>
        <v>0</v>
      </c>
      <c r="AG79" s="158"/>
      <c r="AH79" s="159" t="str">
        <f>IF(AG79=0,"",IFERROR(AG79/AG$19,""))</f>
        <v/>
      </c>
      <c r="AI79" s="160">
        <f t="shared" si="22"/>
        <v>0</v>
      </c>
    </row>
    <row r="80" spans="1:35" x14ac:dyDescent="0.25">
      <c r="A80" s="11"/>
      <c r="B80" s="11"/>
      <c r="C80" s="204"/>
      <c r="D80" s="11"/>
      <c r="E80" s="11"/>
      <c r="F80" s="11"/>
      <c r="G80" s="11"/>
      <c r="H80" s="181" t="s">
        <v>300</v>
      </c>
      <c r="I80" s="118" t="str">
        <f>IF(_epmOfflineCondition_,"N",_xll.EVPRO($B$1,$H80,"STYLE"))</f>
        <v>N</v>
      </c>
      <c r="J80" s="118" t="str">
        <f>IF(_epmOfflineCondition_,"N",_xll.EVPRO($B$1,$H80,"CALC"))</f>
        <v>N</v>
      </c>
      <c r="K80" s="86"/>
      <c r="L80" s="86" t="str">
        <f>IF(_epmOfflineCondition_,"946400",_xll.EVPRO($B$1,H80,"JDEID"))</f>
        <v>946400</v>
      </c>
      <c r="M80" s="86" t="str">
        <f>IF(_epmOfflineCondition_,"991510",IF(AND(I80="N",J80="N"),_xll.EVPRO($B$1,H80,"PSFTID"),""))</f>
        <v>991510</v>
      </c>
      <c r="N80" s="86" t="str">
        <f>IF(_epmOfflineCondition_,"Private Dining Customers",IF(_xll.EVDES(H80,$B$1)="#NODATA","",_xll.EVDES(H80,$B$1)))</f>
        <v>Private Dining Customers</v>
      </c>
      <c r="O80" s="240"/>
      <c r="P80" s="240"/>
      <c r="Q80" s="240"/>
      <c r="R80" s="240"/>
      <c r="S80" s="240"/>
      <c r="T80" s="240"/>
      <c r="U80" s="240"/>
      <c r="V80" s="240"/>
      <c r="W80" s="240"/>
      <c r="X80" s="240"/>
      <c r="Y80" s="240"/>
      <c r="Z80" s="240"/>
      <c r="AA80" s="240">
        <f t="shared" si="20"/>
        <v>0</v>
      </c>
      <c r="AB80" s="242" t="str">
        <f>IF(AA80=0,"",IFERROR(AA80/AA$87,""))</f>
        <v/>
      </c>
      <c r="AC80" s="136"/>
      <c r="AD80" s="240"/>
      <c r="AE80" s="242" t="str">
        <f>IF(AD80=0,"",IFERROR(AD80/AD$87,""))</f>
        <v/>
      </c>
      <c r="AF80" s="243">
        <f t="shared" si="21"/>
        <v>0</v>
      </c>
      <c r="AG80" s="240"/>
      <c r="AH80" s="242" t="str">
        <f>IF(AG80=0,"",IFERROR(AG80/AG$87,""))</f>
        <v/>
      </c>
      <c r="AI80" s="243">
        <f t="shared" si="22"/>
        <v>0</v>
      </c>
    </row>
    <row r="81" spans="1:35" x14ac:dyDescent="0.25">
      <c r="A81" s="11"/>
      <c r="B81" s="11"/>
      <c r="C81" s="204"/>
      <c r="D81" s="11"/>
      <c r="E81" s="11"/>
      <c r="F81" s="11"/>
      <c r="G81" s="11"/>
      <c r="H81" s="181" t="s">
        <v>325</v>
      </c>
      <c r="I81" s="118" t="str">
        <f>IF(_epmOfflineCondition_,"N",_xll.EVPRO($B$1,$H81,"STYLE"))</f>
        <v>N</v>
      </c>
      <c r="J81" s="118" t="str">
        <f>IF(_epmOfflineCondition_,"Y",_xll.EVPRO($B$1,$H81,"CALC"))</f>
        <v>Y</v>
      </c>
      <c r="K81" s="86"/>
      <c r="L81" s="86" t="str">
        <f>IF(_epmOfflineCondition_,"",_xll.EVPRO($B$1,H81,"JDEID"))</f>
        <v/>
      </c>
      <c r="M81" s="86" t="str">
        <f>IF(_epmOfflineCondition_,"",IF(AND(I81="N",J81="N"),_xll.EVPRO($B$1,H81,"PSFTID"),""))</f>
        <v/>
      </c>
      <c r="N81" s="186" t="str">
        <f>IF(_epmOfflineCondition_,"Private Dining - Average Check",IF(_xll.EVDES(H81,$B$1)="#NODATA","",_xll.EVDES(H81,$B$1)))</f>
        <v>Private Dining - Average Check</v>
      </c>
      <c r="O81" s="490"/>
      <c r="P81" s="490"/>
      <c r="Q81" s="490"/>
      <c r="R81" s="490"/>
      <c r="S81" s="490"/>
      <c r="T81" s="490"/>
      <c r="U81" s="490"/>
      <c r="V81" s="490"/>
      <c r="W81" s="490"/>
      <c r="X81" s="490"/>
      <c r="Y81" s="490"/>
      <c r="Z81" s="490"/>
      <c r="AA81" s="490" t="str">
        <f>IFERROR(AA79/AA80,"")</f>
        <v/>
      </c>
      <c r="AB81" s="490"/>
      <c r="AC81" s="136"/>
      <c r="AD81" s="490"/>
      <c r="AE81" s="490"/>
      <c r="AF81" s="491" t="str">
        <f t="shared" si="21"/>
        <v/>
      </c>
      <c r="AG81" s="490"/>
      <c r="AH81" s="490"/>
      <c r="AI81" s="491" t="str">
        <f t="shared" si="22"/>
        <v/>
      </c>
    </row>
    <row r="82" spans="1:35" x14ac:dyDescent="0.25">
      <c r="A82" s="11"/>
      <c r="B82" s="11"/>
      <c r="C82" s="204"/>
      <c r="D82" s="11"/>
      <c r="E82" s="11"/>
      <c r="F82" s="11"/>
      <c r="G82" s="486">
        <f>COUNTIF(O84:AI84,FALSE)</f>
        <v>0</v>
      </c>
      <c r="H82" s="84"/>
      <c r="I82" s="118"/>
      <c r="J82" s="118"/>
      <c r="K82" s="86"/>
      <c r="L82" s="86"/>
      <c r="M82" s="86"/>
      <c r="N82" s="487" t="s">
        <v>345</v>
      </c>
      <c r="O82" s="492">
        <f t="shared" ref="O82:AA82" si="23">ROUND(IFERROR(O79/O80,0),2)</f>
        <v>0</v>
      </c>
      <c r="P82" s="493">
        <f t="shared" si="23"/>
        <v>0</v>
      </c>
      <c r="Q82" s="493">
        <f t="shared" si="23"/>
        <v>0</v>
      </c>
      <c r="R82" s="493">
        <f t="shared" si="23"/>
        <v>0</v>
      </c>
      <c r="S82" s="493">
        <f t="shared" si="23"/>
        <v>0</v>
      </c>
      <c r="T82" s="493">
        <f t="shared" si="23"/>
        <v>0</v>
      </c>
      <c r="U82" s="493">
        <f t="shared" si="23"/>
        <v>0</v>
      </c>
      <c r="V82" s="493">
        <f t="shared" si="23"/>
        <v>0</v>
      </c>
      <c r="W82" s="493">
        <f t="shared" si="23"/>
        <v>0</v>
      </c>
      <c r="X82" s="493">
        <f t="shared" si="23"/>
        <v>0</v>
      </c>
      <c r="Y82" s="493">
        <f t="shared" si="23"/>
        <v>0</v>
      </c>
      <c r="Z82" s="493">
        <f t="shared" si="23"/>
        <v>0</v>
      </c>
      <c r="AA82" s="493">
        <f t="shared" si="23"/>
        <v>0</v>
      </c>
      <c r="AB82" s="494"/>
      <c r="AC82" s="136"/>
      <c r="AD82" s="492">
        <f>ROUND(IFERROR(AD79/AD80,0),2)</f>
        <v>0</v>
      </c>
      <c r="AE82" s="493"/>
      <c r="AF82" s="151"/>
      <c r="AG82" s="492">
        <f>ROUND(IFERROR(AG79/AG80,0),2)</f>
        <v>0</v>
      </c>
      <c r="AH82" s="493"/>
      <c r="AI82" s="151"/>
    </row>
    <row r="83" spans="1:35" x14ac:dyDescent="0.25">
      <c r="A83" s="11"/>
      <c r="B83" s="11"/>
      <c r="C83" s="204"/>
      <c r="D83" s="11"/>
      <c r="E83" s="11"/>
      <c r="F83" s="11"/>
      <c r="G83" s="11"/>
      <c r="H83" s="84" t="s">
        <v>486</v>
      </c>
      <c r="I83" s="118" t="str">
        <f>IF(_epmOfflineCondition_,"T5",_xll.EVPRO($B$1,$H83,"STYLE"))</f>
        <v>T5</v>
      </c>
      <c r="J83" s="118" t="str">
        <f>IF(_epmOfflineCondition_,"Y",_xll.EVPRO($B$1,$H83,"CALC"))</f>
        <v>Y</v>
      </c>
      <c r="K83" s="86"/>
      <c r="L83" s="86" t="str">
        <f>IF(_epmOfflineCondition_,"",_xll.EVPRO($B$1,H83,"JDEID"))</f>
        <v/>
      </c>
      <c r="M83" s="86" t="str">
        <f>IF(_epmOfflineCondition_,"",IF(AND(I83="N",J83="N"),_xll.EVPRO($B$1,H83,"PSFTID"),""))</f>
        <v/>
      </c>
      <c r="N83" s="86" t="str">
        <f>IF(_epmOfflineCondition_,"Food &amp; Beverage: Allowances",IF(_xll.EVDES(H83,$B$1)="#NODATA","",_xll.EVDES(H83,$B$1)))</f>
        <v>Food &amp; Beverage: Allowances</v>
      </c>
      <c r="O83" s="134"/>
      <c r="P83" s="134"/>
      <c r="Q83" s="134"/>
      <c r="R83" s="134"/>
      <c r="S83" s="134"/>
      <c r="T83" s="134"/>
      <c r="U83" s="134"/>
      <c r="V83" s="134"/>
      <c r="W83" s="134"/>
      <c r="X83" s="134"/>
      <c r="Y83" s="134"/>
      <c r="Z83" s="134"/>
      <c r="AA83" s="134">
        <f>SUM(O83:Z83)</f>
        <v>0</v>
      </c>
      <c r="AB83" s="138" t="str">
        <f>IF(AA83=0,"",IFERROR(AA83/AA$19,""))</f>
        <v/>
      </c>
      <c r="AC83" s="136"/>
      <c r="AD83" s="134"/>
      <c r="AE83" s="138" t="str">
        <f>IF(AD83=0,"",IFERROR(AD83/AD$19,""))</f>
        <v/>
      </c>
      <c r="AF83" s="137">
        <f>IF(AND($AA83="",AD83=""),"",$AA83-AD83)</f>
        <v>0</v>
      </c>
      <c r="AG83" s="134"/>
      <c r="AH83" s="138" t="str">
        <f>IF(AG83=0,"",IFERROR(AG83/AG$19,""))</f>
        <v/>
      </c>
      <c r="AI83" s="137">
        <f>IF(AND($AA83="",AG83=""),"",$AA83-AG83)</f>
        <v>0</v>
      </c>
    </row>
    <row r="84" spans="1:35" x14ac:dyDescent="0.25">
      <c r="A84" s="11"/>
      <c r="B84" s="11"/>
      <c r="C84" s="204"/>
      <c r="D84" s="11"/>
      <c r="E84" s="11"/>
      <c r="F84" s="11"/>
      <c r="G84" s="11"/>
      <c r="H84" s="84"/>
      <c r="I84" s="118"/>
      <c r="J84" s="118"/>
      <c r="K84" s="86"/>
      <c r="L84" s="86"/>
      <c r="M84" s="86"/>
      <c r="N84" s="49" t="s">
        <v>348</v>
      </c>
      <c r="O84" s="495" t="b">
        <f t="shared" ref="O84:AA84" si="24">ROUND(O81,2)=ROUND(O82,2)</f>
        <v>1</v>
      </c>
      <c r="P84" s="496" t="b">
        <f t="shared" si="24"/>
        <v>1</v>
      </c>
      <c r="Q84" s="496" t="b">
        <f t="shared" si="24"/>
        <v>1</v>
      </c>
      <c r="R84" s="496" t="b">
        <f t="shared" si="24"/>
        <v>1</v>
      </c>
      <c r="S84" s="496" t="b">
        <f t="shared" si="24"/>
        <v>1</v>
      </c>
      <c r="T84" s="496" t="b">
        <f t="shared" si="24"/>
        <v>1</v>
      </c>
      <c r="U84" s="496" t="b">
        <f t="shared" si="24"/>
        <v>1</v>
      </c>
      <c r="V84" s="496" t="b">
        <f t="shared" si="24"/>
        <v>1</v>
      </c>
      <c r="W84" s="496" t="b">
        <f t="shared" si="24"/>
        <v>1</v>
      </c>
      <c r="X84" s="496" t="b">
        <f t="shared" si="24"/>
        <v>1</v>
      </c>
      <c r="Y84" s="496" t="b">
        <f t="shared" si="24"/>
        <v>1</v>
      </c>
      <c r="Z84" s="496" t="b">
        <f t="shared" si="24"/>
        <v>1</v>
      </c>
      <c r="AA84" s="496" t="e">
        <f t="shared" si="24"/>
        <v>#VALUE!</v>
      </c>
      <c r="AB84" s="497"/>
      <c r="AC84" s="498"/>
      <c r="AD84" s="495"/>
      <c r="AE84" s="496" t="b">
        <f>ROUND(AD81,2)=ROUND(AD82,2)</f>
        <v>1</v>
      </c>
      <c r="AF84" s="497"/>
      <c r="AG84" s="495"/>
      <c r="AH84" s="496" t="b">
        <f>ROUND(AG81,2)=ROUND(AG82,2)</f>
        <v>1</v>
      </c>
      <c r="AI84" s="497"/>
    </row>
    <row r="85" spans="1:35" x14ac:dyDescent="0.25">
      <c r="A85" s="11"/>
      <c r="B85" s="11"/>
      <c r="C85" s="204"/>
      <c r="D85" s="11"/>
      <c r="E85" s="11"/>
      <c r="F85" s="11"/>
      <c r="G85" s="11"/>
      <c r="H85" s="181" t="s">
        <v>273</v>
      </c>
      <c r="I85" s="118" t="str">
        <f>IF(_epmOfflineCondition_,"T4",_xll.EVPRO($B$1,$H85,"STYLE"))</f>
        <v>T4</v>
      </c>
      <c r="J85" s="118" t="str">
        <f>IF(_epmOfflineCondition_,"Y",_xll.EVPRO($B$1,$H85,"CALC"))</f>
        <v>Y</v>
      </c>
      <c r="K85" s="11"/>
      <c r="L85" s="86" t="str">
        <f>IF(_epmOfflineCondition_,"",_xll.EVPRO($B$1,H85,"JDEID"))</f>
        <v/>
      </c>
      <c r="M85" s="86" t="str">
        <f>IF(_epmOfflineCondition_,"",IF(AND(I85="N",J85="N"),_xll.EVPRO($B$1,H85,"PSFTID"),""))</f>
        <v/>
      </c>
      <c r="N85" s="86" t="str">
        <f>IF(_epmOfflineCondition_,"Total Food &amp; Beverage Revenue",IF(_xll.EVDES(H85,$B$1)="#NODATA","",_xll.EVDES(H85,$B$1)))</f>
        <v>Total Food &amp; Beverage Revenue</v>
      </c>
      <c r="O85" s="502"/>
      <c r="P85" s="502"/>
      <c r="Q85" s="502"/>
      <c r="R85" s="502"/>
      <c r="S85" s="502"/>
      <c r="T85" s="502"/>
      <c r="U85" s="502"/>
      <c r="V85" s="502"/>
      <c r="W85" s="502"/>
      <c r="X85" s="502"/>
      <c r="Y85" s="502"/>
      <c r="Z85" s="502"/>
      <c r="AA85" s="502">
        <f>SUM(O85:Z85)</f>
        <v>0</v>
      </c>
      <c r="AB85" s="503" t="str">
        <f>IF(AA85=0,"",IFERROR(AA85/AA$19,""))</f>
        <v/>
      </c>
      <c r="AC85" s="136"/>
      <c r="AD85" s="502"/>
      <c r="AE85" s="503" t="str">
        <f>IF(AD85=0,"",IFERROR(AD85/AD$19,""))</f>
        <v/>
      </c>
      <c r="AF85" s="504">
        <f>IF(AND($AA85="",AD85=""),"",$AA85-AD85)</f>
        <v>0</v>
      </c>
      <c r="AG85" s="502"/>
      <c r="AH85" s="503" t="str">
        <f>IF(AG85=0,"",IFERROR(AG85/AG$19,""))</f>
        <v/>
      </c>
      <c r="AI85" s="504">
        <f>IF(AND($AA85="",AG85=""),"",$AA85-AG85)</f>
        <v>0</v>
      </c>
    </row>
    <row r="86" spans="1:35" x14ac:dyDescent="0.25">
      <c r="A86" s="11"/>
      <c r="B86" s="11"/>
      <c r="C86" s="204"/>
      <c r="D86" s="11"/>
      <c r="E86" s="11"/>
      <c r="F86" s="11"/>
      <c r="G86" s="11"/>
      <c r="H86" s="181" t="s">
        <v>768</v>
      </c>
      <c r="I86" s="118" t="str">
        <f>IF(_epmOfflineCondition_,"N",_xll.EVPRO($B$1,$H86,"STYLE"))</f>
        <v>N</v>
      </c>
      <c r="J86" s="118" t="str">
        <f>IF(_epmOfflineCondition_,"N",_xll.EVPRO($B$1,$H86,"CALC"))</f>
        <v>N</v>
      </c>
      <c r="K86" s="11"/>
      <c r="L86" s="86" t="str">
        <f>IF(_epmOfflineCondition_,"947500",_xll.EVPRO($B$1,H86,"JDEID"))</f>
        <v>947500</v>
      </c>
      <c r="M86" s="86" t="str">
        <f>IF(_epmOfflineCondition_,"991552",IF(AND(I86="N",J86="N"),_xll.EVPRO($B$1,H86,"PSFTID"),""))</f>
        <v>991552</v>
      </c>
      <c r="N86" s="86" t="str">
        <f>IF(_epmOfflineCondition_,"# of Seats in Outlet",IF(_xll.EVDES(H86,$B$1)="#NODATA","",_xll.EVDES(H86,$B$1)))</f>
        <v># of Seats in Outlet</v>
      </c>
      <c r="O86" s="502"/>
      <c r="P86" s="502"/>
      <c r="Q86" s="502"/>
      <c r="R86" s="502"/>
      <c r="S86" s="502"/>
      <c r="T86" s="502"/>
      <c r="U86" s="502"/>
      <c r="V86" s="502"/>
      <c r="W86" s="502"/>
      <c r="X86" s="502"/>
      <c r="Y86" s="502"/>
      <c r="Z86" s="502"/>
      <c r="AA86" s="502">
        <f>SUM(O86:Z86)</f>
        <v>0</v>
      </c>
      <c r="AB86" s="503"/>
      <c r="AC86" s="136"/>
      <c r="AD86" s="502"/>
      <c r="AE86" s="503"/>
      <c r="AF86" s="504">
        <f>IF(AND($AA86="",AD86=""),"",$AA86-AD86)</f>
        <v>0</v>
      </c>
      <c r="AG86" s="502"/>
      <c r="AH86" s="503"/>
      <c r="AI86" s="504">
        <f>IF(AND($AA86="",AG86=""),"",$AA86-AG86)</f>
        <v>0</v>
      </c>
    </row>
    <row r="87" spans="1:35" x14ac:dyDescent="0.25">
      <c r="A87" s="11"/>
      <c r="B87" s="11"/>
      <c r="C87" s="204"/>
      <c r="D87" s="11"/>
      <c r="E87" s="11"/>
      <c r="F87" s="11"/>
      <c r="G87" s="11"/>
      <c r="H87" s="181" t="s">
        <v>331</v>
      </c>
      <c r="I87" s="118" t="str">
        <f>IF(_epmOfflineCondition_,"T2",_xll.EVPRO($B$1,$H87,"STYLE"))</f>
        <v>T2</v>
      </c>
      <c r="J87" s="118" t="str">
        <f>IF(_epmOfflineCondition_,"Y",_xll.EVPRO($B$1,$H87,"CALC"))</f>
        <v>Y</v>
      </c>
      <c r="K87" s="11"/>
      <c r="L87" s="86" t="str">
        <f>IF(_epmOfflineCondition_,"946000",_xll.EVPRO($B$1,H87,"JDEID"))</f>
        <v>946000</v>
      </c>
      <c r="M87" s="86" t="str">
        <f>IF(_epmOfflineCondition_,"",IF(AND(I87="N",J87="N"),_xll.EVPRO($B$1,H87,"PSFTID"),""))</f>
        <v/>
      </c>
      <c r="N87" s="86" t="str">
        <f>IF(_epmOfflineCondition_,"Total Customers",IF(_xll.EVDES(H87,$B$1)="#NODATA","",_xll.EVDES(H87,$B$1)))</f>
        <v>Total Customers</v>
      </c>
      <c r="O87" s="502"/>
      <c r="P87" s="502"/>
      <c r="Q87" s="502"/>
      <c r="R87" s="502"/>
      <c r="S87" s="502"/>
      <c r="T87" s="502"/>
      <c r="U87" s="502"/>
      <c r="V87" s="502"/>
      <c r="W87" s="502"/>
      <c r="X87" s="502"/>
      <c r="Y87" s="502"/>
      <c r="Z87" s="502"/>
      <c r="AA87" s="502">
        <f>SUM(O87:Z87)</f>
        <v>0</v>
      </c>
      <c r="AB87" s="503" t="str">
        <f>IF(AA87=0,"",IFERROR(AA87/AA$20,""))</f>
        <v/>
      </c>
      <c r="AC87" s="136"/>
      <c r="AD87" s="502"/>
      <c r="AE87" s="503" t="str">
        <f>IF(AD87=0,"",IFERROR(AD87/AD$20,""))</f>
        <v/>
      </c>
      <c r="AF87" s="504">
        <f>IF(AND($AA87="",AD87=""),"",$AA87-AD87)</f>
        <v>0</v>
      </c>
      <c r="AG87" s="502"/>
      <c r="AH87" s="503" t="str">
        <f>IF(AG87=0,"",IFERROR(AG87/AG$20,""))</f>
        <v/>
      </c>
      <c r="AI87" s="504">
        <f>IF(AND($AA87="",AG87=""),"",$AA87-AG87)</f>
        <v>0</v>
      </c>
    </row>
    <row r="88" spans="1:35" x14ac:dyDescent="0.25">
      <c r="A88" s="11"/>
      <c r="B88" s="11"/>
      <c r="C88" s="204"/>
      <c r="D88" s="11"/>
      <c r="E88" s="11"/>
      <c r="F88" s="11"/>
      <c r="G88" s="11"/>
      <c r="H88" s="181" t="s">
        <v>311</v>
      </c>
      <c r="I88" s="118" t="str">
        <f>IF(_epmOfflineCondition_,"N",_xll.EVPRO($B$1,$H88,"STYLE"))</f>
        <v>N</v>
      </c>
      <c r="J88" s="118" t="str">
        <f>IF(_epmOfflineCondition_,"Y",_xll.EVPRO($B$1,$H88,"CALC"))</f>
        <v>Y</v>
      </c>
      <c r="K88" s="11"/>
      <c r="L88" s="86"/>
      <c r="M88" s="86"/>
      <c r="N88" s="86" t="str">
        <f>IF(_epmOfflineCondition_,"Total Average Check",IF(_xll.EVDES(H88,$B$1)="#NODATA","",_xll.EVDES(H88,$B$1)))</f>
        <v>Total Average Check</v>
      </c>
      <c r="O88" s="490"/>
      <c r="P88" s="490"/>
      <c r="Q88" s="490"/>
      <c r="R88" s="490"/>
      <c r="S88" s="490"/>
      <c r="T88" s="490"/>
      <c r="U88" s="490"/>
      <c r="V88" s="490"/>
      <c r="W88" s="490"/>
      <c r="X88" s="490"/>
      <c r="Y88" s="490"/>
      <c r="Z88" s="490"/>
      <c r="AA88" s="490" t="str">
        <f>IFERROR(AA85/AA87,"")</f>
        <v/>
      </c>
      <c r="AB88" s="490"/>
      <c r="AC88" s="136"/>
      <c r="AD88" s="490"/>
      <c r="AE88" s="490"/>
      <c r="AF88" s="491" t="str">
        <f>IF(AND($AA88="",AD88=""),"",$AA88-AD88)</f>
        <v/>
      </c>
      <c r="AG88" s="490"/>
      <c r="AH88" s="490"/>
      <c r="AI88" s="491" t="str">
        <f>IF(AND($AA88="",AG88=""),"",$AA88-AG88)</f>
        <v/>
      </c>
    </row>
    <row r="89" spans="1:35" x14ac:dyDescent="0.25">
      <c r="A89" s="11"/>
      <c r="B89" s="11"/>
      <c r="C89" s="204"/>
      <c r="D89" s="11"/>
      <c r="E89" s="11"/>
      <c r="F89" s="11"/>
      <c r="G89" s="11"/>
      <c r="H89" s="181"/>
      <c r="I89" s="118"/>
      <c r="J89" s="118"/>
      <c r="K89" s="11"/>
      <c r="L89" s="86"/>
      <c r="M89" s="86"/>
      <c r="N89" s="86"/>
      <c r="O89" s="166"/>
      <c r="P89" s="167"/>
      <c r="Q89" s="167"/>
      <c r="R89" s="167"/>
      <c r="S89" s="167"/>
      <c r="T89" s="167"/>
      <c r="U89" s="167"/>
      <c r="V89" s="167"/>
      <c r="W89" s="167"/>
      <c r="X89" s="167"/>
      <c r="Y89" s="167"/>
      <c r="Z89" s="167"/>
      <c r="AA89" s="167"/>
      <c r="AB89" s="168"/>
      <c r="AC89" s="136"/>
      <c r="AD89" s="166"/>
      <c r="AE89" s="167"/>
      <c r="AF89" s="168"/>
      <c r="AG89" s="166"/>
      <c r="AH89" s="167"/>
      <c r="AI89" s="168"/>
    </row>
    <row r="90" spans="1:35" x14ac:dyDescent="0.25">
      <c r="A90" s="11"/>
      <c r="B90" s="11"/>
      <c r="C90" s="204"/>
      <c r="D90" s="11"/>
      <c r="E90" s="11"/>
      <c r="F90" s="11"/>
      <c r="G90" s="11"/>
      <c r="H90" s="181"/>
      <c r="I90" s="118"/>
      <c r="J90" s="118"/>
      <c r="K90" s="11"/>
      <c r="L90" s="86"/>
      <c r="M90" s="86"/>
      <c r="N90" s="49" t="s">
        <v>334</v>
      </c>
      <c r="O90" s="154"/>
      <c r="P90" s="155"/>
      <c r="Q90" s="155"/>
      <c r="R90" s="155"/>
      <c r="S90" s="155"/>
      <c r="T90" s="155"/>
      <c r="U90" s="155"/>
      <c r="V90" s="155"/>
      <c r="W90" s="155"/>
      <c r="X90" s="155"/>
      <c r="Y90" s="155"/>
      <c r="Z90" s="155"/>
      <c r="AA90" s="155"/>
      <c r="AB90" s="156"/>
      <c r="AC90" s="136"/>
      <c r="AD90" s="154"/>
      <c r="AE90" s="155"/>
      <c r="AF90" s="156"/>
      <c r="AG90" s="154"/>
      <c r="AH90" s="155"/>
      <c r="AI90" s="156"/>
    </row>
    <row r="91" spans="1:35" hidden="1" outlineLevel="1" x14ac:dyDescent="0.25">
      <c r="A91" s="11"/>
      <c r="B91" s="11"/>
      <c r="C91" s="204"/>
      <c r="D91" s="11"/>
      <c r="E91" s="11"/>
      <c r="F91" s="11"/>
      <c r="G91" s="11"/>
      <c r="H91" s="181" t="s">
        <v>332</v>
      </c>
      <c r="I91" s="118" t="str">
        <f>IF(_epmOfflineCondition_,"T4",_xll.EVPRO($B$1,$H91,"STYLE"))</f>
        <v>T4</v>
      </c>
      <c r="J91" s="118" t="str">
        <f>IF(_epmOfflineCondition_,"Y",_xll.EVPRO($B$1,$H91,"CALC"))</f>
        <v>Y</v>
      </c>
      <c r="K91" s="11"/>
      <c r="L91" s="86"/>
      <c r="M91" s="86"/>
      <c r="N91" s="86" t="str">
        <f>IF(_epmOfflineCondition_,"F&amp;B Kitchen - THW",IF(_xll.EVDES(H91,$B$1)="#NODATA","",_xll.EVDES(H91,$B$1)))</f>
        <v>F&amp;B Kitchen - THW</v>
      </c>
      <c r="O91" s="134"/>
      <c r="P91" s="134"/>
      <c r="Q91" s="134"/>
      <c r="R91" s="134"/>
      <c r="S91" s="134"/>
      <c r="T91" s="134"/>
      <c r="U91" s="134"/>
      <c r="V91" s="134"/>
      <c r="W91" s="134"/>
      <c r="X91" s="134"/>
      <c r="Y91" s="134"/>
      <c r="Z91" s="134"/>
      <c r="AA91" s="134">
        <f>SUM(O91:Z91)</f>
        <v>0</v>
      </c>
      <c r="AB91" s="138"/>
      <c r="AC91" s="136"/>
      <c r="AD91" s="134"/>
      <c r="AE91" s="138"/>
      <c r="AF91" s="137">
        <f>IF(AND($AA91="",AD91=""),"",$AA91-AD91)</f>
        <v>0</v>
      </c>
      <c r="AG91" s="134"/>
      <c r="AH91" s="138"/>
      <c r="AI91" s="137">
        <f>IF(AND($AA91="",AG91=""),"",$AA91-AG91)</f>
        <v>0</v>
      </c>
    </row>
    <row r="92" spans="1:35" hidden="1" outlineLevel="1" x14ac:dyDescent="0.25">
      <c r="A92" s="11"/>
      <c r="B92" s="11"/>
      <c r="C92" s="204"/>
      <c r="D92" s="11"/>
      <c r="E92" s="11"/>
      <c r="F92" s="11"/>
      <c r="G92" s="11"/>
      <c r="H92" s="181" t="s">
        <v>333</v>
      </c>
      <c r="I92" s="118" t="str">
        <f>IF(_epmOfflineCondition_,"T4",_xll.EVPRO($B$1,$H92,"STYLE"))</f>
        <v>T4</v>
      </c>
      <c r="J92" s="118" t="str">
        <f>IF(_epmOfflineCondition_,"Y",_xll.EVPRO($B$1,$H92,"CALC"))</f>
        <v>Y</v>
      </c>
      <c r="K92" s="11"/>
      <c r="L92" s="86"/>
      <c r="M92" s="86"/>
      <c r="N92" s="86" t="str">
        <f>IF(_epmOfflineCondition_,"F&amp;B Venues - THW",IF(_xll.EVDES(H92,$B$1)="#NODATA","",_xll.EVDES(H92,$B$1)))</f>
        <v>F&amp;B Venues - THW</v>
      </c>
      <c r="O92" s="134"/>
      <c r="P92" s="134"/>
      <c r="Q92" s="134"/>
      <c r="R92" s="134"/>
      <c r="S92" s="134"/>
      <c r="T92" s="134"/>
      <c r="U92" s="134"/>
      <c r="V92" s="134"/>
      <c r="W92" s="134"/>
      <c r="X92" s="134"/>
      <c r="Y92" s="134"/>
      <c r="Z92" s="134"/>
      <c r="AA92" s="134">
        <f>SUM(O92:Z92)</f>
        <v>0</v>
      </c>
      <c r="AB92" s="138"/>
      <c r="AC92" s="136"/>
      <c r="AD92" s="134"/>
      <c r="AE92" s="138"/>
      <c r="AF92" s="137">
        <f>IF(AND($AA92="",AD92=""),"",$AA92-AD92)</f>
        <v>0</v>
      </c>
      <c r="AG92" s="134"/>
      <c r="AH92" s="138"/>
      <c r="AI92" s="137">
        <f>IF(AND($AA92="",AG92=""),"",$AA92-AG92)</f>
        <v>0</v>
      </c>
    </row>
    <row r="93" spans="1:35" collapsed="1" x14ac:dyDescent="0.25">
      <c r="A93" s="11"/>
      <c r="B93" s="11"/>
      <c r="C93" s="204"/>
      <c r="D93" s="11"/>
      <c r="E93" s="11"/>
      <c r="F93" s="11"/>
      <c r="G93" s="11"/>
      <c r="H93" s="181"/>
      <c r="I93" s="118"/>
      <c r="J93" s="118"/>
      <c r="K93" s="11"/>
      <c r="L93" s="86"/>
      <c r="M93" s="86"/>
      <c r="N93" s="100" t="s">
        <v>335</v>
      </c>
      <c r="O93" s="505" t="str">
        <f t="shared" ref="O93:AA93" si="25">IFERROR(O$87/O91,"")</f>
        <v/>
      </c>
      <c r="P93" s="505" t="str">
        <f t="shared" si="25"/>
        <v/>
      </c>
      <c r="Q93" s="505" t="str">
        <f t="shared" si="25"/>
        <v/>
      </c>
      <c r="R93" s="505" t="str">
        <f t="shared" si="25"/>
        <v/>
      </c>
      <c r="S93" s="505" t="str">
        <f t="shared" si="25"/>
        <v/>
      </c>
      <c r="T93" s="505" t="str">
        <f t="shared" si="25"/>
        <v/>
      </c>
      <c r="U93" s="505" t="str">
        <f t="shared" si="25"/>
        <v/>
      </c>
      <c r="V93" s="505" t="str">
        <f t="shared" si="25"/>
        <v/>
      </c>
      <c r="W93" s="505" t="str">
        <f t="shared" si="25"/>
        <v/>
      </c>
      <c r="X93" s="505" t="str">
        <f t="shared" si="25"/>
        <v/>
      </c>
      <c r="Y93" s="505" t="str">
        <f t="shared" si="25"/>
        <v/>
      </c>
      <c r="Z93" s="505" t="str">
        <f t="shared" si="25"/>
        <v/>
      </c>
      <c r="AA93" s="505" t="str">
        <f t="shared" si="25"/>
        <v/>
      </c>
      <c r="AB93" s="506"/>
      <c r="AC93" s="136"/>
      <c r="AD93" s="505" t="str">
        <f>IFERROR(AD$87/AD91,"")</f>
        <v/>
      </c>
      <c r="AE93" s="506"/>
      <c r="AF93" s="226" t="str">
        <f>IF(AND($AA93="",AD93=""),"",$AA93-AD93)</f>
        <v/>
      </c>
      <c r="AG93" s="505" t="str">
        <f>IFERROR(AG$87/AG91,"")</f>
        <v/>
      </c>
      <c r="AH93" s="506"/>
      <c r="AI93" s="226" t="str">
        <f>IF(AND($AA93="",AG93=""),"",$AA93-AG93)</f>
        <v/>
      </c>
    </row>
    <row r="94" spans="1:35" x14ac:dyDescent="0.25">
      <c r="A94" s="11"/>
      <c r="B94" s="11"/>
      <c r="C94" s="204"/>
      <c r="D94" s="11"/>
      <c r="E94" s="11"/>
      <c r="F94" s="11"/>
      <c r="G94" s="11"/>
      <c r="H94" s="181"/>
      <c r="I94" s="118"/>
      <c r="J94" s="118"/>
      <c r="K94" s="11"/>
      <c r="L94" s="86"/>
      <c r="M94" s="86"/>
      <c r="N94" s="100" t="s">
        <v>336</v>
      </c>
      <c r="O94" s="505" t="str">
        <f t="shared" ref="O94:AA94" si="26">IFERROR(O$87/O92,"")</f>
        <v/>
      </c>
      <c r="P94" s="505" t="str">
        <f t="shared" si="26"/>
        <v/>
      </c>
      <c r="Q94" s="505" t="str">
        <f t="shared" si="26"/>
        <v/>
      </c>
      <c r="R94" s="505" t="str">
        <f t="shared" si="26"/>
        <v/>
      </c>
      <c r="S94" s="505" t="str">
        <f t="shared" si="26"/>
        <v/>
      </c>
      <c r="T94" s="505" t="str">
        <f t="shared" si="26"/>
        <v/>
      </c>
      <c r="U94" s="505" t="str">
        <f t="shared" si="26"/>
        <v/>
      </c>
      <c r="V94" s="505" t="str">
        <f t="shared" si="26"/>
        <v/>
      </c>
      <c r="W94" s="505" t="str">
        <f t="shared" si="26"/>
        <v/>
      </c>
      <c r="X94" s="505" t="str">
        <f t="shared" si="26"/>
        <v/>
      </c>
      <c r="Y94" s="505" t="str">
        <f t="shared" si="26"/>
        <v/>
      </c>
      <c r="Z94" s="505" t="str">
        <f t="shared" si="26"/>
        <v/>
      </c>
      <c r="AA94" s="505" t="str">
        <f t="shared" si="26"/>
        <v/>
      </c>
      <c r="AB94" s="506"/>
      <c r="AC94" s="136"/>
      <c r="AD94" s="505" t="str">
        <f>IFERROR(AD$87/AD92,"")</f>
        <v/>
      </c>
      <c r="AE94" s="506"/>
      <c r="AF94" s="226" t="str">
        <f>IF(AND($AA94="",AD94=""),"",$AA94-AD94)</f>
        <v/>
      </c>
      <c r="AG94" s="505" t="str">
        <f>IFERROR(AG$87/AG92,"")</f>
        <v/>
      </c>
      <c r="AH94" s="506"/>
      <c r="AI94" s="226" t="str">
        <f>IF(AND($AA94="",AG94=""),"",$AA94-AG94)</f>
        <v/>
      </c>
    </row>
    <row r="95" spans="1:35" x14ac:dyDescent="0.25">
      <c r="A95" s="11"/>
      <c r="B95" s="11"/>
      <c r="C95" s="204"/>
      <c r="D95" s="11"/>
      <c r="E95" s="11"/>
      <c r="F95" s="11"/>
      <c r="G95" s="11"/>
      <c r="H95" s="181"/>
      <c r="I95" s="118"/>
      <c r="J95" s="118"/>
      <c r="K95" s="11"/>
      <c r="L95" s="86"/>
      <c r="M95" s="86"/>
      <c r="N95" s="86"/>
      <c r="O95" s="507"/>
      <c r="P95" s="508"/>
      <c r="Q95" s="508"/>
      <c r="R95" s="508"/>
      <c r="S95" s="508"/>
      <c r="T95" s="508"/>
      <c r="U95" s="508"/>
      <c r="V95" s="508"/>
      <c r="W95" s="508"/>
      <c r="X95" s="508"/>
      <c r="Y95" s="508"/>
      <c r="Z95" s="508"/>
      <c r="AA95" s="508"/>
      <c r="AB95" s="153"/>
      <c r="AC95" s="136"/>
      <c r="AD95" s="509"/>
      <c r="AE95" s="477"/>
      <c r="AF95" s="153"/>
      <c r="AG95" s="477"/>
      <c r="AH95" s="477"/>
      <c r="AI95" s="153"/>
    </row>
    <row r="96" spans="1:35" x14ac:dyDescent="0.25">
      <c r="A96" s="11"/>
      <c r="B96" s="11"/>
      <c r="C96" s="204"/>
      <c r="D96" s="11"/>
      <c r="E96" s="11"/>
      <c r="F96" s="11"/>
      <c r="G96" s="11"/>
      <c r="H96" s="181"/>
      <c r="I96" s="118"/>
      <c r="J96" s="118"/>
      <c r="K96" s="11"/>
      <c r="L96" s="86"/>
      <c r="M96" s="86"/>
      <c r="N96" s="49" t="s">
        <v>343</v>
      </c>
      <c r="O96" s="509"/>
      <c r="P96" s="477"/>
      <c r="Q96" s="477"/>
      <c r="R96" s="477"/>
      <c r="S96" s="477"/>
      <c r="T96" s="477"/>
      <c r="U96" s="477"/>
      <c r="V96" s="477"/>
      <c r="W96" s="477"/>
      <c r="X96" s="477"/>
      <c r="Y96" s="477"/>
      <c r="Z96" s="477"/>
      <c r="AA96" s="477"/>
      <c r="AB96" s="510"/>
      <c r="AC96" s="136"/>
      <c r="AD96" s="511"/>
      <c r="AE96" s="512"/>
      <c r="AF96" s="153"/>
      <c r="AG96" s="477"/>
      <c r="AH96" s="512"/>
      <c r="AI96" s="153"/>
    </row>
    <row r="97" spans="1:35" x14ac:dyDescent="0.25">
      <c r="A97" s="11"/>
      <c r="B97" s="11"/>
      <c r="C97" s="204"/>
      <c r="D97" s="11"/>
      <c r="E97" s="11"/>
      <c r="F97" s="11"/>
      <c r="G97" s="11"/>
      <c r="H97" s="181"/>
      <c r="I97" s="118"/>
      <c r="J97" s="118"/>
      <c r="K97" s="11"/>
      <c r="L97" s="86"/>
      <c r="M97" s="86"/>
      <c r="N97" s="49" t="s">
        <v>337</v>
      </c>
      <c r="O97" s="154"/>
      <c r="P97" s="155"/>
      <c r="Q97" s="155"/>
      <c r="R97" s="155"/>
      <c r="S97" s="155"/>
      <c r="T97" s="155"/>
      <c r="U97" s="155"/>
      <c r="V97" s="155"/>
      <c r="W97" s="155"/>
      <c r="X97" s="155"/>
      <c r="Y97" s="155"/>
      <c r="Z97" s="155"/>
      <c r="AA97" s="155"/>
      <c r="AB97" s="156"/>
      <c r="AC97" s="136"/>
      <c r="AD97" s="154"/>
      <c r="AE97" s="155"/>
      <c r="AF97" s="156"/>
      <c r="AG97" s="155"/>
      <c r="AH97" s="155"/>
      <c r="AI97" s="156"/>
    </row>
    <row r="98" spans="1:35" x14ac:dyDescent="0.25">
      <c r="A98" s="11"/>
      <c r="B98" s="11"/>
      <c r="C98" s="204"/>
      <c r="D98" s="11"/>
      <c r="E98" s="11"/>
      <c r="F98" s="11"/>
      <c r="G98" s="11"/>
      <c r="H98" s="181" t="s">
        <v>294</v>
      </c>
      <c r="I98" s="118"/>
      <c r="J98" s="118"/>
      <c r="K98" s="11"/>
      <c r="L98" s="86" t="str">
        <f>IF(_epmOfflineCondition_,"461200",_xll.EVPRO($B$1,H98,"JDEID"))</f>
        <v>461200</v>
      </c>
      <c r="M98" s="86" t="str">
        <f>IF(_epmOfflineCondition_,"",IF(AND(I98="N",J98="N"),_xll.EVPRO($B$1,H98,"PSFTID"),""))</f>
        <v/>
      </c>
      <c r="N98" s="86" t="str">
        <f>IF(_epmOfflineCondition_,"Breakfast Liquor",IF(_xll.EVDES(H98,$B$1)="#NODATA","",_xll.EVDES(H98,$B$1)))</f>
        <v>Breakfast Liquor</v>
      </c>
      <c r="O98" s="134"/>
      <c r="P98" s="134"/>
      <c r="Q98" s="134"/>
      <c r="R98" s="134"/>
      <c r="S98" s="134"/>
      <c r="T98" s="134"/>
      <c r="U98" s="134"/>
      <c r="V98" s="134"/>
      <c r="W98" s="134"/>
      <c r="X98" s="134"/>
      <c r="Y98" s="134"/>
      <c r="Z98" s="134"/>
      <c r="AA98" s="134">
        <f t="shared" ref="AA98:AA103" si="27">SUM(O98:Z98)</f>
        <v>0</v>
      </c>
      <c r="AB98" s="138" t="str">
        <f t="shared" ref="AB98:AB103" si="28">IF(AA98=0,"",IFERROR(AA98/AA$19,""))</f>
        <v/>
      </c>
      <c r="AC98" s="136"/>
      <c r="AD98" s="134"/>
      <c r="AE98" s="138" t="str">
        <f t="shared" ref="AE98:AE103" si="29">IF(AD98=0,"",IFERROR(AD98/AD$19,""))</f>
        <v/>
      </c>
      <c r="AF98" s="137">
        <f t="shared" ref="AF98:AF103" si="30">IF(AND($AA98="",AD98=""),"",$AA98-AD98)</f>
        <v>0</v>
      </c>
      <c r="AG98" s="134"/>
      <c r="AH98" s="138" t="str">
        <f t="shared" ref="AH98:AH103" si="31">IF(AG98=0,"",IFERROR(AG98/AG$19,""))</f>
        <v/>
      </c>
      <c r="AI98" s="137">
        <f t="shared" ref="AI98:AI103" si="32">IF(AND($AA98="",AG98=""),"",$AA98-AG98)</f>
        <v>0</v>
      </c>
    </row>
    <row r="99" spans="1:35" x14ac:dyDescent="0.25">
      <c r="A99" s="11"/>
      <c r="B99" s="11"/>
      <c r="C99" s="204"/>
      <c r="D99" s="11"/>
      <c r="E99" s="11"/>
      <c r="F99" s="11"/>
      <c r="G99" s="11"/>
      <c r="H99" s="181" t="s">
        <v>301</v>
      </c>
      <c r="I99" s="118"/>
      <c r="J99" s="118"/>
      <c r="K99" s="11"/>
      <c r="L99" s="86" t="str">
        <f>IF(_epmOfflineCondition_,"462200",_xll.EVPRO($B$1,H99,"JDEID"))</f>
        <v>462200</v>
      </c>
      <c r="M99" s="86" t="str">
        <f>IF(_epmOfflineCondition_,"",IF(AND(I99="N",J99="N"),_xll.EVPRO($B$1,H99,"PSFTID"),""))</f>
        <v/>
      </c>
      <c r="N99" s="86" t="str">
        <f>IF(_epmOfflineCondition_,"Lunch Liquor",IF(_xll.EVDES(H99,$B$1)="#NODATA","",_xll.EVDES(H99,$B$1)))</f>
        <v>Lunch Liquor</v>
      </c>
      <c r="O99" s="134"/>
      <c r="P99" s="134"/>
      <c r="Q99" s="134"/>
      <c r="R99" s="134"/>
      <c r="S99" s="134"/>
      <c r="T99" s="134"/>
      <c r="U99" s="134"/>
      <c r="V99" s="134"/>
      <c r="W99" s="134"/>
      <c r="X99" s="134"/>
      <c r="Y99" s="134"/>
      <c r="Z99" s="134"/>
      <c r="AA99" s="134">
        <f t="shared" si="27"/>
        <v>0</v>
      </c>
      <c r="AB99" s="138" t="str">
        <f t="shared" si="28"/>
        <v/>
      </c>
      <c r="AC99" s="136"/>
      <c r="AD99" s="134"/>
      <c r="AE99" s="138" t="str">
        <f t="shared" si="29"/>
        <v/>
      </c>
      <c r="AF99" s="137">
        <f t="shared" si="30"/>
        <v>0</v>
      </c>
      <c r="AG99" s="134"/>
      <c r="AH99" s="138" t="str">
        <f t="shared" si="31"/>
        <v/>
      </c>
      <c r="AI99" s="137">
        <f t="shared" si="32"/>
        <v>0</v>
      </c>
    </row>
    <row r="100" spans="1:35" x14ac:dyDescent="0.25">
      <c r="A100" s="11"/>
      <c r="B100" s="11"/>
      <c r="C100" s="204"/>
      <c r="D100" s="11"/>
      <c r="E100" s="11"/>
      <c r="F100" s="11"/>
      <c r="G100" s="11"/>
      <c r="H100" s="181" t="s">
        <v>302</v>
      </c>
      <c r="I100" s="118"/>
      <c r="J100" s="118"/>
      <c r="K100" s="11"/>
      <c r="L100" s="86" t="str">
        <f>IF(_epmOfflineCondition_,"463200",_xll.EVPRO($B$1,H100,"JDEID"))</f>
        <v>463200</v>
      </c>
      <c r="M100" s="86" t="str">
        <f>IF(_epmOfflineCondition_,"",IF(AND(I100="N",J100="N"),_xll.EVPRO($B$1,H100,"PSFTID"),""))</f>
        <v/>
      </c>
      <c r="N100" s="86" t="str">
        <f>IF(_epmOfflineCondition_,"Dinner Liquor",IF(_xll.EVDES(H100,$B$1)="#NODATA","",_xll.EVDES(H100,$B$1)))</f>
        <v>Dinner Liquor</v>
      </c>
      <c r="O100" s="134"/>
      <c r="P100" s="134"/>
      <c r="Q100" s="134"/>
      <c r="R100" s="134"/>
      <c r="S100" s="134"/>
      <c r="T100" s="134"/>
      <c r="U100" s="134"/>
      <c r="V100" s="134"/>
      <c r="W100" s="134"/>
      <c r="X100" s="134"/>
      <c r="Y100" s="134"/>
      <c r="Z100" s="134"/>
      <c r="AA100" s="134">
        <f t="shared" si="27"/>
        <v>0</v>
      </c>
      <c r="AB100" s="138" t="str">
        <f t="shared" si="28"/>
        <v/>
      </c>
      <c r="AC100" s="136"/>
      <c r="AD100" s="134"/>
      <c r="AE100" s="138" t="str">
        <f t="shared" si="29"/>
        <v/>
      </c>
      <c r="AF100" s="137">
        <f t="shared" si="30"/>
        <v>0</v>
      </c>
      <c r="AG100" s="134"/>
      <c r="AH100" s="138" t="str">
        <f t="shared" si="31"/>
        <v/>
      </c>
      <c r="AI100" s="137">
        <f t="shared" si="32"/>
        <v>0</v>
      </c>
    </row>
    <row r="101" spans="1:35" x14ac:dyDescent="0.25">
      <c r="A101" s="11"/>
      <c r="B101" s="11"/>
      <c r="C101" s="204"/>
      <c r="D101" s="11"/>
      <c r="E101" s="11"/>
      <c r="F101" s="11"/>
      <c r="G101" s="11"/>
      <c r="H101" s="181" t="s">
        <v>308</v>
      </c>
      <c r="I101" s="118"/>
      <c r="J101" s="118"/>
      <c r="K101" s="11"/>
      <c r="L101" s="86" t="str">
        <f>IF(_epmOfflineCondition_,"464200",_xll.EVPRO($B$1,H101,"JDEID"))</f>
        <v>464200</v>
      </c>
      <c r="M101" s="86" t="str">
        <f>IF(_epmOfflineCondition_,"",IF(AND(I101="N",J101="N"),_xll.EVPRO($B$1,H101,"PSFTID"),""))</f>
        <v/>
      </c>
      <c r="N101" s="86" t="str">
        <f>IF(_epmOfflineCondition_,"Bar Liquor",IF(_xll.EVDES(H101,$B$1)="#NODATA","",_xll.EVDES(H101,$B$1)))</f>
        <v>Bar Liquor</v>
      </c>
      <c r="O101" s="134"/>
      <c r="P101" s="134"/>
      <c r="Q101" s="134"/>
      <c r="R101" s="134"/>
      <c r="S101" s="134"/>
      <c r="T101" s="134"/>
      <c r="U101" s="134"/>
      <c r="V101" s="134"/>
      <c r="W101" s="134"/>
      <c r="X101" s="134"/>
      <c r="Y101" s="134"/>
      <c r="Z101" s="134"/>
      <c r="AA101" s="134">
        <f t="shared" si="27"/>
        <v>0</v>
      </c>
      <c r="AB101" s="138" t="str">
        <f t="shared" si="28"/>
        <v/>
      </c>
      <c r="AC101" s="136"/>
      <c r="AD101" s="134"/>
      <c r="AE101" s="138" t="str">
        <f t="shared" si="29"/>
        <v/>
      </c>
      <c r="AF101" s="137">
        <f t="shared" si="30"/>
        <v>0</v>
      </c>
      <c r="AG101" s="134"/>
      <c r="AH101" s="138" t="str">
        <f t="shared" si="31"/>
        <v/>
      </c>
      <c r="AI101" s="137">
        <f t="shared" si="32"/>
        <v>0</v>
      </c>
    </row>
    <row r="102" spans="1:35" x14ac:dyDescent="0.25">
      <c r="A102" s="11"/>
      <c r="B102" s="11"/>
      <c r="C102" s="204"/>
      <c r="D102" s="11"/>
      <c r="E102" s="11"/>
      <c r="F102" s="11"/>
      <c r="G102" s="11"/>
      <c r="H102" s="181" t="s">
        <v>321</v>
      </c>
      <c r="I102" s="118"/>
      <c r="J102" s="118"/>
      <c r="K102" s="11"/>
      <c r="L102" s="86" t="str">
        <f>IF(_epmOfflineCondition_,"465200",_xll.EVPRO($B$1,H102,"JDEID"))</f>
        <v>465200</v>
      </c>
      <c r="M102" s="86" t="str">
        <f>IF(_epmOfflineCondition_,"",IF(AND(I102="N",J102="N"),_xll.EVPRO($B$1,H102,"PSFTID"),""))</f>
        <v/>
      </c>
      <c r="N102" s="86" t="str">
        <f>IF(_epmOfflineCondition_,"Private Dining Liquor",IF(_xll.EVDES(H102,$B$1)="#NODATA","",_xll.EVDES(H102,$B$1)))</f>
        <v>Private Dining Liquor</v>
      </c>
      <c r="O102" s="134"/>
      <c r="P102" s="134"/>
      <c r="Q102" s="134"/>
      <c r="R102" s="134"/>
      <c r="S102" s="134"/>
      <c r="T102" s="134"/>
      <c r="U102" s="134"/>
      <c r="V102" s="134"/>
      <c r="W102" s="134"/>
      <c r="X102" s="134"/>
      <c r="Y102" s="134"/>
      <c r="Z102" s="134"/>
      <c r="AA102" s="134">
        <f t="shared" si="27"/>
        <v>0</v>
      </c>
      <c r="AB102" s="138" t="str">
        <f t="shared" si="28"/>
        <v/>
      </c>
      <c r="AC102" s="136"/>
      <c r="AD102" s="134"/>
      <c r="AE102" s="138" t="str">
        <f t="shared" si="29"/>
        <v/>
      </c>
      <c r="AF102" s="137">
        <f t="shared" si="30"/>
        <v>0</v>
      </c>
      <c r="AG102" s="134"/>
      <c r="AH102" s="138" t="str">
        <f t="shared" si="31"/>
        <v/>
      </c>
      <c r="AI102" s="137">
        <f t="shared" si="32"/>
        <v>0</v>
      </c>
    </row>
    <row r="103" spans="1:35" x14ac:dyDescent="0.25">
      <c r="A103" s="11"/>
      <c r="B103" s="11"/>
      <c r="C103" s="204"/>
      <c r="D103" s="11"/>
      <c r="E103" s="11"/>
      <c r="F103" s="11"/>
      <c r="G103" s="11"/>
      <c r="H103" s="181" t="s">
        <v>340</v>
      </c>
      <c r="I103" s="118"/>
      <c r="J103" s="118"/>
      <c r="K103" s="11"/>
      <c r="L103" s="86" t="str">
        <f>IF(_epmOfflineCondition_,"",_xll.EVPRO($B$1,H103,"JDEID"))</f>
        <v/>
      </c>
      <c r="M103" s="86" t="str">
        <f>IF(_epmOfflineCondition_,"",IF(AND(I103="N",J103="N"),_xll.EVPRO($B$1,H103,"PSFTID"),""))</f>
        <v/>
      </c>
      <c r="N103" s="102" t="str">
        <f>IF(_epmOfflineCondition_,"Liquor Revenue ",IF(_xll.EVDES(H103,$B$1)="#NODATA","",_xll.EVDES(H103,$B$1)))</f>
        <v xml:space="preserve">Liquor Revenue </v>
      </c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>
        <f t="shared" si="27"/>
        <v>0</v>
      </c>
      <c r="AB103" s="159" t="str">
        <f t="shared" si="28"/>
        <v/>
      </c>
      <c r="AC103" s="136"/>
      <c r="AD103" s="158"/>
      <c r="AE103" s="159" t="str">
        <f t="shared" si="29"/>
        <v/>
      </c>
      <c r="AF103" s="160">
        <f t="shared" si="30"/>
        <v>0</v>
      </c>
      <c r="AG103" s="158"/>
      <c r="AH103" s="159" t="str">
        <f t="shared" si="31"/>
        <v/>
      </c>
      <c r="AI103" s="160">
        <f t="shared" si="32"/>
        <v>0</v>
      </c>
    </row>
    <row r="104" spans="1:35" x14ac:dyDescent="0.25">
      <c r="A104" s="11"/>
      <c r="B104" s="11"/>
      <c r="C104" s="204"/>
      <c r="D104" s="11"/>
      <c r="E104" s="11"/>
      <c r="F104" s="11"/>
      <c r="G104" s="11"/>
      <c r="H104" s="181"/>
      <c r="I104" s="118"/>
      <c r="J104" s="118"/>
      <c r="K104" s="11"/>
      <c r="L104" s="86"/>
      <c r="M104" s="86"/>
      <c r="N104" s="49"/>
      <c r="O104" s="166"/>
      <c r="P104" s="167"/>
      <c r="Q104" s="167"/>
      <c r="R104" s="167"/>
      <c r="S104" s="167"/>
      <c r="T104" s="167"/>
      <c r="U104" s="167"/>
      <c r="V104" s="167"/>
      <c r="W104" s="167"/>
      <c r="X104" s="167"/>
      <c r="Y104" s="167"/>
      <c r="Z104" s="167"/>
      <c r="AA104" s="167"/>
      <c r="AB104" s="168"/>
      <c r="AC104" s="136"/>
      <c r="AD104" s="166"/>
      <c r="AE104" s="167"/>
      <c r="AF104" s="168"/>
      <c r="AG104" s="166"/>
      <c r="AH104" s="167"/>
      <c r="AI104" s="168"/>
    </row>
    <row r="105" spans="1:35" x14ac:dyDescent="0.25">
      <c r="A105" s="11"/>
      <c r="B105" s="11"/>
      <c r="C105" s="204"/>
      <c r="D105" s="11"/>
      <c r="E105" s="11"/>
      <c r="F105" s="11"/>
      <c r="G105" s="11"/>
      <c r="H105" s="181"/>
      <c r="I105" s="118"/>
      <c r="J105" s="118"/>
      <c r="K105" s="11"/>
      <c r="L105" s="86"/>
      <c r="M105" s="86"/>
      <c r="N105" s="49" t="s">
        <v>339</v>
      </c>
      <c r="O105" s="154"/>
      <c r="P105" s="155"/>
      <c r="Q105" s="155"/>
      <c r="R105" s="155"/>
      <c r="S105" s="155"/>
      <c r="T105" s="155"/>
      <c r="U105" s="155"/>
      <c r="V105" s="155"/>
      <c r="W105" s="155"/>
      <c r="X105" s="155"/>
      <c r="Y105" s="155"/>
      <c r="Z105" s="155"/>
      <c r="AA105" s="155"/>
      <c r="AB105" s="156"/>
      <c r="AC105" s="136"/>
      <c r="AD105" s="154"/>
      <c r="AE105" s="155"/>
      <c r="AF105" s="156"/>
      <c r="AG105" s="154"/>
      <c r="AH105" s="155"/>
      <c r="AI105" s="156"/>
    </row>
    <row r="106" spans="1:35" x14ac:dyDescent="0.25">
      <c r="A106" s="11"/>
      <c r="B106" s="11"/>
      <c r="C106" s="204"/>
      <c r="D106" s="11"/>
      <c r="E106" s="11"/>
      <c r="F106" s="11"/>
      <c r="G106" s="11"/>
      <c r="H106" s="181" t="s">
        <v>295</v>
      </c>
      <c r="I106" s="118"/>
      <c r="J106" s="118"/>
      <c r="K106" s="11"/>
      <c r="L106" s="86" t="str">
        <f>IF(_epmOfflineCondition_,"461300",_xll.EVPRO($B$1,H106,"JDEID"))</f>
        <v>461300</v>
      </c>
      <c r="M106" s="86" t="str">
        <f>IF(_epmOfflineCondition_,"",IF(AND(I106="N",J106="N"),_xll.EVPRO($B$1,H106,"PSFTID"),""))</f>
        <v/>
      </c>
      <c r="N106" s="86" t="str">
        <f>IF(_epmOfflineCondition_,"Breakfast Beer",IF(_xll.EVDES(H106,$B$1)="#NODATA","",_xll.EVDES(H106,$B$1)))</f>
        <v>Breakfast Beer</v>
      </c>
      <c r="O106" s="134"/>
      <c r="P106" s="134"/>
      <c r="Q106" s="134"/>
      <c r="R106" s="134"/>
      <c r="S106" s="134"/>
      <c r="T106" s="134"/>
      <c r="U106" s="134"/>
      <c r="V106" s="134"/>
      <c r="W106" s="134"/>
      <c r="X106" s="134"/>
      <c r="Y106" s="134"/>
      <c r="Z106" s="134"/>
      <c r="AA106" s="134">
        <f t="shared" ref="AA106:AA111" si="33">SUM(O106:Z106)</f>
        <v>0</v>
      </c>
      <c r="AB106" s="138" t="str">
        <f t="shared" ref="AB106:AB111" si="34">IF(AA106=0,"",IFERROR(AA106/AA$19,""))</f>
        <v/>
      </c>
      <c r="AC106" s="136"/>
      <c r="AD106" s="134"/>
      <c r="AE106" s="138" t="str">
        <f t="shared" ref="AE106:AE111" si="35">IF(AD106=0,"",IFERROR(AD106/AD$19,""))</f>
        <v/>
      </c>
      <c r="AF106" s="137">
        <f t="shared" ref="AF106:AF111" si="36">IF(AND($AA106="",AD106=""),"",$AA106-AD106)</f>
        <v>0</v>
      </c>
      <c r="AG106" s="134"/>
      <c r="AH106" s="138" t="str">
        <f t="shared" ref="AH106:AH111" si="37">IF(AG106=0,"",IFERROR(AG106/AG$19,""))</f>
        <v/>
      </c>
      <c r="AI106" s="137">
        <f t="shared" ref="AI106:AI111" si="38">IF(AND($AA106="",AG106=""),"",$AA106-AG106)</f>
        <v>0</v>
      </c>
    </row>
    <row r="107" spans="1:35" x14ac:dyDescent="0.25">
      <c r="A107" s="11"/>
      <c r="B107" s="11"/>
      <c r="C107" s="204"/>
      <c r="D107" s="11"/>
      <c r="E107" s="11"/>
      <c r="F107" s="11"/>
      <c r="G107" s="11"/>
      <c r="H107" s="181" t="s">
        <v>305</v>
      </c>
      <c r="I107" s="118"/>
      <c r="J107" s="118"/>
      <c r="K107" s="11"/>
      <c r="L107" s="86" t="str">
        <f>IF(_epmOfflineCondition_,"462300",_xll.EVPRO($B$1,H107,"JDEID"))</f>
        <v>462300</v>
      </c>
      <c r="M107" s="86" t="str">
        <f>IF(_epmOfflineCondition_,"",IF(AND(I107="N",J107="N"),_xll.EVPRO($B$1,H107,"PSFTID"),""))</f>
        <v/>
      </c>
      <c r="N107" s="86" t="str">
        <f>IF(_epmOfflineCondition_,"Lunch Beer",IF(_xll.EVDES(H107,$B$1)="#NODATA","",_xll.EVDES(H107,$B$1)))</f>
        <v>Lunch Beer</v>
      </c>
      <c r="O107" s="134"/>
      <c r="P107" s="134"/>
      <c r="Q107" s="134"/>
      <c r="R107" s="134"/>
      <c r="S107" s="134"/>
      <c r="T107" s="134"/>
      <c r="U107" s="134"/>
      <c r="V107" s="134"/>
      <c r="W107" s="134"/>
      <c r="X107" s="134"/>
      <c r="Y107" s="134"/>
      <c r="Z107" s="134"/>
      <c r="AA107" s="134">
        <f t="shared" si="33"/>
        <v>0</v>
      </c>
      <c r="AB107" s="138" t="str">
        <f t="shared" si="34"/>
        <v/>
      </c>
      <c r="AC107" s="136"/>
      <c r="AD107" s="134"/>
      <c r="AE107" s="138" t="str">
        <f t="shared" si="35"/>
        <v/>
      </c>
      <c r="AF107" s="137">
        <f t="shared" si="36"/>
        <v>0</v>
      </c>
      <c r="AG107" s="134"/>
      <c r="AH107" s="138" t="str">
        <f t="shared" si="37"/>
        <v/>
      </c>
      <c r="AI107" s="137">
        <f t="shared" si="38"/>
        <v>0</v>
      </c>
    </row>
    <row r="108" spans="1:35" x14ac:dyDescent="0.25">
      <c r="A108" s="11"/>
      <c r="B108" s="11"/>
      <c r="C108" s="204"/>
      <c r="D108" s="11"/>
      <c r="E108" s="11"/>
      <c r="F108" s="11"/>
      <c r="G108" s="11"/>
      <c r="H108" s="181" t="s">
        <v>306</v>
      </c>
      <c r="I108" s="118"/>
      <c r="J108" s="118"/>
      <c r="K108" s="11"/>
      <c r="L108" s="86" t="str">
        <f>IF(_epmOfflineCondition_,"463300",_xll.EVPRO($B$1,H108,"JDEID"))</f>
        <v>463300</v>
      </c>
      <c r="M108" s="86" t="str">
        <f>IF(_epmOfflineCondition_,"",IF(AND(I108="N",J108="N"),_xll.EVPRO($B$1,H108,"PSFTID"),""))</f>
        <v/>
      </c>
      <c r="N108" s="86" t="str">
        <f>IF(_epmOfflineCondition_,"Dinner Beer",IF(_xll.EVDES(H108,$B$1)="#NODATA","",_xll.EVDES(H108,$B$1)))</f>
        <v>Dinner Beer</v>
      </c>
      <c r="O108" s="134"/>
      <c r="P108" s="134"/>
      <c r="Q108" s="134"/>
      <c r="R108" s="134"/>
      <c r="S108" s="134"/>
      <c r="T108" s="134"/>
      <c r="U108" s="134"/>
      <c r="V108" s="134"/>
      <c r="W108" s="134"/>
      <c r="X108" s="134"/>
      <c r="Y108" s="134"/>
      <c r="Z108" s="134"/>
      <c r="AA108" s="134">
        <f t="shared" si="33"/>
        <v>0</v>
      </c>
      <c r="AB108" s="138" t="str">
        <f t="shared" si="34"/>
        <v/>
      </c>
      <c r="AC108" s="136"/>
      <c r="AD108" s="134"/>
      <c r="AE108" s="138" t="str">
        <f t="shared" si="35"/>
        <v/>
      </c>
      <c r="AF108" s="137">
        <f t="shared" si="36"/>
        <v>0</v>
      </c>
      <c r="AG108" s="134"/>
      <c r="AH108" s="138" t="str">
        <f t="shared" si="37"/>
        <v/>
      </c>
      <c r="AI108" s="137">
        <f t="shared" si="38"/>
        <v>0</v>
      </c>
    </row>
    <row r="109" spans="1:35" x14ac:dyDescent="0.25">
      <c r="A109" s="11"/>
      <c r="B109" s="11"/>
      <c r="C109" s="204"/>
      <c r="D109" s="11"/>
      <c r="E109" s="11"/>
      <c r="F109" s="11"/>
      <c r="G109" s="11"/>
      <c r="H109" s="181" t="s">
        <v>310</v>
      </c>
      <c r="I109" s="118"/>
      <c r="J109" s="118"/>
      <c r="K109" s="11"/>
      <c r="L109" s="86" t="str">
        <f>IF(_epmOfflineCondition_,"464300",_xll.EVPRO($B$1,H109,"JDEID"))</f>
        <v>464300</v>
      </c>
      <c r="M109" s="86" t="str">
        <f>IF(_epmOfflineCondition_,"",IF(AND(I109="N",J109="N"),_xll.EVPRO($B$1,H109,"PSFTID"),""))</f>
        <v/>
      </c>
      <c r="N109" s="86" t="str">
        <f>IF(_epmOfflineCondition_,"Bar Beer",IF(_xll.EVDES(H109,$B$1)="#NODATA","",_xll.EVDES(H109,$B$1)))</f>
        <v>Bar Beer</v>
      </c>
      <c r="O109" s="134"/>
      <c r="P109" s="134"/>
      <c r="Q109" s="134"/>
      <c r="R109" s="134"/>
      <c r="S109" s="134"/>
      <c r="T109" s="134"/>
      <c r="U109" s="134"/>
      <c r="V109" s="134"/>
      <c r="W109" s="134"/>
      <c r="X109" s="134"/>
      <c r="Y109" s="134"/>
      <c r="Z109" s="134"/>
      <c r="AA109" s="134">
        <f t="shared" si="33"/>
        <v>0</v>
      </c>
      <c r="AB109" s="138" t="str">
        <f t="shared" si="34"/>
        <v/>
      </c>
      <c r="AC109" s="136"/>
      <c r="AD109" s="134"/>
      <c r="AE109" s="138" t="str">
        <f t="shared" si="35"/>
        <v/>
      </c>
      <c r="AF109" s="137">
        <f t="shared" si="36"/>
        <v>0</v>
      </c>
      <c r="AG109" s="134"/>
      <c r="AH109" s="138" t="str">
        <f t="shared" si="37"/>
        <v/>
      </c>
      <c r="AI109" s="137">
        <f t="shared" si="38"/>
        <v>0</v>
      </c>
    </row>
    <row r="110" spans="1:35" x14ac:dyDescent="0.25">
      <c r="A110" s="11"/>
      <c r="B110" s="11"/>
      <c r="C110" s="204"/>
      <c r="D110" s="11"/>
      <c r="E110" s="11"/>
      <c r="F110" s="11"/>
      <c r="G110" s="11"/>
      <c r="H110" s="181" t="s">
        <v>323</v>
      </c>
      <c r="I110" s="118"/>
      <c r="J110" s="118"/>
      <c r="K110" s="11"/>
      <c r="L110" s="86" t="str">
        <f>IF(_epmOfflineCondition_,"465300",_xll.EVPRO($B$1,H110,"JDEID"))</f>
        <v>465300</v>
      </c>
      <c r="M110" s="86" t="str">
        <f>IF(_epmOfflineCondition_,"",IF(AND(I110="N",J110="N"),_xll.EVPRO($B$1,H110,"PSFTID"),""))</f>
        <v/>
      </c>
      <c r="N110" s="86" t="str">
        <f>IF(_epmOfflineCondition_,"Private Dining Beer",IF(_xll.EVDES(H110,$B$1)="#NODATA","",_xll.EVDES(H110,$B$1)))</f>
        <v>Private Dining Beer</v>
      </c>
      <c r="O110" s="134"/>
      <c r="P110" s="134"/>
      <c r="Q110" s="134"/>
      <c r="R110" s="134"/>
      <c r="S110" s="134"/>
      <c r="T110" s="134"/>
      <c r="U110" s="134"/>
      <c r="V110" s="134"/>
      <c r="W110" s="134"/>
      <c r="X110" s="134"/>
      <c r="Y110" s="134"/>
      <c r="Z110" s="134"/>
      <c r="AA110" s="134">
        <f t="shared" si="33"/>
        <v>0</v>
      </c>
      <c r="AB110" s="138" t="str">
        <f t="shared" si="34"/>
        <v/>
      </c>
      <c r="AC110" s="136"/>
      <c r="AD110" s="134"/>
      <c r="AE110" s="138" t="str">
        <f t="shared" si="35"/>
        <v/>
      </c>
      <c r="AF110" s="137">
        <f t="shared" si="36"/>
        <v>0</v>
      </c>
      <c r="AG110" s="134"/>
      <c r="AH110" s="138" t="str">
        <f t="shared" si="37"/>
        <v/>
      </c>
      <c r="AI110" s="137">
        <f t="shared" si="38"/>
        <v>0</v>
      </c>
    </row>
    <row r="111" spans="1:35" x14ac:dyDescent="0.25">
      <c r="A111" s="11"/>
      <c r="B111" s="11"/>
      <c r="C111" s="204"/>
      <c r="D111" s="11"/>
      <c r="E111" s="11"/>
      <c r="F111" s="11"/>
      <c r="G111" s="11"/>
      <c r="H111" s="181" t="s">
        <v>342</v>
      </c>
      <c r="I111" s="118"/>
      <c r="J111" s="118"/>
      <c r="K111" s="11"/>
      <c r="L111" s="86" t="str">
        <f>IF(_epmOfflineCondition_,"",_xll.EVPRO($B$1,H111,"JDEID"))</f>
        <v/>
      </c>
      <c r="M111" s="86" t="str">
        <f>IF(_epmOfflineCondition_,"",IF(AND(I111="N",J111="N"),_xll.EVPRO($B$1,H111,"PSFTID"),""))</f>
        <v/>
      </c>
      <c r="N111" s="102" t="str">
        <f>IF(_epmOfflineCondition_,"Beer Revenue",IF(_xll.EVDES(H111,$B$1)="#NODATA","",_xll.EVDES(H111,$B$1)))</f>
        <v>Beer Revenue</v>
      </c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>
        <f t="shared" si="33"/>
        <v>0</v>
      </c>
      <c r="AB111" s="159" t="str">
        <f t="shared" si="34"/>
        <v/>
      </c>
      <c r="AC111" s="136"/>
      <c r="AD111" s="158"/>
      <c r="AE111" s="159" t="str">
        <f t="shared" si="35"/>
        <v/>
      </c>
      <c r="AF111" s="160">
        <f t="shared" si="36"/>
        <v>0</v>
      </c>
      <c r="AG111" s="158"/>
      <c r="AH111" s="159" t="str">
        <f t="shared" si="37"/>
        <v/>
      </c>
      <c r="AI111" s="160">
        <f t="shared" si="38"/>
        <v>0</v>
      </c>
    </row>
    <row r="112" spans="1:35" x14ac:dyDescent="0.25">
      <c r="A112" s="11"/>
      <c r="B112" s="11"/>
      <c r="C112" s="204"/>
      <c r="D112" s="11"/>
      <c r="E112" s="11"/>
      <c r="F112" s="11"/>
      <c r="G112" s="11"/>
      <c r="H112" s="181"/>
      <c r="I112" s="118"/>
      <c r="J112" s="118"/>
      <c r="K112" s="11"/>
      <c r="L112" s="86"/>
      <c r="M112" s="86"/>
      <c r="N112" s="49"/>
      <c r="O112" s="166"/>
      <c r="P112" s="167"/>
      <c r="Q112" s="167"/>
      <c r="R112" s="167"/>
      <c r="S112" s="167"/>
      <c r="T112" s="167"/>
      <c r="U112" s="167"/>
      <c r="V112" s="167"/>
      <c r="W112" s="167"/>
      <c r="X112" s="167"/>
      <c r="Y112" s="167"/>
      <c r="Z112" s="167"/>
      <c r="AA112" s="167"/>
      <c r="AB112" s="168"/>
      <c r="AC112" s="136"/>
      <c r="AD112" s="166"/>
      <c r="AE112" s="167"/>
      <c r="AF112" s="168"/>
      <c r="AG112" s="166"/>
      <c r="AH112" s="167"/>
      <c r="AI112" s="168"/>
    </row>
    <row r="113" spans="1:35" x14ac:dyDescent="0.25">
      <c r="A113" s="11"/>
      <c r="B113" s="11"/>
      <c r="C113" s="204"/>
      <c r="D113" s="11"/>
      <c r="E113" s="11"/>
      <c r="F113" s="11"/>
      <c r="G113" s="11"/>
      <c r="H113" s="181"/>
      <c r="I113" s="118"/>
      <c r="J113" s="118"/>
      <c r="K113" s="11"/>
      <c r="L113" s="86"/>
      <c r="M113" s="86"/>
      <c r="N113" s="49" t="s">
        <v>338</v>
      </c>
      <c r="O113" s="154"/>
      <c r="P113" s="155"/>
      <c r="Q113" s="155"/>
      <c r="R113" s="155"/>
      <c r="S113" s="155"/>
      <c r="T113" s="155"/>
      <c r="U113" s="155"/>
      <c r="V113" s="155"/>
      <c r="W113" s="155"/>
      <c r="X113" s="155"/>
      <c r="Y113" s="155"/>
      <c r="Z113" s="155"/>
      <c r="AA113" s="155"/>
      <c r="AB113" s="156"/>
      <c r="AC113" s="136"/>
      <c r="AD113" s="154"/>
      <c r="AE113" s="155"/>
      <c r="AF113" s="156"/>
      <c r="AG113" s="154"/>
      <c r="AH113" s="155"/>
      <c r="AI113" s="156"/>
    </row>
    <row r="114" spans="1:35" x14ac:dyDescent="0.25">
      <c r="A114" s="11"/>
      <c r="B114" s="11"/>
      <c r="C114" s="204"/>
      <c r="D114" s="11"/>
      <c r="E114" s="11"/>
      <c r="F114" s="11"/>
      <c r="G114" s="11"/>
      <c r="H114" s="181" t="s">
        <v>296</v>
      </c>
      <c r="I114" s="118"/>
      <c r="J114" s="118"/>
      <c r="K114" s="11"/>
      <c r="L114" s="86" t="str">
        <f>IF(_epmOfflineCondition_,"461400",_xll.EVPRO($B$1,H114,"JDEID"))</f>
        <v>461400</v>
      </c>
      <c r="M114" s="86" t="str">
        <f>IF(_epmOfflineCondition_,"",IF(AND(I114="N",J114="N"),_xll.EVPRO($B$1,H114,"PSFTID"),""))</f>
        <v/>
      </c>
      <c r="N114" s="86" t="str">
        <f>IF(_epmOfflineCondition_,"Breakfast Wine",IF(_xll.EVDES(H114,$B$1)="#NODATA","",_xll.EVDES(H114,$B$1)))</f>
        <v>Breakfast Wine</v>
      </c>
      <c r="O114" s="134"/>
      <c r="P114" s="134"/>
      <c r="Q114" s="134"/>
      <c r="R114" s="134"/>
      <c r="S114" s="134"/>
      <c r="T114" s="134"/>
      <c r="U114" s="134"/>
      <c r="V114" s="134"/>
      <c r="W114" s="134"/>
      <c r="X114" s="134"/>
      <c r="Y114" s="134"/>
      <c r="Z114" s="134"/>
      <c r="AA114" s="134">
        <f t="shared" ref="AA114:AA119" si="39">SUM(O114:Z114)</f>
        <v>0</v>
      </c>
      <c r="AB114" s="138" t="str">
        <f t="shared" ref="AB114:AB119" si="40">IF(AA114=0,"",IFERROR(AA114/AA$19,""))</f>
        <v/>
      </c>
      <c r="AC114" s="136"/>
      <c r="AD114" s="134"/>
      <c r="AE114" s="138" t="str">
        <f t="shared" ref="AE114:AE119" si="41">IF(AD114=0,"",IFERROR(AD114/AD$19,""))</f>
        <v/>
      </c>
      <c r="AF114" s="137">
        <f t="shared" ref="AF114:AF119" si="42">IF(AND($AA114="",AD114=""),"",$AA114-AD114)</f>
        <v>0</v>
      </c>
      <c r="AG114" s="134"/>
      <c r="AH114" s="138" t="str">
        <f t="shared" ref="AH114:AH119" si="43">IF(AG114=0,"",IFERROR(AG114/AG$19,""))</f>
        <v/>
      </c>
      <c r="AI114" s="137">
        <f t="shared" ref="AI114:AI119" si="44">IF(AND($AA114="",AG114=""),"",$AA114-AG114)</f>
        <v>0</v>
      </c>
    </row>
    <row r="115" spans="1:35" x14ac:dyDescent="0.25">
      <c r="A115" s="11"/>
      <c r="B115" s="11"/>
      <c r="C115" s="204"/>
      <c r="D115" s="11"/>
      <c r="E115" s="11"/>
      <c r="F115" s="11"/>
      <c r="G115" s="11"/>
      <c r="H115" s="181" t="s">
        <v>303</v>
      </c>
      <c r="I115" s="118"/>
      <c r="J115" s="118"/>
      <c r="K115" s="11"/>
      <c r="L115" s="86" t="str">
        <f>IF(_epmOfflineCondition_,"462400",_xll.EVPRO($B$1,H115,"JDEID"))</f>
        <v>462400</v>
      </c>
      <c r="M115" s="86" t="str">
        <f>IF(_epmOfflineCondition_,"",IF(AND(I115="N",J115="N"),_xll.EVPRO($B$1,H115,"PSFTID"),""))</f>
        <v/>
      </c>
      <c r="N115" s="86" t="str">
        <f>IF(_epmOfflineCondition_,"Lunch Wine",IF(_xll.EVDES(H115,$B$1)="#NODATA","",_xll.EVDES(H115,$B$1)))</f>
        <v>Lunch Wine</v>
      </c>
      <c r="O115" s="134"/>
      <c r="P115" s="134"/>
      <c r="Q115" s="134"/>
      <c r="R115" s="134"/>
      <c r="S115" s="134"/>
      <c r="T115" s="134"/>
      <c r="U115" s="134"/>
      <c r="V115" s="134"/>
      <c r="W115" s="134"/>
      <c r="X115" s="134"/>
      <c r="Y115" s="134"/>
      <c r="Z115" s="134"/>
      <c r="AA115" s="134">
        <f t="shared" si="39"/>
        <v>0</v>
      </c>
      <c r="AB115" s="138" t="str">
        <f t="shared" si="40"/>
        <v/>
      </c>
      <c r="AC115" s="136"/>
      <c r="AD115" s="134"/>
      <c r="AE115" s="138" t="str">
        <f t="shared" si="41"/>
        <v/>
      </c>
      <c r="AF115" s="137">
        <f t="shared" si="42"/>
        <v>0</v>
      </c>
      <c r="AG115" s="134"/>
      <c r="AH115" s="138" t="str">
        <f t="shared" si="43"/>
        <v/>
      </c>
      <c r="AI115" s="137">
        <f t="shared" si="44"/>
        <v>0</v>
      </c>
    </row>
    <row r="116" spans="1:35" x14ac:dyDescent="0.25">
      <c r="A116" s="11"/>
      <c r="B116" s="11"/>
      <c r="C116" s="204"/>
      <c r="D116" s="11"/>
      <c r="E116" s="11"/>
      <c r="F116" s="11"/>
      <c r="G116" s="11"/>
      <c r="H116" s="181" t="s">
        <v>304</v>
      </c>
      <c r="I116" s="118"/>
      <c r="J116" s="118"/>
      <c r="K116" s="11"/>
      <c r="L116" s="86" t="str">
        <f>IF(_epmOfflineCondition_,"463400",_xll.EVPRO($B$1,H116,"JDEID"))</f>
        <v>463400</v>
      </c>
      <c r="M116" s="86" t="str">
        <f>IF(_epmOfflineCondition_,"",IF(AND(I116="N",J116="N"),_xll.EVPRO($B$1,H116,"PSFTID"),""))</f>
        <v/>
      </c>
      <c r="N116" s="86" t="str">
        <f>IF(_epmOfflineCondition_,"Dinner Wine",IF(_xll.EVDES(H116,$B$1)="#NODATA","",_xll.EVDES(H116,$B$1)))</f>
        <v>Dinner Wine</v>
      </c>
      <c r="O116" s="134"/>
      <c r="P116" s="134"/>
      <c r="Q116" s="134"/>
      <c r="R116" s="134"/>
      <c r="S116" s="134"/>
      <c r="T116" s="134"/>
      <c r="U116" s="134"/>
      <c r="V116" s="134"/>
      <c r="W116" s="134"/>
      <c r="X116" s="134"/>
      <c r="Y116" s="134"/>
      <c r="Z116" s="134"/>
      <c r="AA116" s="134">
        <f t="shared" si="39"/>
        <v>0</v>
      </c>
      <c r="AB116" s="138" t="str">
        <f t="shared" si="40"/>
        <v/>
      </c>
      <c r="AC116" s="136"/>
      <c r="AD116" s="134"/>
      <c r="AE116" s="138" t="str">
        <f t="shared" si="41"/>
        <v/>
      </c>
      <c r="AF116" s="137">
        <f t="shared" si="42"/>
        <v>0</v>
      </c>
      <c r="AG116" s="134"/>
      <c r="AH116" s="138" t="str">
        <f t="shared" si="43"/>
        <v/>
      </c>
      <c r="AI116" s="137">
        <f t="shared" si="44"/>
        <v>0</v>
      </c>
    </row>
    <row r="117" spans="1:35" x14ac:dyDescent="0.25">
      <c r="A117" s="11"/>
      <c r="B117" s="11"/>
      <c r="C117" s="204"/>
      <c r="D117" s="11"/>
      <c r="E117" s="11"/>
      <c r="F117" s="11"/>
      <c r="G117" s="11"/>
      <c r="H117" s="181" t="s">
        <v>309</v>
      </c>
      <c r="I117" s="118"/>
      <c r="J117" s="118"/>
      <c r="K117" s="11"/>
      <c r="L117" s="86" t="str">
        <f>IF(_epmOfflineCondition_,"464400",_xll.EVPRO($B$1,H117,"JDEID"))</f>
        <v>464400</v>
      </c>
      <c r="M117" s="86" t="str">
        <f>IF(_epmOfflineCondition_,"",IF(AND(I117="N",J117="N"),_xll.EVPRO($B$1,H117,"PSFTID"),""))</f>
        <v/>
      </c>
      <c r="N117" s="86" t="str">
        <f>IF(_epmOfflineCondition_,"Bar Wine",IF(_xll.EVDES(H117,$B$1)="#NODATA","",_xll.EVDES(H117,$B$1)))</f>
        <v>Bar Wine</v>
      </c>
      <c r="O117" s="134"/>
      <c r="P117" s="134"/>
      <c r="Q117" s="134"/>
      <c r="R117" s="134"/>
      <c r="S117" s="134"/>
      <c r="T117" s="134"/>
      <c r="U117" s="134"/>
      <c r="V117" s="134"/>
      <c r="W117" s="134"/>
      <c r="X117" s="134"/>
      <c r="Y117" s="134"/>
      <c r="Z117" s="134"/>
      <c r="AA117" s="134">
        <f t="shared" si="39"/>
        <v>0</v>
      </c>
      <c r="AB117" s="138" t="str">
        <f t="shared" si="40"/>
        <v/>
      </c>
      <c r="AC117" s="136"/>
      <c r="AD117" s="134"/>
      <c r="AE117" s="138" t="str">
        <f t="shared" si="41"/>
        <v/>
      </c>
      <c r="AF117" s="137">
        <f t="shared" si="42"/>
        <v>0</v>
      </c>
      <c r="AG117" s="134"/>
      <c r="AH117" s="138" t="str">
        <f t="shared" si="43"/>
        <v/>
      </c>
      <c r="AI117" s="137">
        <f t="shared" si="44"/>
        <v>0</v>
      </c>
    </row>
    <row r="118" spans="1:35" x14ac:dyDescent="0.25">
      <c r="A118" s="11"/>
      <c r="B118" s="11"/>
      <c r="C118" s="204"/>
      <c r="D118" s="11"/>
      <c r="E118" s="11"/>
      <c r="F118" s="11"/>
      <c r="G118" s="11"/>
      <c r="H118" s="181" t="s">
        <v>322</v>
      </c>
      <c r="I118" s="118"/>
      <c r="J118" s="118"/>
      <c r="K118" s="11"/>
      <c r="L118" s="86" t="str">
        <f>IF(_epmOfflineCondition_,"465400",_xll.EVPRO($B$1,H118,"JDEID"))</f>
        <v>465400</v>
      </c>
      <c r="M118" s="86" t="str">
        <f>IF(_epmOfflineCondition_,"",IF(AND(I118="N",J118="N"),_xll.EVPRO($B$1,H118,"PSFTID"),""))</f>
        <v/>
      </c>
      <c r="N118" s="86" t="str">
        <f>IF(_epmOfflineCondition_,"Private Dining Wine",IF(_xll.EVDES(H118,$B$1)="#NODATA","",_xll.EVDES(H118,$B$1)))</f>
        <v>Private Dining Wine</v>
      </c>
      <c r="O118" s="134"/>
      <c r="P118" s="134"/>
      <c r="Q118" s="134"/>
      <c r="R118" s="134"/>
      <c r="S118" s="134"/>
      <c r="T118" s="134"/>
      <c r="U118" s="134"/>
      <c r="V118" s="134"/>
      <c r="W118" s="134"/>
      <c r="X118" s="134"/>
      <c r="Y118" s="134"/>
      <c r="Z118" s="134"/>
      <c r="AA118" s="134">
        <f t="shared" si="39"/>
        <v>0</v>
      </c>
      <c r="AB118" s="138" t="str">
        <f t="shared" si="40"/>
        <v/>
      </c>
      <c r="AC118" s="136"/>
      <c r="AD118" s="134"/>
      <c r="AE118" s="138" t="str">
        <f t="shared" si="41"/>
        <v/>
      </c>
      <c r="AF118" s="137">
        <f t="shared" si="42"/>
        <v>0</v>
      </c>
      <c r="AG118" s="134"/>
      <c r="AH118" s="138" t="str">
        <f t="shared" si="43"/>
        <v/>
      </c>
      <c r="AI118" s="137">
        <f t="shared" si="44"/>
        <v>0</v>
      </c>
    </row>
    <row r="119" spans="1:35" x14ac:dyDescent="0.25">
      <c r="A119" s="11"/>
      <c r="B119" s="11"/>
      <c r="C119" s="204"/>
      <c r="D119" s="11"/>
      <c r="E119" s="11"/>
      <c r="F119" s="11"/>
      <c r="G119" s="11"/>
      <c r="H119" s="181" t="s">
        <v>341</v>
      </c>
      <c r="I119" s="118"/>
      <c r="J119" s="118"/>
      <c r="K119" s="11"/>
      <c r="L119" s="86" t="str">
        <f>IF(_epmOfflineCondition_,"",_xll.EVPRO($B$1,H119,"JDEID"))</f>
        <v/>
      </c>
      <c r="M119" s="86" t="str">
        <f>IF(_epmOfflineCondition_,"",IF(AND(I119="N",J119="N"),_xll.EVPRO($B$1,H119,"PSFTID"),""))</f>
        <v/>
      </c>
      <c r="N119" s="102" t="str">
        <f>IF(_epmOfflineCondition_,"Wine Revenue",IF(_xll.EVDES(H119,$B$1)="#NODATA","",_xll.EVDES(H119,$B$1)))</f>
        <v>Wine Revenue</v>
      </c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58">
        <f t="shared" si="39"/>
        <v>0</v>
      </c>
      <c r="AB119" s="159" t="str">
        <f t="shared" si="40"/>
        <v/>
      </c>
      <c r="AC119" s="136"/>
      <c r="AD119" s="158"/>
      <c r="AE119" s="159" t="str">
        <f t="shared" si="41"/>
        <v/>
      </c>
      <c r="AF119" s="160">
        <f t="shared" si="42"/>
        <v>0</v>
      </c>
      <c r="AG119" s="158"/>
      <c r="AH119" s="159" t="str">
        <f t="shared" si="43"/>
        <v/>
      </c>
      <c r="AI119" s="160">
        <f t="shared" si="44"/>
        <v>0</v>
      </c>
    </row>
    <row r="120" spans="1:35" x14ac:dyDescent="0.25">
      <c r="A120" s="11"/>
      <c r="B120" s="11"/>
      <c r="C120" s="204"/>
      <c r="D120" s="11"/>
      <c r="E120" s="11"/>
      <c r="F120" s="11"/>
      <c r="G120" s="11"/>
      <c r="H120" s="181"/>
      <c r="I120" s="118"/>
      <c r="J120" s="118"/>
      <c r="K120" s="11"/>
      <c r="L120" s="86"/>
      <c r="M120" s="86"/>
      <c r="N120" s="11"/>
      <c r="O120" s="166"/>
      <c r="P120" s="167"/>
      <c r="Q120" s="167"/>
      <c r="R120" s="167"/>
      <c r="S120" s="167"/>
      <c r="T120" s="167"/>
      <c r="U120" s="167"/>
      <c r="V120" s="167"/>
      <c r="W120" s="167"/>
      <c r="X120" s="167"/>
      <c r="Y120" s="167"/>
      <c r="Z120" s="167"/>
      <c r="AA120" s="167"/>
      <c r="AB120" s="168"/>
      <c r="AC120" s="136"/>
      <c r="AD120" s="166"/>
      <c r="AE120" s="167"/>
      <c r="AF120" s="168"/>
      <c r="AG120" s="166"/>
      <c r="AH120" s="167"/>
      <c r="AI120" s="168"/>
    </row>
    <row r="121" spans="1:35" x14ac:dyDescent="0.25">
      <c r="A121" s="11"/>
      <c r="B121" s="11"/>
      <c r="C121" s="204"/>
      <c r="D121" s="11"/>
      <c r="E121" s="11"/>
      <c r="F121" s="11"/>
      <c r="G121" s="11"/>
      <c r="H121" s="84" t="s">
        <v>267</v>
      </c>
      <c r="I121" s="118"/>
      <c r="J121" s="118"/>
      <c r="K121" s="11"/>
      <c r="L121" s="86" t="str">
        <f>IF(_epmOfflineCondition_,"",_xll.EVPRO($B$1,H121,"JDEID"))</f>
        <v/>
      </c>
      <c r="M121" s="86" t="str">
        <f>IF(_epmOfflineCondition_,"",IF(AND(I121="N",J121="N"),_xll.EVPRO($B$1,H121,"PSFTID"),""))</f>
        <v/>
      </c>
      <c r="N121" s="86" t="str">
        <f>IF(_epmOfflineCondition_,"Breakfast  Beverage Revenue",IF(_xll.EVDES(H121,$B$1)="#NODATA","",_xll.EVDES(H121,$B$1)))</f>
        <v>Breakfast  Beverage Revenue</v>
      </c>
      <c r="O121" s="134">
        <f t="shared" ref="O121:Z121" si="45">O98+O106+O114</f>
        <v>0</v>
      </c>
      <c r="P121" s="134">
        <f t="shared" si="45"/>
        <v>0</v>
      </c>
      <c r="Q121" s="134">
        <f t="shared" si="45"/>
        <v>0</v>
      </c>
      <c r="R121" s="134">
        <f t="shared" si="45"/>
        <v>0</v>
      </c>
      <c r="S121" s="134">
        <f t="shared" si="45"/>
        <v>0</v>
      </c>
      <c r="T121" s="134">
        <f t="shared" si="45"/>
        <v>0</v>
      </c>
      <c r="U121" s="134">
        <f t="shared" si="45"/>
        <v>0</v>
      </c>
      <c r="V121" s="134">
        <f t="shared" si="45"/>
        <v>0</v>
      </c>
      <c r="W121" s="134">
        <f t="shared" si="45"/>
        <v>0</v>
      </c>
      <c r="X121" s="134">
        <f t="shared" si="45"/>
        <v>0</v>
      </c>
      <c r="Y121" s="134">
        <f t="shared" si="45"/>
        <v>0</v>
      </c>
      <c r="Z121" s="134">
        <f t="shared" si="45"/>
        <v>0</v>
      </c>
      <c r="AA121" s="134">
        <f t="shared" ref="AA121:AA126" si="46">SUM(O121:Z121)</f>
        <v>0</v>
      </c>
      <c r="AB121" s="138" t="str">
        <f t="shared" ref="AB121:AB126" si="47">IF(AA121=0,"",IFERROR(AA121/AA$19,""))</f>
        <v/>
      </c>
      <c r="AC121" s="136"/>
      <c r="AD121" s="134">
        <f>AD98+AD106+AD114</f>
        <v>0</v>
      </c>
      <c r="AE121" s="138" t="str">
        <f t="shared" ref="AE121:AE126" si="48">IF(AD121=0,"",IFERROR(AD121/AD$19,""))</f>
        <v/>
      </c>
      <c r="AF121" s="137">
        <f t="shared" ref="AF121:AF126" si="49">IF(AND($AA121="",AD121=""),"",$AA121-AD121)</f>
        <v>0</v>
      </c>
      <c r="AG121" s="134">
        <f>AG98+AG106+AG114</f>
        <v>0</v>
      </c>
      <c r="AH121" s="138" t="str">
        <f t="shared" ref="AH121:AH126" si="50">IF(AG121=0,"",IFERROR(AG121/AG$19,""))</f>
        <v/>
      </c>
      <c r="AI121" s="137">
        <f t="shared" ref="AI121:AI126" si="51">IF(AND($AA121="",AG121=""),"",$AA121-AG121)</f>
        <v>0</v>
      </c>
    </row>
    <row r="122" spans="1:35" x14ac:dyDescent="0.25">
      <c r="A122" s="11"/>
      <c r="B122" s="11"/>
      <c r="C122" s="204"/>
      <c r="D122" s="11"/>
      <c r="E122" s="11"/>
      <c r="F122" s="11"/>
      <c r="G122" s="11"/>
      <c r="H122" s="84" t="s">
        <v>268</v>
      </c>
      <c r="I122" s="118"/>
      <c r="J122" s="118"/>
      <c r="K122" s="11"/>
      <c r="L122" s="86" t="str">
        <f>IF(_epmOfflineCondition_,"",_xll.EVPRO($B$1,H122,"JDEID"))</f>
        <v/>
      </c>
      <c r="M122" s="86" t="str">
        <f>IF(_epmOfflineCondition_,"",IF(AND(I122="N",J122="N"),_xll.EVPRO($B$1,H122,"PSFTID"),""))</f>
        <v/>
      </c>
      <c r="N122" s="86" t="str">
        <f>IF(_epmOfflineCondition_,"Lunch Beverage Revenue",IF(_xll.EVDES(H122,$B$1)="#NODATA","",_xll.EVDES(H122,$B$1)))</f>
        <v>Lunch Beverage Revenue</v>
      </c>
      <c r="O122" s="134">
        <f t="shared" ref="O122:Z122" si="52">O99+O107+O115</f>
        <v>0</v>
      </c>
      <c r="P122" s="134">
        <f t="shared" si="52"/>
        <v>0</v>
      </c>
      <c r="Q122" s="134">
        <f t="shared" si="52"/>
        <v>0</v>
      </c>
      <c r="R122" s="134">
        <f t="shared" si="52"/>
        <v>0</v>
      </c>
      <c r="S122" s="134">
        <f t="shared" si="52"/>
        <v>0</v>
      </c>
      <c r="T122" s="134">
        <f t="shared" si="52"/>
        <v>0</v>
      </c>
      <c r="U122" s="134">
        <f t="shared" si="52"/>
        <v>0</v>
      </c>
      <c r="V122" s="134">
        <f t="shared" si="52"/>
        <v>0</v>
      </c>
      <c r="W122" s="134">
        <f t="shared" si="52"/>
        <v>0</v>
      </c>
      <c r="X122" s="134">
        <f t="shared" si="52"/>
        <v>0</v>
      </c>
      <c r="Y122" s="134">
        <f t="shared" si="52"/>
        <v>0</v>
      </c>
      <c r="Z122" s="134">
        <f t="shared" si="52"/>
        <v>0</v>
      </c>
      <c r="AA122" s="134">
        <f t="shared" si="46"/>
        <v>0</v>
      </c>
      <c r="AB122" s="138" t="str">
        <f t="shared" si="47"/>
        <v/>
      </c>
      <c r="AC122" s="136"/>
      <c r="AD122" s="134">
        <f>AD99+AD107+AD115</f>
        <v>0</v>
      </c>
      <c r="AE122" s="138" t="str">
        <f t="shared" si="48"/>
        <v/>
      </c>
      <c r="AF122" s="137">
        <f t="shared" si="49"/>
        <v>0</v>
      </c>
      <c r="AG122" s="134">
        <f>AG99+AG107+AG115</f>
        <v>0</v>
      </c>
      <c r="AH122" s="138" t="str">
        <f t="shared" si="50"/>
        <v/>
      </c>
      <c r="AI122" s="137">
        <f t="shared" si="51"/>
        <v>0</v>
      </c>
    </row>
    <row r="123" spans="1:35" x14ac:dyDescent="0.25">
      <c r="A123" s="11"/>
      <c r="B123" s="11"/>
      <c r="C123" s="204"/>
      <c r="D123" s="11"/>
      <c r="E123" s="11"/>
      <c r="F123" s="11"/>
      <c r="G123" s="11"/>
      <c r="H123" s="181" t="s">
        <v>269</v>
      </c>
      <c r="I123" s="118"/>
      <c r="J123" s="118"/>
      <c r="K123" s="11"/>
      <c r="L123" s="86" t="str">
        <f>IF(_epmOfflineCondition_,"",_xll.EVPRO($B$1,H123,"JDEID"))</f>
        <v/>
      </c>
      <c r="M123" s="86" t="str">
        <f>IF(_epmOfflineCondition_,"",IF(AND(I123="N",J123="N"),_xll.EVPRO($B$1,H123,"PSFTID"),""))</f>
        <v/>
      </c>
      <c r="N123" s="86" t="str">
        <f>IF(_epmOfflineCondition_,"Dinner Beverage Revenue",IF(_xll.EVDES(H123,$B$1)="#NODATA","",_xll.EVDES(H123,$B$1)))</f>
        <v>Dinner Beverage Revenue</v>
      </c>
      <c r="O123" s="134">
        <f t="shared" ref="O123:Z123" si="53">O100+O108+O116</f>
        <v>0</v>
      </c>
      <c r="P123" s="134">
        <f t="shared" si="53"/>
        <v>0</v>
      </c>
      <c r="Q123" s="134">
        <f t="shared" si="53"/>
        <v>0</v>
      </c>
      <c r="R123" s="134">
        <f t="shared" si="53"/>
        <v>0</v>
      </c>
      <c r="S123" s="134">
        <f t="shared" si="53"/>
        <v>0</v>
      </c>
      <c r="T123" s="134">
        <f t="shared" si="53"/>
        <v>0</v>
      </c>
      <c r="U123" s="134">
        <f t="shared" si="53"/>
        <v>0</v>
      </c>
      <c r="V123" s="134">
        <f t="shared" si="53"/>
        <v>0</v>
      </c>
      <c r="W123" s="134">
        <f t="shared" si="53"/>
        <v>0</v>
      </c>
      <c r="X123" s="134">
        <f t="shared" si="53"/>
        <v>0</v>
      </c>
      <c r="Y123" s="134">
        <f t="shared" si="53"/>
        <v>0</v>
      </c>
      <c r="Z123" s="134">
        <f t="shared" si="53"/>
        <v>0</v>
      </c>
      <c r="AA123" s="134">
        <f t="shared" si="46"/>
        <v>0</v>
      </c>
      <c r="AB123" s="138" t="str">
        <f t="shared" si="47"/>
        <v/>
      </c>
      <c r="AC123" s="136"/>
      <c r="AD123" s="134">
        <f>AD100+AD108+AD116</f>
        <v>0</v>
      </c>
      <c r="AE123" s="138" t="str">
        <f t="shared" si="48"/>
        <v/>
      </c>
      <c r="AF123" s="137">
        <f t="shared" si="49"/>
        <v>0</v>
      </c>
      <c r="AG123" s="134">
        <f>AG100+AG108+AG116</f>
        <v>0</v>
      </c>
      <c r="AH123" s="138" t="str">
        <f t="shared" si="50"/>
        <v/>
      </c>
      <c r="AI123" s="137">
        <f t="shared" si="51"/>
        <v>0</v>
      </c>
    </row>
    <row r="124" spans="1:35" x14ac:dyDescent="0.25">
      <c r="A124" s="11"/>
      <c r="B124" s="11"/>
      <c r="C124" s="204"/>
      <c r="D124" s="11"/>
      <c r="E124" s="11"/>
      <c r="F124" s="11"/>
      <c r="G124" s="11"/>
      <c r="H124" s="181" t="s">
        <v>270</v>
      </c>
      <c r="I124" s="118"/>
      <c r="J124" s="118"/>
      <c r="K124" s="11"/>
      <c r="L124" s="86" t="str">
        <f>IF(_epmOfflineCondition_,"",_xll.EVPRO($B$1,H124,"JDEID"))</f>
        <v/>
      </c>
      <c r="M124" s="86" t="str">
        <f>IF(_epmOfflineCondition_,"",IF(AND(I124="N",J124="N"),_xll.EVPRO($B$1,H124,"PSFTID"),""))</f>
        <v/>
      </c>
      <c r="N124" s="86" t="str">
        <f>IF(_epmOfflineCondition_,"Bar Beverage Revenue",IF(_xll.EVDES(H124,$B$1)="#NODATA","",_xll.EVDES(H124,$B$1)))</f>
        <v>Bar Beverage Revenue</v>
      </c>
      <c r="O124" s="134">
        <f t="shared" ref="O124:Z124" si="54">O101+O109+O117</f>
        <v>0</v>
      </c>
      <c r="P124" s="134">
        <f t="shared" si="54"/>
        <v>0</v>
      </c>
      <c r="Q124" s="134">
        <f t="shared" si="54"/>
        <v>0</v>
      </c>
      <c r="R124" s="134">
        <f t="shared" si="54"/>
        <v>0</v>
      </c>
      <c r="S124" s="134">
        <f t="shared" si="54"/>
        <v>0</v>
      </c>
      <c r="T124" s="134">
        <f t="shared" si="54"/>
        <v>0</v>
      </c>
      <c r="U124" s="134">
        <f t="shared" si="54"/>
        <v>0</v>
      </c>
      <c r="V124" s="134">
        <f t="shared" si="54"/>
        <v>0</v>
      </c>
      <c r="W124" s="134">
        <f t="shared" si="54"/>
        <v>0</v>
      </c>
      <c r="X124" s="134">
        <f t="shared" si="54"/>
        <v>0</v>
      </c>
      <c r="Y124" s="134">
        <f t="shared" si="54"/>
        <v>0</v>
      </c>
      <c r="Z124" s="134">
        <f t="shared" si="54"/>
        <v>0</v>
      </c>
      <c r="AA124" s="134">
        <f t="shared" si="46"/>
        <v>0</v>
      </c>
      <c r="AB124" s="138" t="str">
        <f t="shared" si="47"/>
        <v/>
      </c>
      <c r="AC124" s="136"/>
      <c r="AD124" s="134">
        <f>AD101+AD109+AD117</f>
        <v>0</v>
      </c>
      <c r="AE124" s="138" t="str">
        <f t="shared" si="48"/>
        <v/>
      </c>
      <c r="AF124" s="137">
        <f t="shared" si="49"/>
        <v>0</v>
      </c>
      <c r="AG124" s="134">
        <f>AG101+AG109+AG117</f>
        <v>0</v>
      </c>
      <c r="AH124" s="138" t="str">
        <f t="shared" si="50"/>
        <v/>
      </c>
      <c r="AI124" s="137">
        <f t="shared" si="51"/>
        <v>0</v>
      </c>
    </row>
    <row r="125" spans="1:35" x14ac:dyDescent="0.25">
      <c r="A125" s="11"/>
      <c r="B125" s="11"/>
      <c r="C125" s="204"/>
      <c r="D125" s="11"/>
      <c r="E125" s="11"/>
      <c r="F125" s="11"/>
      <c r="G125" s="11"/>
      <c r="H125" s="181" t="s">
        <v>271</v>
      </c>
      <c r="I125" s="118"/>
      <c r="J125" s="118"/>
      <c r="K125" s="11"/>
      <c r="L125" s="86" t="str">
        <f>IF(_epmOfflineCondition_,"",_xll.EVPRO($B$1,H125,"JDEID"))</f>
        <v/>
      </c>
      <c r="M125" s="86" t="str">
        <f>IF(_epmOfflineCondition_,"",IF(AND(I125="N",J125="N"),_xll.EVPRO($B$1,H125,"PSFTID"),""))</f>
        <v/>
      </c>
      <c r="N125" s="86" t="str">
        <f>IF(_epmOfflineCondition_,"Private Dining Beverage Revenue",IF(_xll.EVDES(H125,$B$1)="#NODATA","",_xll.EVDES(H125,$B$1)))</f>
        <v>Private Dining Beverage Revenue</v>
      </c>
      <c r="O125" s="134">
        <f t="shared" ref="O125:Z125" si="55">O102+O110+O118</f>
        <v>0</v>
      </c>
      <c r="P125" s="134">
        <f t="shared" si="55"/>
        <v>0</v>
      </c>
      <c r="Q125" s="134">
        <f t="shared" si="55"/>
        <v>0</v>
      </c>
      <c r="R125" s="134">
        <f t="shared" si="55"/>
        <v>0</v>
      </c>
      <c r="S125" s="134">
        <f t="shared" si="55"/>
        <v>0</v>
      </c>
      <c r="T125" s="134">
        <f t="shared" si="55"/>
        <v>0</v>
      </c>
      <c r="U125" s="134">
        <f t="shared" si="55"/>
        <v>0</v>
      </c>
      <c r="V125" s="134">
        <f t="shared" si="55"/>
        <v>0</v>
      </c>
      <c r="W125" s="134">
        <f t="shared" si="55"/>
        <v>0</v>
      </c>
      <c r="X125" s="134">
        <f t="shared" si="55"/>
        <v>0</v>
      </c>
      <c r="Y125" s="134">
        <f t="shared" si="55"/>
        <v>0</v>
      </c>
      <c r="Z125" s="134">
        <f t="shared" si="55"/>
        <v>0</v>
      </c>
      <c r="AA125" s="134">
        <f t="shared" si="46"/>
        <v>0</v>
      </c>
      <c r="AB125" s="138" t="str">
        <f t="shared" si="47"/>
        <v/>
      </c>
      <c r="AC125" s="136"/>
      <c r="AD125" s="134">
        <f>AD102+AD110+AD118</f>
        <v>0</v>
      </c>
      <c r="AE125" s="138" t="str">
        <f t="shared" si="48"/>
        <v/>
      </c>
      <c r="AF125" s="137">
        <f t="shared" si="49"/>
        <v>0</v>
      </c>
      <c r="AG125" s="134">
        <f>AG102+AG110+AG118</f>
        <v>0</v>
      </c>
      <c r="AH125" s="138" t="str">
        <f t="shared" si="50"/>
        <v/>
      </c>
      <c r="AI125" s="137">
        <f t="shared" si="51"/>
        <v>0</v>
      </c>
    </row>
    <row r="126" spans="1:35" x14ac:dyDescent="0.25">
      <c r="A126" s="11"/>
      <c r="B126" s="11"/>
      <c r="C126" s="204"/>
      <c r="D126" s="11"/>
      <c r="E126" s="11"/>
      <c r="F126" s="11"/>
      <c r="G126" s="11"/>
      <c r="H126" s="84" t="s">
        <v>272</v>
      </c>
      <c r="I126" s="118"/>
      <c r="J126" s="118"/>
      <c r="K126" s="11"/>
      <c r="L126" s="86" t="str">
        <f>IF(_epmOfflineCondition_,"",_xll.EVPRO($B$1,H126,"JDEID"))</f>
        <v/>
      </c>
      <c r="M126" s="86" t="str">
        <f>IF(_epmOfflineCondition_,"",IF(AND(I126="N",J126="N"),_xll.EVPRO($B$1,H126,"PSFTID"),""))</f>
        <v/>
      </c>
      <c r="N126" s="102" t="str">
        <f>IF(_epmOfflineCondition_,"Total Beverage Revenue",IF(_xll.EVDES(H126,$B$1)="#NODATA","",_xll.EVDES(H126,$B$1)))</f>
        <v>Total Beverage Revenue</v>
      </c>
      <c r="O126" s="158">
        <f t="shared" ref="O126:Z126" si="56">SUM(O121:O125)</f>
        <v>0</v>
      </c>
      <c r="P126" s="158">
        <f t="shared" si="56"/>
        <v>0</v>
      </c>
      <c r="Q126" s="158">
        <f t="shared" si="56"/>
        <v>0</v>
      </c>
      <c r="R126" s="158">
        <f t="shared" si="56"/>
        <v>0</v>
      </c>
      <c r="S126" s="158">
        <f t="shared" si="56"/>
        <v>0</v>
      </c>
      <c r="T126" s="158">
        <f t="shared" si="56"/>
        <v>0</v>
      </c>
      <c r="U126" s="158">
        <f t="shared" si="56"/>
        <v>0</v>
      </c>
      <c r="V126" s="158">
        <f t="shared" si="56"/>
        <v>0</v>
      </c>
      <c r="W126" s="158">
        <f t="shared" si="56"/>
        <v>0</v>
      </c>
      <c r="X126" s="158">
        <f t="shared" si="56"/>
        <v>0</v>
      </c>
      <c r="Y126" s="158">
        <f t="shared" si="56"/>
        <v>0</v>
      </c>
      <c r="Z126" s="158">
        <f t="shared" si="56"/>
        <v>0</v>
      </c>
      <c r="AA126" s="158">
        <f t="shared" si="46"/>
        <v>0</v>
      </c>
      <c r="AB126" s="159" t="str">
        <f t="shared" si="47"/>
        <v/>
      </c>
      <c r="AC126" s="136"/>
      <c r="AD126" s="158">
        <f>SUM(AD121:AD125)</f>
        <v>0</v>
      </c>
      <c r="AE126" s="159" t="str">
        <f t="shared" si="48"/>
        <v/>
      </c>
      <c r="AF126" s="160">
        <f t="shared" si="49"/>
        <v>0</v>
      </c>
      <c r="AG126" s="158">
        <f>SUM(AG121:AG125)</f>
        <v>0</v>
      </c>
      <c r="AH126" s="159" t="str">
        <f t="shared" si="50"/>
        <v/>
      </c>
      <c r="AI126" s="160">
        <f t="shared" si="51"/>
        <v>0</v>
      </c>
    </row>
    <row r="127" spans="1:35" x14ac:dyDescent="0.25">
      <c r="A127" s="11"/>
      <c r="B127" s="11"/>
      <c r="C127" s="204"/>
      <c r="D127" s="11"/>
      <c r="E127" s="11"/>
      <c r="F127" s="11"/>
      <c r="G127" s="11"/>
      <c r="H127" s="181"/>
      <c r="I127" s="118"/>
      <c r="J127" s="118"/>
      <c r="K127" s="11"/>
      <c r="L127" s="11"/>
      <c r="M127" s="11"/>
      <c r="N127" s="11"/>
      <c r="O127" s="506">
        <f t="shared" ref="O127:AA127" si="57">O103+O111+O119-O126</f>
        <v>0</v>
      </c>
      <c r="P127" s="506">
        <f t="shared" si="57"/>
        <v>0</v>
      </c>
      <c r="Q127" s="506">
        <f t="shared" si="57"/>
        <v>0</v>
      </c>
      <c r="R127" s="506">
        <f t="shared" si="57"/>
        <v>0</v>
      </c>
      <c r="S127" s="506">
        <f t="shared" si="57"/>
        <v>0</v>
      </c>
      <c r="T127" s="506">
        <f t="shared" si="57"/>
        <v>0</v>
      </c>
      <c r="U127" s="506">
        <f t="shared" si="57"/>
        <v>0</v>
      </c>
      <c r="V127" s="506">
        <f t="shared" si="57"/>
        <v>0</v>
      </c>
      <c r="W127" s="506">
        <f t="shared" si="57"/>
        <v>0</v>
      </c>
      <c r="X127" s="506">
        <f t="shared" si="57"/>
        <v>0</v>
      </c>
      <c r="Y127" s="506">
        <f t="shared" si="57"/>
        <v>0</v>
      </c>
      <c r="Z127" s="506">
        <f t="shared" si="57"/>
        <v>0</v>
      </c>
      <c r="AA127" s="506">
        <f t="shared" si="57"/>
        <v>0</v>
      </c>
      <c r="AB127" s="138"/>
      <c r="AC127" s="136"/>
      <c r="AD127" s="506">
        <f>AD103+AD111+AD119-AD126</f>
        <v>0</v>
      </c>
      <c r="AE127" s="138"/>
      <c r="AF127" s="134"/>
      <c r="AG127" s="506">
        <f>AG103+AG111+AG119-AG126</f>
        <v>0</v>
      </c>
      <c r="AH127" s="138"/>
      <c r="AI127" s="134"/>
    </row>
    <row r="128" spans="1:35" x14ac:dyDescent="0.25">
      <c r="A128" s="11"/>
      <c r="B128" s="11"/>
      <c r="C128" s="204"/>
      <c r="D128" s="11"/>
      <c r="E128" s="11"/>
      <c r="F128" s="11"/>
      <c r="G128" s="11"/>
      <c r="H128" s="181"/>
      <c r="I128" s="118"/>
      <c r="J128" s="118"/>
      <c r="K128" s="11"/>
      <c r="L128" s="11"/>
      <c r="M128" s="11"/>
      <c r="N128" s="11"/>
      <c r="O128" s="166"/>
      <c r="P128" s="167"/>
      <c r="Q128" s="167"/>
      <c r="R128" s="167"/>
      <c r="S128" s="167"/>
      <c r="T128" s="167"/>
      <c r="U128" s="167"/>
      <c r="V128" s="167"/>
      <c r="W128" s="167"/>
      <c r="X128" s="167"/>
      <c r="Y128" s="167"/>
      <c r="Z128" s="167"/>
      <c r="AA128" s="167"/>
      <c r="AB128" s="168"/>
      <c r="AC128" s="136"/>
      <c r="AD128" s="166"/>
      <c r="AE128" s="167"/>
      <c r="AF128" s="168"/>
      <c r="AG128" s="166"/>
      <c r="AH128" s="167"/>
      <c r="AI128" s="168"/>
    </row>
    <row r="129" spans="1:35" ht="15.75" x14ac:dyDescent="0.25">
      <c r="A129" s="11"/>
      <c r="B129" s="11"/>
      <c r="C129" s="204"/>
      <c r="D129" s="11"/>
      <c r="E129" s="11"/>
      <c r="F129" s="11"/>
      <c r="G129" s="11"/>
      <c r="H129" s="181" t="s">
        <v>281</v>
      </c>
      <c r="I129" s="118"/>
      <c r="J129" s="118"/>
      <c r="K129" s="11"/>
      <c r="L129" s="11"/>
      <c r="M129" s="11"/>
      <c r="N129" s="485" t="str">
        <f>IF(_epmOfflineCondition_,"Cost of Sales",IF(_xll.EVDES(H129,$B$1)="#NODATA","",_xll.EVDES(H129,$B$1)))</f>
        <v>Cost of Sales</v>
      </c>
      <c r="O129" s="513"/>
      <c r="P129" s="514"/>
      <c r="Q129" s="514"/>
      <c r="R129" s="514"/>
      <c r="S129" s="514"/>
      <c r="T129" s="514"/>
      <c r="U129" s="514"/>
      <c r="V129" s="514"/>
      <c r="W129" s="514"/>
      <c r="X129" s="514"/>
      <c r="Y129" s="514"/>
      <c r="Z129" s="514"/>
      <c r="AA129" s="514"/>
      <c r="AB129" s="515"/>
      <c r="AC129" s="136"/>
      <c r="AD129" s="513"/>
      <c r="AE129" s="514"/>
      <c r="AF129" s="514"/>
      <c r="AG129" s="514"/>
      <c r="AH129" s="514"/>
      <c r="AI129" s="515"/>
    </row>
    <row r="130" spans="1:35" x14ac:dyDescent="0.25">
      <c r="A130" s="11"/>
      <c r="B130" s="11"/>
      <c r="C130" s="204"/>
      <c r="D130" s="11"/>
      <c r="E130" s="11"/>
      <c r="F130" s="11"/>
      <c r="G130" s="11"/>
      <c r="H130" s="181">
        <v>561100</v>
      </c>
      <c r="I130" s="118"/>
      <c r="J130" s="118"/>
      <c r="K130" s="11"/>
      <c r="L130" s="86" t="str">
        <f>IF(_epmOfflineCondition_,"561100",_xll.EVPRO($B$1,H130,"JDEID"))</f>
        <v>561100</v>
      </c>
      <c r="M130" s="86" t="str">
        <f>IF(_epmOfflineCondition_,"",IF(AND(I130="N",J130="N"),_xll.EVPRO($B$1,H130,"PSFTID"),""))</f>
        <v/>
      </c>
      <c r="N130" s="86" t="str">
        <f>IF(_epmOfflineCondition_,"Cost of Food Sales",IF(_xll.EVDES(H130,$B$1)="#NODATA","",_xll.EVDES(H130,$B$1)))</f>
        <v>Cost of Food Sales</v>
      </c>
      <c r="O130" s="134"/>
      <c r="P130" s="134"/>
      <c r="Q130" s="134"/>
      <c r="R130" s="134"/>
      <c r="S130" s="134"/>
      <c r="T130" s="134"/>
      <c r="U130" s="134"/>
      <c r="V130" s="134"/>
      <c r="W130" s="134"/>
      <c r="X130" s="134"/>
      <c r="Y130" s="134"/>
      <c r="Z130" s="134"/>
      <c r="AA130" s="134">
        <f>SUM(O130:Z130)</f>
        <v>0</v>
      </c>
      <c r="AB130" s="454" t="str">
        <f>IF(_epmOfflineCondition_,"",IF(AA130=0,"",IFERROR(AA130/_xll.EVGTS($B$1,1,_xll.EVPRO($B$1,$H130,"COSBASIS"),$B$3,$B$5,$B$6,$B$7,$B$9,AA$16,AA$17,AA$11),"")))</f>
        <v/>
      </c>
      <c r="AC130" s="136"/>
      <c r="AD130" s="134"/>
      <c r="AE130" s="454" t="str">
        <f>IF(_epmOfflineCondition_,"",IF(AD130=0,"",IFERROR(AD130/_xll.EVGTS($B$1,1,_xll.EVPRO($B$1,$H130,"COSBASIS"),$B$3,$B$5,$B$6,$B$7,$B$9,AD$16,AD$17,AD$18),"")))</f>
        <v/>
      </c>
      <c r="AF130" s="137">
        <f t="shared" ref="AF130:AF141" si="58">IF(AND($AA130="",AD130=""),"",$AA130-AD130)</f>
        <v>0</v>
      </c>
      <c r="AG130" s="134"/>
      <c r="AH130" s="454" t="str">
        <f>IF(_epmOfflineCondition_,"",IF(AG130=0,"",IFERROR(AG130/_xll.EVGTS($B$1,1,_xll.EVPRO($B$1,$H130,"COSBASIS"),$B$3,$B$5,$B$6,$B$7,$B$9,AG$16,AG$17,AG$18),"")))</f>
        <v/>
      </c>
      <c r="AI130" s="137">
        <f t="shared" ref="AI130:AI141" si="59">IF(AND($AA130="",AG130=""),"",$AA130-AG130)</f>
        <v>0</v>
      </c>
    </row>
    <row r="131" spans="1:35" x14ac:dyDescent="0.25">
      <c r="A131" s="11"/>
      <c r="B131" s="11"/>
      <c r="C131" s="204"/>
      <c r="D131" s="11"/>
      <c r="E131" s="11"/>
      <c r="F131" s="11"/>
      <c r="G131" s="11"/>
      <c r="H131" s="181" t="s">
        <v>757</v>
      </c>
      <c r="I131" s="118"/>
      <c r="J131" s="118"/>
      <c r="K131" s="11"/>
      <c r="L131" s="86" t="str">
        <f>IF(_epmOfflineCondition_,"",_xll.EVPRO($B$1,H131,"JDEID"))</f>
        <v/>
      </c>
      <c r="M131" s="86" t="str">
        <f>IF(_epmOfflineCondition_,"",IF(AND(I131="N",J131="N"),_xll.EVPRO($B$1,H131,"PSFTID"),""))</f>
        <v/>
      </c>
      <c r="N131" s="488" t="str">
        <f>IF(_epmOfflineCondition_,"Food Cost %",IF(_xll.EVDES(H131,$B$1)="#NODATA","",_xll.EVDES(H131,$B$1)))</f>
        <v>Food Cost %</v>
      </c>
      <c r="O131" s="503"/>
      <c r="P131" s="503"/>
      <c r="Q131" s="503"/>
      <c r="R131" s="503"/>
      <c r="S131" s="503"/>
      <c r="T131" s="503"/>
      <c r="U131" s="503"/>
      <c r="V131" s="503"/>
      <c r="W131" s="503"/>
      <c r="X131" s="503"/>
      <c r="Y131" s="503"/>
      <c r="Z131" s="503"/>
      <c r="AA131" s="503"/>
      <c r="AB131" s="454"/>
      <c r="AC131" s="136"/>
      <c r="AD131" s="503"/>
      <c r="AE131" s="454"/>
      <c r="AF131" s="516" t="str">
        <f t="shared" si="58"/>
        <v/>
      </c>
      <c r="AG131" s="503"/>
      <c r="AH131" s="454"/>
      <c r="AI131" s="516" t="str">
        <f t="shared" si="59"/>
        <v/>
      </c>
    </row>
    <row r="132" spans="1:35" x14ac:dyDescent="0.25">
      <c r="A132" s="11"/>
      <c r="B132" s="11"/>
      <c r="C132" s="204"/>
      <c r="D132" s="11"/>
      <c r="E132" s="11"/>
      <c r="F132" s="11"/>
      <c r="G132" s="11"/>
      <c r="H132" s="181" t="s">
        <v>637</v>
      </c>
      <c r="I132" s="118"/>
      <c r="J132" s="118"/>
      <c r="K132" s="11"/>
      <c r="L132" s="86" t="str">
        <f>IF(_epmOfflineCondition_,"",_xll.EVPRO($B$1,H132,"JDEID"))</f>
        <v/>
      </c>
      <c r="M132" s="86" t="str">
        <f>IF(_epmOfflineCondition_,"",IF(AND(I132="N",J132="N"),_xll.EVPRO($B$1,H132,"PSFTID"),""))</f>
        <v/>
      </c>
      <c r="N132" s="86" t="str">
        <f>IF(_epmOfflineCondition_,"Cost of Beverage Sales",IF(_xll.EVDES(H132,$B$1)="#NODATA","",_xll.EVDES(H132,$B$1)))</f>
        <v>Cost of Beverage Sales</v>
      </c>
      <c r="O132" s="134"/>
      <c r="P132" s="134"/>
      <c r="Q132" s="134"/>
      <c r="R132" s="134"/>
      <c r="S132" s="134"/>
      <c r="T132" s="134"/>
      <c r="U132" s="134"/>
      <c r="V132" s="134"/>
      <c r="W132" s="134"/>
      <c r="X132" s="134"/>
      <c r="Y132" s="134"/>
      <c r="Z132" s="134"/>
      <c r="AA132" s="134">
        <f>SUM(O132:Z132)</f>
        <v>0</v>
      </c>
      <c r="AB132" s="454" t="str">
        <f>IF(_epmOfflineCondition_,"",IF(AA132=0,"",IFERROR(AA132/_xll.EVGTS($B$1,1,_xll.EVPRO($B$1,$H132,"COSBASIS"),$B$3,$B$5,$B$6,$B$7,$B$9,AA$16,AA$17,AA$11),"")))</f>
        <v/>
      </c>
      <c r="AC132" s="136"/>
      <c r="AD132" s="134"/>
      <c r="AE132" s="454" t="str">
        <f>IF(_epmOfflineCondition_,"",IF(AD132=0,"",IFERROR(AD132/_xll.EVGTS($B$1,1,_xll.EVPRO($B$1,$H132,"COSBASIS"),$B$3,$B$5,$B$6,$B$7,$B$9,AD$16,AD$17,AD$18),"")))</f>
        <v/>
      </c>
      <c r="AF132" s="137">
        <f t="shared" si="58"/>
        <v>0</v>
      </c>
      <c r="AG132" s="134"/>
      <c r="AH132" s="454" t="str">
        <f>IF(_epmOfflineCondition_,"",IF(AG132=0,"",IFERROR(AG132/_xll.EVGTS($B$1,1,_xll.EVPRO($B$1,$H132,"COSBASIS"),$B$3,$B$5,$B$6,$B$7,$B$9,AG$16,AG$17,AG$18),"")))</f>
        <v/>
      </c>
      <c r="AI132" s="137">
        <f t="shared" si="59"/>
        <v>0</v>
      </c>
    </row>
    <row r="133" spans="1:35" x14ac:dyDescent="0.25">
      <c r="A133" s="11"/>
      <c r="B133" s="11"/>
      <c r="C133" s="204"/>
      <c r="D133" s="11"/>
      <c r="E133" s="11"/>
      <c r="F133" s="11"/>
      <c r="G133" s="11"/>
      <c r="H133" s="181" t="s">
        <v>758</v>
      </c>
      <c r="I133" s="118"/>
      <c r="J133" s="118"/>
      <c r="K133" s="11"/>
      <c r="L133" s="86" t="str">
        <f>IF(_epmOfflineCondition_,"",_xll.EVPRO($B$1,H133,"JDEID"))</f>
        <v/>
      </c>
      <c r="M133" s="86" t="str">
        <f>IF(_epmOfflineCondition_,"",IF(AND(I133="N",J133="N"),_xll.EVPRO($B$1,H133,"PSFTID"),""))</f>
        <v/>
      </c>
      <c r="N133" s="488" t="str">
        <f>IF(_epmOfflineCondition_,"Beverage Cost %",IF(_xll.EVDES(H133,$B$1)="#NODATA","",_xll.EVDES(H133,$B$1)))</f>
        <v>Beverage Cost %</v>
      </c>
      <c r="O133" s="503"/>
      <c r="P133" s="503"/>
      <c r="Q133" s="503"/>
      <c r="R133" s="503"/>
      <c r="S133" s="503"/>
      <c r="T133" s="503"/>
      <c r="U133" s="503"/>
      <c r="V133" s="503"/>
      <c r="W133" s="503"/>
      <c r="X133" s="503"/>
      <c r="Y133" s="503"/>
      <c r="Z133" s="503"/>
      <c r="AA133" s="503"/>
      <c r="AB133" s="454"/>
      <c r="AC133" s="136"/>
      <c r="AD133" s="503"/>
      <c r="AE133" s="454"/>
      <c r="AF133" s="516" t="str">
        <f t="shared" si="58"/>
        <v/>
      </c>
      <c r="AG133" s="503"/>
      <c r="AH133" s="454"/>
      <c r="AI133" s="516" t="str">
        <f t="shared" si="59"/>
        <v/>
      </c>
    </row>
    <row r="134" spans="1:35" x14ac:dyDescent="0.25">
      <c r="A134" s="11"/>
      <c r="B134" s="11"/>
      <c r="C134" s="204"/>
      <c r="D134" s="11"/>
      <c r="E134" s="11"/>
      <c r="F134" s="11"/>
      <c r="G134" s="11"/>
      <c r="H134" s="181" t="s">
        <v>756</v>
      </c>
      <c r="I134" s="118"/>
      <c r="J134" s="118"/>
      <c r="K134" s="11"/>
      <c r="L134" s="86" t="str">
        <f>IF(_epmOfflineCondition_,"561300",_xll.EVPRO($B$1,H134,"JDEID"))</f>
        <v>561300</v>
      </c>
      <c r="M134" s="86" t="str">
        <f>IF(_epmOfflineCondition_,"",IF(AND(I134="N",J134="N"),_xll.EVPRO($B$1,H134,"PSFTID"),""))</f>
        <v/>
      </c>
      <c r="N134" s="86" t="str">
        <f>IF(_epmOfflineCondition_,"Liquor Cost of Sales",IF(_xll.EVDES(H134,$B$1)="#NODATA","",_xll.EVDES(H134,$B$1)))</f>
        <v>Liquor Cost of Sales</v>
      </c>
      <c r="O134" s="134"/>
      <c r="P134" s="134"/>
      <c r="Q134" s="134"/>
      <c r="R134" s="134"/>
      <c r="S134" s="134"/>
      <c r="T134" s="134"/>
      <c r="U134" s="134"/>
      <c r="V134" s="134"/>
      <c r="W134" s="134"/>
      <c r="X134" s="134"/>
      <c r="Y134" s="134"/>
      <c r="Z134" s="134"/>
      <c r="AA134" s="134">
        <f>SUM(O134:Z134)</f>
        <v>0</v>
      </c>
      <c r="AB134" s="454" t="str">
        <f>IF(_epmOfflineCondition_,"",IF(AA134=0,"",IFERROR(AA134/_xll.EVGTS($B$1,1,_xll.EVPRO($B$1,$H134,"COSBASIS"),$B$3,$B$5,$B$6,$B$7,$B$9,AA$16,AA$17,AA$11),"")))</f>
        <v/>
      </c>
      <c r="AC134" s="136"/>
      <c r="AD134" s="134"/>
      <c r="AE134" s="454" t="str">
        <f>IF(_epmOfflineCondition_,"",IF(AD134=0,"",IFERROR(AD134/_xll.EVGTS($B$1,1,_xll.EVPRO($B$1,$H134,"COSBASIS"),$B$3,$B$5,$B$6,$B$7,$B$9,AD$16,AD$17,AD$18),"")))</f>
        <v/>
      </c>
      <c r="AF134" s="137">
        <f t="shared" si="58"/>
        <v>0</v>
      </c>
      <c r="AG134" s="134"/>
      <c r="AH134" s="454" t="str">
        <f>IF(_epmOfflineCondition_,"",IF(AG134=0,"",IFERROR(AG134/_xll.EVGTS($B$1,1,_xll.EVPRO($B$1,$H134,"COSBASIS"),$B$3,$B$5,$B$6,$B$7,$B$9,AG$16,AG$17,AG$18),"")))</f>
        <v/>
      </c>
      <c r="AI134" s="137">
        <f t="shared" si="59"/>
        <v>0</v>
      </c>
    </row>
    <row r="135" spans="1:35" x14ac:dyDescent="0.25">
      <c r="A135" s="11"/>
      <c r="B135" s="11"/>
      <c r="C135" s="204"/>
      <c r="D135" s="11"/>
      <c r="E135" s="11"/>
      <c r="F135" s="11"/>
      <c r="G135" s="11"/>
      <c r="H135" s="181" t="s">
        <v>759</v>
      </c>
      <c r="I135" s="118"/>
      <c r="J135" s="118"/>
      <c r="K135" s="11"/>
      <c r="L135" s="86" t="str">
        <f>IF(_epmOfflineCondition_,"",_xll.EVPRO($B$1,H135,"JDEID"))</f>
        <v/>
      </c>
      <c r="M135" s="86" t="str">
        <f>IF(_epmOfflineCondition_,"",IF(AND(I135="N",J135="N"),_xll.EVPRO($B$1,H135,"PSFTID"),""))</f>
        <v/>
      </c>
      <c r="N135" s="488" t="str">
        <f>IF(_epmOfflineCondition_,"Liquor Cost %",IF(_xll.EVDES(H135,$B$1)="#NODATA","",_xll.EVDES(H135,$B$1)))</f>
        <v>Liquor Cost %</v>
      </c>
      <c r="O135" s="503"/>
      <c r="P135" s="503"/>
      <c r="Q135" s="503"/>
      <c r="R135" s="503"/>
      <c r="S135" s="503"/>
      <c r="T135" s="503"/>
      <c r="U135" s="503"/>
      <c r="V135" s="503"/>
      <c r="W135" s="503"/>
      <c r="X135" s="503"/>
      <c r="Y135" s="503"/>
      <c r="Z135" s="503"/>
      <c r="AA135" s="503"/>
      <c r="AB135" s="454"/>
      <c r="AC135" s="136"/>
      <c r="AD135" s="503"/>
      <c r="AE135" s="454"/>
      <c r="AF135" s="516" t="str">
        <f t="shared" si="58"/>
        <v/>
      </c>
      <c r="AG135" s="503"/>
      <c r="AH135" s="454"/>
      <c r="AI135" s="516" t="str">
        <f t="shared" si="59"/>
        <v/>
      </c>
    </row>
    <row r="136" spans="1:35" x14ac:dyDescent="0.25">
      <c r="A136" s="11"/>
      <c r="B136" s="11"/>
      <c r="C136" s="204"/>
      <c r="D136" s="11"/>
      <c r="E136" s="11"/>
      <c r="F136" s="11"/>
      <c r="G136" s="11"/>
      <c r="H136" s="181">
        <v>561400</v>
      </c>
      <c r="I136" s="118"/>
      <c r="J136" s="118"/>
      <c r="K136" s="11"/>
      <c r="L136" s="86" t="str">
        <f>IF(_epmOfflineCondition_,"561400",_xll.EVPRO($B$1,H136,"JDEID"))</f>
        <v>561400</v>
      </c>
      <c r="M136" s="86" t="str">
        <f>IF(_epmOfflineCondition_,"",IF(AND(I136="N",J136="N"),_xll.EVPRO($B$1,H136,"PSFTID"),""))</f>
        <v/>
      </c>
      <c r="N136" s="86" t="str">
        <f>IF(_epmOfflineCondition_,"Beer Cost of Sales",IF(_xll.EVDES(H136,$B$1)="#NODATA","",_xll.EVDES(H136,$B$1)))</f>
        <v>Beer Cost of Sales</v>
      </c>
      <c r="O136" s="134"/>
      <c r="P136" s="134"/>
      <c r="Q136" s="134"/>
      <c r="R136" s="134"/>
      <c r="S136" s="134"/>
      <c r="T136" s="134"/>
      <c r="U136" s="134"/>
      <c r="V136" s="134"/>
      <c r="W136" s="134"/>
      <c r="X136" s="134"/>
      <c r="Y136" s="134"/>
      <c r="Z136" s="134"/>
      <c r="AA136" s="134">
        <f>SUM(O136:Z136)</f>
        <v>0</v>
      </c>
      <c r="AB136" s="454" t="str">
        <f>IF(_epmOfflineCondition_,"",IF(AA136=0,"",IFERROR(AA136/_xll.EVGTS($B$1,1,_xll.EVPRO($B$1,$H136,"COSBASIS"),$B$3,$B$5,$B$6,$B$7,$B$9,AA$16,AA$17,AA$11),"")))</f>
        <v/>
      </c>
      <c r="AC136" s="136"/>
      <c r="AD136" s="134"/>
      <c r="AE136" s="454" t="str">
        <f>IF(_epmOfflineCondition_,"",IF(AD136=0,"",IFERROR(AD136/_xll.EVGTS($B$1,1,_xll.EVPRO($B$1,$H136,"COSBASIS"),$B$3,$B$5,$B$6,$B$7,$B$9,AD$16,AD$17,AD$18),"")))</f>
        <v/>
      </c>
      <c r="AF136" s="137">
        <f t="shared" si="58"/>
        <v>0</v>
      </c>
      <c r="AG136" s="134"/>
      <c r="AH136" s="454" t="str">
        <f>IF(_epmOfflineCondition_,"",IF(AG136=0,"",IFERROR(AG136/_xll.EVGTS($B$1,1,_xll.EVPRO($B$1,$H136,"COSBASIS"),$B$3,$B$5,$B$6,$B$7,$B$9,AG$16,AG$17,AG$18),"")))</f>
        <v/>
      </c>
      <c r="AI136" s="137">
        <f t="shared" si="59"/>
        <v>0</v>
      </c>
    </row>
    <row r="137" spans="1:35" x14ac:dyDescent="0.25">
      <c r="A137" s="11"/>
      <c r="B137" s="11"/>
      <c r="C137" s="204"/>
      <c r="D137" s="11"/>
      <c r="E137" s="11"/>
      <c r="F137" s="11"/>
      <c r="G137" s="11"/>
      <c r="H137" s="181" t="s">
        <v>760</v>
      </c>
      <c r="I137" s="118"/>
      <c r="J137" s="118"/>
      <c r="K137" s="11"/>
      <c r="L137" s="86" t="str">
        <f>IF(_epmOfflineCondition_,"",_xll.EVPRO($B$1,H137,"JDEID"))</f>
        <v/>
      </c>
      <c r="M137" s="86" t="str">
        <f>IF(_epmOfflineCondition_,"",IF(AND(I137="N",J137="N"),_xll.EVPRO($B$1,H137,"PSFTID"),""))</f>
        <v/>
      </c>
      <c r="N137" s="488" t="str">
        <f>IF(_epmOfflineCondition_,"Beer Cost %",IF(_xll.EVDES(H137,$B$1)="#NODATA","",_xll.EVDES(H137,$B$1)))</f>
        <v>Beer Cost %</v>
      </c>
      <c r="O137" s="503"/>
      <c r="P137" s="503"/>
      <c r="Q137" s="503"/>
      <c r="R137" s="503"/>
      <c r="S137" s="503"/>
      <c r="T137" s="503"/>
      <c r="U137" s="503"/>
      <c r="V137" s="503"/>
      <c r="W137" s="503"/>
      <c r="X137" s="503"/>
      <c r="Y137" s="503"/>
      <c r="Z137" s="503"/>
      <c r="AA137" s="503"/>
      <c r="AB137" s="454"/>
      <c r="AC137" s="136"/>
      <c r="AD137" s="503"/>
      <c r="AE137" s="454"/>
      <c r="AF137" s="516" t="str">
        <f t="shared" si="58"/>
        <v/>
      </c>
      <c r="AG137" s="503"/>
      <c r="AH137" s="454"/>
      <c r="AI137" s="516" t="str">
        <f t="shared" si="59"/>
        <v/>
      </c>
    </row>
    <row r="138" spans="1:35" x14ac:dyDescent="0.25">
      <c r="A138" s="11"/>
      <c r="B138" s="11"/>
      <c r="C138" s="11"/>
      <c r="D138" s="11"/>
      <c r="E138" s="11"/>
      <c r="F138" s="11"/>
      <c r="G138" s="11"/>
      <c r="H138" s="181">
        <v>561500</v>
      </c>
      <c r="I138" s="118"/>
      <c r="J138" s="118"/>
      <c r="K138" s="11"/>
      <c r="L138" s="86" t="str">
        <f>IF(_epmOfflineCondition_,"561500",_xll.EVPRO($B$1,H138,"JDEID"))</f>
        <v>561500</v>
      </c>
      <c r="M138" s="86" t="str">
        <f>IF(_epmOfflineCondition_,"",IF(AND(I138="N",J138="N"),_xll.EVPRO($B$1,H138,"PSFTID"),""))</f>
        <v/>
      </c>
      <c r="N138" s="86" t="str">
        <f>IF(_epmOfflineCondition_,"Wine Cost of Sales",IF(_xll.EVDES(H138,$B$1)="#NODATA","",_xll.EVDES(H138,$B$1)))</f>
        <v>Wine Cost of Sales</v>
      </c>
      <c r="O138" s="134"/>
      <c r="P138" s="134"/>
      <c r="Q138" s="134"/>
      <c r="R138" s="134"/>
      <c r="S138" s="134"/>
      <c r="T138" s="134"/>
      <c r="U138" s="134"/>
      <c r="V138" s="134"/>
      <c r="W138" s="134"/>
      <c r="X138" s="134"/>
      <c r="Y138" s="134"/>
      <c r="Z138" s="134"/>
      <c r="AA138" s="134">
        <f>SUM(O138:Z138)</f>
        <v>0</v>
      </c>
      <c r="AB138" s="454" t="str">
        <f>IF(_epmOfflineCondition_,"",IF(AA138=0,"",IFERROR(AA138/_xll.EVGTS($B$1,1,_xll.EVPRO($B$1,$H138,"COSBASIS"),$B$3,$B$5,$B$6,$B$7,$B$9,AA$16,AA$17,AA$11),"")))</f>
        <v/>
      </c>
      <c r="AC138" s="136"/>
      <c r="AD138" s="134"/>
      <c r="AE138" s="454" t="str">
        <f>IF(_epmOfflineCondition_,"",IF(AD138=0,"",IFERROR(AD138/_xll.EVGTS($B$1,1,_xll.EVPRO($B$1,$H138,"COSBASIS"),$B$3,$B$5,$B$6,$B$7,$B$9,AD$16,AD$17,AD$18),"")))</f>
        <v/>
      </c>
      <c r="AF138" s="137">
        <f t="shared" si="58"/>
        <v>0</v>
      </c>
      <c r="AG138" s="134"/>
      <c r="AH138" s="454" t="str">
        <f>IF(_epmOfflineCondition_,"",IF(AG138=0,"",IFERROR(AG138/_xll.EVGTS($B$1,1,_xll.EVPRO($B$1,$H138,"COSBASIS"),$B$3,$B$5,$B$6,$B$7,$B$9,AG$16,AG$17,AG$18),"")))</f>
        <v/>
      </c>
      <c r="AI138" s="137">
        <f t="shared" si="59"/>
        <v>0</v>
      </c>
    </row>
    <row r="139" spans="1:35" x14ac:dyDescent="0.25">
      <c r="A139" s="11"/>
      <c r="B139" s="11"/>
      <c r="C139" s="204"/>
      <c r="D139" s="11"/>
      <c r="E139" s="11"/>
      <c r="F139" s="11"/>
      <c r="G139" s="11"/>
      <c r="H139" s="181" t="s">
        <v>761</v>
      </c>
      <c r="I139" s="118"/>
      <c r="J139" s="118"/>
      <c r="K139" s="11"/>
      <c r="L139" s="86" t="str">
        <f>IF(_epmOfflineCondition_,"",_xll.EVPRO($B$1,H139,"JDEID"))</f>
        <v/>
      </c>
      <c r="M139" s="86" t="str">
        <f>IF(_epmOfflineCondition_,"",IF(AND(I139="N",J139="N"),_xll.EVPRO($B$1,H139,"PSFTID"),""))</f>
        <v/>
      </c>
      <c r="N139" s="488" t="str">
        <f>IF(_epmOfflineCondition_,"Wine Cost %",IF(_xll.EVDES(H139,$B$1)="#NODATA","",_xll.EVDES(H139,$B$1)))</f>
        <v>Wine Cost %</v>
      </c>
      <c r="O139" s="503"/>
      <c r="P139" s="503"/>
      <c r="Q139" s="503"/>
      <c r="R139" s="503"/>
      <c r="S139" s="503"/>
      <c r="T139" s="503"/>
      <c r="U139" s="503"/>
      <c r="V139" s="503"/>
      <c r="W139" s="503"/>
      <c r="X139" s="503"/>
      <c r="Y139" s="503"/>
      <c r="Z139" s="503"/>
      <c r="AA139" s="503"/>
      <c r="AB139" s="454"/>
      <c r="AC139" s="136"/>
      <c r="AD139" s="503"/>
      <c r="AE139" s="454"/>
      <c r="AF139" s="516" t="str">
        <f t="shared" si="58"/>
        <v/>
      </c>
      <c r="AG139" s="503"/>
      <c r="AH139" s="454"/>
      <c r="AI139" s="516" t="str">
        <f t="shared" si="59"/>
        <v/>
      </c>
    </row>
    <row r="140" spans="1:35" x14ac:dyDescent="0.25">
      <c r="A140" s="11"/>
      <c r="B140" s="11"/>
      <c r="C140" s="204"/>
      <c r="D140" s="11"/>
      <c r="E140" s="11"/>
      <c r="F140" s="11"/>
      <c r="G140" s="11"/>
      <c r="H140" s="181" t="s">
        <v>286</v>
      </c>
      <c r="I140" s="118"/>
      <c r="J140" s="118"/>
      <c r="K140" s="11"/>
      <c r="L140" s="86" t="str">
        <f>IF(_epmOfflineCondition_,"",_xll.EVPRO($B$1,H140,"JDEID"))</f>
        <v/>
      </c>
      <c r="M140" s="86" t="str">
        <f>IF(_epmOfflineCondition_,"",IF(AND(I140="N",J140="N"),_xll.EVPRO($B$1,H140,"PSFTID"),""))</f>
        <v/>
      </c>
      <c r="N140" s="86" t="str">
        <f>IF(_epmOfflineCondition_,"Total Cost of Food &amp; Beverage Sales",IF(_xll.EVDES(H140,$B$1)="#NODATA","",_xll.EVDES(H140,$B$1)))</f>
        <v>Total Cost of Food &amp; Beverage Sales</v>
      </c>
      <c r="O140" s="134"/>
      <c r="P140" s="134"/>
      <c r="Q140" s="134"/>
      <c r="R140" s="134"/>
      <c r="S140" s="134"/>
      <c r="T140" s="134"/>
      <c r="U140" s="134"/>
      <c r="V140" s="134"/>
      <c r="W140" s="134"/>
      <c r="X140" s="134"/>
      <c r="Y140" s="134"/>
      <c r="Z140" s="134"/>
      <c r="AA140" s="134">
        <f>SUM(O140:Z140)</f>
        <v>0</v>
      </c>
      <c r="AB140" s="454" t="str">
        <f>IF(_epmOfflineCondition_,"",IF(AA140=0,"",IFERROR(AA140/_xll.EVGTS($B$1,1,_xll.EVPRO($B$1,$H140,"COSBASIS"),$B$3,$B$5,$B$6,$B$7,$B$9,AA$16,AA$17,AA$11),"")))</f>
        <v/>
      </c>
      <c r="AC140" s="136"/>
      <c r="AD140" s="134"/>
      <c r="AE140" s="454" t="str">
        <f>IF(_epmOfflineCondition_,"",IF(AD140=0,"",IFERROR(AD140/_xll.EVGTS($B$1,1,_xll.EVPRO($B$1,$H140,"COSBASIS"),$B$3,$B$5,$B$6,$B$7,$B$9,AD$16,AD$17,AD$18),"")))</f>
        <v/>
      </c>
      <c r="AF140" s="137">
        <f t="shared" si="58"/>
        <v>0</v>
      </c>
      <c r="AG140" s="134"/>
      <c r="AH140" s="454" t="str">
        <f>IF(_epmOfflineCondition_,"",IF(AG140=0,"",IFERROR(AG140/_xll.EVGTS($B$1,1,_xll.EVPRO($B$1,$H140,"COSBASIS"),$B$3,$B$5,$B$6,$B$7,$B$9,AG$16,AG$17,AG$18),"")))</f>
        <v/>
      </c>
      <c r="AI140" s="137">
        <f t="shared" si="59"/>
        <v>0</v>
      </c>
    </row>
    <row r="141" spans="1:35" x14ac:dyDescent="0.25">
      <c r="A141" s="11"/>
      <c r="B141" s="11"/>
      <c r="C141" s="204"/>
      <c r="D141" s="11"/>
      <c r="E141" s="11"/>
      <c r="F141" s="11"/>
      <c r="G141" s="11"/>
      <c r="H141" s="181"/>
      <c r="I141" s="118"/>
      <c r="J141" s="118"/>
      <c r="K141" s="11"/>
      <c r="L141" s="86"/>
      <c r="M141" s="86"/>
      <c r="N141" s="488" t="s">
        <v>763</v>
      </c>
      <c r="O141" s="503" t="str">
        <f t="shared" ref="O141:AA141" si="60">IFERROR(O140/O85,"")</f>
        <v/>
      </c>
      <c r="P141" s="503" t="str">
        <f t="shared" si="60"/>
        <v/>
      </c>
      <c r="Q141" s="503" t="str">
        <f t="shared" si="60"/>
        <v/>
      </c>
      <c r="R141" s="503" t="str">
        <f t="shared" si="60"/>
        <v/>
      </c>
      <c r="S141" s="503" t="str">
        <f t="shared" si="60"/>
        <v/>
      </c>
      <c r="T141" s="503" t="str">
        <f t="shared" si="60"/>
        <v/>
      </c>
      <c r="U141" s="503" t="str">
        <f t="shared" si="60"/>
        <v/>
      </c>
      <c r="V141" s="503" t="str">
        <f t="shared" si="60"/>
        <v/>
      </c>
      <c r="W141" s="503" t="str">
        <f t="shared" si="60"/>
        <v/>
      </c>
      <c r="X141" s="503" t="str">
        <f t="shared" si="60"/>
        <v/>
      </c>
      <c r="Y141" s="503" t="str">
        <f t="shared" si="60"/>
        <v/>
      </c>
      <c r="Z141" s="503" t="str">
        <f t="shared" si="60"/>
        <v/>
      </c>
      <c r="AA141" s="503" t="str">
        <f t="shared" si="60"/>
        <v/>
      </c>
      <c r="AB141" s="454"/>
      <c r="AC141" s="136"/>
      <c r="AD141" s="503" t="str">
        <f>IFERROR(AD140/AD85,"")</f>
        <v/>
      </c>
      <c r="AE141" s="454"/>
      <c r="AF141" s="516" t="str">
        <f t="shared" si="58"/>
        <v/>
      </c>
      <c r="AG141" s="503" t="str">
        <f>IFERROR(AG140/AG85,"")</f>
        <v/>
      </c>
      <c r="AH141" s="454"/>
      <c r="AI141" s="516" t="str">
        <f t="shared" si="59"/>
        <v/>
      </c>
    </row>
    <row r="142" spans="1:35" x14ac:dyDescent="0.25">
      <c r="A142" s="11"/>
      <c r="B142" s="11"/>
      <c r="C142" s="204"/>
      <c r="D142" s="11"/>
      <c r="E142" s="11"/>
      <c r="F142" s="11"/>
      <c r="G142" s="11"/>
      <c r="H142" s="11"/>
      <c r="I142" s="55"/>
      <c r="J142" s="55"/>
      <c r="K142" s="11"/>
      <c r="L142" s="11"/>
      <c r="M142" s="11"/>
      <c r="N142" s="11"/>
      <c r="O142" s="136"/>
      <c r="P142" s="136"/>
      <c r="Q142" s="136"/>
      <c r="R142" s="136"/>
      <c r="S142" s="136"/>
      <c r="T142" s="136"/>
      <c r="U142" s="136"/>
      <c r="V142" s="136"/>
      <c r="W142" s="136"/>
      <c r="X142" s="136"/>
      <c r="Y142" s="136"/>
      <c r="Z142" s="136"/>
      <c r="AA142" s="136"/>
      <c r="AB142" s="136"/>
      <c r="AC142" s="136"/>
      <c r="AD142" s="136"/>
      <c r="AE142" s="136"/>
      <c r="AF142" s="136"/>
      <c r="AG142" s="136"/>
      <c r="AH142" s="136"/>
      <c r="AI142" s="136"/>
    </row>
    <row r="143" spans="1:35" x14ac:dyDescent="0.25">
      <c r="A143" s="11"/>
      <c r="B143" s="11"/>
      <c r="C143" s="204"/>
      <c r="D143" s="11"/>
      <c r="E143" s="11"/>
      <c r="F143" s="11"/>
      <c r="G143" s="11"/>
      <c r="H143" s="181"/>
      <c r="I143" s="118"/>
      <c r="J143" s="118"/>
      <c r="K143" s="11"/>
      <c r="L143" s="11"/>
      <c r="M143" s="11"/>
      <c r="N143" s="100" t="str">
        <f>N85&amp;" - Check"</f>
        <v>Total Food &amp; Beverage Revenue - Check</v>
      </c>
      <c r="O143" s="506">
        <f t="shared" ref="O143:AA143" si="61">O39+O49+O59+O69+O79+O83-O85</f>
        <v>0</v>
      </c>
      <c r="P143" s="506">
        <f t="shared" si="61"/>
        <v>0</v>
      </c>
      <c r="Q143" s="506">
        <f t="shared" si="61"/>
        <v>0</v>
      </c>
      <c r="R143" s="506">
        <f t="shared" si="61"/>
        <v>0</v>
      </c>
      <c r="S143" s="506">
        <f t="shared" si="61"/>
        <v>0</v>
      </c>
      <c r="T143" s="506">
        <f t="shared" si="61"/>
        <v>0</v>
      </c>
      <c r="U143" s="506">
        <f t="shared" si="61"/>
        <v>0</v>
      </c>
      <c r="V143" s="506">
        <f t="shared" si="61"/>
        <v>0</v>
      </c>
      <c r="W143" s="506">
        <f t="shared" si="61"/>
        <v>0</v>
      </c>
      <c r="X143" s="506">
        <f t="shared" si="61"/>
        <v>0</v>
      </c>
      <c r="Y143" s="506">
        <f t="shared" si="61"/>
        <v>0</v>
      </c>
      <c r="Z143" s="506">
        <f t="shared" si="61"/>
        <v>0</v>
      </c>
      <c r="AA143" s="506">
        <f t="shared" si="61"/>
        <v>0</v>
      </c>
      <c r="AB143" s="138"/>
      <c r="AC143" s="136"/>
      <c r="AD143" s="506">
        <f>AD39+AD49+AD59+AD69+AD79+AD83-AD85</f>
        <v>0</v>
      </c>
      <c r="AE143" s="138"/>
      <c r="AF143" s="134"/>
      <c r="AG143" s="506">
        <f>AG39+AG49+AG59+AG69+AG79+AG83-AG85</f>
        <v>0</v>
      </c>
      <c r="AH143" s="138"/>
      <c r="AI143" s="134"/>
    </row>
    <row r="144" spans="1:35" x14ac:dyDescent="0.25">
      <c r="A144" s="11"/>
      <c r="B144" s="11"/>
      <c r="C144" s="204"/>
      <c r="D144" s="11"/>
      <c r="E144" s="11"/>
      <c r="F144" s="11"/>
      <c r="G144" s="11"/>
      <c r="H144" s="181"/>
      <c r="I144" s="118"/>
      <c r="J144" s="118"/>
      <c r="K144" s="11"/>
      <c r="L144" s="11"/>
      <c r="M144" s="11"/>
      <c r="N144" s="100" t="str">
        <f>N87&amp;" - Check"</f>
        <v>Total Customers - Check</v>
      </c>
      <c r="O144" s="506">
        <f t="shared" ref="O144:AA144" si="62">O41+O51+O61+O71+O80-O87</f>
        <v>0</v>
      </c>
      <c r="P144" s="506">
        <f t="shared" si="62"/>
        <v>0</v>
      </c>
      <c r="Q144" s="506">
        <f t="shared" si="62"/>
        <v>0</v>
      </c>
      <c r="R144" s="506">
        <f t="shared" si="62"/>
        <v>0</v>
      </c>
      <c r="S144" s="506">
        <f t="shared" si="62"/>
        <v>0</v>
      </c>
      <c r="T144" s="506">
        <f t="shared" si="62"/>
        <v>0</v>
      </c>
      <c r="U144" s="506">
        <f t="shared" si="62"/>
        <v>0</v>
      </c>
      <c r="V144" s="506">
        <f t="shared" si="62"/>
        <v>0</v>
      </c>
      <c r="W144" s="506">
        <f t="shared" si="62"/>
        <v>0</v>
      </c>
      <c r="X144" s="506">
        <f t="shared" si="62"/>
        <v>0</v>
      </c>
      <c r="Y144" s="506">
        <f t="shared" si="62"/>
        <v>0</v>
      </c>
      <c r="Z144" s="506">
        <f t="shared" si="62"/>
        <v>0</v>
      </c>
      <c r="AA144" s="506">
        <f t="shared" si="62"/>
        <v>0</v>
      </c>
      <c r="AB144" s="138"/>
      <c r="AC144" s="136"/>
      <c r="AD144" s="506">
        <f>AD41+AD51+AD61+AD71+AD80-AD87</f>
        <v>0</v>
      </c>
      <c r="AE144" s="138"/>
      <c r="AF144" s="134"/>
      <c r="AG144" s="506">
        <f>AG41+AG51+AG61+AG71+AG80-AG87</f>
        <v>0</v>
      </c>
      <c r="AH144" s="138"/>
      <c r="AI144" s="134"/>
    </row>
    <row r="145" spans="1:35" x14ac:dyDescent="0.25">
      <c r="A145" s="11"/>
      <c r="B145" s="11"/>
      <c r="C145" s="204"/>
      <c r="D145" s="11"/>
      <c r="E145" s="11"/>
      <c r="F145" s="11"/>
      <c r="G145" s="11"/>
      <c r="H145" s="181"/>
      <c r="I145" s="118"/>
      <c r="J145" s="118"/>
      <c r="K145" s="11"/>
      <c r="L145" s="11"/>
      <c r="M145" s="11"/>
      <c r="N145" s="100" t="str">
        <f>N88&amp;" - Check"</f>
        <v>Total Average Check - Check</v>
      </c>
      <c r="O145" s="505" t="e">
        <f t="shared" ref="O145:AA145" si="63">IFERROR(O$85/O87,"")-O88</f>
        <v>#VALUE!</v>
      </c>
      <c r="P145" s="505" t="e">
        <f t="shared" si="63"/>
        <v>#VALUE!</v>
      </c>
      <c r="Q145" s="505" t="e">
        <f t="shared" si="63"/>
        <v>#VALUE!</v>
      </c>
      <c r="R145" s="505" t="e">
        <f t="shared" si="63"/>
        <v>#VALUE!</v>
      </c>
      <c r="S145" s="505" t="e">
        <f t="shared" si="63"/>
        <v>#VALUE!</v>
      </c>
      <c r="T145" s="505" t="e">
        <f t="shared" si="63"/>
        <v>#VALUE!</v>
      </c>
      <c r="U145" s="505" t="e">
        <f t="shared" si="63"/>
        <v>#VALUE!</v>
      </c>
      <c r="V145" s="505" t="e">
        <f t="shared" si="63"/>
        <v>#VALUE!</v>
      </c>
      <c r="W145" s="505" t="e">
        <f t="shared" si="63"/>
        <v>#VALUE!</v>
      </c>
      <c r="X145" s="505" t="e">
        <f t="shared" si="63"/>
        <v>#VALUE!</v>
      </c>
      <c r="Y145" s="505" t="e">
        <f t="shared" si="63"/>
        <v>#VALUE!</v>
      </c>
      <c r="Z145" s="505" t="e">
        <f t="shared" si="63"/>
        <v>#VALUE!</v>
      </c>
      <c r="AA145" s="505" t="e">
        <f t="shared" si="63"/>
        <v>#VALUE!</v>
      </c>
      <c r="AB145" s="138"/>
      <c r="AC145" s="136"/>
      <c r="AD145" s="505" t="e">
        <f>IFERROR(AD$85/AD87,"")-AD88</f>
        <v>#VALUE!</v>
      </c>
      <c r="AE145" s="138"/>
      <c r="AF145" s="134"/>
      <c r="AG145" s="505" t="e">
        <f>IFERROR(AG$85/AG87,"")-AG88</f>
        <v>#VALUE!</v>
      </c>
      <c r="AH145" s="138"/>
      <c r="AI145" s="134"/>
    </row>
    <row r="146" spans="1:35" x14ac:dyDescent="0.25">
      <c r="A146" s="11"/>
      <c r="B146" s="11"/>
      <c r="C146" s="204"/>
      <c r="D146" s="11"/>
      <c r="E146" s="11"/>
      <c r="F146" s="11"/>
      <c r="G146" s="11"/>
      <c r="H146" s="181"/>
      <c r="I146" s="118"/>
      <c r="J146" s="118"/>
      <c r="K146" s="11"/>
      <c r="L146" s="11"/>
      <c r="M146" s="11"/>
      <c r="N146" s="100" t="s">
        <v>769</v>
      </c>
      <c r="O146" s="506">
        <f t="shared" ref="O146:AA146" si="64">(O130+O132)-O140</f>
        <v>0</v>
      </c>
      <c r="P146" s="506">
        <f t="shared" si="64"/>
        <v>0</v>
      </c>
      <c r="Q146" s="506">
        <f t="shared" si="64"/>
        <v>0</v>
      </c>
      <c r="R146" s="506">
        <f t="shared" si="64"/>
        <v>0</v>
      </c>
      <c r="S146" s="506">
        <f t="shared" si="64"/>
        <v>0</v>
      </c>
      <c r="T146" s="506">
        <f t="shared" si="64"/>
        <v>0</v>
      </c>
      <c r="U146" s="506">
        <f t="shared" si="64"/>
        <v>0</v>
      </c>
      <c r="V146" s="506">
        <f t="shared" si="64"/>
        <v>0</v>
      </c>
      <c r="W146" s="506">
        <f t="shared" si="64"/>
        <v>0</v>
      </c>
      <c r="X146" s="506">
        <f t="shared" si="64"/>
        <v>0</v>
      </c>
      <c r="Y146" s="506">
        <f t="shared" si="64"/>
        <v>0</v>
      </c>
      <c r="Z146" s="506">
        <f t="shared" si="64"/>
        <v>0</v>
      </c>
      <c r="AA146" s="506">
        <f t="shared" si="64"/>
        <v>0</v>
      </c>
      <c r="AB146" s="138"/>
      <c r="AC146" s="136"/>
      <c r="AD146" s="506">
        <f>(AD130+AD132)-AD140</f>
        <v>0</v>
      </c>
      <c r="AE146" s="138"/>
      <c r="AF146" s="134"/>
      <c r="AG146" s="506">
        <f>(AG130+AG132)-AG140</f>
        <v>0</v>
      </c>
      <c r="AH146" s="138"/>
      <c r="AI146" s="134"/>
    </row>
    <row r="147" spans="1:35" x14ac:dyDescent="0.25">
      <c r="A147" s="11"/>
      <c r="B147" s="11"/>
      <c r="C147" s="204"/>
      <c r="D147" s="11"/>
      <c r="E147" s="11"/>
      <c r="F147" s="11"/>
      <c r="G147" s="11"/>
      <c r="H147" s="11"/>
      <c r="I147" s="55"/>
      <c r="J147" s="55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</row>
    <row r="148" spans="1:35" x14ac:dyDescent="0.25">
      <c r="A148" s="11"/>
      <c r="B148" s="11"/>
      <c r="C148" s="204"/>
      <c r="D148" s="11"/>
      <c r="E148" s="11"/>
      <c r="F148" s="11"/>
      <c r="G148" s="11"/>
      <c r="H148" s="11"/>
      <c r="I148" s="55"/>
      <c r="J148" s="55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</row>
    <row r="149" spans="1:35" x14ac:dyDescent="0.25">
      <c r="A149" s="11"/>
      <c r="B149" s="11"/>
      <c r="C149" s="204"/>
      <c r="D149" s="11"/>
      <c r="E149" s="11"/>
      <c r="F149" s="11"/>
      <c r="G149" s="11"/>
      <c r="H149" s="11"/>
      <c r="I149" s="55"/>
      <c r="J149" s="55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</row>
    <row r="150" spans="1:35" x14ac:dyDescent="0.25">
      <c r="A150" s="11"/>
      <c r="B150" s="11"/>
      <c r="C150" s="204"/>
      <c r="D150" s="11"/>
      <c r="E150" s="11"/>
      <c r="F150" s="11"/>
      <c r="G150" s="11"/>
      <c r="H150" s="11"/>
      <c r="I150" s="55"/>
      <c r="J150" s="55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</row>
    <row r="151" spans="1:35" x14ac:dyDescent="0.25">
      <c r="A151" s="11"/>
      <c r="B151" s="11"/>
      <c r="C151" s="204"/>
      <c r="D151" s="11"/>
      <c r="E151" s="11"/>
      <c r="F151" s="11"/>
      <c r="G151" s="11"/>
      <c r="H151" s="11"/>
      <c r="I151" s="55"/>
      <c r="J151" s="55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</row>
    <row r="152" spans="1:35" x14ac:dyDescent="0.25">
      <c r="A152" s="11"/>
      <c r="B152" s="11"/>
      <c r="C152" s="204"/>
      <c r="D152" s="11"/>
      <c r="E152" s="11"/>
      <c r="F152" s="11"/>
      <c r="G152" s="11"/>
      <c r="H152" s="11"/>
      <c r="I152" s="55"/>
      <c r="J152" s="55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</row>
    <row r="153" spans="1:35" x14ac:dyDescent="0.25">
      <c r="A153" s="11"/>
      <c r="B153" s="11"/>
      <c r="C153" s="204"/>
      <c r="D153" s="11"/>
      <c r="E153" s="11"/>
      <c r="F153" s="11"/>
      <c r="G153" s="11"/>
      <c r="H153" s="11"/>
      <c r="I153" s="55"/>
      <c r="J153" s="55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</row>
    <row r="154" spans="1:35" x14ac:dyDescent="0.25">
      <c r="A154" s="11"/>
      <c r="B154" s="11"/>
      <c r="C154" s="11"/>
      <c r="D154" s="11"/>
      <c r="E154" s="11"/>
      <c r="F154" s="11"/>
      <c r="G154" s="11"/>
      <c r="H154" s="11"/>
      <c r="I154" s="55"/>
      <c r="J154" s="55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</row>
    <row r="155" spans="1:35" x14ac:dyDescent="0.25">
      <c r="A155" s="11"/>
      <c r="B155" s="11"/>
      <c r="C155" s="11"/>
      <c r="D155" s="11"/>
      <c r="E155" s="11"/>
      <c r="F155" s="11"/>
      <c r="G155" s="11"/>
      <c r="H155" s="11"/>
      <c r="I155" s="55"/>
      <c r="J155" s="55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</row>
    <row r="156" spans="1:35" x14ac:dyDescent="0.25">
      <c r="A156" s="11"/>
      <c r="B156" s="11"/>
      <c r="C156" s="11"/>
      <c r="D156" s="11"/>
      <c r="E156" s="11"/>
      <c r="F156" s="11"/>
      <c r="G156" s="11"/>
      <c r="H156" s="11"/>
      <c r="I156" s="55"/>
      <c r="J156" s="55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</row>
    <row r="157" spans="1:35" x14ac:dyDescent="0.25">
      <c r="A157" s="11"/>
      <c r="B157" s="11"/>
      <c r="C157" s="11"/>
      <c r="D157" s="11"/>
      <c r="E157" s="11"/>
      <c r="F157" s="11"/>
      <c r="G157" s="11"/>
      <c r="H157" s="11"/>
      <c r="I157" s="55"/>
      <c r="J157" s="55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</row>
    <row r="158" spans="1:35" x14ac:dyDescent="0.25">
      <c r="A158" s="11"/>
      <c r="B158" s="11"/>
      <c r="C158" s="11"/>
      <c r="D158" s="11"/>
      <c r="E158" s="11"/>
      <c r="F158" s="11"/>
      <c r="G158" s="11"/>
      <c r="H158" s="11"/>
      <c r="I158" s="55"/>
      <c r="J158" s="55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</row>
    <row r="159" spans="1:35" x14ac:dyDescent="0.25">
      <c r="A159" s="11"/>
      <c r="B159" s="11"/>
      <c r="C159" s="11"/>
      <c r="D159" s="11"/>
      <c r="E159" s="11"/>
      <c r="F159" s="11"/>
      <c r="G159" s="11"/>
      <c r="H159" s="11"/>
      <c r="I159" s="55"/>
      <c r="J159" s="55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</row>
    <row r="160" spans="1:35" x14ac:dyDescent="0.25">
      <c r="A160" s="11"/>
      <c r="B160" s="11"/>
      <c r="C160" s="11"/>
      <c r="D160" s="11"/>
      <c r="E160" s="11"/>
      <c r="F160" s="11"/>
      <c r="G160" s="11"/>
      <c r="H160" s="11"/>
      <c r="I160" s="55"/>
      <c r="J160" s="55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</row>
    <row r="161" spans="1:35" x14ac:dyDescent="0.25">
      <c r="A161" s="11"/>
      <c r="B161" s="11"/>
      <c r="C161" s="11"/>
      <c r="D161" s="11"/>
      <c r="E161" s="11"/>
      <c r="F161" s="11"/>
      <c r="G161" s="11"/>
      <c r="H161" s="11"/>
      <c r="I161" s="55"/>
      <c r="J161" s="55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</row>
    <row r="162" spans="1:35" x14ac:dyDescent="0.25">
      <c r="A162" s="11"/>
      <c r="B162" s="11"/>
      <c r="C162" s="11"/>
      <c r="D162" s="11"/>
      <c r="E162" s="11"/>
      <c r="F162" s="11"/>
      <c r="G162" s="11"/>
      <c r="H162" s="11"/>
      <c r="I162" s="55"/>
      <c r="J162" s="55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</row>
    <row r="163" spans="1:35" x14ac:dyDescent="0.25">
      <c r="A163" s="11"/>
      <c r="B163" s="11"/>
      <c r="C163" s="11"/>
      <c r="D163" s="11"/>
      <c r="E163" s="11"/>
      <c r="F163" s="11"/>
      <c r="G163" s="11"/>
      <c r="H163" s="11"/>
      <c r="I163" s="55"/>
      <c r="J163" s="55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</row>
    <row r="164" spans="1:35" x14ac:dyDescent="0.25">
      <c r="A164" s="11"/>
      <c r="B164" s="11"/>
      <c r="C164" s="11"/>
      <c r="D164" s="11"/>
      <c r="E164" s="11"/>
      <c r="F164" s="11"/>
      <c r="G164" s="11"/>
      <c r="H164" s="11"/>
      <c r="I164" s="55"/>
      <c r="J164" s="55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</row>
    <row r="165" spans="1:35" x14ac:dyDescent="0.25">
      <c r="A165" s="11"/>
      <c r="B165" s="11"/>
      <c r="C165" s="11"/>
      <c r="D165" s="11"/>
      <c r="E165" s="11"/>
      <c r="F165" s="11"/>
      <c r="G165" s="11"/>
      <c r="H165" s="11"/>
      <c r="I165" s="55"/>
      <c r="J165" s="55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</row>
    <row r="166" spans="1:35" x14ac:dyDescent="0.25">
      <c r="A166" s="11"/>
      <c r="B166" s="11"/>
      <c r="C166" s="11"/>
      <c r="D166" s="11"/>
      <c r="E166" s="11"/>
      <c r="F166" s="11"/>
      <c r="G166" s="11"/>
      <c r="H166" s="11"/>
      <c r="I166" s="55"/>
      <c r="J166" s="55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</row>
    <row r="167" spans="1:35" x14ac:dyDescent="0.25">
      <c r="A167" s="11"/>
      <c r="B167" s="11"/>
      <c r="C167" s="11"/>
      <c r="D167" s="11"/>
      <c r="E167" s="11"/>
      <c r="F167" s="11"/>
      <c r="G167" s="11"/>
      <c r="H167" s="11"/>
      <c r="I167" s="55"/>
      <c r="J167" s="55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</row>
    <row r="168" spans="1:35" x14ac:dyDescent="0.25">
      <c r="A168" s="11"/>
      <c r="B168" s="11"/>
      <c r="C168" s="11"/>
      <c r="D168" s="11"/>
      <c r="E168" s="11"/>
      <c r="F168" s="11"/>
      <c r="G168" s="11"/>
      <c r="H168" s="11"/>
      <c r="I168" s="55"/>
      <c r="J168" s="55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</row>
    <row r="169" spans="1:35" x14ac:dyDescent="0.25">
      <c r="A169" s="11"/>
      <c r="B169" s="11"/>
      <c r="C169" s="11"/>
      <c r="D169" s="11"/>
      <c r="E169" s="11"/>
      <c r="F169" s="11"/>
      <c r="G169" s="11"/>
      <c r="H169" s="11"/>
      <c r="I169" s="263"/>
      <c r="J169" s="11"/>
      <c r="K169" s="263"/>
      <c r="L169" s="263"/>
      <c r="M169" s="263"/>
      <c r="N169" s="11"/>
      <c r="O169" s="263"/>
      <c r="P169" s="263"/>
      <c r="Q169" s="263"/>
      <c r="R169" s="263"/>
      <c r="S169" s="263"/>
      <c r="T169" s="263"/>
      <c r="U169" s="263"/>
      <c r="V169" s="263"/>
      <c r="W169" s="263"/>
      <c r="X169" s="263"/>
      <c r="Y169" s="263"/>
      <c r="Z169" s="263"/>
      <c r="AA169" s="263"/>
      <c r="AB169" s="11"/>
      <c r="AC169" s="11"/>
      <c r="AD169" s="263"/>
      <c r="AE169" s="11"/>
      <c r="AF169" s="263"/>
      <c r="AG169" s="11"/>
      <c r="AH169" s="263"/>
      <c r="AI169" s="11"/>
    </row>
    <row r="170" spans="1:35" x14ac:dyDescent="0.25">
      <c r="A170" s="11"/>
      <c r="B170" s="11"/>
      <c r="C170" s="11"/>
      <c r="D170" s="11"/>
      <c r="E170" s="11"/>
      <c r="F170" s="11"/>
      <c r="G170" s="11"/>
      <c r="H170" s="11"/>
      <c r="I170" s="55"/>
      <c r="J170" s="55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</row>
    <row r="171" spans="1:35" x14ac:dyDescent="0.25">
      <c r="A171" s="11"/>
      <c r="B171" s="11"/>
      <c r="C171" s="11"/>
      <c r="D171" s="11"/>
      <c r="E171" s="11"/>
      <c r="F171" s="11"/>
      <c r="G171" s="11"/>
      <c r="H171" s="11"/>
      <c r="I171" s="55"/>
      <c r="J171" s="55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</row>
    <row r="172" spans="1:35" x14ac:dyDescent="0.25">
      <c r="A172" s="11"/>
      <c r="B172" s="11"/>
      <c r="C172" s="11"/>
      <c r="D172" s="11"/>
      <c r="E172" s="11"/>
      <c r="F172" s="11"/>
      <c r="G172" s="11"/>
      <c r="H172" s="11"/>
      <c r="I172" s="55"/>
      <c r="J172" s="55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</row>
    <row r="173" spans="1:35" x14ac:dyDescent="0.25">
      <c r="A173" s="11"/>
      <c r="B173" s="11"/>
      <c r="C173" s="11"/>
      <c r="D173" s="11"/>
      <c r="E173" s="11"/>
      <c r="F173" s="11"/>
      <c r="G173" s="11"/>
      <c r="H173" s="11"/>
      <c r="I173" s="263"/>
      <c r="J173" s="11"/>
      <c r="K173" s="263"/>
      <c r="L173" s="263"/>
      <c r="M173" s="263"/>
      <c r="N173" s="11"/>
      <c r="O173" s="263"/>
      <c r="P173" s="263"/>
      <c r="Q173" s="263"/>
      <c r="R173" s="263"/>
      <c r="S173" s="263"/>
      <c r="T173" s="263"/>
      <c r="U173" s="263"/>
      <c r="V173" s="263"/>
      <c r="W173" s="263"/>
      <c r="X173" s="263"/>
      <c r="Y173" s="263"/>
      <c r="Z173" s="263"/>
      <c r="AA173" s="263"/>
      <c r="AB173" s="11"/>
      <c r="AC173" s="11"/>
      <c r="AD173" s="263"/>
      <c r="AE173" s="11"/>
      <c r="AF173" s="263"/>
      <c r="AG173" s="11"/>
      <c r="AH173" s="263"/>
      <c r="AI173" s="11"/>
    </row>
    <row r="174" spans="1:35" x14ac:dyDescent="0.25">
      <c r="A174" s="11"/>
      <c r="B174" s="11"/>
      <c r="C174" s="11"/>
      <c r="D174" s="11"/>
      <c r="E174" s="11"/>
      <c r="F174" s="11"/>
      <c r="G174" s="11"/>
      <c r="H174" s="11"/>
      <c r="I174" s="55"/>
      <c r="J174" s="55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</row>
    <row r="175" spans="1:35" x14ac:dyDescent="0.25">
      <c r="A175" s="11"/>
      <c r="B175" s="11"/>
      <c r="C175" s="11"/>
      <c r="D175" s="11"/>
      <c r="E175" s="11"/>
      <c r="F175" s="11"/>
      <c r="G175" s="11"/>
      <c r="H175" s="11"/>
      <c r="I175" s="55"/>
      <c r="J175" s="55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</row>
    <row r="176" spans="1:35" x14ac:dyDescent="0.25">
      <c r="A176" s="11"/>
      <c r="B176" s="11"/>
      <c r="C176" s="11"/>
      <c r="D176" s="11"/>
      <c r="E176" s="11"/>
      <c r="F176" s="11"/>
      <c r="G176" s="11"/>
      <c r="H176" s="11"/>
      <c r="I176" s="55"/>
      <c r="J176" s="55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</row>
    <row r="177" spans="1:35" x14ac:dyDescent="0.25">
      <c r="A177" s="11"/>
      <c r="B177" s="11"/>
      <c r="C177" s="11"/>
      <c r="D177" s="11"/>
      <c r="E177" s="11"/>
      <c r="F177" s="11"/>
      <c r="G177" s="11"/>
      <c r="H177" s="11"/>
      <c r="I177" s="55"/>
      <c r="J177" s="55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</row>
    <row r="178" spans="1:35" x14ac:dyDescent="0.25">
      <c r="A178" s="11"/>
      <c r="B178" s="11"/>
      <c r="C178" s="11"/>
      <c r="D178" s="11"/>
      <c r="E178" s="11"/>
      <c r="F178" s="11"/>
      <c r="G178" s="11"/>
      <c r="H178" s="11"/>
      <c r="I178" s="55"/>
      <c r="J178" s="55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</row>
    <row r="179" spans="1:35" x14ac:dyDescent="0.25">
      <c r="A179" s="11"/>
      <c r="B179" s="11"/>
      <c r="C179" s="11"/>
      <c r="D179" s="11"/>
      <c r="E179" s="11"/>
      <c r="F179" s="11"/>
      <c r="G179" s="11"/>
      <c r="H179" s="11"/>
      <c r="I179" s="55"/>
      <c r="J179" s="55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</row>
    <row r="180" spans="1:35" x14ac:dyDescent="0.25">
      <c r="A180" s="11"/>
      <c r="B180" s="11"/>
      <c r="C180" s="11"/>
      <c r="D180" s="11"/>
      <c r="E180" s="11"/>
      <c r="F180" s="11"/>
      <c r="G180" s="11"/>
      <c r="H180" s="11"/>
      <c r="I180" s="55"/>
      <c r="J180" s="55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</row>
    <row r="181" spans="1:35" x14ac:dyDescent="0.25">
      <c r="A181" s="11"/>
      <c r="B181" s="11"/>
      <c r="C181" s="11"/>
      <c r="D181" s="11"/>
      <c r="E181" s="11"/>
      <c r="F181" s="11"/>
      <c r="G181" s="11"/>
      <c r="H181" s="11"/>
      <c r="I181" s="55"/>
      <c r="J181" s="55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</row>
    <row r="182" spans="1:35" x14ac:dyDescent="0.25">
      <c r="A182" s="11"/>
      <c r="B182" s="11"/>
      <c r="C182" s="11"/>
      <c r="D182" s="11"/>
      <c r="E182" s="11"/>
      <c r="F182" s="11"/>
      <c r="G182" s="11"/>
      <c r="H182" s="11"/>
      <c r="I182" s="55"/>
      <c r="J182" s="55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</row>
    <row r="183" spans="1:35" x14ac:dyDescent="0.25">
      <c r="A183" s="11"/>
      <c r="B183" s="11"/>
      <c r="C183" s="11"/>
      <c r="D183" s="11"/>
      <c r="E183" s="11"/>
      <c r="F183" s="11"/>
      <c r="G183" s="11"/>
      <c r="H183" s="11"/>
      <c r="I183" s="55"/>
      <c r="J183" s="55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</row>
    <row r="184" spans="1:35" x14ac:dyDescent="0.25">
      <c r="A184" s="11"/>
      <c r="B184" s="11"/>
      <c r="C184" s="11"/>
      <c r="D184" s="11"/>
      <c r="E184" s="11"/>
      <c r="F184" s="11"/>
      <c r="G184" s="11"/>
      <c r="H184" s="11"/>
      <c r="I184" s="55"/>
      <c r="J184" s="55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</row>
    <row r="185" spans="1:35" x14ac:dyDescent="0.25">
      <c r="A185" s="11"/>
      <c r="B185" s="11"/>
      <c r="C185" s="11"/>
      <c r="D185" s="11"/>
      <c r="E185" s="11"/>
      <c r="F185" s="11"/>
      <c r="G185" s="11"/>
      <c r="H185" s="11"/>
      <c r="I185" s="55"/>
      <c r="J185" s="55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</row>
    <row r="186" spans="1:35" x14ac:dyDescent="0.25">
      <c r="A186" s="11"/>
      <c r="B186" s="11"/>
      <c r="C186" s="11"/>
      <c r="D186" s="11"/>
      <c r="E186" s="11"/>
      <c r="F186" s="11"/>
      <c r="G186" s="11"/>
      <c r="H186" s="11"/>
      <c r="I186" s="55"/>
      <c r="J186" s="55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</row>
    <row r="187" spans="1:35" x14ac:dyDescent="0.25">
      <c r="A187" s="11"/>
      <c r="B187" s="11"/>
      <c r="C187" s="11"/>
      <c r="D187" s="11"/>
      <c r="E187" s="11"/>
      <c r="F187" s="11"/>
      <c r="G187" s="11"/>
      <c r="H187" s="11"/>
      <c r="I187" s="55"/>
      <c r="J187" s="55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</row>
    <row r="188" spans="1:35" x14ac:dyDescent="0.25">
      <c r="A188" s="11"/>
      <c r="B188" s="11"/>
      <c r="C188" s="11"/>
      <c r="D188" s="11"/>
      <c r="E188" s="11"/>
      <c r="F188" s="11"/>
      <c r="G188" s="11"/>
      <c r="H188" s="11"/>
      <c r="I188" s="55"/>
      <c r="J188" s="55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</row>
    <row r="189" spans="1:35" x14ac:dyDescent="0.25">
      <c r="A189" s="11"/>
      <c r="B189" s="11"/>
      <c r="C189" s="11"/>
      <c r="D189" s="11"/>
      <c r="E189" s="11"/>
      <c r="F189" s="11"/>
      <c r="G189" s="11"/>
      <c r="H189" s="11"/>
      <c r="I189" s="55"/>
      <c r="J189" s="55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</row>
    <row r="190" spans="1:35" x14ac:dyDescent="0.25">
      <c r="A190" s="11"/>
      <c r="B190" s="11"/>
      <c r="C190" s="11"/>
      <c r="D190" s="11"/>
      <c r="E190" s="11"/>
      <c r="F190" s="11"/>
      <c r="G190" s="11"/>
      <c r="H190" s="11"/>
      <c r="I190" s="55"/>
      <c r="J190" s="55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</row>
    <row r="191" spans="1:35" x14ac:dyDescent="0.25">
      <c r="A191" s="11"/>
      <c r="B191" s="11"/>
      <c r="C191" s="11"/>
      <c r="D191" s="11"/>
      <c r="E191" s="11"/>
      <c r="F191" s="11"/>
      <c r="G191" s="11"/>
      <c r="H191" s="11"/>
      <c r="I191" s="55"/>
      <c r="J191" s="55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</row>
    <row r="192" spans="1:35" x14ac:dyDescent="0.25">
      <c r="A192" s="11"/>
      <c r="B192" s="11"/>
      <c r="C192" s="11"/>
      <c r="D192" s="11"/>
      <c r="E192" s="11"/>
      <c r="F192" s="11"/>
      <c r="G192" s="11"/>
      <c r="H192" s="11"/>
      <c r="I192" s="55"/>
      <c r="J192" s="55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</row>
    <row r="193" spans="1:35" x14ac:dyDescent="0.25">
      <c r="A193" s="11"/>
      <c r="B193" s="11"/>
      <c r="C193" s="11"/>
      <c r="D193" s="11"/>
      <c r="E193" s="11"/>
      <c r="F193" s="11"/>
      <c r="G193" s="11"/>
      <c r="H193" s="11"/>
      <c r="I193" s="55"/>
      <c r="J193" s="55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</row>
    <row r="194" spans="1:35" x14ac:dyDescent="0.25">
      <c r="A194" s="11"/>
      <c r="B194" s="11"/>
      <c r="C194" s="11"/>
      <c r="D194" s="11"/>
      <c r="E194" s="11"/>
      <c r="F194" s="11"/>
      <c r="G194" s="11"/>
      <c r="H194" s="11"/>
      <c r="I194" s="55"/>
      <c r="J194" s="55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</row>
    <row r="195" spans="1:35" x14ac:dyDescent="0.25">
      <c r="A195" s="11"/>
      <c r="B195" s="11"/>
      <c r="C195" s="11"/>
      <c r="D195" s="11"/>
      <c r="E195" s="11"/>
      <c r="F195" s="11"/>
      <c r="G195" s="11"/>
      <c r="H195" s="11"/>
      <c r="I195" s="55"/>
      <c r="J195" s="55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</row>
    <row r="196" spans="1:35" x14ac:dyDescent="0.25">
      <c r="A196" s="11"/>
      <c r="B196" s="11"/>
      <c r="C196" s="11"/>
      <c r="D196" s="11"/>
      <c r="E196" s="11"/>
      <c r="F196" s="11"/>
      <c r="G196" s="11"/>
      <c r="H196" s="11"/>
      <c r="I196" s="55"/>
      <c r="J196" s="55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</row>
    <row r="197" spans="1:35" x14ac:dyDescent="0.25">
      <c r="A197" s="11"/>
      <c r="B197" s="11"/>
      <c r="C197" s="11"/>
      <c r="D197" s="11"/>
      <c r="E197" s="11"/>
      <c r="F197" s="11"/>
      <c r="G197" s="11"/>
      <c r="H197" s="11"/>
      <c r="I197" s="55"/>
      <c r="J197" s="55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</row>
    <row r="198" spans="1:35" x14ac:dyDescent="0.25">
      <c r="A198" s="11"/>
      <c r="B198" s="11"/>
      <c r="C198" s="11"/>
      <c r="D198" s="11"/>
      <c r="E198" s="11"/>
      <c r="F198" s="11"/>
      <c r="G198" s="11"/>
      <c r="H198" s="11"/>
      <c r="I198" s="55"/>
      <c r="J198" s="55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</row>
    <row r="199" spans="1:35" x14ac:dyDescent="0.25">
      <c r="A199" s="11"/>
      <c r="B199" s="11"/>
      <c r="C199" s="11"/>
      <c r="D199" s="11"/>
      <c r="E199" s="11"/>
      <c r="F199" s="11"/>
      <c r="G199" s="11"/>
      <c r="H199" s="11"/>
      <c r="I199" s="55"/>
      <c r="J199" s="55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</row>
    <row r="200" spans="1:35" x14ac:dyDescent="0.25">
      <c r="A200" s="11"/>
      <c r="B200" s="11"/>
      <c r="C200" s="11"/>
      <c r="D200" s="11"/>
      <c r="E200" s="11"/>
      <c r="F200" s="11"/>
      <c r="G200" s="11"/>
      <c r="H200" s="11"/>
      <c r="I200" s="55"/>
      <c r="J200" s="55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</row>
    <row r="201" spans="1:35" x14ac:dyDescent="0.25">
      <c r="A201" s="11"/>
      <c r="B201" s="11"/>
      <c r="C201" s="11"/>
      <c r="D201" s="11"/>
      <c r="E201" s="11"/>
      <c r="F201" s="11"/>
      <c r="G201" s="11"/>
      <c r="H201" s="11"/>
      <c r="I201" s="55"/>
      <c r="J201" s="55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</row>
    <row r="202" spans="1:35" x14ac:dyDescent="0.25">
      <c r="A202" s="11"/>
      <c r="B202" s="11"/>
      <c r="C202" s="11"/>
      <c r="D202" s="11"/>
      <c r="E202" s="11"/>
      <c r="F202" s="11"/>
      <c r="G202" s="11"/>
      <c r="H202" s="11"/>
      <c r="I202" s="55"/>
      <c r="J202" s="55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</row>
    <row r="203" spans="1:35" x14ac:dyDescent="0.25">
      <c r="A203" s="11"/>
      <c r="B203" s="11"/>
      <c r="C203" s="11"/>
      <c r="D203" s="11"/>
      <c r="E203" s="11"/>
      <c r="F203" s="11"/>
      <c r="G203" s="11"/>
      <c r="H203" s="11"/>
      <c r="I203" s="55"/>
      <c r="J203" s="55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</row>
    <row r="204" spans="1:35" x14ac:dyDescent="0.25">
      <c r="A204" s="11"/>
      <c r="B204" s="11"/>
      <c r="C204" s="11"/>
      <c r="D204" s="11"/>
      <c r="E204" s="11"/>
      <c r="F204" s="11"/>
      <c r="G204" s="11"/>
      <c r="H204" s="11"/>
      <c r="I204" s="55"/>
      <c r="J204" s="55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</row>
    <row r="205" spans="1:35" x14ac:dyDescent="0.25">
      <c r="A205" s="11"/>
      <c r="B205" s="11"/>
      <c r="C205" s="11"/>
      <c r="D205" s="11"/>
      <c r="E205" s="11"/>
      <c r="F205" s="11"/>
      <c r="G205" s="11"/>
      <c r="H205" s="11"/>
      <c r="I205" s="55"/>
      <c r="J205" s="55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</row>
    <row r="206" spans="1:35" x14ac:dyDescent="0.25">
      <c r="A206" s="11"/>
      <c r="B206" s="11"/>
      <c r="C206" s="11"/>
      <c r="D206" s="11"/>
      <c r="E206" s="11"/>
      <c r="F206" s="11"/>
      <c r="G206" s="11"/>
      <c r="H206" s="11"/>
      <c r="I206" s="55"/>
      <c r="J206" s="55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</row>
    <row r="207" spans="1:35" x14ac:dyDescent="0.25">
      <c r="A207" s="11"/>
      <c r="B207" s="11"/>
      <c r="C207" s="11"/>
      <c r="D207" s="11"/>
      <c r="E207" s="263"/>
      <c r="F207" s="11"/>
      <c r="G207" s="11"/>
      <c r="H207" s="11"/>
      <c r="I207" s="55"/>
      <c r="J207" s="55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</row>
    <row r="208" spans="1:35" x14ac:dyDescent="0.25">
      <c r="A208" s="11"/>
      <c r="B208" s="11"/>
      <c r="C208" s="11"/>
      <c r="D208" s="11"/>
      <c r="E208" s="11"/>
      <c r="F208" s="11"/>
      <c r="G208" s="11"/>
      <c r="H208" s="11"/>
      <c r="I208" s="55"/>
      <c r="J208" s="55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</row>
    <row r="209" spans="1:35" x14ac:dyDescent="0.25">
      <c r="A209" s="11"/>
      <c r="B209" s="11"/>
      <c r="C209" s="11"/>
      <c r="D209" s="11"/>
      <c r="E209" s="11"/>
      <c r="F209" s="11"/>
      <c r="G209" s="11"/>
      <c r="H209" s="11"/>
      <c r="I209" s="55"/>
      <c r="J209" s="55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</row>
    <row r="210" spans="1:35" x14ac:dyDescent="0.25">
      <c r="A210" s="11"/>
      <c r="B210" s="11"/>
      <c r="C210" s="11"/>
      <c r="D210" s="11"/>
      <c r="E210" s="11"/>
      <c r="F210" s="11"/>
      <c r="G210" s="11"/>
      <c r="H210" s="11"/>
      <c r="I210" s="55"/>
      <c r="J210" s="55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</row>
    <row r="211" spans="1:35" x14ac:dyDescent="0.25">
      <c r="A211" s="11"/>
      <c r="B211" s="11"/>
      <c r="C211" s="11"/>
      <c r="D211" s="11"/>
      <c r="E211" s="263"/>
      <c r="F211" s="11"/>
      <c r="G211" s="11"/>
      <c r="H211" s="11"/>
      <c r="I211" s="55"/>
      <c r="J211" s="55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</row>
  </sheetData>
  <sheetProtection algorithmName="SHA-512" hashValue="uVORzro2vG9CMS619GHhN/YuvmMfud66kt8GMHm+Mcl3EFJFCjGk7b5IuHsQJvG71exsUftq++Rc5u9VR9fiyA==" saltValue="AlMbreIOI+2DYns6v5XTbg==" spinCount="100000" sheet="1" scenarios="1"/>
  <mergeCells count="2">
    <mergeCell ref="AD31:AE31"/>
    <mergeCell ref="AG31:AH31"/>
  </mergeCells>
  <conditionalFormatting sqref="AD43 AF43:AG43 O43:AA43">
    <cfRule type="expression" dxfId="74" priority="15">
      <formula>ROUND(O42,2)&lt;&gt;ROUND(O43,2)</formula>
    </cfRule>
  </conditionalFormatting>
  <conditionalFormatting sqref="N43">
    <cfRule type="expression" dxfId="73" priority="14">
      <formula>$G43&lt;&gt;0</formula>
    </cfRule>
  </conditionalFormatting>
  <conditionalFormatting sqref="O53:AA53 AD53 AF53:AG53">
    <cfRule type="expression" dxfId="72" priority="13">
      <formula>ROUND(O52,2)&lt;&gt;ROUND(O53,2)</formula>
    </cfRule>
  </conditionalFormatting>
  <conditionalFormatting sqref="N53">
    <cfRule type="expression" dxfId="71" priority="12">
      <formula>$G53&lt;&gt;0</formula>
    </cfRule>
  </conditionalFormatting>
  <conditionalFormatting sqref="O63:AA63 AD63 AF63:AG63">
    <cfRule type="expression" dxfId="70" priority="11">
      <formula>ROUND(O62,2)&lt;&gt;ROUND(O63,2)</formula>
    </cfRule>
  </conditionalFormatting>
  <conditionalFormatting sqref="N63">
    <cfRule type="expression" dxfId="69" priority="10">
      <formula>$G63&lt;&gt;0</formula>
    </cfRule>
  </conditionalFormatting>
  <conditionalFormatting sqref="O73:AA73 AD73 AF73:AG73">
    <cfRule type="expression" dxfId="68" priority="9">
      <formula>ROUND(O72,2)&lt;&gt;ROUND(O73,2)</formula>
    </cfRule>
  </conditionalFormatting>
  <conditionalFormatting sqref="N73">
    <cfRule type="expression" dxfId="67" priority="8">
      <formula>$G73&lt;&gt;0</formula>
    </cfRule>
  </conditionalFormatting>
  <conditionalFormatting sqref="N82">
    <cfRule type="expression" dxfId="66" priority="7">
      <formula>$G82&lt;&gt;0</formula>
    </cfRule>
  </conditionalFormatting>
  <conditionalFormatting sqref="AD82 AF82:AG82 O82:AA82">
    <cfRule type="expression" dxfId="65" priority="6">
      <formula>ROUND(O81,2)&lt;&gt;ROUND(O82,2)</formula>
    </cfRule>
  </conditionalFormatting>
  <conditionalFormatting sqref="AI43">
    <cfRule type="expression" dxfId="64" priority="5">
      <formula>ROUND(AI42,2)&lt;&gt;ROUND(AI43,2)</formula>
    </cfRule>
  </conditionalFormatting>
  <conditionalFormatting sqref="AI53">
    <cfRule type="expression" dxfId="63" priority="4">
      <formula>ROUND(AI52,2)&lt;&gt;ROUND(AI53,2)</formula>
    </cfRule>
  </conditionalFormatting>
  <conditionalFormatting sqref="AI63">
    <cfRule type="expression" dxfId="62" priority="3">
      <formula>ROUND(AI62,2)&lt;&gt;ROUND(AI63,2)</formula>
    </cfRule>
  </conditionalFormatting>
  <conditionalFormatting sqref="AI73">
    <cfRule type="expression" dxfId="61" priority="2">
      <formula>ROUND(AI72,2)&lt;&gt;ROUND(AI73,2)</formula>
    </cfRule>
  </conditionalFormatting>
  <conditionalFormatting sqref="AI82">
    <cfRule type="expression" dxfId="60" priority="1">
      <formula>ROUND(AI81,2)&lt;&gt;ROUND(AI82,2)</formula>
    </cfRule>
  </conditionalFormatting>
  <dataValidations count="2">
    <dataValidation type="list" allowBlank="1" sqref="B29" xr:uid="{00000000-0002-0000-0C00-000000000000}">
      <formula1>"SELF,ALL,BAS,DEP,BASMEMBERS,MEMBERS,NOEXPAND,GDEP"</formula1>
    </dataValidation>
    <dataValidation type="list" allowBlank="1" sqref="B28" xr:uid="{00000000-0002-0000-0C00-000001000000}">
      <formula1>"ACCOUNT,BUSINESSUNIT,CATEGORY,DATASRC,DEPARTMENT,INTCO,MEASURES,RPTCURRENCY,TIME"</formula1>
    </dataValidation>
  </dataValidations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rowBreaks count="1" manualBreakCount="1">
    <brk id="95" min="13" max="34" man="1"/>
  </rowBreaks>
  <customProperties>
    <customPr name="EpmWorksheetKeyString_GUID" r:id="rId2"/>
    <customPr name="FPMExcelClientCellBasedFunctionStatus" r:id="rId3"/>
    <customPr name="FPMExcelClientRefreshTime" r:id="rId4"/>
  </customProperties>
  <legacyDrawing r:id="rId5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4">
    <tabColor theme="6" tint="0.39997558519241921"/>
    <pageSetUpPr fitToPage="1"/>
  </sheetPr>
  <dimension ref="A1:AO194"/>
  <sheetViews>
    <sheetView topLeftCell="K1" zoomScale="85" zoomScaleNormal="85" workbookViewId="0">
      <pane xSplit="4" ySplit="32" topLeftCell="O33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3" width="9.7109375" style="1" hidden="1" customWidth="1" outlineLevel="1"/>
    <col min="14" max="14" width="36.7109375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40" width="0" style="1" hidden="1" customWidth="1" outlineLevel="1"/>
    <col min="41" max="41" width="9.140625" style="1" collapsed="1"/>
    <col min="42" max="16384" width="9.140625" style="1"/>
  </cols>
  <sheetData>
    <row r="1" spans="1:41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517" t="s">
        <v>22</v>
      </c>
      <c r="H1" s="54" t="s">
        <v>729</v>
      </c>
      <c r="I1" s="11"/>
      <c r="J1" s="11"/>
      <c r="K1" s="11"/>
      <c r="L1" s="11"/>
      <c r="M1" s="11"/>
      <c r="N1" s="63" t="str">
        <f>IF(_epmOfflineCondition_,"",IF(OR(_xll.EVCGT($B$1,$B$6,$H$1,$H$2,$H$3,$H$4,$H$5,$H$6,$H$7,$H$8)="#RFR",_xll.EVCGT($B$1,$B$6,$H$1,$H$2,$H$3,$H$4,$H$5,$H$6,$H$7,$H$8)="#NODATA"),"",_xll.EVCGT($B$1,$B$6,$H$1,$H$2,$H$3,$H$4,$H$5,$H$6,$H$7,$H$8)))</f>
        <v/>
      </c>
      <c r="O1" s="11" t="s">
        <v>732</v>
      </c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</row>
    <row r="2" spans="1:41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517" t="s">
        <v>50</v>
      </c>
      <c r="H2" s="54" t="str">
        <f>"BU"&amp;RIGHT(B3,4)</f>
        <v>BU1334</v>
      </c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</row>
    <row r="3" spans="1:41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517" t="s">
        <v>19</v>
      </c>
      <c r="H3" s="54" t="s">
        <v>684</v>
      </c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517" t="s">
        <v>51</v>
      </c>
      <c r="H4" s="54" t="s">
        <v>731</v>
      </c>
      <c r="I4" s="55"/>
      <c r="J4" s="55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517" t="s">
        <v>53</v>
      </c>
      <c r="H5" s="54" t="s">
        <v>730</v>
      </c>
      <c r="I5" s="55"/>
      <c r="J5" s="55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idden="1" outlineLevel="1" x14ac:dyDescent="0.25">
      <c r="A6" s="49" t="s">
        <v>52</v>
      </c>
      <c r="B6" s="52" t="s">
        <v>734</v>
      </c>
      <c r="C6" s="11" t="str">
        <f>IF(_epmOfflineCondition_,"Venue 4",_xll.EVDES(B6,$B$1))</f>
        <v>Venue 4</v>
      </c>
      <c r="D6" s="11"/>
      <c r="E6" s="54" t="str">
        <f>IF(_epmOfflineCondition_,"D_VENUES",_xll.EVPRO($B$1,$B$6,$F$6))</f>
        <v>D_VENUES</v>
      </c>
      <c r="F6" s="11" t="s">
        <v>278</v>
      </c>
      <c r="G6" s="517" t="s">
        <v>20</v>
      </c>
      <c r="H6" s="54" t="s">
        <v>55</v>
      </c>
      <c r="I6" s="55"/>
      <c r="J6" s="55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517" t="s">
        <v>54</v>
      </c>
      <c r="H7" s="54" t="s">
        <v>62</v>
      </c>
      <c r="I7" s="55"/>
      <c r="J7" s="55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517" t="s">
        <v>18</v>
      </c>
      <c r="H8" s="54" t="s">
        <v>728</v>
      </c>
      <c r="I8" s="55"/>
      <c r="J8" s="55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59" t="str">
        <f>IF(SetUp!$O$1=TRUE,"TRAILING12",IF(AA17="CURRENT","ROLLINGFORECAST","PERIODIC"))</f>
        <v>PERIODIC</v>
      </c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11"/>
      <c r="M12" s="11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  <c r="AJ12" s="11"/>
      <c r="AK12" s="11"/>
      <c r="AL12" s="11"/>
      <c r="AM12" s="11"/>
      <c r="AN12" s="11"/>
      <c r="AO12" s="11"/>
    </row>
    <row r="13" spans="1:41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11"/>
      <c r="M13" s="11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  <c r="AJ13" s="11"/>
      <c r="AK13" s="11"/>
      <c r="AL13" s="11"/>
      <c r="AM13" s="11"/>
      <c r="AN13" s="11"/>
      <c r="AO13" s="11"/>
    </row>
    <row r="14" spans="1:41" hidden="1" outlineLevel="1" x14ac:dyDescent="0.25">
      <c r="A14" s="56" t="str">
        <f>IF(_epmOfflineCondition_,"Evdre:Ok",_xll.EVDRE($B$1,A17:B24,A27:B33))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11"/>
      <c r="M14" s="11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  <c r="AJ14" s="11"/>
      <c r="AK14" s="11"/>
      <c r="AL14" s="11"/>
      <c r="AM14" s="11"/>
      <c r="AN14" s="11"/>
      <c r="AO14" s="11"/>
    </row>
    <row r="15" spans="1:41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11"/>
      <c r="M15" s="11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  <c r="AJ15" s="11"/>
      <c r="AK15" s="11"/>
      <c r="AL15" s="11"/>
      <c r="AM15" s="11"/>
      <c r="AN15" s="11"/>
      <c r="AO15" s="11"/>
    </row>
    <row r="16" spans="1:41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11"/>
      <c r="M16" s="11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  <c r="AJ16" s="11"/>
      <c r="AK16" s="11"/>
      <c r="AL16" s="11"/>
      <c r="AM16" s="11"/>
      <c r="AN16" s="11"/>
      <c r="AO16" s="11"/>
    </row>
    <row r="17" spans="1:41" hidden="1" outlineLevel="1" x14ac:dyDescent="0.25">
      <c r="A17" s="61" t="s">
        <v>2</v>
      </c>
      <c r="B17" s="62" t="str">
        <f>IF(_epmOfflineCondition_,"'Venue4'!$B$2:$B$10",_xll.EVRNG($B$2:$B$10))</f>
        <v>'Venue4'!$B$2:$B$10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11"/>
      <c r="M17" s="11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 t="str">
        <f>Z17</f>
        <v>ACTUAL_CON</v>
      </c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  <c r="AJ17" s="11"/>
      <c r="AK17" s="11"/>
      <c r="AL17" s="11"/>
      <c r="AM17" s="11"/>
      <c r="AN17" s="11"/>
      <c r="AO17" s="11"/>
    </row>
    <row r="18" spans="1:41" hidden="1" outlineLevel="1" x14ac:dyDescent="0.25">
      <c r="A18" s="61" t="s">
        <v>3</v>
      </c>
      <c r="B18" s="62" t="str">
        <f>IF(_epmOfflineCondition_,"'Venue4'!$O$16:$AN$18",_xll.EVRNG($O$16:$AN$18))</f>
        <v>'Venue4'!$O$16:$AN$18</v>
      </c>
      <c r="C18" s="11"/>
      <c r="D18" s="11"/>
      <c r="E18" s="11"/>
      <c r="F18" s="11"/>
      <c r="G18" s="11"/>
      <c r="H18" s="11"/>
      <c r="I18" s="55"/>
      <c r="J18" s="55"/>
      <c r="K18" s="11"/>
      <c r="L18" s="11"/>
      <c r="M18" s="11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11"/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  <c r="AJ18" s="11"/>
      <c r="AK18" s="11"/>
      <c r="AL18" s="11"/>
      <c r="AM18" s="11"/>
      <c r="AN18" s="11"/>
      <c r="AO18" s="11"/>
    </row>
    <row r="19" spans="1:41" hidden="1" outlineLevel="1" x14ac:dyDescent="0.25">
      <c r="A19" s="61" t="s">
        <v>4</v>
      </c>
      <c r="B19" s="62" t="str">
        <f>IF(_epmOfflineCondition_,"'Venue4'!$H$35:$H$58",_xll.EVRNG(H35:H58))</f>
        <v>'Venue4'!$H$35:$H$58</v>
      </c>
      <c r="C19" s="11"/>
      <c r="D19" s="11"/>
      <c r="E19" s="11"/>
      <c r="F19" s="11"/>
      <c r="G19" s="63" t="str">
        <f>$B$6</f>
        <v>D2145</v>
      </c>
      <c r="H19" s="63">
        <v>400000</v>
      </c>
      <c r="I19" s="64"/>
      <c r="J19" s="64"/>
      <c r="K19" s="63"/>
      <c r="L19" s="63"/>
      <c r="M19" s="63"/>
      <c r="N19" s="63" t="str">
        <f>IF(_epmOfflineCondition_,"Total Revenue",_xll.EVDES(H19))</f>
        <v>Total Revenue</v>
      </c>
      <c r="O19" s="65">
        <f>IF(_epmOfflineCondition_,0,_xll.EVGTS($B$1,1,$B$3,$B$5,$B$7,$B$9,O$16,O$17,O$18,$G$19,$H$19))</f>
        <v>0</v>
      </c>
      <c r="P19" s="65">
        <f>IF(_epmOfflineCondition_,0,_xll.EVGTS($B$1,1,$B$3,$B$5,$B$7,$B$9,P$16,P$17,P$18,$G$19,$H$19))</f>
        <v>0</v>
      </c>
      <c r="Q19" s="65">
        <f>IF(_epmOfflineCondition_,0,_xll.EVGTS($B$1,1,$B$3,$B$5,$B$7,$B$9,Q$16,Q$17,Q$18,$G$19,$H$19))</f>
        <v>0</v>
      </c>
      <c r="R19" s="65">
        <f>IF(_epmOfflineCondition_,0,_xll.EVGTS($B$1,1,$B$3,$B$5,$B$7,$B$9,R$16,R$17,R$18,$G$19,$H$19))</f>
        <v>0</v>
      </c>
      <c r="S19" s="65">
        <f>IF(_epmOfflineCondition_,0,_xll.EVGTS($B$1,1,$B$3,$B$5,$B$7,$B$9,S$16,S$17,S$18,$G$19,$H$19))</f>
        <v>0</v>
      </c>
      <c r="T19" s="65">
        <f>IF(_epmOfflineCondition_,0,_xll.EVGTS($B$1,1,$B$3,$B$5,$B$7,$B$9,T$16,T$17,T$18,$G$19,$H$19))</f>
        <v>0</v>
      </c>
      <c r="U19" s="65">
        <f>IF(_epmOfflineCondition_,0,_xll.EVGTS($B$1,1,$B$3,$B$5,$B$7,$B$9,U$16,U$17,U$18,$G$19,$H$19))</f>
        <v>0</v>
      </c>
      <c r="V19" s="65">
        <f>IF(_epmOfflineCondition_,0,_xll.EVGTS($B$1,1,$B$3,$B$5,$B$7,$B$9,V$16,V$17,V$18,$G$19,$H$19))</f>
        <v>0</v>
      </c>
      <c r="W19" s="65">
        <f>IF(_epmOfflineCondition_,0,_xll.EVGTS($B$1,1,$B$3,$B$5,$B$7,$B$9,W$16,W$17,W$18,$G$19,$H$19))</f>
        <v>0</v>
      </c>
      <c r="X19" s="65">
        <f>IF(_epmOfflineCondition_,0,_xll.EVGTS($B$1,1,$B$3,$B$5,$B$7,$B$9,X$16,X$17,X$18,$G$19,$H$19))</f>
        <v>0</v>
      </c>
      <c r="Y19" s="65">
        <f>IF(_epmOfflineCondition_,0,_xll.EVGTS($B$1,1,$B$3,$B$5,$B$7,$B$9,Y$16,Y$17,Y$18,$G$19,$H$19))</f>
        <v>0</v>
      </c>
      <c r="Z19" s="65">
        <f>IF(_epmOfflineCondition_,0,_xll.EVGTS($B$1,1,$B$3,$B$5,$B$7,$B$9,Z$16,Z$17,Z$18,$G$19,$H$19))</f>
        <v>0</v>
      </c>
      <c r="AA19" s="65">
        <f>SUM(O19:Z19)</f>
        <v>0</v>
      </c>
      <c r="AB19" s="63"/>
      <c r="AC19" s="63"/>
      <c r="AD19" s="65">
        <f>IF(_epmOfflineCondition_,0,_xll.EVGTS($B$1,1,$B$3,$B$5,$B$7,$B$9,AD$16,AD$17,AD$18,$G$19,$H$19))</f>
        <v>0</v>
      </c>
      <c r="AE19" s="63"/>
      <c r="AF19" s="63"/>
      <c r="AG19" s="65">
        <f>IF(_epmOfflineCondition_,0,_xll.EVGTS($B$1,1,$B$3,$B$5,$B$7,$B$9,AG$16,AG$17,AG$18,$G$19,$H$19))</f>
        <v>0</v>
      </c>
      <c r="AH19" s="63"/>
      <c r="AI19" s="63"/>
      <c r="AJ19" s="11"/>
      <c r="AK19" s="11"/>
      <c r="AL19" s="11"/>
      <c r="AM19" s="11"/>
      <c r="AN19" s="11"/>
      <c r="AO19" s="11"/>
    </row>
    <row r="20" spans="1:41" hidden="1" outlineLevel="1" x14ac:dyDescent="0.25">
      <c r="A20" s="61" t="s">
        <v>5</v>
      </c>
      <c r="B20" s="62"/>
      <c r="C20" s="11"/>
      <c r="D20" s="11"/>
      <c r="E20" s="11"/>
      <c r="F20" s="11"/>
      <c r="G20" s="63" t="str">
        <f>$B$6</f>
        <v>D2145</v>
      </c>
      <c r="H20" s="63">
        <v>946000</v>
      </c>
      <c r="I20" s="64"/>
      <c r="J20" s="64"/>
      <c r="K20" s="63"/>
      <c r="L20" s="64"/>
      <c r="M20" s="64"/>
      <c r="N20" s="63" t="str">
        <f>IF(_epmOfflineCondition_,"Total Customers",_xll.EVDES(H20))</f>
        <v>Total Customers</v>
      </c>
      <c r="O20" s="65">
        <f>IF(_epmOfflineCondition_,0,_xll.EVGTS($B$1,1,$B$3,$B$5,$B$7,$B$9,O$16,O$17,O$18,$G$20,$H$20))</f>
        <v>0</v>
      </c>
      <c r="P20" s="65">
        <f>IF(_epmOfflineCondition_,0,_xll.EVGTS($B$1,1,$B$3,$B$5,$B$7,$B$9,P$16,P$17,P$18,$G$20,$H$20))</f>
        <v>0</v>
      </c>
      <c r="Q20" s="65">
        <f>IF(_epmOfflineCondition_,0,_xll.EVGTS($B$1,1,$B$3,$B$5,$B$7,$B$9,Q$16,Q$17,Q$18,$G$20,$H$20))</f>
        <v>0</v>
      </c>
      <c r="R20" s="65">
        <f>IF(_epmOfflineCondition_,0,_xll.EVGTS($B$1,1,$B$3,$B$5,$B$7,$B$9,R$16,R$17,R$18,$G$20,$H$20))</f>
        <v>0</v>
      </c>
      <c r="S20" s="65">
        <f>IF(_epmOfflineCondition_,0,_xll.EVGTS($B$1,1,$B$3,$B$5,$B$7,$B$9,S$16,S$17,S$18,$G$20,$H$20))</f>
        <v>0</v>
      </c>
      <c r="T20" s="65">
        <f>IF(_epmOfflineCondition_,0,_xll.EVGTS($B$1,1,$B$3,$B$5,$B$7,$B$9,T$16,T$17,T$18,$G$20,$H$20))</f>
        <v>0</v>
      </c>
      <c r="U20" s="65">
        <f>IF(_epmOfflineCondition_,0,_xll.EVGTS($B$1,1,$B$3,$B$5,$B$7,$B$9,U$16,U$17,U$18,$G$20,$H$20))</f>
        <v>0</v>
      </c>
      <c r="V20" s="65">
        <f>IF(_epmOfflineCondition_,0,_xll.EVGTS($B$1,1,$B$3,$B$5,$B$7,$B$9,V$16,V$17,V$18,$G$20,$H$20))</f>
        <v>0</v>
      </c>
      <c r="W20" s="65">
        <f>IF(_epmOfflineCondition_,0,_xll.EVGTS($B$1,1,$B$3,$B$5,$B$7,$B$9,W$16,W$17,W$18,$G$20,$H$20))</f>
        <v>0</v>
      </c>
      <c r="X20" s="65">
        <f>IF(_epmOfflineCondition_,0,_xll.EVGTS($B$1,1,$B$3,$B$5,$B$7,$B$9,X$16,X$17,X$18,$G$20,$H$20))</f>
        <v>0</v>
      </c>
      <c r="Y20" s="65">
        <f>IF(_epmOfflineCondition_,0,_xll.EVGTS($B$1,1,$B$3,$B$5,$B$7,$B$9,Y$16,Y$17,Y$18,$G$20,$H$20))</f>
        <v>0</v>
      </c>
      <c r="Z20" s="65">
        <f>IF(_epmOfflineCondition_,0,_xll.EVGTS($B$1,1,$B$3,$B$5,$B$7,$B$9,Z$16,Z$17,Z$18,$G$20,$H$20))</f>
        <v>0</v>
      </c>
      <c r="AA20" s="65">
        <f>SUM(O20:Z20)</f>
        <v>0</v>
      </c>
      <c r="AB20" s="63"/>
      <c r="AC20" s="63"/>
      <c r="AD20" s="65">
        <f>IF(_epmOfflineCondition_,0,_xll.EVGTS($B$1,1,$B$3,$B$5,$B$7,$B$9,AD$16,AD$17,AD$18,$G$20,$H$20))</f>
        <v>0</v>
      </c>
      <c r="AE20" s="63"/>
      <c r="AF20" s="63"/>
      <c r="AG20" s="65">
        <f>IF(_epmOfflineCondition_,0,_xll.EVGTS($B$1,1,$B$3,$B$5,$B$7,$B$9,AG$16,AG$17,AG$18,$G$20,$H$20))</f>
        <v>0</v>
      </c>
      <c r="AH20" s="63"/>
      <c r="AI20" s="63"/>
      <c r="AJ20" s="11"/>
      <c r="AK20" s="11"/>
      <c r="AL20" s="11"/>
      <c r="AM20" s="11"/>
      <c r="AN20" s="11"/>
      <c r="AO20" s="11"/>
    </row>
    <row r="21" spans="1:41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idden="1" outlineLevel="1" x14ac:dyDescent="0.25">
      <c r="A22" s="61" t="s">
        <v>7</v>
      </c>
      <c r="B22" s="62" t="str">
        <f>IF(_epmOfflineCondition_,"'Venue4'!$A$36:$F$44",_xll.EVRNG(A36:F44))</f>
        <v>'Venue4'!$A$36:$F$44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idden="1" outlineLevel="1" x14ac:dyDescent="0.25">
      <c r="A23" s="61" t="s">
        <v>47</v>
      </c>
      <c r="B23" s="62" t="str">
        <f>IF(_epmOfflineCondition_,"'Venue4'!$A$125:$B$146",_xll.EVRNG($A$125:$B$146))</f>
        <v>'Venue4'!$A$125:$B$146</v>
      </c>
      <c r="C23" s="11"/>
      <c r="D23" s="11"/>
      <c r="E23" s="11"/>
      <c r="F23" s="11"/>
      <c r="G23" s="11"/>
      <c r="H23" s="11"/>
      <c r="I23" s="55"/>
      <c r="J23" s="55"/>
      <c r="K23" s="6"/>
      <c r="L23" s="6"/>
      <c r="M23" s="6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380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22.5" x14ac:dyDescent="0.3">
      <c r="A26" s="57" t="s">
        <v>9</v>
      </c>
      <c r="B26" s="58" t="s">
        <v>10</v>
      </c>
      <c r="C26" s="11"/>
      <c r="D26" s="11"/>
      <c r="E26" s="11"/>
      <c r="F26" s="11"/>
      <c r="G26" s="11"/>
      <c r="H26" s="11"/>
      <c r="I26" s="55"/>
      <c r="J26" s="55"/>
      <c r="K26" s="11"/>
      <c r="L26" s="11"/>
      <c r="M26" s="11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8" x14ac:dyDescent="0.25">
      <c r="A27" s="61" t="s">
        <v>11</v>
      </c>
      <c r="B27" s="62" t="s">
        <v>21</v>
      </c>
      <c r="C27" s="11"/>
      <c r="D27" s="11"/>
      <c r="E27" s="11"/>
      <c r="F27" s="11"/>
      <c r="G27" s="11"/>
      <c r="H27" s="11"/>
      <c r="I27" s="55"/>
      <c r="J27" s="55"/>
      <c r="K27" s="11"/>
      <c r="L27" s="11"/>
      <c r="M27" s="11"/>
      <c r="N27" s="67" t="str">
        <f>IF(_epmOfflineCondition_,"Venue 4 Department",IF($N$1="",IF(_xll.EVDES(B6,$B$1)="#NODATA","",_xll.EVDES(B6,$B$1)&amp;" Department"),$N$1))</f>
        <v>Venue 4 Department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x14ac:dyDescent="0.25">
      <c r="A28" s="61" t="s">
        <v>12</v>
      </c>
      <c r="B28" s="62" t="s">
        <v>22</v>
      </c>
      <c r="C28" s="11"/>
      <c r="D28" s="11"/>
      <c r="E28" s="11"/>
      <c r="F28" s="11"/>
      <c r="G28" s="11"/>
      <c r="H28" s="11"/>
      <c r="I28" s="55"/>
      <c r="J28" s="55"/>
      <c r="K28" s="11"/>
      <c r="L28" s="11"/>
      <c r="M28" s="11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" customHeight="1" x14ac:dyDescent="0.25">
      <c r="A29" s="61" t="s">
        <v>13</v>
      </c>
      <c r="B29" s="62" t="str">
        <f>"DEP(REV_F) AND "&amp;$E$6&amp;"=Y,REV_F,BEV,DEP(REV_BEV) AND "&amp;$E$6&amp;"=Y,REV_BEV,ALLOW_FB,REV_FB,OTHR_REV,DEP(REV_OTHR) AND "&amp;$E$6&amp;"=Y,REV_OTHR,400000"</f>
        <v>DEP(REV_F) AND D_VENUES=Y,REV_F,BEV,DEP(REV_BEV) AND D_VENUES=Y,REV_BEV,ALLOW_FB,REV_FB,OTHR_REV,DEP(REV_OTHR) AND D_VENUES=Y,REV_OTHR,400000</v>
      </c>
      <c r="C29" s="11"/>
      <c r="D29" s="11"/>
      <c r="E29" s="11"/>
      <c r="F29" s="11"/>
      <c r="G29" s="11"/>
      <c r="H29" s="11"/>
      <c r="I29" s="55"/>
      <c r="J29" s="55"/>
      <c r="K29" s="11"/>
      <c r="L29" s="11"/>
      <c r="M29" s="11"/>
      <c r="N29" s="68" t="str">
        <f>IF(_epmOfflineCondition_,"Local Currency",_xll.EVDES(B9,B1))</f>
        <v>Local Currency</v>
      </c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x14ac:dyDescent="0.25">
      <c r="A30" s="61" t="s">
        <v>14</v>
      </c>
      <c r="B30" s="62"/>
      <c r="C30" s="11"/>
      <c r="D30" s="11"/>
      <c r="E30" s="11"/>
      <c r="F30" s="11"/>
      <c r="G30" s="11"/>
      <c r="H30" s="11"/>
      <c r="I30" s="55"/>
      <c r="J30" s="55"/>
      <c r="K30" s="11"/>
      <c r="L30" s="11"/>
      <c r="M30" s="11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  <c r="AJ30" s="69" t="s">
        <v>752</v>
      </c>
      <c r="AK30" s="70"/>
      <c r="AL30" s="71"/>
      <c r="AM30" s="70" t="s">
        <v>751</v>
      </c>
      <c r="AN30" s="70"/>
      <c r="AO30" s="11"/>
    </row>
    <row r="31" spans="1:41" x14ac:dyDescent="0.25">
      <c r="A31" s="61" t="s">
        <v>15</v>
      </c>
      <c r="B31" s="62"/>
      <c r="C31" s="11"/>
      <c r="D31" s="11"/>
      <c r="E31" s="11"/>
      <c r="F31" s="11"/>
      <c r="G31" s="72"/>
      <c r="H31" s="11"/>
      <c r="I31" s="55"/>
      <c r="J31" s="55"/>
      <c r="K31" s="55"/>
      <c r="L31" s="55"/>
      <c r="M31" s="55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  <c r="AJ31" s="73" t="str">
        <f>IF(_epmOfflineCondition_,"2019",_xll.EVPRO($B$1,AA$16,"YEAR"))</f>
        <v>2019</v>
      </c>
      <c r="AK31" s="76" t="str">
        <f>IF(_epmOfflineCondition_,"2019",_xll.EVPRO($B$1,AD$16,"YEAR"))</f>
        <v>2019</v>
      </c>
      <c r="AL31" s="76" t="str">
        <f>IF(_epmOfflineCondition_,"2018",_xll.EVPRO($B$1,AG$16,"YEAR"))</f>
        <v>2018</v>
      </c>
      <c r="AM31" s="73" t="str">
        <f>"vs "&amp;AK31</f>
        <v>vs 2019</v>
      </c>
      <c r="AN31" s="73" t="str">
        <f>"vs "&amp;AL31</f>
        <v>vs 2018</v>
      </c>
      <c r="AO31" s="11"/>
    </row>
    <row r="32" spans="1:41" s="8" customFormat="1" ht="30" customHeight="1" x14ac:dyDescent="0.25">
      <c r="A32" s="77" t="s">
        <v>16</v>
      </c>
      <c r="B32" s="78"/>
      <c r="C32" s="79"/>
      <c r="D32" s="79"/>
      <c r="E32" s="79"/>
      <c r="F32" s="79"/>
      <c r="G32" s="359"/>
      <c r="H32" s="80"/>
      <c r="I32" s="81"/>
      <c r="J32" s="81"/>
      <c r="K32" s="174" t="s">
        <v>117</v>
      </c>
      <c r="L32" s="174"/>
      <c r="M32" s="174"/>
      <c r="N32" s="82" t="s">
        <v>120</v>
      </c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  <c r="AJ32" s="83" t="str">
        <f>Z32</f>
        <v>Actual</v>
      </c>
      <c r="AK32" s="76" t="str">
        <f>AD32</f>
        <v>Budget</v>
      </c>
      <c r="AL32" s="83" t="str">
        <f>AG32</f>
        <v>Actual</v>
      </c>
      <c r="AM32" s="73" t="s">
        <v>748</v>
      </c>
      <c r="AN32" s="73" t="s">
        <v>748</v>
      </c>
      <c r="AO32" s="79"/>
    </row>
    <row r="33" spans="1:41" x14ac:dyDescent="0.25">
      <c r="A33" s="61" t="s">
        <v>17</v>
      </c>
      <c r="B33" s="62"/>
      <c r="C33" s="11"/>
      <c r="D33" s="11"/>
      <c r="E33" s="11"/>
      <c r="F33" s="11"/>
      <c r="G33" s="11"/>
      <c r="H33" s="11" t="s">
        <v>69</v>
      </c>
      <c r="I33" s="55" t="str">
        <f>IF(_epmOfflineCondition_,"B1",_xll.EVPRO($B$1,$H33,"STYLE"))</f>
        <v>B1</v>
      </c>
      <c r="J33" s="55" t="str">
        <f>IF(_epmOfflineCondition_,"Y",_xll.EVPRO($B$1,$H33,"CALC"))</f>
        <v>Y</v>
      </c>
      <c r="K33" s="11"/>
      <c r="L33" s="11"/>
      <c r="M33" s="11"/>
      <c r="N33" s="101" t="str">
        <f>IF(_epmOfflineCondition_,"Revenues",IF(_xll.EVDES(H33,$B$1)="#NODATA","",_xll.EVDES(H33,$B$1)))</f>
        <v>Revenues</v>
      </c>
      <c r="O33" s="125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7"/>
      <c r="AC33" s="11"/>
      <c r="AD33" s="125"/>
      <c r="AE33" s="126"/>
      <c r="AF33" s="127"/>
      <c r="AG33" s="125"/>
      <c r="AH33" s="126"/>
      <c r="AI33" s="127"/>
      <c r="AJ33" s="11"/>
      <c r="AK33" s="11"/>
      <c r="AL33" s="11"/>
      <c r="AM33" s="11"/>
      <c r="AN33" s="11"/>
      <c r="AO33" s="11"/>
    </row>
    <row r="34" spans="1:41" x14ac:dyDescent="0.25">
      <c r="A34" s="11"/>
      <c r="B34" s="11"/>
      <c r="C34" s="11"/>
      <c r="D34" s="11"/>
      <c r="E34" s="11"/>
      <c r="F34" s="11"/>
      <c r="G34" s="11"/>
      <c r="H34" s="11" t="s">
        <v>259</v>
      </c>
      <c r="I34" s="55" t="str">
        <f>IF(_epmOfflineCondition_,"B1",_xll.EVPRO($B$1,$H34,"STYLE"))</f>
        <v>B1</v>
      </c>
      <c r="J34" s="55" t="str">
        <f>IF(_epmOfflineCondition_,"Y",_xll.EVPRO($B$1,$H34,"CALC"))</f>
        <v>Y</v>
      </c>
      <c r="K34" s="11"/>
      <c r="L34" s="129" t="s">
        <v>364</v>
      </c>
      <c r="M34" s="129" t="s">
        <v>783</v>
      </c>
      <c r="N34" s="49" t="str">
        <f>IF(_epmOfflineCondition_,"Food Revenue",IF(_xll.EVDES(H34,$B$1)="#NODATA","",_xll.EVDES(H34,$B$1)))</f>
        <v>Food Revenue</v>
      </c>
      <c r="O34" s="199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114"/>
      <c r="AC34" s="11"/>
      <c r="AD34" s="199"/>
      <c r="AE34" s="200"/>
      <c r="AF34" s="114"/>
      <c r="AG34" s="199"/>
      <c r="AH34" s="200"/>
      <c r="AI34" s="114"/>
      <c r="AJ34" s="11"/>
      <c r="AK34" s="11"/>
      <c r="AL34" s="11"/>
      <c r="AM34" s="11"/>
      <c r="AN34" s="11"/>
      <c r="AO34" s="11"/>
    </row>
    <row r="35" spans="1:41" x14ac:dyDescent="0.25">
      <c r="A35" s="93" t="s">
        <v>92</v>
      </c>
      <c r="B35" s="94" t="s">
        <v>93</v>
      </c>
      <c r="C35" s="94" t="s">
        <v>94</v>
      </c>
      <c r="D35" s="94" t="s">
        <v>95</v>
      </c>
      <c r="E35" s="94" t="s">
        <v>96</v>
      </c>
      <c r="F35" s="95" t="s">
        <v>97</v>
      </c>
      <c r="G35" s="11"/>
      <c r="H35" s="84" t="s">
        <v>260</v>
      </c>
      <c r="I35" s="118" t="str">
        <f>IF(_epmOfflineCondition_,"T5",_xll.EVPRO($B$1,$H35,"STYLE"))</f>
        <v>T5</v>
      </c>
      <c r="J35" s="118" t="str">
        <f>IF(_epmOfflineCondition_,"Y",_xll.EVPRO($B$1,$H35,"CALC"))</f>
        <v>Y</v>
      </c>
      <c r="K35" s="175" t="str">
        <f t="shared" ref="K35:K58" si="0">IF(AND(I35&gt;="T5"),"&gt;","")</f>
        <v>&gt;</v>
      </c>
      <c r="L35" s="86" t="str">
        <f>IF(_epmOfflineCondition_,"461100",_xll.EVPRO($B$1,H35,"JDEID"))</f>
        <v>461100</v>
      </c>
      <c r="M35" s="86" t="str">
        <f>IF(_epmOfflineCondition_,"",IF(AND(I35="N",J35="N"),_xll.EVPRO($B$1,H35,"PSFTID"),""))</f>
        <v/>
      </c>
      <c r="N35" s="86" t="str">
        <f>IF(_epmOfflineCondition_,"Breakfast Food",IF(_xll.EVDES(H35,$B$1)="#NODATA","",_xll.EVDES(H35,$B$1)))</f>
        <v>Breakfast Food</v>
      </c>
      <c r="O35" s="453"/>
      <c r="P35" s="223"/>
      <c r="Q35" s="223"/>
      <c r="R35" s="223"/>
      <c r="S35" s="223"/>
      <c r="T35" s="223"/>
      <c r="U35" s="223"/>
      <c r="V35" s="223"/>
      <c r="W35" s="223"/>
      <c r="X35" s="223"/>
      <c r="Y35" s="223"/>
      <c r="Z35" s="223"/>
      <c r="AA35" s="223">
        <f t="shared" ref="AA35:AA58" si="1">IF($I35="B1","",SUM(O35:Z35))</f>
        <v>0</v>
      </c>
      <c r="AB35" s="454" t="str">
        <f t="shared" ref="AB35:AB58" si="2">IF(AA35=0,"",IFERROR(AA35/AA$19,""))</f>
        <v/>
      </c>
      <c r="AC35" s="528"/>
      <c r="AD35" s="223"/>
      <c r="AE35" s="454" t="str">
        <f t="shared" ref="AE35:AE58" si="3">IF(AD35=0,"",IFERROR(AD35/AD$19,""))</f>
        <v/>
      </c>
      <c r="AF35" s="456">
        <f t="shared" ref="AF35:AF58" si="4">IF(AND($AA35="",AD35=""),"",$AA35-AD35)</f>
        <v>0</v>
      </c>
      <c r="AG35" s="223"/>
      <c r="AH35" s="454" t="str">
        <f t="shared" ref="AH35:AH58" si="5">IF(AG35=0,"",IFERROR(AG35/AG$19,""))</f>
        <v/>
      </c>
      <c r="AI35" s="457">
        <f t="shared" ref="AI35:AI58" si="6">IF(AND($AA35="",AG35=""),"",$AA35-AG35)</f>
        <v>0</v>
      </c>
      <c r="AJ35" s="458">
        <f t="shared" ref="AJ35:AJ58" si="7">IFERROR(AA35/AA$20,0)</f>
        <v>0</v>
      </c>
      <c r="AK35" s="459">
        <f t="shared" ref="AK35:AK58" si="8">IFERROR(AD35/AD$20,0)</f>
        <v>0</v>
      </c>
      <c r="AL35" s="460">
        <f t="shared" ref="AL35:AL58" si="9">IFERROR(AG35/AG$20,0)</f>
        <v>0</v>
      </c>
      <c r="AM35" s="461">
        <f t="shared" ref="AM35:AM58" si="10">+IFERROR(ROUND(($AB35-AE35)*100,2)&amp;" pts.",0)</f>
        <v>0</v>
      </c>
      <c r="AN35" s="462">
        <f t="shared" ref="AN35:AN58" si="11">+IFERROR(ROUND(($AB35-AH35)*100,2)&amp;" pts.",0)</f>
        <v>0</v>
      </c>
      <c r="AO35" s="11"/>
    </row>
    <row r="36" spans="1:41" x14ac:dyDescent="0.25">
      <c r="A36" s="11"/>
      <c r="B36" s="11"/>
      <c r="C36" s="11"/>
      <c r="D36" s="11"/>
      <c r="E36" s="11"/>
      <c r="F36" s="11"/>
      <c r="G36" s="11"/>
      <c r="H36" s="84" t="s">
        <v>261</v>
      </c>
      <c r="I36" s="118" t="str">
        <f>IF(_epmOfflineCondition_,"T5",_xll.EVPRO($B$1,$H36,"STYLE"))</f>
        <v>T5</v>
      </c>
      <c r="J36" s="118" t="str">
        <f>IF(_epmOfflineCondition_,"Y",_xll.EVPRO($B$1,$H36,"CALC"))</f>
        <v>Y</v>
      </c>
      <c r="K36" s="175" t="str">
        <f t="shared" si="0"/>
        <v>&gt;</v>
      </c>
      <c r="L36" s="86" t="str">
        <f>IF(_epmOfflineCondition_,"462100",_xll.EVPRO($B$1,H36,"JDEID"))</f>
        <v>462100</v>
      </c>
      <c r="M36" s="86" t="str">
        <f>IF(_epmOfflineCondition_,"",IF(AND(I36="N",J36="N"),_xll.EVPRO($B$1,H36,"PSFTID"),""))</f>
        <v/>
      </c>
      <c r="N36" s="86" t="str">
        <f>IF(_epmOfflineCondition_,"Lunch Food",IF(_xll.EVDES(H36,$B$1)="#NODATA","",_xll.EVDES(H36,$B$1)))</f>
        <v>Lunch Food</v>
      </c>
      <c r="O36" s="453"/>
      <c r="P36" s="223"/>
      <c r="Q36" s="223"/>
      <c r="R36" s="223"/>
      <c r="S36" s="223"/>
      <c r="T36" s="223"/>
      <c r="U36" s="223"/>
      <c r="V36" s="223"/>
      <c r="W36" s="223"/>
      <c r="X36" s="223"/>
      <c r="Y36" s="223"/>
      <c r="Z36" s="223"/>
      <c r="AA36" s="223">
        <f t="shared" si="1"/>
        <v>0</v>
      </c>
      <c r="AB36" s="454" t="str">
        <f t="shared" si="2"/>
        <v/>
      </c>
      <c r="AC36" s="528"/>
      <c r="AD36" s="223"/>
      <c r="AE36" s="454" t="str">
        <f t="shared" si="3"/>
        <v/>
      </c>
      <c r="AF36" s="456">
        <f t="shared" si="4"/>
        <v>0</v>
      </c>
      <c r="AG36" s="223"/>
      <c r="AH36" s="454" t="str">
        <f t="shared" si="5"/>
        <v/>
      </c>
      <c r="AI36" s="457">
        <f t="shared" si="6"/>
        <v>0</v>
      </c>
      <c r="AJ36" s="458">
        <f t="shared" si="7"/>
        <v>0</v>
      </c>
      <c r="AK36" s="459">
        <f t="shared" si="8"/>
        <v>0</v>
      </c>
      <c r="AL36" s="460">
        <f t="shared" si="9"/>
        <v>0</v>
      </c>
      <c r="AM36" s="461">
        <f t="shared" si="10"/>
        <v>0</v>
      </c>
      <c r="AN36" s="462">
        <f t="shared" si="11"/>
        <v>0</v>
      </c>
      <c r="AO36" s="11"/>
    </row>
    <row r="37" spans="1:41" x14ac:dyDescent="0.25">
      <c r="A37" s="11" t="s">
        <v>209</v>
      </c>
      <c r="B37" s="11" t="s">
        <v>21</v>
      </c>
      <c r="C37" s="391"/>
      <c r="D37" s="11" t="s">
        <v>590</v>
      </c>
      <c r="E37" s="11"/>
      <c r="F37" s="11" t="s">
        <v>99</v>
      </c>
      <c r="G37" s="11"/>
      <c r="H37" s="84" t="s">
        <v>262</v>
      </c>
      <c r="I37" s="118" t="str">
        <f>IF(_epmOfflineCondition_,"T5",_xll.EVPRO($B$1,$H37,"STYLE"))</f>
        <v>T5</v>
      </c>
      <c r="J37" s="118" t="str">
        <f>IF(_epmOfflineCondition_,"Y",_xll.EVPRO($B$1,$H37,"CALC"))</f>
        <v>Y</v>
      </c>
      <c r="K37" s="175" t="str">
        <f t="shared" si="0"/>
        <v>&gt;</v>
      </c>
      <c r="L37" s="86" t="str">
        <f>IF(_epmOfflineCondition_,"463100",_xll.EVPRO($B$1,H37,"JDEID"))</f>
        <v>463100</v>
      </c>
      <c r="M37" s="86" t="str">
        <f>IF(_epmOfflineCondition_,"",IF(AND(I37="N",J37="N"),_xll.EVPRO($B$1,H37,"PSFTID"),""))</f>
        <v/>
      </c>
      <c r="N37" s="86" t="str">
        <f>IF(_epmOfflineCondition_,"Dinner Food",IF(_xll.EVDES(H37,$B$1)="#NODATA","",_xll.EVDES(H37,$B$1)))</f>
        <v>Dinner Food</v>
      </c>
      <c r="O37" s="453"/>
      <c r="P37" s="223"/>
      <c r="Q37" s="223"/>
      <c r="R37" s="223"/>
      <c r="S37" s="223"/>
      <c r="T37" s="223"/>
      <c r="U37" s="223"/>
      <c r="V37" s="223"/>
      <c r="W37" s="223"/>
      <c r="X37" s="223"/>
      <c r="Y37" s="223"/>
      <c r="Z37" s="223"/>
      <c r="AA37" s="223">
        <f t="shared" si="1"/>
        <v>0</v>
      </c>
      <c r="AB37" s="454" t="str">
        <f t="shared" si="2"/>
        <v/>
      </c>
      <c r="AC37" s="528"/>
      <c r="AD37" s="223"/>
      <c r="AE37" s="454" t="str">
        <f t="shared" si="3"/>
        <v/>
      </c>
      <c r="AF37" s="456">
        <f t="shared" si="4"/>
        <v>0</v>
      </c>
      <c r="AG37" s="223"/>
      <c r="AH37" s="454" t="str">
        <f t="shared" si="5"/>
        <v/>
      </c>
      <c r="AI37" s="457">
        <f t="shared" si="6"/>
        <v>0</v>
      </c>
      <c r="AJ37" s="458">
        <f t="shared" si="7"/>
        <v>0</v>
      </c>
      <c r="AK37" s="459">
        <f t="shared" si="8"/>
        <v>0</v>
      </c>
      <c r="AL37" s="460">
        <f t="shared" si="9"/>
        <v>0</v>
      </c>
      <c r="AM37" s="461">
        <f t="shared" si="10"/>
        <v>0</v>
      </c>
      <c r="AN37" s="462">
        <f t="shared" si="11"/>
        <v>0</v>
      </c>
      <c r="AO37" s="11"/>
    </row>
    <row r="38" spans="1:41" x14ac:dyDescent="0.25">
      <c r="A38" s="11" t="s">
        <v>105</v>
      </c>
      <c r="B38" s="11"/>
      <c r="C38" s="100" t="s">
        <v>101</v>
      </c>
      <c r="D38" s="11" t="s">
        <v>106</v>
      </c>
      <c r="E38" s="11"/>
      <c r="F38" s="11" t="s">
        <v>98</v>
      </c>
      <c r="G38" s="11"/>
      <c r="H38" s="84" t="s">
        <v>263</v>
      </c>
      <c r="I38" s="118" t="str">
        <f>IF(_epmOfflineCondition_,"T5",_xll.EVPRO($B$1,$H38,"STYLE"))</f>
        <v>T5</v>
      </c>
      <c r="J38" s="118" t="str">
        <f>IF(_epmOfflineCondition_,"Y",_xll.EVPRO($B$1,$H38,"CALC"))</f>
        <v>Y</v>
      </c>
      <c r="K38" s="175" t="str">
        <f t="shared" si="0"/>
        <v>&gt;</v>
      </c>
      <c r="L38" s="86" t="str">
        <f>IF(_epmOfflineCondition_,"464100",_xll.EVPRO($B$1,H38,"JDEID"))</f>
        <v>464100</v>
      </c>
      <c r="M38" s="86" t="str">
        <f>IF(_epmOfflineCondition_,"",IF(AND(I38="N",J38="N"),_xll.EVPRO($B$1,H38,"PSFTID"),""))</f>
        <v/>
      </c>
      <c r="N38" s="86" t="str">
        <f>IF(_epmOfflineCondition_,"Bar Food",IF(_xll.EVDES(H38,$B$1)="#NODATA","",_xll.EVDES(H38,$B$1)))</f>
        <v>Bar Food</v>
      </c>
      <c r="O38" s="453"/>
      <c r="P38" s="223"/>
      <c r="Q38" s="223"/>
      <c r="R38" s="223"/>
      <c r="S38" s="223"/>
      <c r="T38" s="223"/>
      <c r="U38" s="223"/>
      <c r="V38" s="223"/>
      <c r="W38" s="223"/>
      <c r="X38" s="223"/>
      <c r="Y38" s="223"/>
      <c r="Z38" s="223"/>
      <c r="AA38" s="223">
        <f t="shared" si="1"/>
        <v>0</v>
      </c>
      <c r="AB38" s="454" t="str">
        <f t="shared" si="2"/>
        <v/>
      </c>
      <c r="AC38" s="528"/>
      <c r="AD38" s="223"/>
      <c r="AE38" s="454" t="str">
        <f t="shared" si="3"/>
        <v/>
      </c>
      <c r="AF38" s="456">
        <f t="shared" si="4"/>
        <v>0</v>
      </c>
      <c r="AG38" s="223"/>
      <c r="AH38" s="454" t="str">
        <f t="shared" si="5"/>
        <v/>
      </c>
      <c r="AI38" s="457">
        <f t="shared" si="6"/>
        <v>0</v>
      </c>
      <c r="AJ38" s="458">
        <f t="shared" si="7"/>
        <v>0</v>
      </c>
      <c r="AK38" s="459">
        <f t="shared" si="8"/>
        <v>0</v>
      </c>
      <c r="AL38" s="460">
        <f t="shared" si="9"/>
        <v>0</v>
      </c>
      <c r="AM38" s="461">
        <f t="shared" si="10"/>
        <v>0</v>
      </c>
      <c r="AN38" s="462">
        <f t="shared" si="11"/>
        <v>0</v>
      </c>
      <c r="AO38" s="11"/>
    </row>
    <row r="39" spans="1:41" x14ac:dyDescent="0.25">
      <c r="A39" s="11" t="s">
        <v>104</v>
      </c>
      <c r="B39" s="11"/>
      <c r="C39" s="100" t="s">
        <v>101</v>
      </c>
      <c r="D39" s="11" t="s">
        <v>106</v>
      </c>
      <c r="E39" s="11"/>
      <c r="F39" s="11" t="s">
        <v>98</v>
      </c>
      <c r="G39" s="11"/>
      <c r="H39" s="84" t="s">
        <v>264</v>
      </c>
      <c r="I39" s="118" t="str">
        <f>IF(_epmOfflineCondition_,"T5",_xll.EVPRO($B$1,$H39,"STYLE"))</f>
        <v>T5</v>
      </c>
      <c r="J39" s="118" t="str">
        <f>IF(_epmOfflineCondition_,"Y",_xll.EVPRO($B$1,$H39,"CALC"))</f>
        <v>Y</v>
      </c>
      <c r="K39" s="175" t="str">
        <f t="shared" si="0"/>
        <v>&gt;</v>
      </c>
      <c r="L39" s="86" t="str">
        <f>IF(_epmOfflineCondition_,"465100",_xll.EVPRO($B$1,H39,"JDEID"))</f>
        <v>465100</v>
      </c>
      <c r="M39" s="86" t="str">
        <f>IF(_epmOfflineCondition_,"",IF(AND(I39="N",J39="N"),_xll.EVPRO($B$1,H39,"PSFTID"),""))</f>
        <v/>
      </c>
      <c r="N39" s="86" t="str">
        <f>IF(_epmOfflineCondition_,"Private Dining Food",IF(_xll.EVDES(H39,$B$1)="#NODATA","",_xll.EVDES(H39,$B$1)))</f>
        <v>Private Dining Food</v>
      </c>
      <c r="O39" s="463"/>
      <c r="P39" s="229"/>
      <c r="Q39" s="229"/>
      <c r="R39" s="229"/>
      <c r="S39" s="229"/>
      <c r="T39" s="229"/>
      <c r="U39" s="229"/>
      <c r="V39" s="229"/>
      <c r="W39" s="229"/>
      <c r="X39" s="229"/>
      <c r="Y39" s="229"/>
      <c r="Z39" s="229"/>
      <c r="AA39" s="229">
        <f t="shared" si="1"/>
        <v>0</v>
      </c>
      <c r="AB39" s="464" t="str">
        <f t="shared" si="2"/>
        <v/>
      </c>
      <c r="AC39" s="455"/>
      <c r="AD39" s="229"/>
      <c r="AE39" s="464" t="str">
        <f t="shared" si="3"/>
        <v/>
      </c>
      <c r="AF39" s="465">
        <f t="shared" si="4"/>
        <v>0</v>
      </c>
      <c r="AG39" s="229"/>
      <c r="AH39" s="464" t="str">
        <f t="shared" si="5"/>
        <v/>
      </c>
      <c r="AI39" s="466">
        <f t="shared" si="6"/>
        <v>0</v>
      </c>
      <c r="AJ39" s="467">
        <f t="shared" si="7"/>
        <v>0</v>
      </c>
      <c r="AK39" s="468">
        <f t="shared" si="8"/>
        <v>0</v>
      </c>
      <c r="AL39" s="469">
        <f t="shared" si="9"/>
        <v>0</v>
      </c>
      <c r="AM39" s="470">
        <f t="shared" si="10"/>
        <v>0</v>
      </c>
      <c r="AN39" s="471">
        <f t="shared" si="11"/>
        <v>0</v>
      </c>
      <c r="AO39" s="11"/>
    </row>
    <row r="40" spans="1:41" x14ac:dyDescent="0.25">
      <c r="A40" s="11" t="s">
        <v>100</v>
      </c>
      <c r="B40" s="11"/>
      <c r="C40" s="49" t="s">
        <v>101</v>
      </c>
      <c r="D40" s="11" t="s">
        <v>106</v>
      </c>
      <c r="E40" s="11"/>
      <c r="F40" s="11" t="s">
        <v>98</v>
      </c>
      <c r="G40" s="11"/>
      <c r="H40" s="84" t="s">
        <v>265</v>
      </c>
      <c r="I40" s="184" t="str">
        <f>IF(_epmOfflineCondition_,"T4",_xll.EVPRO($B$1,$H40,"STYLE"))</f>
        <v>T4</v>
      </c>
      <c r="J40" s="184" t="str">
        <f>IF(_epmOfflineCondition_,"Y",_xll.EVPRO($B$1,$H40,"CALC"))</f>
        <v>Y</v>
      </c>
      <c r="K40" s="185" t="str">
        <f t="shared" si="0"/>
        <v/>
      </c>
      <c r="L40" s="186" t="str">
        <f>IF(_epmOfflineCondition_,"",_xll.EVPRO($B$1,H40,"JDEID"))</f>
        <v/>
      </c>
      <c r="M40" s="186" t="str">
        <f>IF(_epmOfflineCondition_,"",IF(AND(I40="N",J40="N"),_xll.EVPRO($B$1,H40,"PSFTID"),""))</f>
        <v/>
      </c>
      <c r="N40" s="186" t="str">
        <f>IF(_epmOfflineCondition_,"Total Food Revenue",IF(_xll.EVDES(H40,$B$1)="#NODATA","",_xll.EVDES(H40,$B$1)))</f>
        <v>Total Food Revenue</v>
      </c>
      <c r="O40" s="472"/>
      <c r="P40" s="236"/>
      <c r="Q40" s="236"/>
      <c r="R40" s="236"/>
      <c r="S40" s="236"/>
      <c r="T40" s="236"/>
      <c r="U40" s="236"/>
      <c r="V40" s="236"/>
      <c r="W40" s="236"/>
      <c r="X40" s="236"/>
      <c r="Y40" s="236"/>
      <c r="Z40" s="236"/>
      <c r="AA40" s="236">
        <f t="shared" si="1"/>
        <v>0</v>
      </c>
      <c r="AB40" s="237" t="str">
        <f t="shared" si="2"/>
        <v/>
      </c>
      <c r="AC40" s="238"/>
      <c r="AD40" s="236"/>
      <c r="AE40" s="237" t="str">
        <f t="shared" si="3"/>
        <v/>
      </c>
      <c r="AF40" s="239">
        <f t="shared" si="4"/>
        <v>0</v>
      </c>
      <c r="AG40" s="236"/>
      <c r="AH40" s="237" t="str">
        <f t="shared" si="5"/>
        <v/>
      </c>
      <c r="AI40" s="473">
        <f t="shared" si="6"/>
        <v>0</v>
      </c>
      <c r="AJ40" s="215">
        <f t="shared" si="7"/>
        <v>0</v>
      </c>
      <c r="AK40" s="216">
        <f t="shared" si="8"/>
        <v>0</v>
      </c>
      <c r="AL40" s="218">
        <f t="shared" si="9"/>
        <v>0</v>
      </c>
      <c r="AM40" s="423">
        <f t="shared" si="10"/>
        <v>0</v>
      </c>
      <c r="AN40" s="474">
        <f t="shared" si="11"/>
        <v>0</v>
      </c>
      <c r="AO40" s="11"/>
    </row>
    <row r="41" spans="1:41" x14ac:dyDescent="0.25">
      <c r="A41" s="11" t="s">
        <v>102</v>
      </c>
      <c r="B41" s="11"/>
      <c r="C41" s="102" t="s">
        <v>101</v>
      </c>
      <c r="D41" s="11" t="s">
        <v>106</v>
      </c>
      <c r="E41" s="11"/>
      <c r="F41" s="11" t="s">
        <v>98</v>
      </c>
      <c r="G41" s="11"/>
      <c r="H41" s="84" t="s">
        <v>266</v>
      </c>
      <c r="I41" s="184" t="str">
        <f>IF(_epmOfflineCondition_,"B1",_xll.EVPRO($B$1,$H41,"STYLE"))</f>
        <v>B1</v>
      </c>
      <c r="J41" s="184" t="str">
        <f>IF(_epmOfflineCondition_,"Y",_xll.EVPRO($B$1,$H41,"CALC"))</f>
        <v>Y</v>
      </c>
      <c r="K41" s="185" t="str">
        <f t="shared" si="0"/>
        <v/>
      </c>
      <c r="L41" s="186" t="str">
        <f>IF(_epmOfflineCondition_,"",_xll.EVPRO($B$1,H41,"JDEID"))</f>
        <v/>
      </c>
      <c r="M41" s="186" t="str">
        <f>IF(_epmOfflineCondition_,"",IF(AND(I41="N",J41="N"),_xll.EVPRO($B$1,H41,"PSFTID"),""))</f>
        <v/>
      </c>
      <c r="N41" s="186" t="str">
        <f>IF(_epmOfflineCondition_,"Beverage Revenue",IF(_xll.EVDES(H41,$B$1)="#NODATA","",_xll.EVDES(H41,$B$1)))</f>
        <v>Beverage Revenue</v>
      </c>
      <c r="O41" s="475"/>
      <c r="P41" s="241"/>
      <c r="Q41" s="241"/>
      <c r="R41" s="241"/>
      <c r="S41" s="241"/>
      <c r="T41" s="241"/>
      <c r="U41" s="241"/>
      <c r="V41" s="241"/>
      <c r="W41" s="241"/>
      <c r="X41" s="241"/>
      <c r="Y41" s="241"/>
      <c r="Z41" s="241"/>
      <c r="AA41" s="241" t="str">
        <f t="shared" si="1"/>
        <v/>
      </c>
      <c r="AB41" s="476" t="str">
        <f t="shared" si="2"/>
        <v/>
      </c>
      <c r="AC41" s="529"/>
      <c r="AD41" s="241"/>
      <c r="AE41" s="476" t="str">
        <f t="shared" si="3"/>
        <v/>
      </c>
      <c r="AF41" s="478" t="str">
        <f t="shared" si="4"/>
        <v/>
      </c>
      <c r="AG41" s="241"/>
      <c r="AH41" s="476" t="str">
        <f t="shared" si="5"/>
        <v/>
      </c>
      <c r="AI41" s="479" t="str">
        <f t="shared" si="6"/>
        <v/>
      </c>
      <c r="AJ41" s="244">
        <f t="shared" si="7"/>
        <v>0</v>
      </c>
      <c r="AK41" s="245">
        <f t="shared" si="8"/>
        <v>0</v>
      </c>
      <c r="AL41" s="247">
        <f t="shared" si="9"/>
        <v>0</v>
      </c>
      <c r="AM41" s="425">
        <f t="shared" si="10"/>
        <v>0</v>
      </c>
      <c r="AN41" s="480">
        <f t="shared" si="11"/>
        <v>0</v>
      </c>
      <c r="AO41" s="11"/>
    </row>
    <row r="42" spans="1:41" x14ac:dyDescent="0.25">
      <c r="A42" s="11" t="s">
        <v>102</v>
      </c>
      <c r="B42" s="11"/>
      <c r="C42" s="192" t="s">
        <v>101</v>
      </c>
      <c r="D42" s="11" t="s">
        <v>107</v>
      </c>
      <c r="E42" s="11"/>
      <c r="F42" s="11" t="s">
        <v>99</v>
      </c>
      <c r="G42" s="11"/>
      <c r="H42" s="84" t="s">
        <v>267</v>
      </c>
      <c r="I42" s="118" t="str">
        <f>IF(_epmOfflineCondition_,"T5",_xll.EVPRO($B$1,$H42,"STYLE"))</f>
        <v>T5</v>
      </c>
      <c r="J42" s="118" t="str">
        <f>IF(_epmOfflineCondition_,"Y",_xll.EVPRO($B$1,$H42,"CALC"))</f>
        <v>Y</v>
      </c>
      <c r="K42" s="175" t="str">
        <f t="shared" si="0"/>
        <v>&gt;</v>
      </c>
      <c r="L42" s="86" t="str">
        <f>IF(_epmOfflineCondition_,"",_xll.EVPRO($B$1,H42,"JDEID"))</f>
        <v/>
      </c>
      <c r="M42" s="86" t="str">
        <f>IF(_epmOfflineCondition_,"",IF(AND(I42="N",J42="N"),_xll.EVPRO($B$1,H42,"PSFTID"),""))</f>
        <v/>
      </c>
      <c r="N42" s="86" t="str">
        <f>IF(_epmOfflineCondition_,"Breakfast  Beverage Revenue",IF(_xll.EVDES(H42,$B$1)="#NODATA","",_xll.EVDES(H42,$B$1)))</f>
        <v>Breakfast  Beverage Revenue</v>
      </c>
      <c r="O42" s="453"/>
      <c r="P42" s="223"/>
      <c r="Q42" s="223"/>
      <c r="R42" s="223"/>
      <c r="S42" s="223"/>
      <c r="T42" s="223"/>
      <c r="U42" s="223"/>
      <c r="V42" s="223"/>
      <c r="W42" s="223"/>
      <c r="X42" s="223"/>
      <c r="Y42" s="223"/>
      <c r="Z42" s="223"/>
      <c r="AA42" s="223">
        <f t="shared" si="1"/>
        <v>0</v>
      </c>
      <c r="AB42" s="454" t="str">
        <f t="shared" si="2"/>
        <v/>
      </c>
      <c r="AC42" s="528"/>
      <c r="AD42" s="223"/>
      <c r="AE42" s="454" t="str">
        <f t="shared" si="3"/>
        <v/>
      </c>
      <c r="AF42" s="456">
        <f t="shared" si="4"/>
        <v>0</v>
      </c>
      <c r="AG42" s="223"/>
      <c r="AH42" s="454" t="str">
        <f t="shared" si="5"/>
        <v/>
      </c>
      <c r="AI42" s="457">
        <f t="shared" si="6"/>
        <v>0</v>
      </c>
      <c r="AJ42" s="458">
        <f t="shared" si="7"/>
        <v>0</v>
      </c>
      <c r="AK42" s="459">
        <f t="shared" si="8"/>
        <v>0</v>
      </c>
      <c r="AL42" s="460">
        <f t="shared" si="9"/>
        <v>0</v>
      </c>
      <c r="AM42" s="461">
        <f t="shared" si="10"/>
        <v>0</v>
      </c>
      <c r="AN42" s="462">
        <f t="shared" si="11"/>
        <v>0</v>
      </c>
      <c r="AO42" s="11"/>
    </row>
    <row r="43" spans="1:41" x14ac:dyDescent="0.25">
      <c r="A43" s="11" t="s">
        <v>108</v>
      </c>
      <c r="B43" s="11"/>
      <c r="C43" s="102" t="s">
        <v>101</v>
      </c>
      <c r="D43" s="11" t="s">
        <v>106</v>
      </c>
      <c r="E43" s="11"/>
      <c r="F43" s="11" t="s">
        <v>98</v>
      </c>
      <c r="G43" s="11"/>
      <c r="H43" s="84" t="s">
        <v>268</v>
      </c>
      <c r="I43" s="118" t="str">
        <f>IF(_epmOfflineCondition_,"T5",_xll.EVPRO($B$1,$H43,"STYLE"))</f>
        <v>T5</v>
      </c>
      <c r="J43" s="118" t="str">
        <f>IF(_epmOfflineCondition_,"Y",_xll.EVPRO($B$1,$H43,"CALC"))</f>
        <v>Y</v>
      </c>
      <c r="K43" s="175" t="str">
        <f t="shared" si="0"/>
        <v>&gt;</v>
      </c>
      <c r="L43" s="86" t="str">
        <f>IF(_epmOfflineCondition_,"",_xll.EVPRO($B$1,H43,"JDEID"))</f>
        <v/>
      </c>
      <c r="M43" s="86" t="str">
        <f>IF(_epmOfflineCondition_,"",IF(AND(I43="N",J43="N"),_xll.EVPRO($B$1,H43,"PSFTID"),""))</f>
        <v/>
      </c>
      <c r="N43" s="86" t="str">
        <f>IF(_epmOfflineCondition_,"Lunch Beverage Revenue",IF(_xll.EVDES(H43,$B$1)="#NODATA","",_xll.EVDES(H43,$B$1)))</f>
        <v>Lunch Beverage Revenue</v>
      </c>
      <c r="O43" s="453"/>
      <c r="P43" s="223"/>
      <c r="Q43" s="223"/>
      <c r="R43" s="223"/>
      <c r="S43" s="223"/>
      <c r="T43" s="223"/>
      <c r="U43" s="223"/>
      <c r="V43" s="223"/>
      <c r="W43" s="223"/>
      <c r="X43" s="223"/>
      <c r="Y43" s="223"/>
      <c r="Z43" s="223"/>
      <c r="AA43" s="223">
        <f t="shared" si="1"/>
        <v>0</v>
      </c>
      <c r="AB43" s="454" t="str">
        <f t="shared" si="2"/>
        <v/>
      </c>
      <c r="AC43" s="528"/>
      <c r="AD43" s="223"/>
      <c r="AE43" s="454" t="str">
        <f t="shared" si="3"/>
        <v/>
      </c>
      <c r="AF43" s="456">
        <f t="shared" si="4"/>
        <v>0</v>
      </c>
      <c r="AG43" s="223"/>
      <c r="AH43" s="454" t="str">
        <f t="shared" si="5"/>
        <v/>
      </c>
      <c r="AI43" s="457">
        <f t="shared" si="6"/>
        <v>0</v>
      </c>
      <c r="AJ43" s="458">
        <f t="shared" si="7"/>
        <v>0</v>
      </c>
      <c r="AK43" s="459">
        <f t="shared" si="8"/>
        <v>0</v>
      </c>
      <c r="AL43" s="460">
        <f t="shared" si="9"/>
        <v>0</v>
      </c>
      <c r="AM43" s="461">
        <f t="shared" si="10"/>
        <v>0</v>
      </c>
      <c r="AN43" s="462">
        <f t="shared" si="11"/>
        <v>0</v>
      </c>
      <c r="AO43" s="11"/>
    </row>
    <row r="44" spans="1:41" x14ac:dyDescent="0.25">
      <c r="A44" s="11" t="s">
        <v>108</v>
      </c>
      <c r="B44" s="11"/>
      <c r="C44" s="192" t="s">
        <v>101</v>
      </c>
      <c r="D44" s="11" t="s">
        <v>107</v>
      </c>
      <c r="E44" s="11"/>
      <c r="F44" s="11" t="s">
        <v>99</v>
      </c>
      <c r="G44" s="11"/>
      <c r="H44" s="84" t="s">
        <v>269</v>
      </c>
      <c r="I44" s="118" t="str">
        <f>IF(_epmOfflineCondition_,"T5",_xll.EVPRO($B$1,$H44,"STYLE"))</f>
        <v>T5</v>
      </c>
      <c r="J44" s="118" t="str">
        <f>IF(_epmOfflineCondition_,"Y",_xll.EVPRO($B$1,$H44,"CALC"))</f>
        <v>Y</v>
      </c>
      <c r="K44" s="175" t="str">
        <f t="shared" si="0"/>
        <v>&gt;</v>
      </c>
      <c r="L44" s="86" t="str">
        <f>IF(_epmOfflineCondition_,"",_xll.EVPRO($B$1,H44,"JDEID"))</f>
        <v/>
      </c>
      <c r="M44" s="86" t="str">
        <f>IF(_epmOfflineCondition_,"",IF(AND(I44="N",J44="N"),_xll.EVPRO($B$1,H44,"PSFTID"),""))</f>
        <v/>
      </c>
      <c r="N44" s="86" t="str">
        <f>IF(_epmOfflineCondition_,"Dinner Beverage Revenue",IF(_xll.EVDES(H44,$B$1)="#NODATA","",_xll.EVDES(H44,$B$1)))</f>
        <v>Dinner Beverage Revenue</v>
      </c>
      <c r="O44" s="453"/>
      <c r="P44" s="223"/>
      <c r="Q44" s="223"/>
      <c r="R44" s="223"/>
      <c r="S44" s="223"/>
      <c r="T44" s="223"/>
      <c r="U44" s="223"/>
      <c r="V44" s="223"/>
      <c r="W44" s="223"/>
      <c r="X44" s="223"/>
      <c r="Y44" s="223"/>
      <c r="Z44" s="223"/>
      <c r="AA44" s="223">
        <f t="shared" si="1"/>
        <v>0</v>
      </c>
      <c r="AB44" s="454" t="str">
        <f t="shared" si="2"/>
        <v/>
      </c>
      <c r="AC44" s="528"/>
      <c r="AD44" s="223"/>
      <c r="AE44" s="454" t="str">
        <f t="shared" si="3"/>
        <v/>
      </c>
      <c r="AF44" s="456">
        <f t="shared" si="4"/>
        <v>0</v>
      </c>
      <c r="AG44" s="223"/>
      <c r="AH44" s="454" t="str">
        <f t="shared" si="5"/>
        <v/>
      </c>
      <c r="AI44" s="457">
        <f t="shared" si="6"/>
        <v>0</v>
      </c>
      <c r="AJ44" s="458">
        <f t="shared" si="7"/>
        <v>0</v>
      </c>
      <c r="AK44" s="459">
        <f t="shared" si="8"/>
        <v>0</v>
      </c>
      <c r="AL44" s="460">
        <f t="shared" si="9"/>
        <v>0</v>
      </c>
      <c r="AM44" s="461">
        <f t="shared" si="10"/>
        <v>0</v>
      </c>
      <c r="AN44" s="462">
        <f t="shared" si="11"/>
        <v>0</v>
      </c>
      <c r="AO44" s="11"/>
    </row>
    <row r="45" spans="1:41" x14ac:dyDescent="0.25">
      <c r="A45" s="11"/>
      <c r="B45" s="11"/>
      <c r="C45" s="11"/>
      <c r="D45" s="11"/>
      <c r="E45" s="11"/>
      <c r="F45" s="11"/>
      <c r="G45" s="11"/>
      <c r="H45" s="84" t="s">
        <v>270</v>
      </c>
      <c r="I45" s="118" t="str">
        <f>IF(_epmOfflineCondition_,"T5",_xll.EVPRO($B$1,$H45,"STYLE"))</f>
        <v>T5</v>
      </c>
      <c r="J45" s="118" t="str">
        <f>IF(_epmOfflineCondition_,"Y",_xll.EVPRO($B$1,$H45,"CALC"))</f>
        <v>Y</v>
      </c>
      <c r="K45" s="175" t="str">
        <f t="shared" si="0"/>
        <v>&gt;</v>
      </c>
      <c r="L45" s="86" t="str">
        <f>IF(_epmOfflineCondition_,"",_xll.EVPRO($B$1,H45,"JDEID"))</f>
        <v/>
      </c>
      <c r="M45" s="86" t="str">
        <f>IF(_epmOfflineCondition_,"",IF(AND(I45="N",J45="N"),_xll.EVPRO($B$1,H45,"PSFTID"),""))</f>
        <v/>
      </c>
      <c r="N45" s="86" t="str">
        <f>IF(_epmOfflineCondition_,"Bar Beverage Revenue",IF(_xll.EVDES(H45,$B$1)="#NODATA","",_xll.EVDES(H45,$B$1)))</f>
        <v>Bar Beverage Revenue</v>
      </c>
      <c r="O45" s="453"/>
      <c r="P45" s="223"/>
      <c r="Q45" s="223"/>
      <c r="R45" s="223"/>
      <c r="S45" s="223"/>
      <c r="T45" s="223"/>
      <c r="U45" s="223"/>
      <c r="V45" s="223"/>
      <c r="W45" s="223"/>
      <c r="X45" s="223"/>
      <c r="Y45" s="223"/>
      <c r="Z45" s="223"/>
      <c r="AA45" s="223">
        <f t="shared" si="1"/>
        <v>0</v>
      </c>
      <c r="AB45" s="454" t="str">
        <f t="shared" si="2"/>
        <v/>
      </c>
      <c r="AC45" s="528"/>
      <c r="AD45" s="223"/>
      <c r="AE45" s="454" t="str">
        <f t="shared" si="3"/>
        <v/>
      </c>
      <c r="AF45" s="456">
        <f t="shared" si="4"/>
        <v>0</v>
      </c>
      <c r="AG45" s="223"/>
      <c r="AH45" s="454" t="str">
        <f t="shared" si="5"/>
        <v/>
      </c>
      <c r="AI45" s="457">
        <f t="shared" si="6"/>
        <v>0</v>
      </c>
      <c r="AJ45" s="458">
        <f t="shared" si="7"/>
        <v>0</v>
      </c>
      <c r="AK45" s="459">
        <f t="shared" si="8"/>
        <v>0</v>
      </c>
      <c r="AL45" s="460">
        <f t="shared" si="9"/>
        <v>0</v>
      </c>
      <c r="AM45" s="461">
        <f t="shared" si="10"/>
        <v>0</v>
      </c>
      <c r="AN45" s="462">
        <f t="shared" si="11"/>
        <v>0</v>
      </c>
      <c r="AO45" s="11"/>
    </row>
    <row r="46" spans="1:41" x14ac:dyDescent="0.25">
      <c r="A46" s="11"/>
      <c r="B46" s="11"/>
      <c r="C46" s="11"/>
      <c r="D46" s="11"/>
      <c r="E46" s="11"/>
      <c r="F46" s="11"/>
      <c r="G46" s="11"/>
      <c r="H46" s="84" t="s">
        <v>271</v>
      </c>
      <c r="I46" s="118" t="str">
        <f>IF(_epmOfflineCondition_,"T5",_xll.EVPRO($B$1,$H46,"STYLE"))</f>
        <v>T5</v>
      </c>
      <c r="J46" s="118" t="str">
        <f>IF(_epmOfflineCondition_,"Y",_xll.EVPRO($B$1,$H46,"CALC"))</f>
        <v>Y</v>
      </c>
      <c r="K46" s="175" t="str">
        <f t="shared" si="0"/>
        <v>&gt;</v>
      </c>
      <c r="L46" s="86" t="str">
        <f>IF(_epmOfflineCondition_,"",_xll.EVPRO($B$1,H46,"JDEID"))</f>
        <v/>
      </c>
      <c r="M46" s="86" t="str">
        <f>IF(_epmOfflineCondition_,"",IF(AND(I46="N",J46="N"),_xll.EVPRO($B$1,H46,"PSFTID"),""))</f>
        <v/>
      </c>
      <c r="N46" s="86" t="str">
        <f>IF(_epmOfflineCondition_,"Private Dining Beverage Revenue",IF(_xll.EVDES(H46,$B$1)="#NODATA","",_xll.EVDES(H46,$B$1)))</f>
        <v>Private Dining Beverage Revenue</v>
      </c>
      <c r="O46" s="463"/>
      <c r="P46" s="229"/>
      <c r="Q46" s="229"/>
      <c r="R46" s="229"/>
      <c r="S46" s="229"/>
      <c r="T46" s="229"/>
      <c r="U46" s="229"/>
      <c r="V46" s="229"/>
      <c r="W46" s="229"/>
      <c r="X46" s="229"/>
      <c r="Y46" s="229"/>
      <c r="Z46" s="229"/>
      <c r="AA46" s="229">
        <f t="shared" si="1"/>
        <v>0</v>
      </c>
      <c r="AB46" s="464" t="str">
        <f t="shared" si="2"/>
        <v/>
      </c>
      <c r="AC46" s="455"/>
      <c r="AD46" s="229"/>
      <c r="AE46" s="464" t="str">
        <f t="shared" si="3"/>
        <v/>
      </c>
      <c r="AF46" s="465">
        <f t="shared" si="4"/>
        <v>0</v>
      </c>
      <c r="AG46" s="229"/>
      <c r="AH46" s="464" t="str">
        <f t="shared" si="5"/>
        <v/>
      </c>
      <c r="AI46" s="466">
        <f t="shared" si="6"/>
        <v>0</v>
      </c>
      <c r="AJ46" s="467">
        <f t="shared" si="7"/>
        <v>0</v>
      </c>
      <c r="AK46" s="468">
        <f t="shared" si="8"/>
        <v>0</v>
      </c>
      <c r="AL46" s="469">
        <f t="shared" si="9"/>
        <v>0</v>
      </c>
      <c r="AM46" s="470">
        <f t="shared" si="10"/>
        <v>0</v>
      </c>
      <c r="AN46" s="471">
        <f t="shared" si="11"/>
        <v>0</v>
      </c>
      <c r="AO46" s="11"/>
    </row>
    <row r="47" spans="1:41" x14ac:dyDescent="0.25">
      <c r="A47" s="56" t="str">
        <f>IF(_epmOfflineCondition_,"Evdre:Ok",_xll.EVDRE($B$1,A50:B57,A60:B66))</f>
        <v>Evdre:Ok</v>
      </c>
      <c r="B47" s="11"/>
      <c r="C47" s="11"/>
      <c r="D47" s="11"/>
      <c r="E47" s="11"/>
      <c r="F47" s="11"/>
      <c r="G47" s="11"/>
      <c r="H47" s="84" t="s">
        <v>272</v>
      </c>
      <c r="I47" s="184" t="str">
        <f>IF(_epmOfflineCondition_,"T4",_xll.EVPRO($B$1,$H47,"STYLE"))</f>
        <v>T4</v>
      </c>
      <c r="J47" s="184" t="str">
        <f>IF(_epmOfflineCondition_,"Y",_xll.EVPRO($B$1,$H47,"CALC"))</f>
        <v>Y</v>
      </c>
      <c r="K47" s="185" t="str">
        <f t="shared" si="0"/>
        <v/>
      </c>
      <c r="L47" s="186" t="str">
        <f>IF(_epmOfflineCondition_,"",_xll.EVPRO($B$1,H47,"JDEID"))</f>
        <v/>
      </c>
      <c r="M47" s="186" t="str">
        <f>IF(_epmOfflineCondition_,"",IF(AND(I47="N",J47="N"),_xll.EVPRO($B$1,H47,"PSFTID"),""))</f>
        <v/>
      </c>
      <c r="N47" s="186" t="str">
        <f>IF(_epmOfflineCondition_,"Total Beverage Revenue",IF(_xll.EVDES(H47,$B$1)="#NODATA","",_xll.EVDES(H47,$B$1)))</f>
        <v>Total Beverage Revenue</v>
      </c>
      <c r="O47" s="472"/>
      <c r="P47" s="236"/>
      <c r="Q47" s="236"/>
      <c r="R47" s="236"/>
      <c r="S47" s="236"/>
      <c r="T47" s="236"/>
      <c r="U47" s="236"/>
      <c r="V47" s="236"/>
      <c r="W47" s="236"/>
      <c r="X47" s="236"/>
      <c r="Y47" s="236"/>
      <c r="Z47" s="236"/>
      <c r="AA47" s="236">
        <f t="shared" si="1"/>
        <v>0</v>
      </c>
      <c r="AB47" s="237" t="str">
        <f t="shared" si="2"/>
        <v/>
      </c>
      <c r="AC47" s="238"/>
      <c r="AD47" s="236"/>
      <c r="AE47" s="237" t="str">
        <f t="shared" si="3"/>
        <v/>
      </c>
      <c r="AF47" s="239">
        <f t="shared" si="4"/>
        <v>0</v>
      </c>
      <c r="AG47" s="236"/>
      <c r="AH47" s="237" t="str">
        <f t="shared" si="5"/>
        <v/>
      </c>
      <c r="AI47" s="473">
        <f t="shared" si="6"/>
        <v>0</v>
      </c>
      <c r="AJ47" s="215">
        <f t="shared" si="7"/>
        <v>0</v>
      </c>
      <c r="AK47" s="216">
        <f t="shared" si="8"/>
        <v>0</v>
      </c>
      <c r="AL47" s="218">
        <f t="shared" si="9"/>
        <v>0</v>
      </c>
      <c r="AM47" s="423">
        <f t="shared" si="10"/>
        <v>0</v>
      </c>
      <c r="AN47" s="474">
        <f t="shared" si="11"/>
        <v>0</v>
      </c>
      <c r="AO47" s="11"/>
    </row>
    <row r="48" spans="1:41" x14ac:dyDescent="0.25">
      <c r="A48" s="11"/>
      <c r="B48" s="11"/>
      <c r="C48" s="11"/>
      <c r="D48" s="11"/>
      <c r="E48" s="11"/>
      <c r="F48" s="11"/>
      <c r="G48" s="11"/>
      <c r="H48" s="84" t="s">
        <v>486</v>
      </c>
      <c r="I48" s="118" t="str">
        <f>IF(_epmOfflineCondition_,"T5",_xll.EVPRO($B$1,$H48,"STYLE"))</f>
        <v>T5</v>
      </c>
      <c r="J48" s="118" t="str">
        <f>IF(_epmOfflineCondition_,"Y",_xll.EVPRO($B$1,$H48,"CALC"))</f>
        <v>Y</v>
      </c>
      <c r="K48" s="175" t="str">
        <f t="shared" si="0"/>
        <v>&gt;</v>
      </c>
      <c r="L48" s="86" t="str">
        <f>IF(_epmOfflineCondition_,"",_xll.EVPRO($B$1,H48,"JDEID"))</f>
        <v/>
      </c>
      <c r="M48" s="86" t="str">
        <f>IF(_epmOfflineCondition_,"",IF(AND(I48="N",J48="N"),_xll.EVPRO($B$1,H48,"PSFTID"),""))</f>
        <v/>
      </c>
      <c r="N48" s="86" t="str">
        <f>IF(_epmOfflineCondition_,"Food &amp; Beverage: Allowances",IF(_xll.EVDES(H48,$B$1)="#NODATA","",_xll.EVDES(H48,$B$1)))</f>
        <v>Food &amp; Beverage: Allowances</v>
      </c>
      <c r="O48" s="530"/>
      <c r="P48" s="248"/>
      <c r="Q48" s="248"/>
      <c r="R48" s="248"/>
      <c r="S48" s="248"/>
      <c r="T48" s="248"/>
      <c r="U48" s="248"/>
      <c r="V48" s="248"/>
      <c r="W48" s="248"/>
      <c r="X48" s="248"/>
      <c r="Y48" s="248"/>
      <c r="Z48" s="248"/>
      <c r="AA48" s="248">
        <f t="shared" si="1"/>
        <v>0</v>
      </c>
      <c r="AB48" s="249" t="str">
        <f t="shared" si="2"/>
        <v/>
      </c>
      <c r="AC48" s="477"/>
      <c r="AD48" s="248"/>
      <c r="AE48" s="249" t="str">
        <f t="shared" si="3"/>
        <v/>
      </c>
      <c r="AF48" s="250">
        <f t="shared" si="4"/>
        <v>0</v>
      </c>
      <c r="AG48" s="248"/>
      <c r="AH48" s="249" t="str">
        <f t="shared" si="5"/>
        <v/>
      </c>
      <c r="AI48" s="531">
        <f t="shared" si="6"/>
        <v>0</v>
      </c>
      <c r="AJ48" s="532">
        <f t="shared" si="7"/>
        <v>0</v>
      </c>
      <c r="AK48" s="533">
        <f t="shared" si="8"/>
        <v>0</v>
      </c>
      <c r="AL48" s="534">
        <f t="shared" si="9"/>
        <v>0</v>
      </c>
      <c r="AM48" s="535">
        <f t="shared" si="10"/>
        <v>0</v>
      </c>
      <c r="AN48" s="536">
        <f t="shared" si="11"/>
        <v>0</v>
      </c>
      <c r="AO48" s="11"/>
    </row>
    <row r="49" spans="1:41" x14ac:dyDescent="0.25">
      <c r="A49" s="57" t="s">
        <v>0</v>
      </c>
      <c r="B49" s="58" t="s">
        <v>1</v>
      </c>
      <c r="C49" s="11"/>
      <c r="D49" s="11"/>
      <c r="E49" s="11"/>
      <c r="F49" s="11"/>
      <c r="G49" s="11"/>
      <c r="H49" s="84" t="s">
        <v>273</v>
      </c>
      <c r="I49" s="184" t="str">
        <f>IF(_epmOfflineCondition_,"T4",_xll.EVPRO($B$1,$H49,"STYLE"))</f>
        <v>T4</v>
      </c>
      <c r="J49" s="184" t="str">
        <f>IF(_epmOfflineCondition_,"Y",_xll.EVPRO($B$1,$H49,"CALC"))</f>
        <v>Y</v>
      </c>
      <c r="K49" s="185" t="str">
        <f t="shared" si="0"/>
        <v/>
      </c>
      <c r="L49" s="186" t="str">
        <f>IF(_epmOfflineCondition_,"",_xll.EVPRO($B$1,H49,"JDEID"))</f>
        <v/>
      </c>
      <c r="M49" s="186" t="str">
        <f>IF(_epmOfflineCondition_,"",IF(AND(I49="N",J49="N"),_xll.EVPRO($B$1,H49,"PSFTID"),""))</f>
        <v/>
      </c>
      <c r="N49" s="186" t="str">
        <f>IF(_epmOfflineCondition_,"Total Food &amp; Beverage Revenue",IF(_xll.EVDES(H49,$B$1)="#NODATA","",_xll.EVDES(H49,$B$1)))</f>
        <v>Total Food &amp; Beverage Revenue</v>
      </c>
      <c r="O49" s="472"/>
      <c r="P49" s="236"/>
      <c r="Q49" s="236"/>
      <c r="R49" s="236"/>
      <c r="S49" s="236"/>
      <c r="T49" s="236"/>
      <c r="U49" s="236"/>
      <c r="V49" s="236"/>
      <c r="W49" s="236"/>
      <c r="X49" s="236"/>
      <c r="Y49" s="236"/>
      <c r="Z49" s="236"/>
      <c r="AA49" s="236">
        <f t="shared" si="1"/>
        <v>0</v>
      </c>
      <c r="AB49" s="237" t="str">
        <f t="shared" si="2"/>
        <v/>
      </c>
      <c r="AC49" s="238"/>
      <c r="AD49" s="236"/>
      <c r="AE49" s="237" t="str">
        <f t="shared" si="3"/>
        <v/>
      </c>
      <c r="AF49" s="239">
        <f t="shared" si="4"/>
        <v>0</v>
      </c>
      <c r="AG49" s="236"/>
      <c r="AH49" s="237" t="str">
        <f t="shared" si="5"/>
        <v/>
      </c>
      <c r="AI49" s="473">
        <f t="shared" si="6"/>
        <v>0</v>
      </c>
      <c r="AJ49" s="215">
        <f t="shared" si="7"/>
        <v>0</v>
      </c>
      <c r="AK49" s="216">
        <f t="shared" si="8"/>
        <v>0</v>
      </c>
      <c r="AL49" s="218">
        <f t="shared" si="9"/>
        <v>0</v>
      </c>
      <c r="AM49" s="423">
        <f t="shared" si="10"/>
        <v>0</v>
      </c>
      <c r="AN49" s="474">
        <f t="shared" si="11"/>
        <v>0</v>
      </c>
      <c r="AO49" s="11"/>
    </row>
    <row r="50" spans="1:41" x14ac:dyDescent="0.25">
      <c r="A50" s="61" t="s">
        <v>2</v>
      </c>
      <c r="B50" s="62" t="str">
        <f>IF(_epmOfflineCondition_,"'Venue4'!$B$2:$B$10",_xll.EVRNG($B$2:$B$10))</f>
        <v>'Venue4'!$B$2:$B$10</v>
      </c>
      <c r="C50" s="11"/>
      <c r="D50" s="11"/>
      <c r="E50" s="11"/>
      <c r="F50" s="11"/>
      <c r="G50" s="11"/>
      <c r="H50" s="84" t="s">
        <v>279</v>
      </c>
      <c r="I50" s="184" t="str">
        <f>IF(_epmOfflineCondition_,"B1",_xll.EVPRO($B$1,$H50,"STYLE"))</f>
        <v>B1</v>
      </c>
      <c r="J50" s="184" t="str">
        <f>IF(_epmOfflineCondition_,"Y",_xll.EVPRO($B$1,$H50,"CALC"))</f>
        <v>Y</v>
      </c>
      <c r="K50" s="185" t="str">
        <f t="shared" si="0"/>
        <v/>
      </c>
      <c r="L50" s="186" t="str">
        <f>IF(_epmOfflineCondition_,"",_xll.EVPRO($B$1,H50,"JDEID"))</f>
        <v/>
      </c>
      <c r="M50" s="186" t="str">
        <f>IF(_epmOfflineCondition_,"",IF(AND(I50="N",J50="N"),_xll.EVPRO($B$1,H50,"PSFTID"),""))</f>
        <v/>
      </c>
      <c r="N50" s="186" t="str">
        <f>IF(_epmOfflineCondition_,"Other Revenue",IF(_xll.EVDES(H50,$B$1)="#NODATA","",_xll.EVDES(H50,$B$1)))</f>
        <v>Other Revenue</v>
      </c>
      <c r="O50" s="475"/>
      <c r="P50" s="241"/>
      <c r="Q50" s="241"/>
      <c r="R50" s="241"/>
      <c r="S50" s="241"/>
      <c r="T50" s="241"/>
      <c r="U50" s="241"/>
      <c r="V50" s="241"/>
      <c r="W50" s="241"/>
      <c r="X50" s="241"/>
      <c r="Y50" s="241"/>
      <c r="Z50" s="241"/>
      <c r="AA50" s="241" t="str">
        <f t="shared" si="1"/>
        <v/>
      </c>
      <c r="AB50" s="476" t="str">
        <f t="shared" si="2"/>
        <v/>
      </c>
      <c r="AC50" s="529"/>
      <c r="AD50" s="241"/>
      <c r="AE50" s="476" t="str">
        <f t="shared" si="3"/>
        <v/>
      </c>
      <c r="AF50" s="478" t="str">
        <f t="shared" si="4"/>
        <v/>
      </c>
      <c r="AG50" s="241"/>
      <c r="AH50" s="476" t="str">
        <f t="shared" si="5"/>
        <v/>
      </c>
      <c r="AI50" s="479" t="str">
        <f t="shared" si="6"/>
        <v/>
      </c>
      <c r="AJ50" s="244">
        <f t="shared" si="7"/>
        <v>0</v>
      </c>
      <c r="AK50" s="245">
        <f t="shared" si="8"/>
        <v>0</v>
      </c>
      <c r="AL50" s="247">
        <f t="shared" si="9"/>
        <v>0</v>
      </c>
      <c r="AM50" s="425">
        <f t="shared" si="10"/>
        <v>0</v>
      </c>
      <c r="AN50" s="480">
        <f t="shared" si="11"/>
        <v>0</v>
      </c>
      <c r="AO50" s="11"/>
    </row>
    <row r="51" spans="1:41" x14ac:dyDescent="0.25">
      <c r="A51" s="61" t="s">
        <v>3</v>
      </c>
      <c r="B51" s="62" t="str">
        <f>IF(_epmOfflineCondition_,"'Venue4'!$O$16:$AN$18",_xll.EVRNG($O$16:$AN$18))</f>
        <v>'Venue4'!$O$16:$AN$18</v>
      </c>
      <c r="C51" s="11"/>
      <c r="D51" s="11"/>
      <c r="E51" s="11"/>
      <c r="F51" s="11"/>
      <c r="G51" s="11"/>
      <c r="H51" s="84" t="s">
        <v>274</v>
      </c>
      <c r="I51" s="118" t="str">
        <f>IF(_epmOfflineCondition_,"T5",_xll.EVPRO($B$1,$H51,"STYLE"))</f>
        <v>T5</v>
      </c>
      <c r="J51" s="118" t="str">
        <f>IF(_epmOfflineCondition_,"Y",_xll.EVPRO($B$1,$H51,"CALC"))</f>
        <v>Y</v>
      </c>
      <c r="K51" s="175" t="str">
        <f t="shared" si="0"/>
        <v>&gt;</v>
      </c>
      <c r="L51" s="86" t="str">
        <f>IF(_epmOfflineCondition_,"468300",_xll.EVPRO($B$1,H51,"JDEID"))</f>
        <v>468300</v>
      </c>
      <c r="M51" s="86" t="str">
        <f>IF(_epmOfflineCondition_,"",IF(AND(I51="N",J51="N"),_xll.EVPRO($B$1,H51,"PSFTID"),""))</f>
        <v/>
      </c>
      <c r="N51" s="86" t="str">
        <f>IF(_epmOfflineCondition_,"Audio/Visual Rentals",IF(_xll.EVDES(H51,$B$1)="#NODATA","",_xll.EVDES(H51,$B$1)))</f>
        <v>Audio/Visual Rentals</v>
      </c>
      <c r="O51" s="453"/>
      <c r="P51" s="223"/>
      <c r="Q51" s="223"/>
      <c r="R51" s="223"/>
      <c r="S51" s="223"/>
      <c r="T51" s="223"/>
      <c r="U51" s="223"/>
      <c r="V51" s="223"/>
      <c r="W51" s="223"/>
      <c r="X51" s="223"/>
      <c r="Y51" s="223"/>
      <c r="Z51" s="223"/>
      <c r="AA51" s="223">
        <f t="shared" si="1"/>
        <v>0</v>
      </c>
      <c r="AB51" s="454" t="str">
        <f t="shared" si="2"/>
        <v/>
      </c>
      <c r="AC51" s="528"/>
      <c r="AD51" s="223"/>
      <c r="AE51" s="454" t="str">
        <f t="shared" si="3"/>
        <v/>
      </c>
      <c r="AF51" s="456">
        <f t="shared" si="4"/>
        <v>0</v>
      </c>
      <c r="AG51" s="223"/>
      <c r="AH51" s="454" t="str">
        <f t="shared" si="5"/>
        <v/>
      </c>
      <c r="AI51" s="457">
        <f t="shared" si="6"/>
        <v>0</v>
      </c>
      <c r="AJ51" s="458">
        <f t="shared" si="7"/>
        <v>0</v>
      </c>
      <c r="AK51" s="459">
        <f t="shared" si="8"/>
        <v>0</v>
      </c>
      <c r="AL51" s="460">
        <f t="shared" si="9"/>
        <v>0</v>
      </c>
      <c r="AM51" s="461">
        <f t="shared" si="10"/>
        <v>0</v>
      </c>
      <c r="AN51" s="462">
        <f t="shared" si="11"/>
        <v>0</v>
      </c>
      <c r="AO51" s="11"/>
    </row>
    <row r="52" spans="1:41" x14ac:dyDescent="0.25">
      <c r="A52" s="61" t="s">
        <v>4</v>
      </c>
      <c r="B52" s="62" t="str">
        <f>IF(_epmOfflineCondition_,"'Venue4'!$H$62:$H$70",_xll.EVRNG(H62:H70))</f>
        <v>'Venue4'!$H$62:$H$70</v>
      </c>
      <c r="C52" s="11"/>
      <c r="D52" s="11"/>
      <c r="E52" s="11"/>
      <c r="F52" s="11"/>
      <c r="G52" s="11"/>
      <c r="H52" s="84" t="s">
        <v>275</v>
      </c>
      <c r="I52" s="118" t="str">
        <f>IF(_epmOfflineCondition_,"T5",_xll.EVPRO($B$1,$H52,"STYLE"))</f>
        <v>T5</v>
      </c>
      <c r="J52" s="118" t="str">
        <f>IF(_epmOfflineCondition_,"Y",_xll.EVPRO($B$1,$H52,"CALC"))</f>
        <v>Y</v>
      </c>
      <c r="K52" s="175" t="str">
        <f t="shared" si="0"/>
        <v>&gt;</v>
      </c>
      <c r="L52" s="86" t="str">
        <f>IF(_epmOfflineCondition_,"468350",_xll.EVPRO($B$1,H52,"JDEID"))</f>
        <v>468350</v>
      </c>
      <c r="M52" s="86" t="str">
        <f>IF(_epmOfflineCondition_,"",IF(AND(I52="N",J52="N"),_xll.EVPRO($B$1,H52,"PSFTID"),""))</f>
        <v/>
      </c>
      <c r="N52" s="86" t="str">
        <f>IF(_epmOfflineCondition_,"Public Room Rental",IF(_xll.EVDES(H52,$B$1)="#NODATA","",_xll.EVDES(H52,$B$1)))</f>
        <v>Public Room Rental</v>
      </c>
      <c r="O52" s="453"/>
      <c r="P52" s="223"/>
      <c r="Q52" s="223"/>
      <c r="R52" s="223"/>
      <c r="S52" s="223"/>
      <c r="T52" s="223"/>
      <c r="U52" s="223"/>
      <c r="V52" s="223"/>
      <c r="W52" s="223"/>
      <c r="X52" s="223"/>
      <c r="Y52" s="223"/>
      <c r="Z52" s="223"/>
      <c r="AA52" s="223">
        <f t="shared" si="1"/>
        <v>0</v>
      </c>
      <c r="AB52" s="454" t="str">
        <f t="shared" si="2"/>
        <v/>
      </c>
      <c r="AC52" s="528"/>
      <c r="AD52" s="223"/>
      <c r="AE52" s="454" t="str">
        <f t="shared" si="3"/>
        <v/>
      </c>
      <c r="AF52" s="456">
        <f t="shared" si="4"/>
        <v>0</v>
      </c>
      <c r="AG52" s="223"/>
      <c r="AH52" s="454" t="str">
        <f t="shared" si="5"/>
        <v/>
      </c>
      <c r="AI52" s="457">
        <f t="shared" si="6"/>
        <v>0</v>
      </c>
      <c r="AJ52" s="458">
        <f t="shared" si="7"/>
        <v>0</v>
      </c>
      <c r="AK52" s="459">
        <f t="shared" si="8"/>
        <v>0</v>
      </c>
      <c r="AL52" s="460">
        <f t="shared" si="9"/>
        <v>0</v>
      </c>
      <c r="AM52" s="461">
        <f t="shared" si="10"/>
        <v>0</v>
      </c>
      <c r="AN52" s="462">
        <f t="shared" si="11"/>
        <v>0</v>
      </c>
      <c r="AO52" s="11"/>
    </row>
    <row r="53" spans="1:41" x14ac:dyDescent="0.25">
      <c r="A53" s="61" t="s">
        <v>5</v>
      </c>
      <c r="B53" s="62"/>
      <c r="C53" s="11"/>
      <c r="D53" s="11"/>
      <c r="E53" s="11"/>
      <c r="F53" s="380"/>
      <c r="G53" s="11"/>
      <c r="H53" s="84" t="s">
        <v>276</v>
      </c>
      <c r="I53" s="118" t="str">
        <f>IF(_epmOfflineCondition_,"T5",_xll.EVPRO($B$1,$H53,"STYLE"))</f>
        <v>T5</v>
      </c>
      <c r="J53" s="118" t="str">
        <f>IF(_epmOfflineCondition_,"Y",_xll.EVPRO($B$1,$H53,"CALC"))</f>
        <v>Y</v>
      </c>
      <c r="K53" s="175" t="str">
        <f t="shared" si="0"/>
        <v>&gt;</v>
      </c>
      <c r="L53" s="86" t="str">
        <f>IF(_epmOfflineCondition_,"468550",_xll.EVPRO($B$1,H53,"JDEID"))</f>
        <v>468550</v>
      </c>
      <c r="M53" s="86" t="str">
        <f>IF(_epmOfflineCondition_,"",IF(AND(I53="N",J53="N"),_xll.EVPRO($B$1,H53,"PSFTID"),""))</f>
        <v/>
      </c>
      <c r="N53" s="86" t="str">
        <f>IF(_epmOfflineCondition_,"Cover Charge",IF(_xll.EVDES(H53,$B$1)="#NODATA","",_xll.EVDES(H53,$B$1)))</f>
        <v>Cover Charge</v>
      </c>
      <c r="O53" s="453"/>
      <c r="P53" s="223"/>
      <c r="Q53" s="223"/>
      <c r="R53" s="223"/>
      <c r="S53" s="223"/>
      <c r="T53" s="223"/>
      <c r="U53" s="223"/>
      <c r="V53" s="223"/>
      <c r="W53" s="223"/>
      <c r="X53" s="223"/>
      <c r="Y53" s="223"/>
      <c r="Z53" s="223"/>
      <c r="AA53" s="223">
        <f t="shared" si="1"/>
        <v>0</v>
      </c>
      <c r="AB53" s="454" t="str">
        <f t="shared" si="2"/>
        <v/>
      </c>
      <c r="AC53" s="528"/>
      <c r="AD53" s="223"/>
      <c r="AE53" s="454" t="str">
        <f t="shared" si="3"/>
        <v/>
      </c>
      <c r="AF53" s="456">
        <f t="shared" si="4"/>
        <v>0</v>
      </c>
      <c r="AG53" s="223"/>
      <c r="AH53" s="454" t="str">
        <f t="shared" si="5"/>
        <v/>
      </c>
      <c r="AI53" s="457">
        <f t="shared" si="6"/>
        <v>0</v>
      </c>
      <c r="AJ53" s="458">
        <f t="shared" si="7"/>
        <v>0</v>
      </c>
      <c r="AK53" s="459">
        <f t="shared" si="8"/>
        <v>0</v>
      </c>
      <c r="AL53" s="460">
        <f t="shared" si="9"/>
        <v>0</v>
      </c>
      <c r="AM53" s="461">
        <f t="shared" si="10"/>
        <v>0</v>
      </c>
      <c r="AN53" s="462">
        <f t="shared" si="11"/>
        <v>0</v>
      </c>
      <c r="AO53" s="11"/>
    </row>
    <row r="54" spans="1:41" x14ac:dyDescent="0.25">
      <c r="A54" s="61" t="s">
        <v>6</v>
      </c>
      <c r="B54" s="62"/>
      <c r="C54" s="11"/>
      <c r="D54" s="11"/>
      <c r="E54" s="11"/>
      <c r="F54" s="380"/>
      <c r="G54" s="11"/>
      <c r="H54" s="84" t="s">
        <v>282</v>
      </c>
      <c r="I54" s="118" t="str">
        <f>IF(_epmOfflineCondition_,"T5",_xll.EVPRO($B$1,$H54,"STYLE"))</f>
        <v>T5</v>
      </c>
      <c r="J54" s="118" t="str">
        <f>IF(_epmOfflineCondition_,"Y",_xll.EVPRO($B$1,$H54,"CALC"))</f>
        <v>Y</v>
      </c>
      <c r="K54" s="175" t="str">
        <f t="shared" si="0"/>
        <v>&gt;</v>
      </c>
      <c r="L54" s="86" t="str">
        <f>IF(_epmOfflineCondition_,"",_xll.EVPRO($B$1,H54,"JDEID"))</f>
        <v/>
      </c>
      <c r="M54" s="86" t="str">
        <f>IF(_epmOfflineCondition_,"",IF(AND(I54="N",J54="N"),_xll.EVPRO($B$1,H54,"PSFTID"),""))</f>
        <v/>
      </c>
      <c r="N54" s="86" t="str">
        <f>IF(_epmOfflineCondition_,"Surcharges &amp; Services Charges",IF(_xll.EVDES(H54,$B$1)="#NODATA","",_xll.EVDES(H54,$B$1)))</f>
        <v>Surcharges &amp; Services Charges</v>
      </c>
      <c r="O54" s="453"/>
      <c r="P54" s="223"/>
      <c r="Q54" s="223"/>
      <c r="R54" s="223"/>
      <c r="S54" s="223"/>
      <c r="T54" s="223"/>
      <c r="U54" s="223"/>
      <c r="V54" s="223"/>
      <c r="W54" s="223"/>
      <c r="X54" s="223"/>
      <c r="Y54" s="223"/>
      <c r="Z54" s="223"/>
      <c r="AA54" s="223">
        <f t="shared" si="1"/>
        <v>0</v>
      </c>
      <c r="AB54" s="454" t="str">
        <f t="shared" si="2"/>
        <v/>
      </c>
      <c r="AC54" s="528"/>
      <c r="AD54" s="223"/>
      <c r="AE54" s="454" t="str">
        <f t="shared" si="3"/>
        <v/>
      </c>
      <c r="AF54" s="456">
        <f t="shared" si="4"/>
        <v>0</v>
      </c>
      <c r="AG54" s="223"/>
      <c r="AH54" s="454" t="str">
        <f t="shared" si="5"/>
        <v/>
      </c>
      <c r="AI54" s="457">
        <f t="shared" si="6"/>
        <v>0</v>
      </c>
      <c r="AJ54" s="458">
        <f t="shared" si="7"/>
        <v>0</v>
      </c>
      <c r="AK54" s="459">
        <f t="shared" si="8"/>
        <v>0</v>
      </c>
      <c r="AL54" s="460">
        <f t="shared" si="9"/>
        <v>0</v>
      </c>
      <c r="AM54" s="461">
        <f t="shared" si="10"/>
        <v>0</v>
      </c>
      <c r="AN54" s="462">
        <f t="shared" si="11"/>
        <v>0</v>
      </c>
      <c r="AO54" s="11"/>
    </row>
    <row r="55" spans="1:41" x14ac:dyDescent="0.25">
      <c r="A55" s="61" t="s">
        <v>7</v>
      </c>
      <c r="B55" s="62" t="str">
        <f>IF(_epmOfflineCondition_,"'Venue4'!$A$69:$F$77",_xll.EVRNG(A69:F77))</f>
        <v>'Venue4'!$A$69:$F$77</v>
      </c>
      <c r="C55" s="11"/>
      <c r="D55" s="11"/>
      <c r="E55" s="11"/>
      <c r="F55" s="380"/>
      <c r="G55" s="11"/>
      <c r="H55" s="84" t="s">
        <v>283</v>
      </c>
      <c r="I55" s="118" t="str">
        <f>IF(_epmOfflineCondition_,"T5",_xll.EVPRO($B$1,$H55,"STYLE"))</f>
        <v>T5</v>
      </c>
      <c r="J55" s="118" t="str">
        <f>IF(_epmOfflineCondition_,"Y",_xll.EVPRO($B$1,$H55,"CALC"))</f>
        <v>Y</v>
      </c>
      <c r="K55" s="175" t="str">
        <f t="shared" si="0"/>
        <v>&gt;</v>
      </c>
      <c r="L55" s="86" t="str">
        <f>IF(_epmOfflineCondition_,"",_xll.EVPRO($B$1,H55,"JDEID"))</f>
        <v/>
      </c>
      <c r="M55" s="86" t="str">
        <f>IF(_epmOfflineCondition_,"",IF(AND(I55="N",J55="N"),_xll.EVPRO($B$1,H55,"PSFTID"),""))</f>
        <v/>
      </c>
      <c r="N55" s="86" t="str">
        <f>IF(_epmOfflineCondition_,"Miscellaneous Other Revenue",IF(_xll.EVDES(H55,$B$1)="#NODATA","",_xll.EVDES(H55,$B$1)))</f>
        <v>Miscellaneous Other Revenue</v>
      </c>
      <c r="O55" s="453"/>
      <c r="P55" s="223"/>
      <c r="Q55" s="223"/>
      <c r="R55" s="223"/>
      <c r="S55" s="223"/>
      <c r="T55" s="223"/>
      <c r="U55" s="223"/>
      <c r="V55" s="223"/>
      <c r="W55" s="223"/>
      <c r="X55" s="223"/>
      <c r="Y55" s="223"/>
      <c r="Z55" s="223"/>
      <c r="AA55" s="223">
        <f t="shared" si="1"/>
        <v>0</v>
      </c>
      <c r="AB55" s="454" t="str">
        <f t="shared" si="2"/>
        <v/>
      </c>
      <c r="AC55" s="528"/>
      <c r="AD55" s="223"/>
      <c r="AE55" s="454" t="str">
        <f t="shared" si="3"/>
        <v/>
      </c>
      <c r="AF55" s="456">
        <f t="shared" si="4"/>
        <v>0</v>
      </c>
      <c r="AG55" s="223"/>
      <c r="AH55" s="454" t="str">
        <f t="shared" si="5"/>
        <v/>
      </c>
      <c r="AI55" s="457">
        <f t="shared" si="6"/>
        <v>0</v>
      </c>
      <c r="AJ55" s="458">
        <f t="shared" si="7"/>
        <v>0</v>
      </c>
      <c r="AK55" s="459">
        <f t="shared" si="8"/>
        <v>0</v>
      </c>
      <c r="AL55" s="460">
        <f t="shared" si="9"/>
        <v>0</v>
      </c>
      <c r="AM55" s="461">
        <f t="shared" si="10"/>
        <v>0</v>
      </c>
      <c r="AN55" s="462">
        <f t="shared" si="11"/>
        <v>0</v>
      </c>
      <c r="AO55" s="11"/>
    </row>
    <row r="56" spans="1:41" x14ac:dyDescent="0.25">
      <c r="A56" s="61" t="s">
        <v>47</v>
      </c>
      <c r="B56" s="62" t="str">
        <f>IF(_epmOfflineCondition_,"'Venue4'!$A$125:$B$146",_xll.EVRNG($A$125:$B$146))</f>
        <v>'Venue4'!$A$125:$B$146</v>
      </c>
      <c r="C56" s="11"/>
      <c r="D56" s="11"/>
      <c r="E56" s="11"/>
      <c r="F56" s="11"/>
      <c r="G56" s="11"/>
      <c r="H56" s="84" t="s">
        <v>473</v>
      </c>
      <c r="I56" s="118" t="str">
        <f>IF(_epmOfflineCondition_,"N",_xll.EVPRO($B$1,$H56,"STYLE"))</f>
        <v>N</v>
      </c>
      <c r="J56" s="118" t="str">
        <f>IF(_epmOfflineCondition_,"N",_xll.EVPRO($B$1,$H56,"CALC"))</f>
        <v>N</v>
      </c>
      <c r="K56" s="175" t="str">
        <f t="shared" si="0"/>
        <v/>
      </c>
      <c r="L56" s="86" t="str">
        <f>IF(_epmOfflineCondition_,"468990",_xll.EVPRO($B$1,H56,"JDEID"))</f>
        <v>468990</v>
      </c>
      <c r="M56" s="86" t="str">
        <f>IF(_epmOfflineCondition_,"206022",IF(AND(I56="N",J56="N"),_xll.EVPRO($B$1,H56,"PSFTID"),""))</f>
        <v>206022</v>
      </c>
      <c r="N56" s="86" t="str">
        <f>IF(_epmOfflineCondition_,"Other Revenue: Allowances",IF(_xll.EVDES(H56,$B$1)="#NODATA","",_xll.EVDES(H56,$B$1)))</f>
        <v>Other Revenue: Allowances</v>
      </c>
      <c r="O56" s="463"/>
      <c r="P56" s="229"/>
      <c r="Q56" s="229"/>
      <c r="R56" s="229"/>
      <c r="S56" s="229"/>
      <c r="T56" s="229"/>
      <c r="U56" s="229"/>
      <c r="V56" s="229"/>
      <c r="W56" s="229"/>
      <c r="X56" s="229"/>
      <c r="Y56" s="229"/>
      <c r="Z56" s="229"/>
      <c r="AA56" s="229">
        <f t="shared" si="1"/>
        <v>0</v>
      </c>
      <c r="AB56" s="464" t="str">
        <f t="shared" si="2"/>
        <v/>
      </c>
      <c r="AC56" s="455"/>
      <c r="AD56" s="229"/>
      <c r="AE56" s="464" t="str">
        <f t="shared" si="3"/>
        <v/>
      </c>
      <c r="AF56" s="465">
        <f t="shared" si="4"/>
        <v>0</v>
      </c>
      <c r="AG56" s="229"/>
      <c r="AH56" s="464" t="str">
        <f t="shared" si="5"/>
        <v/>
      </c>
      <c r="AI56" s="466">
        <f t="shared" si="6"/>
        <v>0</v>
      </c>
      <c r="AJ56" s="467">
        <f t="shared" si="7"/>
        <v>0</v>
      </c>
      <c r="AK56" s="468">
        <f t="shared" si="8"/>
        <v>0</v>
      </c>
      <c r="AL56" s="469">
        <f t="shared" si="9"/>
        <v>0</v>
      </c>
      <c r="AM56" s="470">
        <f t="shared" si="10"/>
        <v>0</v>
      </c>
      <c r="AN56" s="471">
        <f t="shared" si="11"/>
        <v>0</v>
      </c>
      <c r="AO56" s="11"/>
    </row>
    <row r="57" spans="1:41" x14ac:dyDescent="0.25">
      <c r="A57" s="61" t="s">
        <v>8</v>
      </c>
      <c r="B57" s="62"/>
      <c r="C57" s="11"/>
      <c r="D57" s="11"/>
      <c r="E57" s="11"/>
      <c r="F57" s="11"/>
      <c r="G57" s="11"/>
      <c r="H57" s="84" t="s">
        <v>277</v>
      </c>
      <c r="I57" s="184" t="str">
        <f>IF(_epmOfflineCondition_,"T4",_xll.EVPRO($B$1,$H57,"STYLE"))</f>
        <v>T4</v>
      </c>
      <c r="J57" s="184" t="str">
        <f>IF(_epmOfflineCondition_,"Y",_xll.EVPRO($B$1,$H57,"CALC"))</f>
        <v>Y</v>
      </c>
      <c r="K57" s="185" t="str">
        <f t="shared" si="0"/>
        <v/>
      </c>
      <c r="L57" s="186" t="str">
        <f>IF(_epmOfflineCondition_,"",_xll.EVPRO($B$1,H57,"JDEID"))</f>
        <v/>
      </c>
      <c r="M57" s="186" t="str">
        <f>IF(_epmOfflineCondition_,"",IF(AND(I57="N",J57="N"),_xll.EVPRO($B$1,H57,"PSFTID"),""))</f>
        <v/>
      </c>
      <c r="N57" s="186" t="str">
        <f>IF(_epmOfflineCondition_,"Total Other Revenue",IF(_xll.EVDES(H57,$B$1)="#NODATA","",_xll.EVDES(H57,$B$1)))</f>
        <v>Total Other Revenue</v>
      </c>
      <c r="O57" s="481"/>
      <c r="P57" s="210"/>
      <c r="Q57" s="210"/>
      <c r="R57" s="210"/>
      <c r="S57" s="210"/>
      <c r="T57" s="210"/>
      <c r="U57" s="210"/>
      <c r="V57" s="210"/>
      <c r="W57" s="210"/>
      <c r="X57" s="210"/>
      <c r="Y57" s="210"/>
      <c r="Z57" s="210"/>
      <c r="AA57" s="210">
        <f t="shared" si="1"/>
        <v>0</v>
      </c>
      <c r="AB57" s="211" t="str">
        <f t="shared" si="2"/>
        <v/>
      </c>
      <c r="AC57" s="251"/>
      <c r="AD57" s="210"/>
      <c r="AE57" s="211" t="str">
        <f t="shared" si="3"/>
        <v/>
      </c>
      <c r="AF57" s="252">
        <f t="shared" si="4"/>
        <v>0</v>
      </c>
      <c r="AG57" s="210"/>
      <c r="AH57" s="211" t="str">
        <f t="shared" si="5"/>
        <v/>
      </c>
      <c r="AI57" s="482">
        <f t="shared" si="6"/>
        <v>0</v>
      </c>
      <c r="AJ57" s="253">
        <f t="shared" si="7"/>
        <v>0</v>
      </c>
      <c r="AK57" s="254">
        <f t="shared" si="8"/>
        <v>0</v>
      </c>
      <c r="AL57" s="256">
        <f t="shared" si="9"/>
        <v>0</v>
      </c>
      <c r="AM57" s="427">
        <f t="shared" si="10"/>
        <v>0</v>
      </c>
      <c r="AN57" s="483">
        <f t="shared" si="11"/>
        <v>0</v>
      </c>
      <c r="AO57" s="11"/>
    </row>
    <row r="58" spans="1:41" x14ac:dyDescent="0.25">
      <c r="A58" s="11"/>
      <c r="B58" s="11"/>
      <c r="C58" s="11"/>
      <c r="D58" s="11"/>
      <c r="E58" s="11"/>
      <c r="F58" s="11"/>
      <c r="G58" s="72"/>
      <c r="H58" s="84" t="s">
        <v>280</v>
      </c>
      <c r="I58" s="184" t="str">
        <f>IF(_epmOfflineCondition_,"T3",_xll.EVPRO($B$1,$H58,"STYLE"))</f>
        <v>T3</v>
      </c>
      <c r="J58" s="184" t="str">
        <f>IF(_epmOfflineCondition_,"Y",_xll.EVPRO($B$1,$H58,"CALC"))</f>
        <v>Y</v>
      </c>
      <c r="K58" s="185" t="str">
        <f t="shared" si="0"/>
        <v/>
      </c>
      <c r="L58" s="186" t="str">
        <f>IF(_epmOfflineCondition_,"400000",_xll.EVPRO($B$1,H58,"JDEID"))</f>
        <v>400000</v>
      </c>
      <c r="M58" s="186" t="str">
        <f>IF(_epmOfflineCondition_,"",IF(AND(I58="N",J58="N"),_xll.EVPRO($B$1,H58,"PSFTID"),""))</f>
        <v/>
      </c>
      <c r="N58" s="186" t="str">
        <f>IF(_epmOfflineCondition_,"Total Revenue",IF(_xll.EVDES(H58,$B$1)="#NODATA","",_xll.EVDES(H58,$B$1)))</f>
        <v>Total Revenue</v>
      </c>
      <c r="O58" s="472"/>
      <c r="P58" s="236"/>
      <c r="Q58" s="236"/>
      <c r="R58" s="236"/>
      <c r="S58" s="236"/>
      <c r="T58" s="236"/>
      <c r="U58" s="236"/>
      <c r="V58" s="236"/>
      <c r="W58" s="236"/>
      <c r="X58" s="236"/>
      <c r="Y58" s="236"/>
      <c r="Z58" s="236"/>
      <c r="AA58" s="236">
        <f t="shared" si="1"/>
        <v>0</v>
      </c>
      <c r="AB58" s="237" t="str">
        <f t="shared" si="2"/>
        <v/>
      </c>
      <c r="AC58" s="238"/>
      <c r="AD58" s="236"/>
      <c r="AE58" s="237" t="str">
        <f t="shared" si="3"/>
        <v/>
      </c>
      <c r="AF58" s="239">
        <f t="shared" si="4"/>
        <v>0</v>
      </c>
      <c r="AG58" s="236"/>
      <c r="AH58" s="237" t="str">
        <f t="shared" si="5"/>
        <v/>
      </c>
      <c r="AI58" s="473">
        <f t="shared" si="6"/>
        <v>0</v>
      </c>
      <c r="AJ58" s="215">
        <f t="shared" si="7"/>
        <v>0</v>
      </c>
      <c r="AK58" s="216">
        <f t="shared" si="8"/>
        <v>0</v>
      </c>
      <c r="AL58" s="218">
        <f t="shared" si="9"/>
        <v>0</v>
      </c>
      <c r="AM58" s="423">
        <f t="shared" si="10"/>
        <v>0</v>
      </c>
      <c r="AN58" s="474">
        <f t="shared" si="11"/>
        <v>0</v>
      </c>
      <c r="AO58" s="11"/>
    </row>
    <row r="59" spans="1:41" x14ac:dyDescent="0.25">
      <c r="A59" s="57" t="s">
        <v>9</v>
      </c>
      <c r="B59" s="58" t="s">
        <v>10</v>
      </c>
      <c r="C59" s="11"/>
      <c r="D59" s="11"/>
      <c r="E59" s="11"/>
      <c r="F59" s="11"/>
      <c r="G59" s="11"/>
      <c r="H59" s="11"/>
      <c r="I59" s="55"/>
      <c r="J59" s="55"/>
      <c r="K59" s="11"/>
      <c r="L59" s="11"/>
      <c r="M59" s="11"/>
      <c r="N59" s="11"/>
      <c r="O59" s="199"/>
      <c r="P59" s="200"/>
      <c r="Q59" s="200"/>
      <c r="R59" s="200"/>
      <c r="S59" s="200"/>
      <c r="T59" s="200"/>
      <c r="U59" s="200"/>
      <c r="V59" s="200"/>
      <c r="W59" s="200"/>
      <c r="X59" s="200"/>
      <c r="Y59" s="200"/>
      <c r="Z59" s="200"/>
      <c r="AA59" s="200"/>
      <c r="AB59" s="114"/>
      <c r="AC59" s="11"/>
      <c r="AD59" s="199"/>
      <c r="AE59" s="200"/>
      <c r="AF59" s="114"/>
      <c r="AG59" s="199"/>
      <c r="AH59" s="200"/>
      <c r="AI59" s="114"/>
      <c r="AJ59" s="11"/>
      <c r="AK59" s="11"/>
      <c r="AL59" s="11"/>
      <c r="AM59" s="11"/>
      <c r="AN59" s="11"/>
      <c r="AO59" s="11"/>
    </row>
    <row r="60" spans="1:41" x14ac:dyDescent="0.25">
      <c r="A60" s="61" t="s">
        <v>11</v>
      </c>
      <c r="B60" s="62" t="s">
        <v>21</v>
      </c>
      <c r="C60" s="11"/>
      <c r="D60" s="11"/>
      <c r="E60" s="11"/>
      <c r="F60" s="11"/>
      <c r="G60" s="11"/>
      <c r="H60" s="11" t="s">
        <v>281</v>
      </c>
      <c r="I60" s="55" t="str">
        <f>IF(_epmOfflineCondition_,"B1",_xll.EVPRO($B$1,$H60,"STYLE"))</f>
        <v>B1</v>
      </c>
      <c r="J60" s="55" t="str">
        <f>IF(_epmOfflineCondition_,"Y",_xll.EVPRO($B$1,$H60,"CALC"))</f>
        <v>Y</v>
      </c>
      <c r="K60" s="11"/>
      <c r="L60" s="11"/>
      <c r="M60" s="11"/>
      <c r="N60" s="101" t="str">
        <f>IF(_epmOfflineCondition_,"Cost of Sales",IF(_xll.EVDES(H60,$B$1)="#NODATA","",_xll.EVDES(H60,$B$1)))</f>
        <v>Cost of Sales</v>
      </c>
      <c r="O60" s="199"/>
      <c r="P60" s="200"/>
      <c r="Q60" s="200"/>
      <c r="R60" s="200"/>
      <c r="S60" s="200"/>
      <c r="T60" s="200"/>
      <c r="U60" s="200"/>
      <c r="V60" s="200"/>
      <c r="W60" s="200"/>
      <c r="X60" s="200"/>
      <c r="Y60" s="200"/>
      <c r="Z60" s="200"/>
      <c r="AA60" s="200"/>
      <c r="AB60" s="114"/>
      <c r="AC60" s="11"/>
      <c r="AD60" s="199"/>
      <c r="AE60" s="200"/>
      <c r="AF60" s="114"/>
      <c r="AG60" s="199"/>
      <c r="AH60" s="200"/>
      <c r="AI60" s="114"/>
      <c r="AJ60" s="11"/>
      <c r="AK60" s="11"/>
      <c r="AL60" s="11"/>
      <c r="AM60" s="11"/>
      <c r="AN60" s="11"/>
      <c r="AO60" s="11"/>
    </row>
    <row r="61" spans="1:41" x14ac:dyDescent="0.25">
      <c r="A61" s="61" t="s">
        <v>12</v>
      </c>
      <c r="B61" s="62" t="s">
        <v>22</v>
      </c>
      <c r="C61" s="11"/>
      <c r="D61" s="11"/>
      <c r="E61" s="11"/>
      <c r="F61" s="11"/>
      <c r="G61" s="11"/>
      <c r="H61" s="11" t="s">
        <v>284</v>
      </c>
      <c r="I61" s="55" t="str">
        <f>IF(_epmOfflineCondition_,"B1",_xll.EVPRO($B$1,$H61,"STYLE"))</f>
        <v>B1</v>
      </c>
      <c r="J61" s="55" t="str">
        <f>IF(_epmOfflineCondition_,"Y",_xll.EVPRO($B$1,$H61,"CALC"))</f>
        <v>Y</v>
      </c>
      <c r="K61" s="11"/>
      <c r="L61" s="11"/>
      <c r="M61" s="11"/>
      <c r="N61" s="49" t="str">
        <f>IF(_epmOfflineCondition_,"Cost of Food &amp; Beverage Sales",IF(_xll.EVDES(H61,$B$1)="#NODATA","",_xll.EVDES(H61,$B$1)))</f>
        <v>Cost of Food &amp; Beverage Sales</v>
      </c>
      <c r="O61" s="199"/>
      <c r="P61" s="200"/>
      <c r="Q61" s="200"/>
      <c r="R61" s="200"/>
      <c r="S61" s="200"/>
      <c r="T61" s="200"/>
      <c r="U61" s="200"/>
      <c r="V61" s="200"/>
      <c r="W61" s="200"/>
      <c r="X61" s="200"/>
      <c r="Y61" s="200"/>
      <c r="Z61" s="200"/>
      <c r="AA61" s="200"/>
      <c r="AB61" s="114"/>
      <c r="AC61" s="11"/>
      <c r="AD61" s="199"/>
      <c r="AE61" s="200"/>
      <c r="AF61" s="114"/>
      <c r="AG61" s="199"/>
      <c r="AH61" s="200"/>
      <c r="AI61" s="114"/>
      <c r="AJ61" s="11"/>
      <c r="AK61" s="11"/>
      <c r="AL61" s="11"/>
      <c r="AM61" s="11"/>
      <c r="AN61" s="11"/>
      <c r="AO61" s="11"/>
    </row>
    <row r="62" spans="1:41" x14ac:dyDescent="0.25">
      <c r="A62" s="61" t="s">
        <v>13</v>
      </c>
      <c r="B62" s="62" t="str">
        <f>"DEP(COS_FB) AND "&amp;$E$6&amp;"=Y,COS_FB,COSOTH,DEP(COS_OTHR) AND "&amp;$E$6&amp;"=Y,COS_OTHR,500001"</f>
        <v>DEP(COS_FB) AND D_VENUES=Y,COS_FB,COSOTH,DEP(COS_OTHR) AND D_VENUES=Y,COS_OTHR,500001</v>
      </c>
      <c r="C62" s="11"/>
      <c r="D62" s="11"/>
      <c r="E62" s="11"/>
      <c r="F62" s="11"/>
      <c r="G62" s="11"/>
      <c r="H62" s="84" t="s">
        <v>285</v>
      </c>
      <c r="I62" s="118" t="str">
        <f>IF(_epmOfflineCondition_,"T5",_xll.EVPRO($B$1,$H62,"STYLE"))</f>
        <v>T5</v>
      </c>
      <c r="J62" s="118" t="str">
        <f>IF(_epmOfflineCondition_,"Y",_xll.EVPRO($B$1,$H62,"CALC"))</f>
        <v>Y</v>
      </c>
      <c r="K62" s="175" t="str">
        <f t="shared" ref="K62:K72" si="12">IF(AND(I62&gt;="T5"),"&gt;","")</f>
        <v>&gt;</v>
      </c>
      <c r="L62" s="86" t="str">
        <f>IF(_epmOfflineCondition_,"561100",_xll.EVPRO($B$1,H62,"JDEID"))</f>
        <v>561100</v>
      </c>
      <c r="M62" s="86" t="str">
        <f>IF(_epmOfflineCondition_,"",IF(AND(I62="N",J62="N"),_xll.EVPRO($B$1,H62,"PSFTID"),""))</f>
        <v/>
      </c>
      <c r="N62" s="86" t="str">
        <f>IF(_epmOfflineCondition_,"Cost of Food Sales",IF(_xll.EVDES(H62,$B$1)="#NODATA","",_xll.EVDES(H62,$B$1)))</f>
        <v>Cost of Food Sales</v>
      </c>
      <c r="O62" s="453"/>
      <c r="P62" s="223"/>
      <c r="Q62" s="223"/>
      <c r="R62" s="223"/>
      <c r="S62" s="223"/>
      <c r="T62" s="223"/>
      <c r="U62" s="223"/>
      <c r="V62" s="223"/>
      <c r="W62" s="223"/>
      <c r="X62" s="223"/>
      <c r="Y62" s="223"/>
      <c r="Z62" s="223"/>
      <c r="AA62" s="223">
        <f t="shared" ref="AA62:AA70" si="13">IF($I62="B1","",SUM(O62:Z62))</f>
        <v>0</v>
      </c>
      <c r="AB62" s="454" t="str">
        <f>IF(_epmOfflineCondition_,"",IF(AA62=0,"",IFERROR(AA62/_xll.EVGTS($B$1,1,_xll.EVPRO($B$1,$H62,"COSBASIS"),$B$3,$B$5,$B$6,$B$7,$B$9,AA$16,AA$17,AA$11),"")))</f>
        <v/>
      </c>
      <c r="AC62" s="528"/>
      <c r="AD62" s="223"/>
      <c r="AE62" s="454" t="str">
        <f>IF(_epmOfflineCondition_,"",IF(AD62=0,"",IFERROR(AD62/_xll.EVGTS($B$1,1,_xll.EVPRO($B$1,$H62,"COSBASIS"),$B$3,$B$5,$B$6,$B$7,$B$9,AD$16,AD$17,AD$18),"")))</f>
        <v/>
      </c>
      <c r="AF62" s="456">
        <f t="shared" ref="AF62:AF72" si="14">IF(AND($AA62="",AD62=""),"",$AA62-AD62)</f>
        <v>0</v>
      </c>
      <c r="AG62" s="223"/>
      <c r="AH62" s="454" t="str">
        <f>IF(_epmOfflineCondition_,"",IF(AG62=0,"",IFERROR(AG62/_xll.EVGTS($B$1,1,_xll.EVPRO($B$1,$H62,"COSBASIS"),$B$3,$B$5,$B$6,$B$7,$B$9,AG$16,AG$17,AG$18),"")))</f>
        <v/>
      </c>
      <c r="AI62" s="457">
        <f t="shared" ref="AI62:AI72" si="15">IF(AND($AA62="",AG62=""),"",$AA62-AG62)</f>
        <v>0</v>
      </c>
      <c r="AJ62" s="458">
        <f t="shared" ref="AJ62:AJ70" si="16">IFERROR(AA62/AA$20,0)</f>
        <v>0</v>
      </c>
      <c r="AK62" s="459">
        <f t="shared" ref="AK62:AK70" si="17">IFERROR(AD62/AD$20,0)</f>
        <v>0</v>
      </c>
      <c r="AL62" s="460">
        <f t="shared" ref="AL62:AL70" si="18">IFERROR(AG62/AG$20,0)</f>
        <v>0</v>
      </c>
      <c r="AM62" s="461">
        <f t="shared" ref="AM62:AM70" si="19">+IFERROR(ROUND(($AB62-AE62)*100,2)&amp;" pts.",0)</f>
        <v>0</v>
      </c>
      <c r="AN62" s="462">
        <f t="shared" ref="AN62:AN70" si="20">+IFERROR(ROUND(($AB62-AH62)*100,2)&amp;" pts.",0)</f>
        <v>0</v>
      </c>
      <c r="AO62" s="11"/>
    </row>
    <row r="63" spans="1:41" x14ac:dyDescent="0.25">
      <c r="A63" s="61" t="s">
        <v>14</v>
      </c>
      <c r="B63" s="62"/>
      <c r="C63" s="11"/>
      <c r="D63" s="11"/>
      <c r="E63" s="11"/>
      <c r="F63" s="11"/>
      <c r="G63" s="11"/>
      <c r="H63" s="84" t="s">
        <v>637</v>
      </c>
      <c r="I63" s="118" t="str">
        <f>IF(_epmOfflineCondition_,"T5",_xll.EVPRO($B$1,$H63,"STYLE"))</f>
        <v>T5</v>
      </c>
      <c r="J63" s="118" t="str">
        <f>IF(_epmOfflineCondition_,"Y",_xll.EVPRO($B$1,$H63,"CALC"))</f>
        <v>Y</v>
      </c>
      <c r="K63" s="175" t="str">
        <f t="shared" si="12"/>
        <v>&gt;</v>
      </c>
      <c r="L63" s="86" t="str">
        <f>IF(_epmOfflineCondition_,"",_xll.EVPRO($B$1,H63,"JDEID"))</f>
        <v/>
      </c>
      <c r="M63" s="86" t="str">
        <f>IF(_epmOfflineCondition_,"",IF(AND(I63="N",J63="N"),_xll.EVPRO($B$1,H63,"PSFTID"),""))</f>
        <v/>
      </c>
      <c r="N63" s="86" t="str">
        <f>IF(_epmOfflineCondition_,"Cost of Beverage Sales",IF(_xll.EVDES(H63,$B$1)="#NODATA","",_xll.EVDES(H63,$B$1)))</f>
        <v>Cost of Beverage Sales</v>
      </c>
      <c r="O63" s="463"/>
      <c r="P63" s="229"/>
      <c r="Q63" s="229"/>
      <c r="R63" s="229"/>
      <c r="S63" s="229"/>
      <c r="T63" s="229"/>
      <c r="U63" s="229"/>
      <c r="V63" s="229"/>
      <c r="W63" s="229"/>
      <c r="X63" s="229"/>
      <c r="Y63" s="229"/>
      <c r="Z63" s="229"/>
      <c r="AA63" s="229">
        <f t="shared" si="13"/>
        <v>0</v>
      </c>
      <c r="AB63" s="464" t="str">
        <f>IF(_epmOfflineCondition_,"",IF(AA63=0,"",IFERROR(AA63/_xll.EVGTS($B$1,1,_xll.EVPRO($B$1,$H63,"COSBASIS"),$B$3,$B$5,$B$6,$B$7,$B$9,AA$16,AA$17,AA$11),"")))</f>
        <v/>
      </c>
      <c r="AC63" s="455"/>
      <c r="AD63" s="229"/>
      <c r="AE63" s="464" t="str">
        <f>IF(_epmOfflineCondition_,"",IF(AD63=0,"",IFERROR(AD63/_xll.EVGTS($B$1,1,_xll.EVPRO($B$1,$H63,"COSBASIS"),$B$3,$B$5,$B$6,$B$7,$B$9,AD$16,AD$17,AD$18),"")))</f>
        <v/>
      </c>
      <c r="AF63" s="465">
        <f t="shared" si="14"/>
        <v>0</v>
      </c>
      <c r="AG63" s="229"/>
      <c r="AH63" s="464" t="str">
        <f>IF(_epmOfflineCondition_,"",IF(AG63=0,"",IFERROR(AG63/_xll.EVGTS($B$1,1,_xll.EVPRO($B$1,$H63,"COSBASIS"),$B$3,$B$5,$B$6,$B$7,$B$9,AG$16,AG$17,AG$18),"")))</f>
        <v/>
      </c>
      <c r="AI63" s="466">
        <f t="shared" si="15"/>
        <v>0</v>
      </c>
      <c r="AJ63" s="467">
        <f t="shared" si="16"/>
        <v>0</v>
      </c>
      <c r="AK63" s="468">
        <f t="shared" si="17"/>
        <v>0</v>
      </c>
      <c r="AL63" s="469">
        <f t="shared" si="18"/>
        <v>0</v>
      </c>
      <c r="AM63" s="470">
        <f t="shared" si="19"/>
        <v>0</v>
      </c>
      <c r="AN63" s="471">
        <f t="shared" si="20"/>
        <v>0</v>
      </c>
      <c r="AO63" s="11"/>
    </row>
    <row r="64" spans="1:41" x14ac:dyDescent="0.25">
      <c r="A64" s="61" t="s">
        <v>15</v>
      </c>
      <c r="B64" s="62"/>
      <c r="C64" s="11"/>
      <c r="D64" s="11"/>
      <c r="E64" s="11"/>
      <c r="F64" s="11"/>
      <c r="G64" s="11"/>
      <c r="H64" s="84" t="s">
        <v>286</v>
      </c>
      <c r="I64" s="184" t="str">
        <f>IF(_epmOfflineCondition_,"T4",_xll.EVPRO($B$1,$H64,"STYLE"))</f>
        <v>T4</v>
      </c>
      <c r="J64" s="184" t="str">
        <f>IF(_epmOfflineCondition_,"Y",_xll.EVPRO($B$1,$H64,"CALC"))</f>
        <v>Y</v>
      </c>
      <c r="K64" s="185" t="str">
        <f t="shared" si="12"/>
        <v/>
      </c>
      <c r="L64" s="186" t="str">
        <f>IF(_epmOfflineCondition_,"",_xll.EVPRO($B$1,H64,"JDEID"))</f>
        <v/>
      </c>
      <c r="M64" s="186" t="str">
        <f>IF(_epmOfflineCondition_,"",IF(AND(I64="N",J64="N"),_xll.EVPRO($B$1,H64,"PSFTID"),""))</f>
        <v/>
      </c>
      <c r="N64" s="186" t="str">
        <f>IF(_epmOfflineCondition_,"Total Cost of Food &amp; Beverage Sales",IF(_xll.EVDES(H64,$B$1)="#NODATA","",_xll.EVDES(H64,$B$1)))</f>
        <v>Total Cost of Food &amp; Beverage Sales</v>
      </c>
      <c r="O64" s="472"/>
      <c r="P64" s="236"/>
      <c r="Q64" s="236"/>
      <c r="R64" s="236"/>
      <c r="S64" s="236"/>
      <c r="T64" s="236"/>
      <c r="U64" s="236"/>
      <c r="V64" s="236"/>
      <c r="W64" s="236"/>
      <c r="X64" s="236"/>
      <c r="Y64" s="236"/>
      <c r="Z64" s="236"/>
      <c r="AA64" s="236">
        <f t="shared" si="13"/>
        <v>0</v>
      </c>
      <c r="AB64" s="237" t="str">
        <f>IF(_epmOfflineCondition_,"",IF(AA64=0,"",IFERROR(AA64/_xll.EVGTS($B$1,1,_xll.EVPRO($B$1,$H64,"COSBASIS"),$B$3,$B$5,$B$6,$B$7,$B$9,AA$16,AA$17,AA$11),"")))</f>
        <v/>
      </c>
      <c r="AC64" s="238"/>
      <c r="AD64" s="236"/>
      <c r="AE64" s="237" t="str">
        <f>IF(_epmOfflineCondition_,"",IF(AD64=0,"",IFERROR(AD64/_xll.EVGTS($B$1,1,_xll.EVPRO($B$1,$H64,"COSBASIS"),$B$3,$B$5,$B$6,$B$7,$B$9,AD$16,AD$17,AD$18),"")))</f>
        <v/>
      </c>
      <c r="AF64" s="239">
        <f t="shared" si="14"/>
        <v>0</v>
      </c>
      <c r="AG64" s="236"/>
      <c r="AH64" s="237" t="str">
        <f>IF(_epmOfflineCondition_,"",IF(AG64=0,"",IFERROR(AG64/_xll.EVGTS($B$1,1,_xll.EVPRO($B$1,$H64,"COSBASIS"),$B$3,$B$5,$B$6,$B$7,$B$9,AG$16,AG$17,AG$18),"")))</f>
        <v/>
      </c>
      <c r="AI64" s="473">
        <f t="shared" si="15"/>
        <v>0</v>
      </c>
      <c r="AJ64" s="215">
        <f t="shared" si="16"/>
        <v>0</v>
      </c>
      <c r="AK64" s="216">
        <f t="shared" si="17"/>
        <v>0</v>
      </c>
      <c r="AL64" s="218">
        <f t="shared" si="18"/>
        <v>0</v>
      </c>
      <c r="AM64" s="423">
        <f t="shared" si="19"/>
        <v>0</v>
      </c>
      <c r="AN64" s="474">
        <f t="shared" si="20"/>
        <v>0</v>
      </c>
      <c r="AO64" s="11"/>
    </row>
    <row r="65" spans="1:41" x14ac:dyDescent="0.25">
      <c r="A65" s="61" t="s">
        <v>16</v>
      </c>
      <c r="B65" s="62"/>
      <c r="C65" s="11"/>
      <c r="D65" s="11"/>
      <c r="E65" s="11"/>
      <c r="F65" s="11"/>
      <c r="G65" s="11"/>
      <c r="H65" s="84" t="s">
        <v>287</v>
      </c>
      <c r="I65" s="184" t="str">
        <f>IF(_epmOfflineCondition_,"B1",_xll.EVPRO($B$1,$H65,"STYLE"))</f>
        <v>B1</v>
      </c>
      <c r="J65" s="184" t="str">
        <f>IF(_epmOfflineCondition_,"Y",_xll.EVPRO($B$1,$H65,"CALC"))</f>
        <v>Y</v>
      </c>
      <c r="K65" s="185" t="str">
        <f t="shared" si="12"/>
        <v/>
      </c>
      <c r="L65" s="186" t="str">
        <f>IF(_epmOfflineCondition_,"",_xll.EVPRO($B$1,H65,"JDEID"))</f>
        <v/>
      </c>
      <c r="M65" s="186" t="str">
        <f>IF(_epmOfflineCondition_,"",IF(AND(I65="N",J65="N"),_xll.EVPRO($B$1,H65,"PSFTID"),""))</f>
        <v/>
      </c>
      <c r="N65" s="186" t="str">
        <f>IF(_epmOfflineCondition_,"Cost of Other Revenue",IF(_xll.EVDES(H65,$B$1)="#NODATA","",_xll.EVDES(H65,$B$1)))</f>
        <v>Cost of Other Revenue</v>
      </c>
      <c r="O65" s="475"/>
      <c r="P65" s="241"/>
      <c r="Q65" s="241"/>
      <c r="R65" s="241"/>
      <c r="S65" s="241"/>
      <c r="T65" s="241"/>
      <c r="U65" s="241"/>
      <c r="V65" s="241"/>
      <c r="W65" s="241"/>
      <c r="X65" s="241"/>
      <c r="Y65" s="241"/>
      <c r="Z65" s="241"/>
      <c r="AA65" s="241" t="str">
        <f t="shared" si="13"/>
        <v/>
      </c>
      <c r="AB65" s="476" t="str">
        <f>IF(_epmOfflineCondition_,"",IF(AA65=0,"",IFERROR(AA65/_xll.EVGTS($B$1,1,_xll.EVPRO($B$1,$H65,"COSBASIS"),$B$3,$B$5,$B$6,$B$7,$B$9,AA$16,AA$17,AA$11),"")))</f>
        <v/>
      </c>
      <c r="AC65" s="529"/>
      <c r="AD65" s="241"/>
      <c r="AE65" s="476" t="str">
        <f>IF(_epmOfflineCondition_,"",IF(AD65=0,"",IFERROR(AD65/_xll.EVGTS($B$1,1,_xll.EVPRO($B$1,$H65,"COSBASIS"),$B$3,$B$5,$B$6,$B$7,$B$9,AD$16,AD$17,AD$18),"")))</f>
        <v/>
      </c>
      <c r="AF65" s="478" t="str">
        <f t="shared" si="14"/>
        <v/>
      </c>
      <c r="AG65" s="241"/>
      <c r="AH65" s="476" t="str">
        <f>IF(_epmOfflineCondition_,"",IF(AG65=0,"",IFERROR(AG65/_xll.EVGTS($B$1,1,_xll.EVPRO($B$1,$H65,"COSBASIS"),$B$3,$B$5,$B$6,$B$7,$B$9,AG$16,AG$17,AG$18),"")))</f>
        <v/>
      </c>
      <c r="AI65" s="479" t="str">
        <f t="shared" si="15"/>
        <v/>
      </c>
      <c r="AJ65" s="244">
        <f t="shared" si="16"/>
        <v>0</v>
      </c>
      <c r="AK65" s="245">
        <f t="shared" si="17"/>
        <v>0</v>
      </c>
      <c r="AL65" s="247">
        <f t="shared" si="18"/>
        <v>0</v>
      </c>
      <c r="AM65" s="425">
        <f t="shared" si="19"/>
        <v>0</v>
      </c>
      <c r="AN65" s="480">
        <f t="shared" si="20"/>
        <v>0</v>
      </c>
      <c r="AO65" s="11"/>
    </row>
    <row r="66" spans="1:41" x14ac:dyDescent="0.25">
      <c r="A66" s="61" t="s">
        <v>17</v>
      </c>
      <c r="B66" s="62"/>
      <c r="C66" s="11"/>
      <c r="D66" s="11"/>
      <c r="E66" s="11"/>
      <c r="F66" s="11"/>
      <c r="G66" s="11"/>
      <c r="H66" s="84" t="s">
        <v>638</v>
      </c>
      <c r="I66" s="118" t="str">
        <f>IF(_epmOfflineCondition_,"N",_xll.EVPRO($B$1,$H66,"STYLE"))</f>
        <v>N</v>
      </c>
      <c r="J66" s="118" t="str">
        <f>IF(_epmOfflineCondition_,"N",_xll.EVPRO($B$1,$H66,"CALC"))</f>
        <v>N</v>
      </c>
      <c r="K66" s="175" t="str">
        <f t="shared" si="12"/>
        <v/>
      </c>
      <c r="L66" s="86" t="str">
        <f>IF(_epmOfflineCondition_,"568300",_xll.EVPRO($B$1,H66,"JDEID"))</f>
        <v>568300</v>
      </c>
      <c r="M66" s="86" t="str">
        <f>IF(_epmOfflineCondition_,"306005",IF(AND(I66="N",J66="N"),_xll.EVPRO($B$1,H66,"PSFTID"),""))</f>
        <v>306005</v>
      </c>
      <c r="N66" s="86" t="str">
        <f>IF(_epmOfflineCondition_,"A/V Cost of Sales",IF(_xll.EVDES(H66,$B$1)="#NODATA","",_xll.EVDES(H66,$B$1)))</f>
        <v>A/V Cost of Sales</v>
      </c>
      <c r="O66" s="453"/>
      <c r="P66" s="223"/>
      <c r="Q66" s="223"/>
      <c r="R66" s="223"/>
      <c r="S66" s="223"/>
      <c r="T66" s="223"/>
      <c r="U66" s="223"/>
      <c r="V66" s="223"/>
      <c r="W66" s="223"/>
      <c r="X66" s="223"/>
      <c r="Y66" s="223"/>
      <c r="Z66" s="223"/>
      <c r="AA66" s="223">
        <f t="shared" si="13"/>
        <v>0</v>
      </c>
      <c r="AB66" s="454" t="str">
        <f>IF(_epmOfflineCondition_,"",IF(AA66=0,"",IFERROR(AA66/_xll.EVGTS($B$1,1,_xll.EVPRO($B$1,$H66,"COSBASIS"),$B$3,$B$5,$B$6,$B$7,$B$9,AA$16,AA$17,AA$11),"")))</f>
        <v/>
      </c>
      <c r="AC66" s="528"/>
      <c r="AD66" s="223"/>
      <c r="AE66" s="454" t="str">
        <f>IF(_epmOfflineCondition_,"",IF(AD66=0,"",IFERROR(AD66/_xll.EVGTS($B$1,1,_xll.EVPRO($B$1,$H66,"COSBASIS"),$B$3,$B$5,$B$6,$B$7,$B$9,AD$16,AD$17,AD$18),"")))</f>
        <v/>
      </c>
      <c r="AF66" s="456">
        <f t="shared" si="14"/>
        <v>0</v>
      </c>
      <c r="AG66" s="223"/>
      <c r="AH66" s="454" t="str">
        <f>IF(_epmOfflineCondition_,"",IF(AG66=0,"",IFERROR(AG66/_xll.EVGTS($B$1,1,_xll.EVPRO($B$1,$H66,"COSBASIS"),$B$3,$B$5,$B$6,$B$7,$B$9,AG$16,AG$17,AG$18),"")))</f>
        <v/>
      </c>
      <c r="AI66" s="457">
        <f t="shared" si="15"/>
        <v>0</v>
      </c>
      <c r="AJ66" s="458">
        <f t="shared" si="16"/>
        <v>0</v>
      </c>
      <c r="AK66" s="459">
        <f t="shared" si="17"/>
        <v>0</v>
      </c>
      <c r="AL66" s="460">
        <f t="shared" si="18"/>
        <v>0</v>
      </c>
      <c r="AM66" s="461">
        <f t="shared" si="19"/>
        <v>0</v>
      </c>
      <c r="AN66" s="462">
        <f t="shared" si="20"/>
        <v>0</v>
      </c>
      <c r="AO66" s="11"/>
    </row>
    <row r="67" spans="1:41" x14ac:dyDescent="0.25">
      <c r="A67" s="11"/>
      <c r="B67" s="11"/>
      <c r="C67" s="11"/>
      <c r="D67" s="11"/>
      <c r="E67" s="11"/>
      <c r="F67" s="11"/>
      <c r="G67" s="11"/>
      <c r="H67" s="84" t="s">
        <v>639</v>
      </c>
      <c r="I67" s="118" t="str">
        <f>IF(_epmOfflineCondition_,"N",_xll.EVPRO($B$1,$H67,"STYLE"))</f>
        <v>N</v>
      </c>
      <c r="J67" s="118" t="str">
        <f>IF(_epmOfflineCondition_,"N",_xll.EVPRO($B$1,$H67,"CALC"))</f>
        <v>N</v>
      </c>
      <c r="K67" s="175" t="str">
        <f t="shared" si="12"/>
        <v/>
      </c>
      <c r="L67" s="86" t="str">
        <f>IF(_epmOfflineCondition_,"568350",_xll.EVPRO($B$1,H67,"JDEID"))</f>
        <v>568350</v>
      </c>
      <c r="M67" s="86" t="str">
        <f>IF(_epmOfflineCondition_,"306099",IF(AND(I67="N",J67="N"),_xll.EVPRO($B$1,H67,"PSFTID"),""))</f>
        <v>306099</v>
      </c>
      <c r="N67" s="86" t="str">
        <f>IF(_epmOfflineCondition_,"Public Room Rental",IF(_xll.EVDES(H67,$B$1)="#NODATA","",_xll.EVDES(H67,$B$1)))</f>
        <v>Public Room Rental</v>
      </c>
      <c r="O67" s="453"/>
      <c r="P67" s="223"/>
      <c r="Q67" s="223"/>
      <c r="R67" s="223"/>
      <c r="S67" s="223"/>
      <c r="T67" s="223"/>
      <c r="U67" s="223"/>
      <c r="V67" s="223"/>
      <c r="W67" s="223"/>
      <c r="X67" s="223"/>
      <c r="Y67" s="223"/>
      <c r="Z67" s="223"/>
      <c r="AA67" s="223">
        <f t="shared" si="13"/>
        <v>0</v>
      </c>
      <c r="AB67" s="454" t="str">
        <f>IF(_epmOfflineCondition_,"",IF(AA67=0,"",IFERROR(AA67/_xll.EVGTS($B$1,1,_xll.EVPRO($B$1,$H67,"COSBASIS"),$B$3,$B$5,$B$6,$B$7,$B$9,AA$16,AA$17,AA$11),"")))</f>
        <v/>
      </c>
      <c r="AC67" s="528"/>
      <c r="AD67" s="223"/>
      <c r="AE67" s="454" t="str">
        <f>IF(_epmOfflineCondition_,"",IF(AD67=0,"",IFERROR(AD67/_xll.EVGTS($B$1,1,_xll.EVPRO($B$1,$H67,"COSBASIS"),$B$3,$B$5,$B$6,$B$7,$B$9,AD$16,AD$17,AD$18),"")))</f>
        <v/>
      </c>
      <c r="AF67" s="456">
        <f t="shared" si="14"/>
        <v>0</v>
      </c>
      <c r="AG67" s="223"/>
      <c r="AH67" s="454" t="str">
        <f>IF(_epmOfflineCondition_,"",IF(AG67=0,"",IFERROR(AG67/_xll.EVGTS($B$1,1,_xll.EVPRO($B$1,$H67,"COSBASIS"),$B$3,$B$5,$B$6,$B$7,$B$9,AG$16,AG$17,AG$18),"")))</f>
        <v/>
      </c>
      <c r="AI67" s="457">
        <f t="shared" si="15"/>
        <v>0</v>
      </c>
      <c r="AJ67" s="458">
        <f t="shared" si="16"/>
        <v>0</v>
      </c>
      <c r="AK67" s="459">
        <f t="shared" si="17"/>
        <v>0</v>
      </c>
      <c r="AL67" s="460">
        <f t="shared" si="18"/>
        <v>0</v>
      </c>
      <c r="AM67" s="461">
        <f t="shared" si="19"/>
        <v>0</v>
      </c>
      <c r="AN67" s="462">
        <f t="shared" si="20"/>
        <v>0</v>
      </c>
      <c r="AO67" s="11"/>
    </row>
    <row r="68" spans="1:41" x14ac:dyDescent="0.25">
      <c r="A68" s="93" t="s">
        <v>92</v>
      </c>
      <c r="B68" s="94" t="s">
        <v>93</v>
      </c>
      <c r="C68" s="94" t="s">
        <v>94</v>
      </c>
      <c r="D68" s="94" t="s">
        <v>95</v>
      </c>
      <c r="E68" s="94" t="s">
        <v>96</v>
      </c>
      <c r="F68" s="95" t="s">
        <v>97</v>
      </c>
      <c r="G68" s="11"/>
      <c r="H68" s="84" t="s">
        <v>640</v>
      </c>
      <c r="I68" s="118" t="str">
        <f>IF(_epmOfflineCondition_,"T5",_xll.EVPRO($B$1,$H68,"STYLE"))</f>
        <v>T5</v>
      </c>
      <c r="J68" s="118" t="str">
        <f>IF(_epmOfflineCondition_,"Y",_xll.EVPRO($B$1,$H68,"CALC"))</f>
        <v>Y</v>
      </c>
      <c r="K68" s="175" t="str">
        <f t="shared" si="12"/>
        <v>&gt;</v>
      </c>
      <c r="L68" s="86" t="str">
        <f>IF(_epmOfflineCondition_,"",_xll.EVPRO($B$1,H68,"JDEID"))</f>
        <v/>
      </c>
      <c r="M68" s="86" t="str">
        <f>IF(_epmOfflineCondition_,"",IF(AND(I68="N",J68="N"),_xll.EVPRO($B$1,H68,"PSFTID"),""))</f>
        <v/>
      </c>
      <c r="N68" s="86" t="str">
        <f>IF(_epmOfflineCondition_,"Miscellaneous Cost",IF(_xll.EVDES(H68,$B$1)="#NODATA","",_xll.EVDES(H68,$B$1)))</f>
        <v>Miscellaneous Cost</v>
      </c>
      <c r="O68" s="463"/>
      <c r="P68" s="229"/>
      <c r="Q68" s="229"/>
      <c r="R68" s="229"/>
      <c r="S68" s="229"/>
      <c r="T68" s="229"/>
      <c r="U68" s="229"/>
      <c r="V68" s="229"/>
      <c r="W68" s="229"/>
      <c r="X68" s="229"/>
      <c r="Y68" s="229"/>
      <c r="Z68" s="229"/>
      <c r="AA68" s="229">
        <f t="shared" si="13"/>
        <v>0</v>
      </c>
      <c r="AB68" s="464" t="str">
        <f>IF(_epmOfflineCondition_,"",IF(AA68=0,"",IFERROR(AA68/_xll.EVGTS($B$1,1,_xll.EVPRO($B$1,$H68,"COSBASIS"),$B$3,$B$5,$B$6,$B$7,$B$9,AA$16,AA$17,AA$11),"")))</f>
        <v/>
      </c>
      <c r="AC68" s="455"/>
      <c r="AD68" s="229"/>
      <c r="AE68" s="464" t="str">
        <f>IF(_epmOfflineCondition_,"",IF(AD68=0,"",IFERROR(AD68/_xll.EVGTS($B$1,1,_xll.EVPRO($B$1,$H68,"COSBASIS"),$B$3,$B$5,$B$6,$B$7,$B$9,AD$16,AD$17,AD$18),"")))</f>
        <v/>
      </c>
      <c r="AF68" s="465">
        <f t="shared" si="14"/>
        <v>0</v>
      </c>
      <c r="AG68" s="229"/>
      <c r="AH68" s="464" t="str">
        <f>IF(_epmOfflineCondition_,"",IF(AG68=0,"",IFERROR(AG68/_xll.EVGTS($B$1,1,_xll.EVPRO($B$1,$H68,"COSBASIS"),$B$3,$B$5,$B$6,$B$7,$B$9,AG$16,AG$17,AG$18),"")))</f>
        <v/>
      </c>
      <c r="AI68" s="466">
        <f t="shared" si="15"/>
        <v>0</v>
      </c>
      <c r="AJ68" s="467">
        <f t="shared" si="16"/>
        <v>0</v>
      </c>
      <c r="AK68" s="468">
        <f t="shared" si="17"/>
        <v>0</v>
      </c>
      <c r="AL68" s="469">
        <f t="shared" si="18"/>
        <v>0</v>
      </c>
      <c r="AM68" s="470">
        <f t="shared" si="19"/>
        <v>0</v>
      </c>
      <c r="AN68" s="471">
        <f t="shared" si="20"/>
        <v>0</v>
      </c>
      <c r="AO68" s="11"/>
    </row>
    <row r="69" spans="1:41" x14ac:dyDescent="0.25">
      <c r="A69" s="11"/>
      <c r="B69" s="11"/>
      <c r="C69" s="11"/>
      <c r="D69" s="11"/>
      <c r="E69" s="11"/>
      <c r="F69" s="11"/>
      <c r="G69" s="11"/>
      <c r="H69" s="84" t="s">
        <v>288</v>
      </c>
      <c r="I69" s="184" t="str">
        <f>IF(_epmOfflineCondition_,"T4",_xll.EVPRO($B$1,$H69,"STYLE"))</f>
        <v>T4</v>
      </c>
      <c r="J69" s="184" t="str">
        <f>IF(_epmOfflineCondition_,"Y",_xll.EVPRO($B$1,$H69,"CALC"))</f>
        <v>Y</v>
      </c>
      <c r="K69" s="185" t="str">
        <f t="shared" si="12"/>
        <v/>
      </c>
      <c r="L69" s="186" t="str">
        <f>IF(_epmOfflineCondition_,"",_xll.EVPRO($B$1,H69,"JDEID"))</f>
        <v/>
      </c>
      <c r="M69" s="186" t="str">
        <f>IF(_epmOfflineCondition_,"",IF(AND(I69="N",J69="N"),_xll.EVPRO($B$1,H69,"PSFTID"),""))</f>
        <v/>
      </c>
      <c r="N69" s="186" t="str">
        <f>IF(_epmOfflineCondition_,"Total Cost of Other Revenue",IF(_xll.EVDES(H69,$B$1)="#NODATA","",_xll.EVDES(H69,$B$1)))</f>
        <v>Total Cost of Other Revenue</v>
      </c>
      <c r="O69" s="481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>
        <f t="shared" si="13"/>
        <v>0</v>
      </c>
      <c r="AB69" s="211" t="str">
        <f>IF(_epmOfflineCondition_,"",IF(AA69=0,"",IFERROR(AA69/_xll.EVGTS($B$1,1,_xll.EVPRO($B$1,$H69,"COSBASIS"),$B$3,$B$5,$B$6,$B$7,$B$9,AA$16,AA$17,AA$11),"")))</f>
        <v/>
      </c>
      <c r="AC69" s="251"/>
      <c r="AD69" s="210"/>
      <c r="AE69" s="211" t="str">
        <f>IF(_epmOfflineCondition_,"",IF(AD69=0,"",IFERROR(AD69/_xll.EVGTS($B$1,1,_xll.EVPRO($B$1,$H69,"COSBASIS"),$B$3,$B$5,$B$6,$B$7,$B$9,AD$16,AD$17,AD$18),"")))</f>
        <v/>
      </c>
      <c r="AF69" s="252">
        <f t="shared" si="14"/>
        <v>0</v>
      </c>
      <c r="AG69" s="210"/>
      <c r="AH69" s="211" t="str">
        <f>IF(_epmOfflineCondition_,"",IF(AG69=0,"",IFERROR(AG69/_xll.EVGTS($B$1,1,_xll.EVPRO($B$1,$H69,"COSBASIS"),$B$3,$B$5,$B$6,$B$7,$B$9,AG$16,AG$17,AG$18),"")))</f>
        <v/>
      </c>
      <c r="AI69" s="482">
        <f t="shared" si="15"/>
        <v>0</v>
      </c>
      <c r="AJ69" s="253">
        <f t="shared" si="16"/>
        <v>0</v>
      </c>
      <c r="AK69" s="254">
        <f t="shared" si="17"/>
        <v>0</v>
      </c>
      <c r="AL69" s="256">
        <f t="shared" si="18"/>
        <v>0</v>
      </c>
      <c r="AM69" s="427">
        <f t="shared" si="19"/>
        <v>0</v>
      </c>
      <c r="AN69" s="483">
        <f t="shared" si="20"/>
        <v>0</v>
      </c>
      <c r="AO69" s="11"/>
    </row>
    <row r="70" spans="1:41" x14ac:dyDescent="0.25">
      <c r="A70" s="11" t="s">
        <v>209</v>
      </c>
      <c r="B70" s="11" t="s">
        <v>21</v>
      </c>
      <c r="C70" s="391"/>
      <c r="D70" s="11" t="s">
        <v>590</v>
      </c>
      <c r="E70" s="11"/>
      <c r="F70" s="11" t="s">
        <v>99</v>
      </c>
      <c r="G70" s="11"/>
      <c r="H70" s="84" t="s">
        <v>289</v>
      </c>
      <c r="I70" s="184" t="str">
        <f>IF(_epmOfflineCondition_,"T3",_xll.EVPRO($B$1,$H70,"STYLE"))</f>
        <v>T3</v>
      </c>
      <c r="J70" s="184" t="str">
        <f>IF(_epmOfflineCondition_,"Y",_xll.EVPRO($B$1,$H70,"CALC"))</f>
        <v>Y</v>
      </c>
      <c r="K70" s="185" t="str">
        <f t="shared" si="12"/>
        <v/>
      </c>
      <c r="L70" s="186" t="str">
        <f>IF(_epmOfflineCondition_,"500001",_xll.EVPRO($B$1,H70,"JDEID"))</f>
        <v>500001</v>
      </c>
      <c r="M70" s="186" t="str">
        <f>IF(_epmOfflineCondition_,"",IF(AND(I70="N",J70="N"),_xll.EVPRO($B$1,H70,"PSFTID"),""))</f>
        <v/>
      </c>
      <c r="N70" s="186" t="str">
        <f>IF(_epmOfflineCondition_,"Total Cost of Sales",IF(_xll.EVDES(H70,$B$1)="#NODATA","",_xll.EVDES(H70,$B$1)))</f>
        <v>Total Cost of Sales</v>
      </c>
      <c r="O70" s="472"/>
      <c r="P70" s="236"/>
      <c r="Q70" s="236"/>
      <c r="R70" s="236"/>
      <c r="S70" s="236"/>
      <c r="T70" s="236"/>
      <c r="U70" s="236"/>
      <c r="V70" s="236"/>
      <c r="W70" s="236"/>
      <c r="X70" s="236"/>
      <c r="Y70" s="236"/>
      <c r="Z70" s="236"/>
      <c r="AA70" s="236">
        <f t="shared" si="13"/>
        <v>0</v>
      </c>
      <c r="AB70" s="237" t="str">
        <f>IF(_epmOfflineCondition_,"",IF(AA70=0,"",IFERROR(AA70/_xll.EVGTS($B$1,1,_xll.EVPRO($B$1,$H70,"COSBASIS"),$B$3,$B$5,$B$6,$B$7,$B$9,AA$16,AA$17,AA$11),"")))</f>
        <v/>
      </c>
      <c r="AC70" s="238"/>
      <c r="AD70" s="236"/>
      <c r="AE70" s="237" t="str">
        <f>IF(_epmOfflineCondition_,"",IF(AD70=0,"",IFERROR(AD70/_xll.EVGTS($B$1,1,_xll.EVPRO($B$1,$H70,"COSBASIS"),$B$3,$B$5,$B$6,$B$7,$B$9,AD$16,AD$17,AD$18),"")))</f>
        <v/>
      </c>
      <c r="AF70" s="239">
        <f t="shared" si="14"/>
        <v>0</v>
      </c>
      <c r="AG70" s="236"/>
      <c r="AH70" s="237" t="str">
        <f>IF(_epmOfflineCondition_,"",IF(AG70=0,"",IFERROR(AG70/_xll.EVGTS($B$1,1,_xll.EVPRO($B$1,$H70,"COSBASIS"),$B$3,$B$5,$B$6,$B$7,$B$9,AG$16,AG$17,AG$18),"")))</f>
        <v/>
      </c>
      <c r="AI70" s="473">
        <f t="shared" si="15"/>
        <v>0</v>
      </c>
      <c r="AJ70" s="215">
        <f t="shared" si="16"/>
        <v>0</v>
      </c>
      <c r="AK70" s="216">
        <f t="shared" si="17"/>
        <v>0</v>
      </c>
      <c r="AL70" s="218">
        <f t="shared" si="18"/>
        <v>0</v>
      </c>
      <c r="AM70" s="423">
        <f t="shared" si="19"/>
        <v>0</v>
      </c>
      <c r="AN70" s="474">
        <f t="shared" si="20"/>
        <v>0</v>
      </c>
      <c r="AO70" s="11"/>
    </row>
    <row r="71" spans="1:41" x14ac:dyDescent="0.25">
      <c r="A71" s="11" t="s">
        <v>105</v>
      </c>
      <c r="B71" s="11"/>
      <c r="C71" s="100" t="s">
        <v>101</v>
      </c>
      <c r="D71" s="11" t="s">
        <v>106</v>
      </c>
      <c r="E71" s="11"/>
      <c r="F71" s="11" t="s">
        <v>98</v>
      </c>
      <c r="G71" s="11"/>
      <c r="H71" s="181" t="s">
        <v>175</v>
      </c>
      <c r="I71" s="85" t="str">
        <f>IF(_epmOfflineCondition_,"B1",_xll.EVPRO($B$1,$H71,"STYLE"))</f>
        <v>B1</v>
      </c>
      <c r="J71" s="85" t="str">
        <f>IF(_epmOfflineCondition_,"Y",_xll.EVPRO($B$1,$H71,"CALC"))</f>
        <v>Y</v>
      </c>
      <c r="K71" s="261" t="str">
        <f t="shared" si="12"/>
        <v/>
      </c>
      <c r="L71" s="261"/>
      <c r="M71" s="261"/>
      <c r="N71" s="102" t="str">
        <f>IF(_epmOfflineCondition_,"BLANKROW",IF(_xll.EVDES(H71,$B$1)="#NODATA","",_xll.EVDES(H71,$B$1)))</f>
        <v>BLANKROW</v>
      </c>
      <c r="O71" s="201"/>
      <c r="P71" s="201"/>
      <c r="Q71" s="201"/>
      <c r="R71" s="201"/>
      <c r="S71" s="201"/>
      <c r="T71" s="201"/>
      <c r="U71" s="201"/>
      <c r="V71" s="201"/>
      <c r="W71" s="201"/>
      <c r="X71" s="201"/>
      <c r="Y71" s="201"/>
      <c r="Z71" s="201"/>
      <c r="AA71" s="201"/>
      <c r="AB71" s="202" t="str">
        <f>IF(_epmOfflineCondition_,"",IF(O71=0,"",IFERROR(O71/_xll.EVGTS($B$1,1,INDEX($C$152:$C$175,MATCH($H71,$A$152:$A$175,0)),$B$3,$B$5,$B$6,$B$7,$B$9,O$16,O$17,O$18),"")))</f>
        <v/>
      </c>
      <c r="AC71" s="11"/>
      <c r="AD71" s="201"/>
      <c r="AE71" s="202" t="str">
        <f>IF(_epmOfflineCondition_,"",IF(AD71=0,"",IFERROR(AD71/_xll.EVGTS($B$1,1,INDEX($C$152:$C$175,MATCH($H71,$A$152:$A$175,0)),$B$3,$B$5,$B$6,$B$7,$B$9,AD$16,AD$17,AD$18),"")))</f>
        <v/>
      </c>
      <c r="AF71" s="203" t="str">
        <f t="shared" si="14"/>
        <v/>
      </c>
      <c r="AG71" s="201"/>
      <c r="AH71" s="202" t="str">
        <f>IF(_epmOfflineCondition_,"",IF(AG71=0,"",IFERROR(AG71/_xll.EVGTS($B$1,1,INDEX($C$152:$C$175,MATCH($H71,$A$152:$A$175,0)),$B$3,$B$5,$B$6,$B$7,$B$9,AG$16,AG$17,AG$18),"")))</f>
        <v/>
      </c>
      <c r="AI71" s="203" t="str">
        <f t="shared" si="15"/>
        <v/>
      </c>
      <c r="AJ71" s="11"/>
      <c r="AK71" s="11"/>
      <c r="AL71" s="11"/>
      <c r="AM71" s="11"/>
      <c r="AN71" s="11"/>
      <c r="AO71" s="11"/>
    </row>
    <row r="72" spans="1:41" x14ac:dyDescent="0.25">
      <c r="A72" s="11" t="s">
        <v>104</v>
      </c>
      <c r="B72" s="11"/>
      <c r="C72" s="100" t="s">
        <v>101</v>
      </c>
      <c r="D72" s="11" t="s">
        <v>106</v>
      </c>
      <c r="E72" s="11"/>
      <c r="F72" s="11" t="s">
        <v>98</v>
      </c>
      <c r="G72" s="11"/>
      <c r="H72" s="181" t="s">
        <v>292</v>
      </c>
      <c r="I72" s="85" t="str">
        <f>IF(_epmOfflineCondition_,"T3",_xll.EVPRO($B$1,$H72,"STYLE"))</f>
        <v>T3</v>
      </c>
      <c r="J72" s="85" t="str">
        <f>IF(_epmOfflineCondition_,"Y",_xll.EVPRO($B$1,$H72,"CALC"))</f>
        <v>Y</v>
      </c>
      <c r="K72" s="261" t="str">
        <f t="shared" si="12"/>
        <v/>
      </c>
      <c r="L72" s="261"/>
      <c r="M72" s="261"/>
      <c r="N72" s="102" t="str">
        <f>IF(_epmOfflineCondition_,"Gross Profit",IF(_xll.EVDES(H72,$B$1)="#NODATA","",_xll.EVDES(H72,$B$1)))</f>
        <v>Gross Profit</v>
      </c>
      <c r="O72" s="119">
        <f t="shared" ref="O72:Z72" si="21">SUMIF($H$35:$H$70,"400000",O35:O70)-SUMIF($H$35:$H$70,"500001",O35:O70)</f>
        <v>0</v>
      </c>
      <c r="P72" s="119">
        <f t="shared" si="21"/>
        <v>0</v>
      </c>
      <c r="Q72" s="119">
        <f t="shared" si="21"/>
        <v>0</v>
      </c>
      <c r="R72" s="119">
        <f t="shared" si="21"/>
        <v>0</v>
      </c>
      <c r="S72" s="119">
        <f t="shared" si="21"/>
        <v>0</v>
      </c>
      <c r="T72" s="119">
        <f t="shared" si="21"/>
        <v>0</v>
      </c>
      <c r="U72" s="119">
        <f t="shared" si="21"/>
        <v>0</v>
      </c>
      <c r="V72" s="119">
        <f t="shared" si="21"/>
        <v>0</v>
      </c>
      <c r="W72" s="119">
        <f t="shared" si="21"/>
        <v>0</v>
      </c>
      <c r="X72" s="119">
        <f t="shared" si="21"/>
        <v>0</v>
      </c>
      <c r="Y72" s="119">
        <f t="shared" si="21"/>
        <v>0</v>
      </c>
      <c r="Z72" s="119">
        <f t="shared" si="21"/>
        <v>0</v>
      </c>
      <c r="AA72" s="187">
        <f>IF($I72="B1","",SUM(O72:Z72))</f>
        <v>0</v>
      </c>
      <c r="AB72" s="188" t="str">
        <f>IF(AA72=0,"",IFERROR(AA72/AA$19,""))</f>
        <v/>
      </c>
      <c r="AC72" s="11"/>
      <c r="AD72" s="119">
        <f>SUMIF($H$35:$H$70,"400000",AD35:AD70)-SUMIF($H$35:$H$70,"500001",AD35:AD70)</f>
        <v>0</v>
      </c>
      <c r="AE72" s="188" t="str">
        <f>IF(AD72=0,"",IFERROR(AD72/AD$19,""))</f>
        <v/>
      </c>
      <c r="AF72" s="121">
        <f t="shared" si="14"/>
        <v>0</v>
      </c>
      <c r="AG72" s="119">
        <f>SUMIF($H$35:$H$70,"400000",AG35:AG70)-SUMIF($H$35:$H$70,"500001",AG35:AG70)</f>
        <v>0</v>
      </c>
      <c r="AH72" s="188" t="str">
        <f>IF(AG72=0,"",IFERROR(AG72/AG$19,""))</f>
        <v/>
      </c>
      <c r="AI72" s="121">
        <f t="shared" si="15"/>
        <v>0</v>
      </c>
      <c r="AJ72" s="189">
        <f>IFERROR(AA72/AA$20,0)</f>
        <v>0</v>
      </c>
      <c r="AK72" s="190">
        <f>IFERROR(AD72/AD$20,0)</f>
        <v>0</v>
      </c>
      <c r="AL72" s="191">
        <f>IFERROR(AG72/AG$20,0)</f>
        <v>0</v>
      </c>
      <c r="AM72" s="403">
        <f>+IFERROR(ROUND(($AB72-AE72)*100,2)&amp;" pts.",0)</f>
        <v>0</v>
      </c>
      <c r="AN72" s="404">
        <f>+IFERROR(ROUND(($AB72-AH72)*100,2)&amp;" pts.",0)</f>
        <v>0</v>
      </c>
      <c r="AO72" s="11"/>
    </row>
    <row r="73" spans="1:41" x14ac:dyDescent="0.25">
      <c r="A73" s="11" t="s">
        <v>100</v>
      </c>
      <c r="B73" s="11"/>
      <c r="C73" s="49" t="s">
        <v>101</v>
      </c>
      <c r="D73" s="11" t="s">
        <v>106</v>
      </c>
      <c r="E73" s="11"/>
      <c r="F73" s="11" t="s">
        <v>98</v>
      </c>
      <c r="G73" s="11"/>
      <c r="H73" s="11"/>
      <c r="I73" s="55"/>
      <c r="J73" s="55"/>
      <c r="K73" s="11"/>
      <c r="L73" s="11"/>
      <c r="M73" s="11"/>
      <c r="N73" s="11"/>
      <c r="O73" s="389"/>
      <c r="P73" s="390"/>
      <c r="Q73" s="390"/>
      <c r="R73" s="390"/>
      <c r="S73" s="390"/>
      <c r="T73" s="390"/>
      <c r="U73" s="390"/>
      <c r="V73" s="390"/>
      <c r="W73" s="390"/>
      <c r="X73" s="390"/>
      <c r="Y73" s="390"/>
      <c r="Z73" s="390"/>
      <c r="AA73" s="390"/>
      <c r="AB73" s="114"/>
      <c r="AC73" s="11"/>
      <c r="AD73" s="199"/>
      <c r="AE73" s="200"/>
      <c r="AF73" s="114"/>
      <c r="AG73" s="200"/>
      <c r="AH73" s="200"/>
      <c r="AI73" s="114"/>
      <c r="AJ73" s="11"/>
      <c r="AK73" s="11"/>
      <c r="AL73" s="11"/>
      <c r="AM73" s="11"/>
      <c r="AN73" s="11"/>
      <c r="AO73" s="11"/>
    </row>
    <row r="74" spans="1:41" x14ac:dyDescent="0.25">
      <c r="A74" s="11" t="s">
        <v>102</v>
      </c>
      <c r="B74" s="11"/>
      <c r="C74" s="102" t="s">
        <v>101</v>
      </c>
      <c r="D74" s="11" t="s">
        <v>106</v>
      </c>
      <c r="E74" s="11"/>
      <c r="F74" s="11" t="s">
        <v>98</v>
      </c>
      <c r="G74" s="11"/>
      <c r="H74" s="11" t="s">
        <v>73</v>
      </c>
      <c r="I74" s="55" t="str">
        <f>IF(_epmOfflineCondition_,"B1",_xll.EVPRO($B$1,$H74,"STYLE"))</f>
        <v>B1</v>
      </c>
      <c r="J74" s="55" t="str">
        <f>IF(_epmOfflineCondition_,"Y",_xll.EVPRO($B$1,$H74,"CALC"))</f>
        <v>Y</v>
      </c>
      <c r="K74" s="11"/>
      <c r="L74" s="11"/>
      <c r="M74" s="11"/>
      <c r="N74" s="101" t="str">
        <f>IF(_epmOfflineCondition_,"Labor &amp; Related Expenses",IF(_xll.EVDES(H74,$B$1)="#NODATA","",_xll.EVDES(H74,$B$1)))</f>
        <v>Labor &amp; Related Expenses</v>
      </c>
      <c r="O74" s="199"/>
      <c r="P74" s="200"/>
      <c r="Q74" s="200"/>
      <c r="R74" s="200"/>
      <c r="S74" s="200"/>
      <c r="T74" s="200"/>
      <c r="U74" s="200"/>
      <c r="V74" s="200"/>
      <c r="W74" s="200"/>
      <c r="X74" s="200"/>
      <c r="Y74" s="200"/>
      <c r="Z74" s="200"/>
      <c r="AA74" s="200"/>
      <c r="AB74" s="406"/>
      <c r="AC74" s="11"/>
      <c r="AD74" s="407"/>
      <c r="AE74" s="408"/>
      <c r="AF74" s="114"/>
      <c r="AG74" s="200"/>
      <c r="AH74" s="408"/>
      <c r="AI74" s="114"/>
      <c r="AJ74" s="11"/>
      <c r="AK74" s="11"/>
      <c r="AL74" s="11"/>
      <c r="AM74" s="11"/>
      <c r="AN74" s="11"/>
      <c r="AO74" s="11"/>
    </row>
    <row r="75" spans="1:41" x14ac:dyDescent="0.25">
      <c r="A75" s="11" t="s">
        <v>102</v>
      </c>
      <c r="B75" s="11"/>
      <c r="C75" s="192" t="s">
        <v>101</v>
      </c>
      <c r="D75" s="11" t="s">
        <v>107</v>
      </c>
      <c r="E75" s="11"/>
      <c r="F75" s="11" t="s">
        <v>99</v>
      </c>
      <c r="G75" s="11"/>
      <c r="H75" s="11" t="s">
        <v>74</v>
      </c>
      <c r="I75" s="55" t="str">
        <f>IF(_epmOfflineCondition_,"B1",_xll.EVPRO($B$1,$H75,"STYLE"))</f>
        <v>B1</v>
      </c>
      <c r="J75" s="55" t="str">
        <f>IF(_epmOfflineCondition_,"Y",_xll.EVPRO($B$1,$H75,"CALC"))</f>
        <v>Y</v>
      </c>
      <c r="K75" s="11"/>
      <c r="L75" s="11"/>
      <c r="M75" s="11"/>
      <c r="N75" s="49" t="str">
        <f>IF(_epmOfflineCondition_,"Salaries &amp; Wages",IF(_xll.EVDES(H75,$B$1)="#NODATA","",_xll.EVDES(H75,$B$1)))</f>
        <v>Salaries &amp; Wages</v>
      </c>
      <c r="O75" s="115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7"/>
      <c r="AC75" s="11"/>
      <c r="AD75" s="115"/>
      <c r="AE75" s="116"/>
      <c r="AF75" s="117"/>
      <c r="AG75" s="116"/>
      <c r="AH75" s="116"/>
      <c r="AI75" s="117"/>
      <c r="AJ75" s="11"/>
      <c r="AK75" s="11"/>
      <c r="AL75" s="11"/>
      <c r="AM75" s="11"/>
      <c r="AN75" s="11"/>
      <c r="AO75" s="11"/>
    </row>
    <row r="76" spans="1:41" hidden="1" x14ac:dyDescent="0.25">
      <c r="A76" s="11" t="s">
        <v>108</v>
      </c>
      <c r="B76" s="11"/>
      <c r="C76" s="102" t="s">
        <v>101</v>
      </c>
      <c r="D76" s="11" t="s">
        <v>106</v>
      </c>
      <c r="E76" s="11"/>
      <c r="F76" s="11" t="s">
        <v>98</v>
      </c>
      <c r="G76" s="11"/>
      <c r="H76" s="84" t="s">
        <v>668</v>
      </c>
      <c r="I76" s="118" t="str">
        <f>IF(_epmOfflineCondition_,"",_xll.EVPRO($B$1,$H76,"STYLE"))</f>
        <v/>
      </c>
      <c r="J76" s="118" t="str">
        <f>IF(_epmOfflineCondition_,"",_xll.EVPRO($B$1,$H76,"CALC"))</f>
        <v/>
      </c>
      <c r="K76" s="175" t="str">
        <f>IF(AND(I76&gt;="T3"),"&gt;","")</f>
        <v/>
      </c>
      <c r="L76" s="86" t="str">
        <f>IF(_epmOfflineCondition_,"",_xll.EVPRO($B$1,H76,"JDEID"))</f>
        <v/>
      </c>
      <c r="M76" s="86" t="str">
        <f>IF(_epmOfflineCondition_,"",IF(AND(I76="N",J76="N"),_xll.EVPRO($B$1,H76,"PSFTID"),""))</f>
        <v/>
      </c>
      <c r="N76" s="86" t="str">
        <f>IF(_epmOfflineCondition_,"",IF(_xll.EVDES(H76,$B$1)="#NODATA","",_xll.EVDES(H76,$B$1)))</f>
        <v/>
      </c>
      <c r="O76" s="240"/>
      <c r="P76" s="240"/>
      <c r="Q76" s="240"/>
      <c r="R76" s="240"/>
      <c r="S76" s="240"/>
      <c r="T76" s="240"/>
      <c r="U76" s="240"/>
      <c r="V76" s="240"/>
      <c r="W76" s="240"/>
      <c r="X76" s="240"/>
      <c r="Y76" s="240"/>
      <c r="Z76" s="240"/>
      <c r="AA76" s="223">
        <f>IF($I76="B1","",SUM(O76:Z76))</f>
        <v>0</v>
      </c>
      <c r="AB76" s="242" t="str">
        <f>IF(AA76=0,"",IFERROR(AA76/AA$19,""))</f>
        <v/>
      </c>
      <c r="AC76" s="136"/>
      <c r="AD76" s="240"/>
      <c r="AE76" s="242" t="str">
        <f>IF(AD76=0,"",IFERROR(AD76/AD$19,""))</f>
        <v/>
      </c>
      <c r="AF76" s="243">
        <f>IF(AND($AA76="",AD76=""),"",$AA76-AD76)</f>
        <v>0</v>
      </c>
      <c r="AG76" s="240"/>
      <c r="AH76" s="242" t="str">
        <f>IF(AG76=0,"",IFERROR(AG76/AG$19,""))</f>
        <v/>
      </c>
      <c r="AI76" s="243">
        <f>IF(AND($AA76="",AG76=""),"",$AA76-AG76)</f>
        <v>0</v>
      </c>
      <c r="AJ76" s="458">
        <f>IFERROR(AA76/AA$20,0)</f>
        <v>0</v>
      </c>
      <c r="AK76" s="459">
        <f>IFERROR(AD76/AD$20,0)</f>
        <v>0</v>
      </c>
      <c r="AL76" s="460">
        <f>IFERROR(AG76/AG$20,0)</f>
        <v>0</v>
      </c>
      <c r="AM76" s="461">
        <f>+IFERROR(ROUND(($AB76-AE76)*100,2)&amp;" pts.",0)</f>
        <v>0</v>
      </c>
      <c r="AN76" s="462">
        <f>+IFERROR(ROUND(($AB76-AH76)*100,2)&amp;" pts.",0)</f>
        <v>0</v>
      </c>
      <c r="AO76" s="11"/>
    </row>
    <row r="77" spans="1:41" hidden="1" x14ac:dyDescent="0.25">
      <c r="A77" s="11" t="s">
        <v>108</v>
      </c>
      <c r="B77" s="11"/>
      <c r="C77" s="192" t="s">
        <v>101</v>
      </c>
      <c r="D77" s="11" t="s">
        <v>107</v>
      </c>
      <c r="E77" s="11"/>
      <c r="F77" s="11" t="s">
        <v>99</v>
      </c>
      <c r="G77" s="11"/>
      <c r="H77" s="84"/>
      <c r="I77" s="118" t="str">
        <f>IF(_epmOfflineCondition_,"",_xll.EVPRO($B$1,$H77,"STYLE"))</f>
        <v/>
      </c>
      <c r="J77" s="118" t="str">
        <f>IF(_epmOfflineCondition_,"",_xll.EVPRO($B$1,$H77,"CALC"))</f>
        <v/>
      </c>
      <c r="K77" s="175" t="str">
        <f>IF(AND(I77&gt;="T3"),"&gt;","")</f>
        <v/>
      </c>
      <c r="L77" s="86" t="str">
        <f>IF(_epmOfflineCondition_,"",_xll.EVPRO($B$1,H77,"JDEID"))</f>
        <v/>
      </c>
      <c r="M77" s="86" t="str">
        <f>IF(_epmOfflineCondition_,"",IF(AND(I77="N",J77="N"),_xll.EVPRO($B$1,H77,"PSFTID"),""))</f>
        <v/>
      </c>
      <c r="N77" s="86" t="str">
        <f>IF(_epmOfflineCondition_,"",IF(_xll.EVDES(H77,$B$1)="#NODATA","",_xll.EVDES(H77,$B$1)))</f>
        <v/>
      </c>
      <c r="O77" s="240"/>
      <c r="P77" s="240"/>
      <c r="Q77" s="240"/>
      <c r="R77" s="240"/>
      <c r="S77" s="240"/>
      <c r="T77" s="240"/>
      <c r="U77" s="240"/>
      <c r="V77" s="240"/>
      <c r="W77" s="240"/>
      <c r="X77" s="240"/>
      <c r="Y77" s="240"/>
      <c r="Z77" s="240"/>
      <c r="AA77" s="223">
        <f>IF($I77="B1","",SUM(O77:Z77))</f>
        <v>0</v>
      </c>
      <c r="AB77" s="242" t="str">
        <f>IF(AA77=0,"",IFERROR(AA77/AA$19,""))</f>
        <v/>
      </c>
      <c r="AC77" s="136"/>
      <c r="AD77" s="240"/>
      <c r="AE77" s="242" t="str">
        <f>IF(AD77=0,"",IFERROR(AD77/AD$19,""))</f>
        <v/>
      </c>
      <c r="AF77" s="243">
        <f>IF(AND($AA77="",AD77=""),"",$AA77-AD77)</f>
        <v>0</v>
      </c>
      <c r="AG77" s="240"/>
      <c r="AH77" s="242" t="str">
        <f>IF(AG77=0,"",IFERROR(AG77/AG$19,""))</f>
        <v/>
      </c>
      <c r="AI77" s="243">
        <f>IF(AND($AA77="",AG77=""),"",$AA77-AG77)</f>
        <v>0</v>
      </c>
      <c r="AJ77" s="458">
        <f>IFERROR(AA77/AA$20,0)</f>
        <v>0</v>
      </c>
      <c r="AK77" s="459">
        <f>IFERROR(AD77/AD$20,0)</f>
        <v>0</v>
      </c>
      <c r="AL77" s="460">
        <f>IFERROR(AG77/AG$20,0)</f>
        <v>0</v>
      </c>
      <c r="AM77" s="461">
        <f>+IFERROR(ROUND(($AB77-AE77)*100,2)&amp;" pts.",0)</f>
        <v>0</v>
      </c>
      <c r="AN77" s="462">
        <f>+IFERROR(ROUND(($AB77-AH77)*100,2)&amp;" pts.",0)</f>
        <v>0</v>
      </c>
      <c r="AO77" s="11"/>
    </row>
    <row r="78" spans="1:41" x14ac:dyDescent="0.25">
      <c r="A78" s="11"/>
      <c r="B78" s="11"/>
      <c r="C78" s="11"/>
      <c r="D78" s="11"/>
      <c r="E78" s="11"/>
      <c r="F78" s="11"/>
      <c r="G78" s="11"/>
      <c r="H78" s="84" t="s">
        <v>75</v>
      </c>
      <c r="I78" s="85" t="str">
        <f>IF(_epmOfflineCondition_,"B1",_xll.EVPRO($B$1,$H78,"STYLE"))</f>
        <v>B1</v>
      </c>
      <c r="J78" s="85" t="str">
        <f>IF(_epmOfflineCondition_,"Y",_xll.EVPRO($B$1,$H78,"CALC"))</f>
        <v>Y</v>
      </c>
      <c r="K78" s="261" t="str">
        <f>IF(AND(I78&gt;="T3"),"&gt;","")</f>
        <v/>
      </c>
      <c r="L78" s="102" t="str">
        <f>IF(_epmOfflineCondition_,"",_xll.EVPRO($B$1,H78,"JDEID"))</f>
        <v/>
      </c>
      <c r="M78" s="86" t="str">
        <f>IF(_epmOfflineCondition_,"",IF(AND(I78="N",J78="N"),_xll.EVPRO($B$1,H78,"PSFTID"),""))</f>
        <v/>
      </c>
      <c r="N78" s="102" t="str">
        <f>IF(_epmOfflineCondition_,"Non-Management",IF(_xll.EVDES(H78,$B$1)="#NODATA","",_xll.EVDES(H78,$B$1)))</f>
        <v>Non-Management</v>
      </c>
      <c r="O78" s="193"/>
      <c r="P78" s="193"/>
      <c r="Q78" s="193"/>
      <c r="R78" s="193"/>
      <c r="S78" s="193"/>
      <c r="T78" s="193"/>
      <c r="U78" s="193"/>
      <c r="V78" s="193"/>
      <c r="W78" s="193"/>
      <c r="X78" s="193"/>
      <c r="Y78" s="193"/>
      <c r="Z78" s="193"/>
      <c r="AA78" s="176" t="str">
        <f>IF($I78="B1","",SUM(O78:Z78))</f>
        <v/>
      </c>
      <c r="AB78" s="194" t="str">
        <f>IF(AA78=0,"",IFERROR(AA78/AA$19,""))</f>
        <v/>
      </c>
      <c r="AC78" s="11"/>
      <c r="AD78" s="193"/>
      <c r="AE78" s="194" t="str">
        <f>IF(AD78=0,"",IFERROR(AD78/AD$19,""))</f>
        <v/>
      </c>
      <c r="AF78" s="195" t="str">
        <f>IF(AND($AA78="",AD78=""),"",$AA78-AD78)</f>
        <v/>
      </c>
      <c r="AG78" s="193"/>
      <c r="AH78" s="194" t="str">
        <f>IF(AG78=0,"",IFERROR(AG78/AG$19,""))</f>
        <v/>
      </c>
      <c r="AI78" s="195" t="str">
        <f>IF(AND($AA78="",AG78=""),"",$AA78-AG78)</f>
        <v/>
      </c>
      <c r="AJ78" s="393">
        <f>IFERROR(AA78/AA$20,0)</f>
        <v>0</v>
      </c>
      <c r="AK78" s="394">
        <f>IFERROR(AD78/AD$20,0)</f>
        <v>0</v>
      </c>
      <c r="AL78" s="395">
        <f>IFERROR(AG78/AG$20,0)</f>
        <v>0</v>
      </c>
      <c r="AM78" s="396">
        <f>+IFERROR(ROUND(($AB78-AE78)*100,2)&amp;" pts.",0)</f>
        <v>0</v>
      </c>
      <c r="AN78" s="397">
        <f>+IFERROR(ROUND(($AB78-AH78)*100,2)&amp;" pts.",0)</f>
        <v>0</v>
      </c>
      <c r="AO78" s="11"/>
    </row>
    <row r="79" spans="1:41" hidden="1" x14ac:dyDescent="0.25">
      <c r="A79" s="11"/>
      <c r="B79" s="11"/>
      <c r="C79" s="204"/>
      <c r="D79" s="11"/>
      <c r="E79" s="11"/>
      <c r="F79" s="11"/>
      <c r="G79" s="11"/>
      <c r="H79" s="84" t="s">
        <v>668</v>
      </c>
      <c r="I79" s="118" t="str">
        <f>IF(_epmOfflineCondition_,"",_xll.EVPRO($B$1,$H79,"STYLE"))</f>
        <v/>
      </c>
      <c r="J79" s="118" t="str">
        <f>IF(_epmOfflineCondition_,"",_xll.EVPRO($B$1,$H79,"CALC"))</f>
        <v/>
      </c>
      <c r="K79" s="175" t="str">
        <f>IF(AND(I79&gt;="T3"),"&gt;","")</f>
        <v/>
      </c>
      <c r="L79" s="86" t="str">
        <f>IF(_epmOfflineCondition_,"",_xll.EVPRO($B$1,H79,"JDEID"))</f>
        <v/>
      </c>
      <c r="M79" s="86" t="str">
        <f>IF(_epmOfflineCondition_,"",IF(AND(I79="N",J79="N"),_xll.EVPRO($B$1,H79,"PSFTID"),""))</f>
        <v/>
      </c>
      <c r="N79" s="86" t="str">
        <f>IF(_epmOfflineCondition_,"",IF(_xll.EVDES(H79,$B$1)="#NODATA","",_xll.EVDES(H79,$B$1)))</f>
        <v/>
      </c>
      <c r="O79" s="248"/>
      <c r="P79" s="248"/>
      <c r="Q79" s="248"/>
      <c r="R79" s="248"/>
      <c r="S79" s="248"/>
      <c r="T79" s="248"/>
      <c r="U79" s="248"/>
      <c r="V79" s="248"/>
      <c r="W79" s="248"/>
      <c r="X79" s="248"/>
      <c r="Y79" s="248"/>
      <c r="Z79" s="248"/>
      <c r="AA79" s="229">
        <f>IF($I79="B1","",SUM(O79:Z79))</f>
        <v>0</v>
      </c>
      <c r="AB79" s="249" t="str">
        <f>IF(AA79=0,"",IFERROR(AA79/AA$19,""))</f>
        <v/>
      </c>
      <c r="AC79" s="136"/>
      <c r="AD79" s="248"/>
      <c r="AE79" s="249" t="str">
        <f>IF(AD79=0,"",IFERROR(AD79/AD$19,""))</f>
        <v/>
      </c>
      <c r="AF79" s="250">
        <f>IF(AND($AA79="",AD79=""),"",$AA79-AD79)</f>
        <v>0</v>
      </c>
      <c r="AG79" s="248"/>
      <c r="AH79" s="249" t="str">
        <f>IF(AG79=0,"",IFERROR(AG79/AG$19,""))</f>
        <v/>
      </c>
      <c r="AI79" s="250">
        <f>IF(AND($AA79="",AG79=""),"",$AA79-AG79)</f>
        <v>0</v>
      </c>
      <c r="AJ79" s="458">
        <f>IFERROR(AA79/AA$20,0)</f>
        <v>0</v>
      </c>
      <c r="AK79" s="459">
        <f>IFERROR(AD79/AD$20,0)</f>
        <v>0</v>
      </c>
      <c r="AL79" s="460">
        <f>IFERROR(AG79/AG$20,0)</f>
        <v>0</v>
      </c>
      <c r="AM79" s="461">
        <f>+IFERROR(ROUND(($AB79-AE79)*100,2)&amp;" pts.",0)</f>
        <v>0</v>
      </c>
      <c r="AN79" s="462">
        <f>+IFERROR(ROUND(($AB79-AH79)*100,2)&amp;" pts.",0)</f>
        <v>0</v>
      </c>
      <c r="AO79" s="11"/>
    </row>
    <row r="80" spans="1:41" hidden="1" x14ac:dyDescent="0.25">
      <c r="A80" s="56" t="str">
        <f>IF(_epmOfflineCondition_,"Evdre:Ok",_xll.EVDRE($B$1,A83:B90,A93:B99))</f>
        <v>Evdre:Ok</v>
      </c>
      <c r="B80" s="11"/>
      <c r="C80" s="11"/>
      <c r="D80" s="11"/>
      <c r="E80" s="11"/>
      <c r="F80" s="11"/>
      <c r="G80" s="11"/>
      <c r="H80" s="84"/>
      <c r="I80" s="118" t="str">
        <f>IF(_epmOfflineCondition_,"",_xll.EVPRO($B$1,$H80,"STYLE"))</f>
        <v/>
      </c>
      <c r="J80" s="118" t="str">
        <f>IF(_epmOfflineCondition_,"",_xll.EVPRO($B$1,$H80,"CALC"))</f>
        <v/>
      </c>
      <c r="K80" s="175" t="str">
        <f>IF(AND(I80&gt;="T3"),"&gt;","")</f>
        <v/>
      </c>
      <c r="L80" s="86" t="str">
        <f>IF(_epmOfflineCondition_,"",_xll.EVPRO($B$1,H80,"JDEID"))</f>
        <v/>
      </c>
      <c r="M80" s="86" t="str">
        <f>IF(_epmOfflineCondition_,"",IF(AND(I80="N",J80="N"),_xll.EVPRO($B$1,H80,"PSFTID"),""))</f>
        <v/>
      </c>
      <c r="N80" s="86" t="str">
        <f>IF(_epmOfflineCondition_,"",IF(_xll.EVDES(H80,$B$1)="#NODATA","",_xll.EVDES(H80,$B$1)))</f>
        <v/>
      </c>
      <c r="O80" s="248"/>
      <c r="P80" s="248"/>
      <c r="Q80" s="248"/>
      <c r="R80" s="248"/>
      <c r="S80" s="248"/>
      <c r="T80" s="248"/>
      <c r="U80" s="248"/>
      <c r="V80" s="248"/>
      <c r="W80" s="248"/>
      <c r="X80" s="248"/>
      <c r="Y80" s="248"/>
      <c r="Z80" s="248"/>
      <c r="AA80" s="229">
        <f>IF($I80="B1","",SUM(O80:Z80))</f>
        <v>0</v>
      </c>
      <c r="AB80" s="249" t="str">
        <f>IF(AA80=0,"",IFERROR(AA80/AA$19,""))</f>
        <v/>
      </c>
      <c r="AC80" s="136"/>
      <c r="AD80" s="248"/>
      <c r="AE80" s="249" t="str">
        <f>IF(AD80=0,"",IFERROR(AD80/AD$19,""))</f>
        <v/>
      </c>
      <c r="AF80" s="250">
        <f>IF(AND($AA80="",AD80=""),"",$AA80-AD80)</f>
        <v>0</v>
      </c>
      <c r="AG80" s="248"/>
      <c r="AH80" s="249" t="str">
        <f>IF(AG80=0,"",IFERROR(AG80/AG$19,""))</f>
        <v/>
      </c>
      <c r="AI80" s="250">
        <f>IF(AND($AA80="",AG80=""),"",$AA80-AG80)</f>
        <v>0</v>
      </c>
      <c r="AJ80" s="458">
        <f>IFERROR(AA80/AA$20,0)</f>
        <v>0</v>
      </c>
      <c r="AK80" s="459">
        <f>IFERROR(AD80/AD$20,0)</f>
        <v>0</v>
      </c>
      <c r="AL80" s="460">
        <f>IFERROR(AG80/AG$20,0)</f>
        <v>0</v>
      </c>
      <c r="AM80" s="461">
        <f>+IFERROR(ROUND(($AB80-AE80)*100,2)&amp;" pts.",0)</f>
        <v>0</v>
      </c>
      <c r="AN80" s="462">
        <f>+IFERROR(ROUND(($AB80-AH80)*100,2)&amp;" pts.",0)</f>
        <v>0</v>
      </c>
      <c r="AO80" s="11"/>
    </row>
    <row r="81" spans="1:41" x14ac:dyDescent="0.25">
      <c r="A81" s="11"/>
      <c r="B81" s="11"/>
      <c r="C81" s="11"/>
      <c r="D81" s="11"/>
      <c r="E81" s="11"/>
      <c r="F81" s="11"/>
      <c r="G81" s="11"/>
      <c r="H81" s="11"/>
      <c r="I81" s="55"/>
      <c r="J81" s="55"/>
      <c r="K81" s="11"/>
      <c r="L81" s="11"/>
      <c r="M81" s="11"/>
      <c r="N81" s="11"/>
      <c r="O81" s="125"/>
      <c r="P81" s="126"/>
      <c r="Q81" s="126"/>
      <c r="R81" s="126"/>
      <c r="S81" s="126"/>
      <c r="T81" s="126"/>
      <c r="U81" s="126"/>
      <c r="V81" s="126"/>
      <c r="W81" s="126"/>
      <c r="X81" s="126"/>
      <c r="Y81" s="126"/>
      <c r="Z81" s="126"/>
      <c r="AA81" s="126"/>
      <c r="AB81" s="127"/>
      <c r="AC81" s="11"/>
      <c r="AD81" s="125"/>
      <c r="AE81" s="126"/>
      <c r="AF81" s="127"/>
      <c r="AG81" s="125"/>
      <c r="AH81" s="126"/>
      <c r="AI81" s="127"/>
      <c r="AJ81" s="11"/>
      <c r="AK81" s="11"/>
      <c r="AL81" s="11"/>
      <c r="AM81" s="11"/>
      <c r="AN81" s="11"/>
      <c r="AO81" s="11"/>
    </row>
    <row r="82" spans="1:41" x14ac:dyDescent="0.25">
      <c r="A82" s="57" t="s">
        <v>0</v>
      </c>
      <c r="B82" s="58" t="s">
        <v>1</v>
      </c>
      <c r="C82" s="11"/>
      <c r="D82" s="11"/>
      <c r="E82" s="11"/>
      <c r="F82" s="11"/>
      <c r="G82" s="11"/>
      <c r="H82" s="11" t="s">
        <v>82</v>
      </c>
      <c r="I82" s="55" t="str">
        <f>IF(_epmOfflineCondition_,"B1",_xll.EVPRO($B$1,$H82,"STYLE"))</f>
        <v>B1</v>
      </c>
      <c r="J82" s="55" t="str">
        <f>IF(_epmOfflineCondition_,"Y",_xll.EVPRO($B$1,$H82,"CALC"))</f>
        <v>Y</v>
      </c>
      <c r="K82" s="11"/>
      <c r="L82" s="11"/>
      <c r="M82" s="11"/>
      <c r="N82" s="101" t="str">
        <f>IF(_epmOfflineCondition_,"Other Expenses",IF(_xll.EVDES(H82,$B$1)="#NODATA","",_xll.EVDES(H82,$B$1)))</f>
        <v>Other Expenses</v>
      </c>
      <c r="O82" s="115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7"/>
      <c r="AC82" s="11"/>
      <c r="AD82" s="115"/>
      <c r="AE82" s="116"/>
      <c r="AF82" s="117"/>
      <c r="AG82" s="115"/>
      <c r="AH82" s="116"/>
      <c r="AI82" s="117"/>
      <c r="AJ82" s="11"/>
      <c r="AK82" s="11"/>
      <c r="AL82" s="11"/>
      <c r="AM82" s="11"/>
      <c r="AN82" s="11"/>
      <c r="AO82" s="11"/>
    </row>
    <row r="83" spans="1:41" hidden="1" x14ac:dyDescent="0.25">
      <c r="A83" s="61" t="s">
        <v>2</v>
      </c>
      <c r="B83" s="62" t="str">
        <f>IF(_epmOfflineCondition_,"'Venue4'!$B$2:$B$10",_xll.EVRNG($B$2:$B$10))</f>
        <v>'Venue4'!$B$2:$B$10</v>
      </c>
      <c r="C83" s="11"/>
      <c r="D83" s="11"/>
      <c r="E83" s="11"/>
      <c r="F83" s="11"/>
      <c r="G83" s="11"/>
      <c r="H83" s="84" t="s">
        <v>668</v>
      </c>
      <c r="I83" s="118" t="str">
        <f>IF(_epmOfflineCondition_,"",_xll.EVPRO($B$1,$H83,"STYLE"))</f>
        <v/>
      </c>
      <c r="J83" s="118" t="str">
        <f>IF(_epmOfflineCondition_,"",_xll.EVPRO($B$1,$H83,"CALC"))</f>
        <v/>
      </c>
      <c r="K83" s="175" t="str">
        <f>IF(AND(I83&lt;&gt;"B1",J83="Y"),"&gt;","")</f>
        <v/>
      </c>
      <c r="L83" s="86" t="str">
        <f>IF(_epmOfflineCondition_,"",_xll.EVPRO($B$1,H83,"JDEID"))</f>
        <v/>
      </c>
      <c r="M83" s="86" t="str">
        <f>IF(_epmOfflineCondition_,"",IF(AND(I83="N",J83="N"),_xll.EVPRO($B$1,H83,"PSFTID"),""))</f>
        <v/>
      </c>
      <c r="N83" s="86" t="str">
        <f>IF(_epmOfflineCondition_,"",IF(_xll.EVDES(H83,$B$1)="#NODATA","",_xll.EVDES(H83,$B$1)))</f>
        <v/>
      </c>
      <c r="O83" s="134"/>
      <c r="P83" s="134"/>
      <c r="Q83" s="134"/>
      <c r="R83" s="134"/>
      <c r="S83" s="134"/>
      <c r="T83" s="134"/>
      <c r="U83" s="134"/>
      <c r="V83" s="134"/>
      <c r="W83" s="134"/>
      <c r="X83" s="134"/>
      <c r="Y83" s="134"/>
      <c r="Z83" s="134"/>
      <c r="AA83" s="223">
        <f>IF($I83="B1","",SUM(O83:Z83))</f>
        <v>0</v>
      </c>
      <c r="AB83" s="138" t="str">
        <f>IF(AA83=0,"",IFERROR(AA83/AA$19,""))</f>
        <v/>
      </c>
      <c r="AC83" s="136"/>
      <c r="AD83" s="134"/>
      <c r="AE83" s="138" t="str">
        <f>IF(AD83=0,"",IFERROR(AD83/AD$19,""))</f>
        <v/>
      </c>
      <c r="AF83" s="137">
        <f>IF(AND($AA83="",AD83=""),"",$AA83-AD83)</f>
        <v>0</v>
      </c>
      <c r="AG83" s="134"/>
      <c r="AH83" s="138" t="str">
        <f>IF(AG83=0,"",IFERROR(AG83/AG$19,""))</f>
        <v/>
      </c>
      <c r="AI83" s="137">
        <f>IF(AND($AA83="",AG83=""),"",$AA83-AG83)</f>
        <v>0</v>
      </c>
      <c r="AJ83" s="458">
        <f>IFERROR(AA83/AA$20,0)</f>
        <v>0</v>
      </c>
      <c r="AK83" s="459">
        <f>IFERROR(AD83/AD$20,0)</f>
        <v>0</v>
      </c>
      <c r="AL83" s="460">
        <f>IFERROR(AG83/AG$20,0)</f>
        <v>0</v>
      </c>
      <c r="AM83" s="461">
        <f>+IFERROR(ROUND(($AB83-AE83)*100,2)&amp;" pts.",0)</f>
        <v>0</v>
      </c>
      <c r="AN83" s="462">
        <f>+IFERROR(ROUND(($AB83-AH83)*100,2)&amp;" pts.",0)</f>
        <v>0</v>
      </c>
      <c r="AO83" s="11"/>
    </row>
    <row r="84" spans="1:41" hidden="1" x14ac:dyDescent="0.25">
      <c r="A84" s="61" t="s">
        <v>3</v>
      </c>
      <c r="B84" s="62" t="str">
        <f>IF(_epmOfflineCondition_,"'Venue4'!$O$16:$AN$18",_xll.EVRNG($O$16:$AN$18))</f>
        <v>'Venue4'!$O$16:$AN$18</v>
      </c>
      <c r="C84" s="11"/>
      <c r="D84" s="11"/>
      <c r="E84" s="11"/>
      <c r="F84" s="11"/>
      <c r="G84" s="11"/>
      <c r="H84" s="84"/>
      <c r="I84" s="118" t="str">
        <f>IF(_epmOfflineCondition_,"",_xll.EVPRO($B$1,$H84,"STYLE"))</f>
        <v/>
      </c>
      <c r="J84" s="118" t="str">
        <f>IF(_epmOfflineCondition_,"",_xll.EVPRO($B$1,$H84,"CALC"))</f>
        <v/>
      </c>
      <c r="K84" s="175" t="str">
        <f>IF(AND(I84&lt;&gt;"B1",J84="Y"),"&gt;","")</f>
        <v/>
      </c>
      <c r="L84" s="86" t="str">
        <f>IF(_epmOfflineCondition_,"",_xll.EVPRO($B$1,H84,"JDEID"))</f>
        <v/>
      </c>
      <c r="M84" s="86" t="str">
        <f>IF(_epmOfflineCondition_,"",IF(AND(I84="N",J84="N"),_xll.EVPRO($B$1,H84,"PSFTID"),""))</f>
        <v/>
      </c>
      <c r="N84" s="86" t="str">
        <f>IF(_epmOfflineCondition_,"",IF(_xll.EVDES(H84,$B$1)="#NODATA","",_xll.EVDES(H84,$B$1)))</f>
        <v/>
      </c>
      <c r="O84" s="134"/>
      <c r="P84" s="134"/>
      <c r="Q84" s="134"/>
      <c r="R84" s="134"/>
      <c r="S84" s="134"/>
      <c r="T84" s="134"/>
      <c r="U84" s="134"/>
      <c r="V84" s="134"/>
      <c r="W84" s="134"/>
      <c r="X84" s="134"/>
      <c r="Y84" s="134"/>
      <c r="Z84" s="134"/>
      <c r="AA84" s="223">
        <f>IF($I84="B1","",SUM(O84:Z84))</f>
        <v>0</v>
      </c>
      <c r="AB84" s="138" t="str">
        <f>IF(AA84=0,"",IFERROR(AA84/AA$19,""))</f>
        <v/>
      </c>
      <c r="AC84" s="136"/>
      <c r="AD84" s="134"/>
      <c r="AE84" s="138" t="str">
        <f>IF(AD84=0,"",IFERROR(AD84/AD$19,""))</f>
        <v/>
      </c>
      <c r="AF84" s="137">
        <f>IF(AND($AA84="",AD84=""),"",$AA84-AD84)</f>
        <v>0</v>
      </c>
      <c r="AG84" s="134"/>
      <c r="AH84" s="138" t="str">
        <f>IF(AG84=0,"",IFERROR(AG84/AG$19,""))</f>
        <v/>
      </c>
      <c r="AI84" s="137">
        <f>IF(AND($AA84="",AG84=""),"",$AA84-AG84)</f>
        <v>0</v>
      </c>
      <c r="AJ84" s="458">
        <f>IFERROR(AA84/AA$20,0)</f>
        <v>0</v>
      </c>
      <c r="AK84" s="459">
        <f>IFERROR(AD84/AD$20,0)</f>
        <v>0</v>
      </c>
      <c r="AL84" s="460">
        <f>IFERROR(AG84/AG$20,0)</f>
        <v>0</v>
      </c>
      <c r="AM84" s="461">
        <f>+IFERROR(ROUND(($AB84-AE84)*100,2)&amp;" pts.",0)</f>
        <v>0</v>
      </c>
      <c r="AN84" s="462">
        <f>+IFERROR(ROUND(($AB84-AH84)*100,2)&amp;" pts.",0)</f>
        <v>0</v>
      </c>
      <c r="AO84" s="11"/>
    </row>
    <row r="85" spans="1:41" x14ac:dyDescent="0.25">
      <c r="A85" s="61" t="s">
        <v>4</v>
      </c>
      <c r="B85" s="62" t="str">
        <f>IF(_epmOfflineCondition_,"'Venue4'!$H$76:$H$77,'Venue4'!$H$79:$H$80,'Venue4'!$H$83:$H$84",_xll.EVRNG(H76:H77,H79:H80,H83:H84))</f>
        <v>'Venue4'!$H$76:$H$77,'Venue4'!$H$79:$H$80,'Venue4'!$H$83:$H$84</v>
      </c>
      <c r="C85" s="11"/>
      <c r="D85" s="11"/>
      <c r="E85" s="11"/>
      <c r="F85" s="11"/>
      <c r="G85" s="11"/>
      <c r="H85" s="84" t="s">
        <v>79</v>
      </c>
      <c r="I85" s="132" t="str">
        <f>IF(_epmOfflineCondition_,"T3",_xll.EVPRO($B$1,$H85,"STYLE"))</f>
        <v>T3</v>
      </c>
      <c r="J85" s="132" t="str">
        <f>IF(_epmOfflineCondition_,"Y",_xll.EVPRO($B$1,$H85,"CALC"))</f>
        <v>Y</v>
      </c>
      <c r="K85" s="100"/>
      <c r="L85" s="100"/>
      <c r="M85" s="100"/>
      <c r="N85" s="102" t="str">
        <f>IF(_epmOfflineCondition_,"Total Operations Expense",IF(_xll.EVDES(H85,$B$1)="#NODATA","",_xll.EVDES(H85,$B$1)))</f>
        <v>Total Operations Expense</v>
      </c>
      <c r="O85" s="146"/>
      <c r="P85" s="146"/>
      <c r="Q85" s="146"/>
      <c r="R85" s="146"/>
      <c r="S85" s="146"/>
      <c r="T85" s="146"/>
      <c r="U85" s="146"/>
      <c r="V85" s="146"/>
      <c r="W85" s="146"/>
      <c r="X85" s="146"/>
      <c r="Y85" s="146"/>
      <c r="Z85" s="146"/>
      <c r="AA85" s="146">
        <f>IF($I85="B1","",SUM(O85:Z85))</f>
        <v>0</v>
      </c>
      <c r="AB85" s="147" t="str">
        <f>IF(AA85=0,"",IFERROR(AA85/AA$19,""))</f>
        <v/>
      </c>
      <c r="AC85" s="136"/>
      <c r="AD85" s="146"/>
      <c r="AE85" s="147" t="str">
        <f>IF(AD85=0,"",IFERROR(AD85/AD$19,""))</f>
        <v/>
      </c>
      <c r="AF85" s="148">
        <f>IF(AND($AA85="",AD85=""),"",$AA85-AD85)</f>
        <v>0</v>
      </c>
      <c r="AG85" s="146"/>
      <c r="AH85" s="147" t="str">
        <f>IF(AG85=0,"",IFERROR(AG85/AG$19,""))</f>
        <v/>
      </c>
      <c r="AI85" s="148">
        <f>IF(AND($AA85="",AG85=""),"",$AA85-AG85)</f>
        <v>0</v>
      </c>
      <c r="AJ85" s="431">
        <f>IFERROR(AA85/AA$20,0)</f>
        <v>0</v>
      </c>
      <c r="AK85" s="432">
        <f>IFERROR(AD85/AD$20,0)</f>
        <v>0</v>
      </c>
      <c r="AL85" s="433">
        <f>IFERROR(AG85/AG$20,0)</f>
        <v>0</v>
      </c>
      <c r="AM85" s="434">
        <f>+IFERROR(ROUND(($AB85-AE85)*100,2)&amp;" pts.",0)</f>
        <v>0</v>
      </c>
      <c r="AN85" s="550">
        <f>+IFERROR(ROUND(($AB85-AH85)*100,2)&amp;" pts.",0)</f>
        <v>0</v>
      </c>
      <c r="AO85" s="11"/>
    </row>
    <row r="86" spans="1:41" x14ac:dyDescent="0.25">
      <c r="A86" s="61" t="s">
        <v>5</v>
      </c>
      <c r="B86" s="62"/>
      <c r="C86" s="11"/>
      <c r="D86" s="11"/>
      <c r="E86" s="11"/>
      <c r="F86" s="11"/>
      <c r="G86" s="11"/>
      <c r="H86" s="11"/>
      <c r="I86" s="55"/>
      <c r="J86" s="55"/>
      <c r="K86" s="11"/>
      <c r="L86" s="11"/>
      <c r="M86" s="11"/>
      <c r="N86" s="11"/>
      <c r="O86" s="136"/>
      <c r="P86" s="136"/>
      <c r="Q86" s="136"/>
      <c r="R86" s="136"/>
      <c r="S86" s="136"/>
      <c r="T86" s="136"/>
      <c r="U86" s="136"/>
      <c r="V86" s="136"/>
      <c r="W86" s="136"/>
      <c r="X86" s="136"/>
      <c r="Y86" s="136"/>
      <c r="Z86" s="136"/>
      <c r="AA86" s="136"/>
      <c r="AB86" s="136"/>
      <c r="AC86" s="136"/>
      <c r="AD86" s="136"/>
      <c r="AE86" s="136"/>
      <c r="AF86" s="136"/>
      <c r="AG86" s="136"/>
      <c r="AH86" s="136"/>
      <c r="AI86" s="136"/>
      <c r="AJ86" s="136"/>
      <c r="AK86" s="136"/>
      <c r="AL86" s="136"/>
      <c r="AM86" s="136"/>
      <c r="AN86" s="136"/>
      <c r="AO86" s="11"/>
    </row>
    <row r="87" spans="1:41" x14ac:dyDescent="0.25">
      <c r="A87" s="61" t="s">
        <v>6</v>
      </c>
      <c r="B87" s="62"/>
      <c r="C87" s="11"/>
      <c r="D87" s="11"/>
      <c r="E87" s="11"/>
      <c r="F87" s="11"/>
      <c r="G87" s="11"/>
      <c r="H87" s="84" t="s">
        <v>80</v>
      </c>
      <c r="I87" s="132" t="str">
        <f>IF(_epmOfflineCondition_,"T3",_xll.EVPRO($B$1,$H87,"STYLE"))</f>
        <v>T3</v>
      </c>
      <c r="J87" s="132" t="str">
        <f>IF(_epmOfflineCondition_,"Y",_xll.EVPRO($B$1,$H87,"CALC"))</f>
        <v>Y</v>
      </c>
      <c r="K87" s="102"/>
      <c r="L87" s="102"/>
      <c r="M87" s="102"/>
      <c r="N87" s="102" t="str">
        <f>IF(_epmOfflineCondition_,"Total Expenses",IF(_xll.EVDES(H87,$B$1)="#NODATA","",_xll.EVDES(H87,$B$1)))</f>
        <v>Total Expenses</v>
      </c>
      <c r="O87" s="210"/>
      <c r="P87" s="210"/>
      <c r="Q87" s="210"/>
      <c r="R87" s="210"/>
      <c r="S87" s="210"/>
      <c r="T87" s="210"/>
      <c r="U87" s="210"/>
      <c r="V87" s="210"/>
      <c r="W87" s="210"/>
      <c r="X87" s="210"/>
      <c r="Y87" s="210"/>
      <c r="Z87" s="210"/>
      <c r="AA87" s="210">
        <f>IF($I87="B1","",SUM(O87:Z87))</f>
        <v>0</v>
      </c>
      <c r="AB87" s="211" t="str">
        <f>IF(AA87=0,"",IFERROR(AA87/AA$19,""))</f>
        <v/>
      </c>
      <c r="AC87" s="136"/>
      <c r="AD87" s="210"/>
      <c r="AE87" s="211" t="str">
        <f>IF(AD87=0,"",IFERROR(AD87/AD$19,""))</f>
        <v/>
      </c>
      <c r="AF87" s="212">
        <f>IF(AND($AA87="",AD87=""),"",$AA87-AD87)</f>
        <v>0</v>
      </c>
      <c r="AG87" s="213"/>
      <c r="AH87" s="214" t="str">
        <f>IF(AG87=0,"",IFERROR(AG87/AG$19,""))</f>
        <v/>
      </c>
      <c r="AI87" s="212">
        <f>IF(AND($AA87="",AG87=""),"",$AA87-AG87)</f>
        <v>0</v>
      </c>
      <c r="AJ87" s="437">
        <f>IFERROR(AA87/AA$20,0)</f>
        <v>0</v>
      </c>
      <c r="AK87" s="438">
        <f>IFERROR(AD87/AD$20,0)</f>
        <v>0</v>
      </c>
      <c r="AL87" s="439">
        <f>IFERROR(AG87/AG$20,0)</f>
        <v>0</v>
      </c>
      <c r="AM87" s="440">
        <f>+IFERROR(ROUND(($AB87-AE87)*100,2)&amp;" pts.",0)</f>
        <v>0</v>
      </c>
      <c r="AN87" s="551">
        <f>+IFERROR(ROUND(($AB87-AH87)*100,2)&amp;" pts.",0)</f>
        <v>0</v>
      </c>
      <c r="AO87" s="11"/>
    </row>
    <row r="88" spans="1:41" ht="15.75" thickBot="1" x14ac:dyDescent="0.3">
      <c r="A88" s="61" t="s">
        <v>7</v>
      </c>
      <c r="B88" s="62" t="str">
        <f>IF(_epmOfflineCondition_,"'Venue4'!$A$102:$F$108",_xll.EVRNG(A102:F108))</f>
        <v>'Venue4'!$A$102:$F$108</v>
      </c>
      <c r="C88" s="11"/>
      <c r="D88" s="11"/>
      <c r="E88" s="11"/>
      <c r="F88" s="11"/>
      <c r="G88" s="11"/>
      <c r="H88" s="84" t="s">
        <v>81</v>
      </c>
      <c r="I88" s="132" t="str">
        <f>IF(_epmOfflineCondition_,"T3",_xll.EVPRO($B$1,$H88,"STYLE"))</f>
        <v>T3</v>
      </c>
      <c r="J88" s="132" t="str">
        <f>IF(_epmOfflineCondition_,"Y",_xll.EVPRO($B$1,$H88,"CALC"))</f>
        <v>Y</v>
      </c>
      <c r="K88" s="102"/>
      <c r="L88" s="102"/>
      <c r="M88" s="102"/>
      <c r="N88" s="102" t="str">
        <f>IF(_epmOfflineCondition_,"Department Profit (Loss)",IF(_xll.EVDES(H88,$B$1)="#NODATA","",_xll.EVDES(H88,$B$1)))</f>
        <v>Department Profit (Loss)</v>
      </c>
      <c r="O88" s="161"/>
      <c r="P88" s="161"/>
      <c r="Q88" s="161"/>
      <c r="R88" s="161"/>
      <c r="S88" s="161"/>
      <c r="T88" s="161"/>
      <c r="U88" s="161"/>
      <c r="V88" s="161"/>
      <c r="W88" s="161"/>
      <c r="X88" s="161"/>
      <c r="Y88" s="161"/>
      <c r="Z88" s="161"/>
      <c r="AA88" s="161">
        <f>IF($I88="B1","",SUM(O88:Z88))</f>
        <v>0</v>
      </c>
      <c r="AB88" s="162" t="str">
        <f>IF(AA88=0,"",IFERROR(AA88/AA$19,""))</f>
        <v/>
      </c>
      <c r="AC88" s="136"/>
      <c r="AD88" s="161"/>
      <c r="AE88" s="162" t="str">
        <f>IF(AD88=0,"",IFERROR(AD88/AD$19,""))</f>
        <v/>
      </c>
      <c r="AF88" s="163">
        <f>IF(AND($AA88="",AD88=""),"",$AA88-AD88)</f>
        <v>0</v>
      </c>
      <c r="AG88" s="161"/>
      <c r="AH88" s="162" t="str">
        <f>IF(AG88=0,"",IFERROR(AG88/AG$19,""))</f>
        <v/>
      </c>
      <c r="AI88" s="163">
        <f>IF(AND($AA88="",AG88=""),"",$AA88-AG88)</f>
        <v>0</v>
      </c>
      <c r="AJ88" s="442">
        <f>IFERROR(AA88/AA$20,0)</f>
        <v>0</v>
      </c>
      <c r="AK88" s="443">
        <f>IFERROR(AD88/AD$20,0)</f>
        <v>0</v>
      </c>
      <c r="AL88" s="444">
        <f>IFERROR(AG88/AG$20,0)</f>
        <v>0</v>
      </c>
      <c r="AM88" s="445">
        <f>+IFERROR(ROUND(($AB88-AE88)*100,2)&amp;" pts.",0)</f>
        <v>0</v>
      </c>
      <c r="AN88" s="552">
        <f>+IFERROR(ROUND(($AB88-AH88)*100,2)&amp;" pts.",0)</f>
        <v>0</v>
      </c>
      <c r="AO88" s="11"/>
    </row>
    <row r="89" spans="1:41" ht="15.75" thickTop="1" x14ac:dyDescent="0.25">
      <c r="A89" s="61" t="s">
        <v>47</v>
      </c>
      <c r="B89" s="62" t="str">
        <f>IF(_epmOfflineCondition_,"'Venue4'!$A$125:$B$146",_xll.EVRNG($A$125:$B$146))</f>
        <v>'Venue4'!$A$125:$B$146</v>
      </c>
      <c r="C89" s="11"/>
      <c r="D89" s="11"/>
      <c r="E89" s="11"/>
      <c r="F89" s="11"/>
      <c r="G89" s="11"/>
      <c r="H89" s="11"/>
      <c r="I89" s="55"/>
      <c r="J89" s="55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x14ac:dyDescent="0.25">
      <c r="A90" s="61" t="s">
        <v>8</v>
      </c>
      <c r="B90" s="62"/>
      <c r="C90" s="11"/>
      <c r="D90" s="11"/>
      <c r="E90" s="11"/>
      <c r="F90" s="11"/>
      <c r="G90" s="11"/>
      <c r="H90" s="11"/>
      <c r="I90" s="55"/>
      <c r="J90" s="55"/>
      <c r="K90" s="11"/>
      <c r="L90" s="11"/>
      <c r="M90" s="11"/>
      <c r="N90" s="100" t="str">
        <f>N87&amp;" - Check"</f>
        <v>Total Expenses - Check</v>
      </c>
      <c r="O90" s="205">
        <f t="shared" ref="O90:AA90" si="22">SUMIF($H$35:$H$88,"600000",O$35:O$88)+SUMIF($H$35:$H$88,"700000",O$35:O$88)-SUMIF($H$35:$H$88,"TOTDEPTEXP",O$35:O$88)</f>
        <v>0</v>
      </c>
      <c r="P90" s="205">
        <f t="shared" si="22"/>
        <v>0</v>
      </c>
      <c r="Q90" s="205">
        <f t="shared" si="22"/>
        <v>0</v>
      </c>
      <c r="R90" s="205">
        <f t="shared" si="22"/>
        <v>0</v>
      </c>
      <c r="S90" s="205">
        <f t="shared" si="22"/>
        <v>0</v>
      </c>
      <c r="T90" s="205">
        <f t="shared" si="22"/>
        <v>0</v>
      </c>
      <c r="U90" s="205">
        <f t="shared" si="22"/>
        <v>0</v>
      </c>
      <c r="V90" s="205">
        <f t="shared" si="22"/>
        <v>0</v>
      </c>
      <c r="W90" s="205">
        <f t="shared" si="22"/>
        <v>0</v>
      </c>
      <c r="X90" s="205">
        <f t="shared" si="22"/>
        <v>0</v>
      </c>
      <c r="Y90" s="205">
        <f t="shared" si="22"/>
        <v>0</v>
      </c>
      <c r="Z90" s="205">
        <f t="shared" si="22"/>
        <v>0</v>
      </c>
      <c r="AA90" s="205">
        <f t="shared" si="22"/>
        <v>0</v>
      </c>
      <c r="AB90" s="96"/>
      <c r="AC90" s="11"/>
      <c r="AD90" s="205">
        <f>SUMIF($H$35:$H$88,"600000",AD$35:AD$88)+SUMIF($H$35:$H$88,"700000",AD$35:AD$88)-SUMIF($H$35:$H$88,"TOTDEPTEXP",AD$35:AD$88)</f>
        <v>0</v>
      </c>
      <c r="AE90" s="96"/>
      <c r="AF90" s="87"/>
      <c r="AG90" s="205">
        <f>SUMIF($H$35:$H$88,"600000",AG$35:AG$88)+SUMIF($H$35:$H$88,"700000",AG$35:AG$88)-SUMIF($H$35:$H$88,"TOTDEPTEXP",AG$35:AG$88)</f>
        <v>0</v>
      </c>
      <c r="AH90" s="96"/>
      <c r="AI90" s="87"/>
      <c r="AJ90" s="11"/>
      <c r="AK90" s="11"/>
      <c r="AL90" s="11"/>
      <c r="AM90" s="11"/>
      <c r="AN90" s="11"/>
      <c r="AO90" s="11"/>
    </row>
    <row r="91" spans="1:41" x14ac:dyDescent="0.25">
      <c r="A91" s="11"/>
      <c r="B91" s="11"/>
      <c r="C91" s="11"/>
      <c r="D91" s="11"/>
      <c r="E91" s="11"/>
      <c r="F91" s="11"/>
      <c r="G91" s="72"/>
      <c r="H91" s="11"/>
      <c r="I91" s="55"/>
      <c r="J91" s="55"/>
      <c r="K91" s="11"/>
      <c r="L91" s="11"/>
      <c r="M91" s="11"/>
      <c r="N91" s="100" t="str">
        <f>N88&amp;" - Check"</f>
        <v>Department Profit (Loss) - Check</v>
      </c>
      <c r="O91" s="205">
        <f t="shared" ref="O91:AA91" si="23">SUMIF($H$35:$H$88,"KPI_GP",O$35:O$88)-SUMIF($H$35:$H$88,"TOTDEPTEXP",O$35:O$88)-SUMIF($H$35:$H$88,"TOTDEPTPL",O$35:O$88)</f>
        <v>0</v>
      </c>
      <c r="P91" s="205">
        <f t="shared" si="23"/>
        <v>0</v>
      </c>
      <c r="Q91" s="205">
        <f t="shared" si="23"/>
        <v>0</v>
      </c>
      <c r="R91" s="205">
        <f t="shared" si="23"/>
        <v>0</v>
      </c>
      <c r="S91" s="205">
        <f t="shared" si="23"/>
        <v>0</v>
      </c>
      <c r="T91" s="205">
        <f t="shared" si="23"/>
        <v>0</v>
      </c>
      <c r="U91" s="205">
        <f t="shared" si="23"/>
        <v>0</v>
      </c>
      <c r="V91" s="205">
        <f t="shared" si="23"/>
        <v>0</v>
      </c>
      <c r="W91" s="205">
        <f t="shared" si="23"/>
        <v>0</v>
      </c>
      <c r="X91" s="205">
        <f t="shared" si="23"/>
        <v>0</v>
      </c>
      <c r="Y91" s="205">
        <f t="shared" si="23"/>
        <v>0</v>
      </c>
      <c r="Z91" s="205">
        <f t="shared" si="23"/>
        <v>0</v>
      </c>
      <c r="AA91" s="205">
        <f t="shared" si="23"/>
        <v>0</v>
      </c>
      <c r="AB91" s="96"/>
      <c r="AC91" s="11"/>
      <c r="AD91" s="205">
        <f>SUMIF($H$35:$H$88,"KPI_GP",AD$35:AD$88)-SUMIF($H$35:$H$88,"TOTDEPTEXP",AD$35:AD$88)-SUMIF($H$35:$H$88,"TOTDEPTPL",AD$35:AD$88)</f>
        <v>0</v>
      </c>
      <c r="AE91" s="96"/>
      <c r="AF91" s="87"/>
      <c r="AG91" s="205">
        <f>SUMIF($H$35:$H$88,"KPI_GP",AG$35:AG$88)-SUMIF($H$35:$H$88,"TOTDEPTEXP",AG$35:AG$88)-SUMIF($H$35:$H$88,"TOTDEPTPL",AG$35:AG$88)</f>
        <v>0</v>
      </c>
      <c r="AH91" s="96"/>
      <c r="AI91" s="87"/>
      <c r="AJ91" s="11"/>
      <c r="AK91" s="11"/>
      <c r="AL91" s="11"/>
      <c r="AM91" s="11"/>
      <c r="AN91" s="11"/>
      <c r="AO91" s="11"/>
    </row>
    <row r="92" spans="1:41" x14ac:dyDescent="0.25">
      <c r="A92" s="57" t="s">
        <v>9</v>
      </c>
      <c r="B92" s="58" t="s">
        <v>10</v>
      </c>
      <c r="C92" s="11"/>
      <c r="D92" s="11"/>
      <c r="E92" s="11"/>
      <c r="F92" s="11"/>
      <c r="G92" s="11"/>
      <c r="H92" s="11"/>
      <c r="I92" s="55"/>
      <c r="J92" s="55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x14ac:dyDescent="0.25">
      <c r="A93" s="61" t="s">
        <v>11</v>
      </c>
      <c r="B93" s="62" t="s">
        <v>21</v>
      </c>
      <c r="C93" s="11"/>
      <c r="D93" s="11"/>
      <c r="E93" s="11"/>
      <c r="F93" s="11"/>
      <c r="G93" s="11"/>
      <c r="H93" s="11"/>
      <c r="I93" s="55"/>
      <c r="J93" s="55"/>
      <c r="K93" s="11"/>
      <c r="L93" s="11"/>
      <c r="M93" s="11"/>
      <c r="N93" s="11"/>
      <c r="O93" s="133"/>
      <c r="P93" s="133"/>
      <c r="Q93" s="133"/>
      <c r="R93" s="133"/>
      <c r="S93" s="133"/>
      <c r="T93" s="133"/>
      <c r="U93" s="133"/>
      <c r="V93" s="133"/>
      <c r="W93" s="133"/>
      <c r="X93" s="133"/>
      <c r="Y93" s="133"/>
      <c r="Z93" s="133"/>
      <c r="AA93" s="133"/>
      <c r="AB93" s="11"/>
      <c r="AC93" s="11"/>
      <c r="AD93" s="133"/>
      <c r="AE93" s="11"/>
      <c r="AF93" s="11"/>
      <c r="AG93" s="133"/>
      <c r="AH93" s="11"/>
      <c r="AI93" s="11"/>
      <c r="AJ93" s="11"/>
      <c r="AK93" s="11"/>
      <c r="AL93" s="11"/>
      <c r="AM93" s="11"/>
      <c r="AN93" s="11"/>
      <c r="AO93" s="11"/>
    </row>
    <row r="94" spans="1:41" x14ac:dyDescent="0.25">
      <c r="A94" s="61" t="s">
        <v>12</v>
      </c>
      <c r="B94" s="62" t="s">
        <v>22</v>
      </c>
      <c r="C94" s="11"/>
      <c r="D94" s="11"/>
      <c r="E94" s="11"/>
      <c r="F94" s="11"/>
      <c r="G94" s="11"/>
      <c r="H94" s="11"/>
      <c r="I94" s="55"/>
      <c r="J94" s="55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x14ac:dyDescent="0.25">
      <c r="A95" s="61" t="s">
        <v>13</v>
      </c>
      <c r="B95" s="62" t="s">
        <v>738</v>
      </c>
      <c r="C95" s="11"/>
      <c r="D95" s="11"/>
      <c r="E95" s="11"/>
      <c r="F95" s="11"/>
      <c r="G95" s="11"/>
      <c r="H95" s="11"/>
      <c r="I95" s="55"/>
      <c r="J95" s="55"/>
      <c r="K95" s="11"/>
      <c r="L95" s="11"/>
      <c r="M95" s="11"/>
      <c r="N95" s="11"/>
      <c r="O95" s="133"/>
      <c r="P95" s="133"/>
      <c r="Q95" s="133"/>
      <c r="R95" s="133"/>
      <c r="S95" s="133"/>
      <c r="T95" s="133"/>
      <c r="U95" s="133"/>
      <c r="V95" s="133"/>
      <c r="W95" s="133"/>
      <c r="X95" s="133"/>
      <c r="Y95" s="133"/>
      <c r="Z95" s="133"/>
      <c r="AA95" s="133"/>
      <c r="AB95" s="11"/>
      <c r="AC95" s="11"/>
      <c r="AD95" s="133"/>
      <c r="AE95" s="11"/>
      <c r="AF95" s="11"/>
      <c r="AG95" s="133"/>
      <c r="AH95" s="11"/>
      <c r="AI95" s="11"/>
      <c r="AJ95" s="11"/>
      <c r="AK95" s="11"/>
      <c r="AL95" s="11"/>
      <c r="AM95" s="11"/>
      <c r="AN95" s="11"/>
      <c r="AO95" s="11"/>
    </row>
    <row r="96" spans="1:41" x14ac:dyDescent="0.25">
      <c r="A96" s="61" t="s">
        <v>14</v>
      </c>
      <c r="B96" s="62"/>
      <c r="C96" s="11"/>
      <c r="D96" s="11"/>
      <c r="E96" s="11"/>
      <c r="F96" s="11"/>
      <c r="G96" s="11"/>
      <c r="H96" s="11"/>
      <c r="I96" s="55"/>
      <c r="J96" s="55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x14ac:dyDescent="0.25">
      <c r="A97" s="61" t="s">
        <v>15</v>
      </c>
      <c r="B97" s="62"/>
      <c r="C97" s="11"/>
      <c r="D97" s="11"/>
      <c r="E97" s="11"/>
      <c r="F97" s="11"/>
      <c r="G97" s="11"/>
      <c r="H97" s="11"/>
      <c r="I97" s="55"/>
      <c r="J97" s="55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x14ac:dyDescent="0.25">
      <c r="A98" s="61" t="s">
        <v>16</v>
      </c>
      <c r="B98" s="62" t="s">
        <v>78</v>
      </c>
      <c r="C98" s="11"/>
      <c r="D98" s="11"/>
      <c r="E98" s="11"/>
      <c r="F98" s="11"/>
      <c r="G98" s="11"/>
      <c r="H98" s="55"/>
      <c r="I98" s="55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x14ac:dyDescent="0.25">
      <c r="A99" s="61" t="s">
        <v>17</v>
      </c>
      <c r="B99" s="62"/>
      <c r="C99" s="11"/>
      <c r="D99" s="11"/>
      <c r="E99" s="11"/>
      <c r="F99" s="11"/>
      <c r="G99" s="11"/>
      <c r="H99" s="55"/>
      <c r="I99" s="55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x14ac:dyDescent="0.25">
      <c r="A100" s="11"/>
      <c r="B100" s="11"/>
      <c r="C100" s="11"/>
      <c r="D100" s="11"/>
      <c r="E100" s="11"/>
      <c r="F100" s="11"/>
      <c r="G100" s="11"/>
      <c r="H100" s="55"/>
      <c r="I100" s="55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x14ac:dyDescent="0.25">
      <c r="A101" s="93" t="s">
        <v>92</v>
      </c>
      <c r="B101" s="94" t="s">
        <v>93</v>
      </c>
      <c r="C101" s="94" t="s">
        <v>94</v>
      </c>
      <c r="D101" s="94" t="s">
        <v>95</v>
      </c>
      <c r="E101" s="94" t="s">
        <v>96</v>
      </c>
      <c r="F101" s="95" t="s">
        <v>97</v>
      </c>
      <c r="G101" s="11"/>
      <c r="H101" s="55"/>
      <c r="I101" s="55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x14ac:dyDescent="0.25">
      <c r="A102" s="11"/>
      <c r="B102" s="11"/>
      <c r="C102" s="11"/>
      <c r="D102" s="11"/>
      <c r="E102" s="11"/>
      <c r="F102" s="11"/>
      <c r="G102" s="11"/>
      <c r="H102" s="55"/>
      <c r="I102" s="55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x14ac:dyDescent="0.25">
      <c r="A103" s="11" t="s">
        <v>108</v>
      </c>
      <c r="B103" s="11"/>
      <c r="C103" s="100" t="s">
        <v>101</v>
      </c>
      <c r="D103" s="11" t="s">
        <v>106</v>
      </c>
      <c r="E103" s="11"/>
      <c r="F103" s="11" t="s">
        <v>98</v>
      </c>
      <c r="G103" s="11"/>
      <c r="H103" s="55"/>
      <c r="I103" s="55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x14ac:dyDescent="0.25">
      <c r="A104" s="11" t="s">
        <v>100</v>
      </c>
      <c r="B104" s="11"/>
      <c r="C104" s="49" t="s">
        <v>101</v>
      </c>
      <c r="D104" s="11" t="s">
        <v>106</v>
      </c>
      <c r="E104" s="11"/>
      <c r="F104" s="11" t="s">
        <v>98</v>
      </c>
      <c r="G104" s="11"/>
      <c r="H104" s="55"/>
      <c r="I104" s="55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x14ac:dyDescent="0.25">
      <c r="A105" s="11" t="s">
        <v>109</v>
      </c>
      <c r="B105" s="11"/>
      <c r="C105" s="102" t="s">
        <v>101</v>
      </c>
      <c r="D105" s="11" t="s">
        <v>106</v>
      </c>
      <c r="E105" s="11"/>
      <c r="F105" s="11" t="s">
        <v>98</v>
      </c>
      <c r="G105" s="72"/>
      <c r="H105" s="55"/>
      <c r="I105" s="55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x14ac:dyDescent="0.25">
      <c r="A106" s="11" t="s">
        <v>109</v>
      </c>
      <c r="B106" s="11"/>
      <c r="C106" s="192" t="s">
        <v>101</v>
      </c>
      <c r="D106" s="11" t="s">
        <v>107</v>
      </c>
      <c r="E106" s="11"/>
      <c r="F106" s="11" t="s">
        <v>99</v>
      </c>
      <c r="G106" s="11"/>
      <c r="H106" s="55"/>
      <c r="I106" s="55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x14ac:dyDescent="0.25">
      <c r="A107" s="11" t="s">
        <v>110</v>
      </c>
      <c r="B107" s="11"/>
      <c r="C107" s="102" t="s">
        <v>101</v>
      </c>
      <c r="D107" s="11" t="s">
        <v>106</v>
      </c>
      <c r="E107" s="11"/>
      <c r="F107" s="11" t="s">
        <v>98</v>
      </c>
      <c r="G107" s="11"/>
      <c r="H107" s="55"/>
      <c r="I107" s="55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x14ac:dyDescent="0.25">
      <c r="A108" s="11" t="s">
        <v>110</v>
      </c>
      <c r="B108" s="11"/>
      <c r="C108" s="105" t="s">
        <v>101</v>
      </c>
      <c r="D108" s="11" t="s">
        <v>107</v>
      </c>
      <c r="E108" s="11"/>
      <c r="F108" s="11" t="s">
        <v>99</v>
      </c>
      <c r="G108" s="11"/>
      <c r="H108" s="55"/>
      <c r="I108" s="55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x14ac:dyDescent="0.25">
      <c r="A109" s="11"/>
      <c r="B109" s="11"/>
      <c r="C109" s="204"/>
      <c r="D109" s="11"/>
      <c r="E109" s="11"/>
      <c r="F109" s="11"/>
      <c r="G109" s="11"/>
      <c r="H109" s="55"/>
      <c r="I109" s="55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x14ac:dyDescent="0.25">
      <c r="A110" s="11"/>
      <c r="B110" s="11"/>
      <c r="C110" s="11"/>
      <c r="D110" s="11"/>
      <c r="E110" s="11"/>
      <c r="F110" s="11"/>
      <c r="G110" s="11"/>
      <c r="H110" s="55"/>
      <c r="I110" s="55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x14ac:dyDescent="0.25">
      <c r="A111" s="56" t="str">
        <f>IF(_epmOfflineCondition_,"Evdre:Ok",_xll.EVDRE($B$1,A114:B121))</f>
        <v>Evdre:Ok</v>
      </c>
      <c r="B111" s="11" t="s">
        <v>737</v>
      </c>
      <c r="C111" s="11"/>
      <c r="D111" s="11"/>
      <c r="E111" s="11"/>
      <c r="F111" s="11"/>
      <c r="G111" s="72"/>
      <c r="H111" s="55"/>
      <c r="I111" s="55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x14ac:dyDescent="0.25">
      <c r="A112" s="11"/>
      <c r="B112" s="11"/>
      <c r="C112" s="11"/>
      <c r="D112" s="11"/>
      <c r="E112" s="11"/>
      <c r="F112" s="11"/>
      <c r="G112" s="11"/>
      <c r="H112" s="55"/>
      <c r="I112" s="55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x14ac:dyDescent="0.25">
      <c r="A113" s="57" t="s">
        <v>0</v>
      </c>
      <c r="B113" s="58" t="s">
        <v>1</v>
      </c>
      <c r="C113" s="11"/>
      <c r="D113" s="11"/>
      <c r="E113" s="11"/>
      <c r="F113" s="11"/>
      <c r="G113" s="11"/>
      <c r="H113" s="55"/>
      <c r="I113" s="55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  <row r="114" spans="1:41" x14ac:dyDescent="0.25">
      <c r="A114" s="61" t="s">
        <v>2</v>
      </c>
      <c r="B114" s="62" t="str">
        <f>IF(_epmOfflineCondition_,"'Venue4'!$B$2:$B$10",_xll.EVRNG($B$2:$B$10))</f>
        <v>'Venue4'!$B$2:$B$10</v>
      </c>
      <c r="C114" s="11"/>
      <c r="D114" s="11"/>
      <c r="E114" s="11"/>
      <c r="F114" s="11"/>
      <c r="G114" s="11"/>
      <c r="H114" s="55"/>
      <c r="I114" s="55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x14ac:dyDescent="0.25">
      <c r="A115" s="61" t="s">
        <v>3</v>
      </c>
      <c r="B115" s="62" t="str">
        <f>IF(_epmOfflineCondition_,"'Venue4'!$O$16:$AN$18",_xll.EVRNG($O$16:$AN$18))</f>
        <v>'Venue4'!$O$16:$AN$18</v>
      </c>
      <c r="C115" s="11"/>
      <c r="D115" s="11"/>
      <c r="E115" s="11"/>
      <c r="F115" s="11"/>
      <c r="G115" s="11"/>
      <c r="H115" s="55"/>
      <c r="I115" s="55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x14ac:dyDescent="0.25">
      <c r="A116" s="61" t="s">
        <v>4</v>
      </c>
      <c r="B116" s="62" t="str">
        <f>IF(_epmOfflineCondition_,"'Venue4'!$H$85:$H$88",_xll.EVRNG(H85:H88))</f>
        <v>'Venue4'!$H$85:$H$88</v>
      </c>
      <c r="C116" s="11"/>
      <c r="D116" s="11"/>
      <c r="E116" s="11"/>
      <c r="F116" s="11"/>
      <c r="G116" s="11"/>
      <c r="H116" s="55"/>
      <c r="I116" s="55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x14ac:dyDescent="0.25">
      <c r="A117" s="61" t="s">
        <v>5</v>
      </c>
      <c r="B117" s="62"/>
      <c r="C117" s="11"/>
      <c r="D117" s="11"/>
      <c r="E117" s="11"/>
      <c r="F117" s="11"/>
      <c r="G117" s="11"/>
      <c r="H117" s="55"/>
      <c r="I117" s="55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x14ac:dyDescent="0.25">
      <c r="A118" s="61" t="s">
        <v>6</v>
      </c>
      <c r="B118" s="62"/>
      <c r="C118" s="11"/>
      <c r="D118" s="11"/>
      <c r="E118" s="11"/>
      <c r="F118" s="11"/>
      <c r="G118" s="11"/>
      <c r="H118" s="55"/>
      <c r="I118" s="55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x14ac:dyDescent="0.25">
      <c r="A119" s="61" t="s">
        <v>7</v>
      </c>
      <c r="B119" s="62"/>
      <c r="C119" s="11"/>
      <c r="D119" s="11"/>
      <c r="E119" s="11"/>
      <c r="F119" s="11"/>
      <c r="G119" s="11"/>
      <c r="H119" s="55"/>
      <c r="I119" s="55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x14ac:dyDescent="0.25">
      <c r="A120" s="61" t="s">
        <v>47</v>
      </c>
      <c r="B120" s="62" t="str">
        <f>IF(_epmOfflineCondition_,"'Venue4'!$A$125:$B$146",_xll.EVRNG($A$125:$B$146))</f>
        <v>'Venue4'!$A$125:$B$146</v>
      </c>
      <c r="C120" s="11"/>
      <c r="D120" s="11"/>
      <c r="E120" s="11"/>
      <c r="F120" s="11"/>
      <c r="G120" s="11"/>
      <c r="H120" s="55"/>
      <c r="I120" s="55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x14ac:dyDescent="0.25">
      <c r="A121" s="61" t="s">
        <v>8</v>
      </c>
      <c r="B121" s="62"/>
      <c r="C121" s="11"/>
      <c r="D121" s="11"/>
      <c r="E121" s="11"/>
      <c r="F121" s="11"/>
      <c r="G121" s="11"/>
      <c r="H121" s="11"/>
      <c r="I121" s="55"/>
      <c r="J121" s="55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x14ac:dyDescent="0.25">
      <c r="A122" s="11"/>
      <c r="B122" s="11"/>
      <c r="C122" s="11"/>
      <c r="D122" s="11"/>
      <c r="E122" s="11"/>
      <c r="F122" s="11"/>
      <c r="G122" s="11"/>
      <c r="H122" s="11"/>
      <c r="I122" s="55"/>
      <c r="J122" s="55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x14ac:dyDescent="0.25">
      <c r="A123" s="11"/>
      <c r="B123" s="11"/>
      <c r="C123" s="11"/>
      <c r="D123" s="11"/>
      <c r="E123" s="11"/>
      <c r="F123" s="11"/>
      <c r="G123" s="11"/>
      <c r="H123" s="11"/>
      <c r="I123" s="55"/>
      <c r="J123" s="55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x14ac:dyDescent="0.25">
      <c r="A124" s="57" t="s">
        <v>23</v>
      </c>
      <c r="B124" s="58" t="s">
        <v>24</v>
      </c>
      <c r="C124" s="11"/>
      <c r="D124" s="11"/>
      <c r="E124" s="11"/>
      <c r="F124" s="11"/>
      <c r="G124" s="11"/>
      <c r="H124" s="11"/>
      <c r="I124" s="55"/>
      <c r="J124" s="55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x14ac:dyDescent="0.25">
      <c r="A125" s="61" t="s">
        <v>25</v>
      </c>
      <c r="B125" s="62"/>
      <c r="C125" s="11"/>
      <c r="D125" s="11"/>
      <c r="E125" s="11"/>
      <c r="F125" s="11"/>
      <c r="G125" s="11"/>
      <c r="H125" s="11"/>
      <c r="I125" s="55"/>
      <c r="J125" s="55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x14ac:dyDescent="0.25">
      <c r="A126" s="61" t="s">
        <v>26</v>
      </c>
      <c r="B126" s="62"/>
      <c r="C126" s="11"/>
      <c r="D126" s="11"/>
      <c r="E126" s="11"/>
      <c r="F126" s="11"/>
      <c r="G126" s="11"/>
      <c r="H126" s="11"/>
      <c r="I126" s="55"/>
      <c r="J126" s="55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x14ac:dyDescent="0.25">
      <c r="A127" s="61" t="s">
        <v>27</v>
      </c>
      <c r="B127" s="62"/>
      <c r="C127" s="11"/>
      <c r="D127" s="11"/>
      <c r="E127" s="11"/>
      <c r="F127" s="11"/>
      <c r="G127" s="11"/>
      <c r="H127" s="11"/>
      <c r="I127" s="55"/>
      <c r="J127" s="55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x14ac:dyDescent="0.25">
      <c r="A128" s="61" t="s">
        <v>28</v>
      </c>
      <c r="B128" s="62"/>
      <c r="C128" s="11"/>
      <c r="D128" s="11"/>
      <c r="E128" s="11"/>
      <c r="F128" s="11"/>
      <c r="G128" s="11"/>
      <c r="H128" s="11"/>
      <c r="I128" s="55"/>
      <c r="J128" s="55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</row>
    <row r="129" spans="1:41" x14ac:dyDescent="0.25">
      <c r="A129" s="61" t="s">
        <v>29</v>
      </c>
      <c r="B129" s="62"/>
      <c r="C129" s="11"/>
      <c r="D129" s="11"/>
      <c r="E129" s="11"/>
      <c r="F129" s="11"/>
      <c r="G129" s="11"/>
      <c r="H129" s="11"/>
      <c r="I129" s="55"/>
      <c r="J129" s="55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x14ac:dyDescent="0.25">
      <c r="A130" s="61" t="s">
        <v>30</v>
      </c>
      <c r="B130" s="62" t="s">
        <v>78</v>
      </c>
      <c r="C130" s="11"/>
      <c r="D130" s="11"/>
      <c r="E130" s="11"/>
      <c r="F130" s="11"/>
      <c r="G130" s="11"/>
      <c r="H130" s="11"/>
      <c r="I130" s="55"/>
      <c r="J130" s="55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x14ac:dyDescent="0.25">
      <c r="A131" s="61" t="s">
        <v>31</v>
      </c>
      <c r="B131" s="62" t="s">
        <v>78</v>
      </c>
      <c r="C131" s="11"/>
      <c r="D131" s="11"/>
      <c r="E131" s="11"/>
      <c r="F131" s="11"/>
      <c r="G131" s="11"/>
      <c r="H131" s="11"/>
      <c r="I131" s="55"/>
      <c r="J131" s="55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x14ac:dyDescent="0.25">
      <c r="A132" s="61" t="s">
        <v>32</v>
      </c>
      <c r="B132" s="62"/>
      <c r="C132" s="11"/>
      <c r="D132" s="11"/>
      <c r="E132" s="11"/>
      <c r="F132" s="11"/>
      <c r="G132" s="11"/>
      <c r="H132" s="11"/>
      <c r="I132" s="55"/>
      <c r="J132" s="55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x14ac:dyDescent="0.25">
      <c r="A133" s="61" t="s">
        <v>33</v>
      </c>
      <c r="B133" s="62"/>
      <c r="C133" s="11"/>
      <c r="D133" s="11"/>
      <c r="E133" s="11"/>
      <c r="F133" s="11"/>
      <c r="G133" s="11"/>
      <c r="H133" s="11"/>
      <c r="I133" s="55"/>
      <c r="J133" s="55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x14ac:dyDescent="0.25">
      <c r="A134" s="61" t="s">
        <v>34</v>
      </c>
      <c r="B134" s="62"/>
      <c r="C134" s="11"/>
      <c r="D134" s="11"/>
      <c r="E134" s="11"/>
      <c r="F134" s="11"/>
      <c r="G134" s="11"/>
      <c r="H134" s="11"/>
      <c r="I134" s="55"/>
      <c r="J134" s="55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x14ac:dyDescent="0.25">
      <c r="A135" s="61" t="s">
        <v>35</v>
      </c>
      <c r="B135" s="62"/>
      <c r="C135" s="11"/>
      <c r="D135" s="11"/>
      <c r="E135" s="11"/>
      <c r="F135" s="11"/>
      <c r="G135" s="11"/>
      <c r="H135" s="11"/>
      <c r="I135" s="55"/>
      <c r="J135" s="55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x14ac:dyDescent="0.25">
      <c r="A136" s="61" t="s">
        <v>36</v>
      </c>
      <c r="B136" s="62"/>
      <c r="C136" s="11"/>
      <c r="D136" s="11"/>
      <c r="E136" s="11"/>
      <c r="F136" s="11"/>
      <c r="G136" s="11"/>
      <c r="H136" s="11"/>
      <c r="I136" s="55"/>
      <c r="J136" s="55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x14ac:dyDescent="0.25">
      <c r="A137" s="61" t="s">
        <v>37</v>
      </c>
      <c r="B137" s="62"/>
      <c r="C137" s="11"/>
      <c r="D137" s="11"/>
      <c r="E137" s="11"/>
      <c r="F137" s="11"/>
      <c r="G137" s="11"/>
      <c r="H137" s="11"/>
      <c r="I137" s="55"/>
      <c r="J137" s="55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x14ac:dyDescent="0.25">
      <c r="A138" s="61" t="s">
        <v>38</v>
      </c>
      <c r="B138" s="62"/>
      <c r="C138" s="11"/>
      <c r="D138" s="11"/>
      <c r="E138" s="11"/>
      <c r="F138" s="11"/>
      <c r="G138" s="11"/>
      <c r="H138" s="11"/>
      <c r="I138" s="55"/>
      <c r="J138" s="55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x14ac:dyDescent="0.25">
      <c r="A139" s="61" t="s">
        <v>39</v>
      </c>
      <c r="B139" s="62"/>
      <c r="C139" s="11"/>
      <c r="D139" s="11"/>
      <c r="E139" s="11"/>
      <c r="F139" s="11"/>
      <c r="G139" s="11"/>
      <c r="H139" s="11"/>
      <c r="I139" s="55"/>
      <c r="J139" s="55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x14ac:dyDescent="0.25">
      <c r="A140" s="61" t="s">
        <v>40</v>
      </c>
      <c r="B140" s="62"/>
      <c r="C140" s="11"/>
      <c r="D140" s="11"/>
      <c r="E140" s="11"/>
      <c r="F140" s="11"/>
      <c r="G140" s="11"/>
      <c r="H140" s="11"/>
      <c r="I140" s="55"/>
      <c r="J140" s="55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</row>
    <row r="141" spans="1:41" x14ac:dyDescent="0.25">
      <c r="A141" s="61" t="s">
        <v>41</v>
      </c>
      <c r="B141" s="62"/>
      <c r="C141" s="11"/>
      <c r="D141" s="11"/>
      <c r="E141" s="11"/>
      <c r="F141" s="11"/>
      <c r="G141" s="11"/>
      <c r="H141" s="11"/>
      <c r="I141" s="55"/>
      <c r="J141" s="55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x14ac:dyDescent="0.25">
      <c r="A142" s="61" t="s">
        <v>42</v>
      </c>
      <c r="B142" s="62"/>
      <c r="C142" s="11"/>
      <c r="D142" s="11"/>
      <c r="E142" s="11"/>
      <c r="F142" s="11"/>
      <c r="G142" s="11"/>
      <c r="H142" s="11"/>
      <c r="I142" s="55"/>
      <c r="J142" s="55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</row>
    <row r="143" spans="1:41" x14ac:dyDescent="0.25">
      <c r="A143" s="61" t="s">
        <v>43</v>
      </c>
      <c r="B143" s="62"/>
      <c r="C143" s="11"/>
      <c r="D143" s="11"/>
      <c r="E143" s="11"/>
      <c r="F143" s="11"/>
      <c r="G143" s="11"/>
      <c r="H143" s="11"/>
      <c r="I143" s="55"/>
      <c r="J143" s="55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x14ac:dyDescent="0.25">
      <c r="A144" s="61" t="s">
        <v>44</v>
      </c>
      <c r="B144" s="62"/>
      <c r="C144" s="11"/>
      <c r="D144" s="11"/>
      <c r="E144" s="11"/>
      <c r="F144" s="11"/>
      <c r="G144" s="11"/>
      <c r="H144" s="11"/>
      <c r="I144" s="55"/>
      <c r="J144" s="55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</row>
    <row r="145" spans="1:41" x14ac:dyDescent="0.25">
      <c r="A145" s="61" t="s">
        <v>45</v>
      </c>
      <c r="B145" s="62"/>
      <c r="C145" s="11"/>
      <c r="D145" s="11"/>
      <c r="E145" s="11"/>
      <c r="F145" s="11"/>
      <c r="G145" s="11"/>
      <c r="H145" s="11"/>
      <c r="I145" s="55"/>
      <c r="J145" s="55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</row>
    <row r="146" spans="1:41" x14ac:dyDescent="0.25">
      <c r="A146" s="61" t="s">
        <v>46</v>
      </c>
      <c r="B146" s="62"/>
      <c r="C146" s="11"/>
      <c r="D146" s="11"/>
      <c r="E146" s="11"/>
      <c r="F146" s="11"/>
      <c r="G146" s="11"/>
      <c r="H146" s="11"/>
      <c r="I146" s="55"/>
      <c r="J146" s="55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</row>
    <row r="147" spans="1:41" x14ac:dyDescent="0.25">
      <c r="A147" s="11"/>
      <c r="B147" s="11"/>
      <c r="C147" s="11"/>
      <c r="D147" s="11"/>
      <c r="E147" s="11"/>
      <c r="F147" s="11"/>
      <c r="G147" s="11"/>
      <c r="H147" s="11"/>
      <c r="I147" s="55"/>
      <c r="J147" s="55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</row>
    <row r="148" spans="1:41" x14ac:dyDescent="0.25">
      <c r="A148" s="11"/>
      <c r="B148" s="11"/>
      <c r="C148" s="11"/>
      <c r="D148" s="11"/>
      <c r="E148" s="11"/>
      <c r="F148" s="11"/>
      <c r="G148" s="11"/>
      <c r="H148" s="11"/>
      <c r="I148" s="55"/>
      <c r="J148" s="55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x14ac:dyDescent="0.25">
      <c r="A149" s="11"/>
      <c r="B149" s="11"/>
      <c r="C149" s="11"/>
      <c r="D149" s="11"/>
      <c r="E149" s="11"/>
      <c r="F149" s="11"/>
      <c r="G149" s="11"/>
      <c r="H149" s="11"/>
      <c r="I149" s="55"/>
      <c r="J149" s="55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</row>
    <row r="150" spans="1:41" x14ac:dyDescent="0.25">
      <c r="A150" s="11"/>
      <c r="B150" s="11"/>
      <c r="C150" s="11"/>
      <c r="D150" s="11"/>
      <c r="E150" s="11"/>
      <c r="F150" s="11"/>
      <c r="G150" s="11"/>
      <c r="H150" s="11"/>
      <c r="I150" s="55"/>
      <c r="J150" s="55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x14ac:dyDescent="0.25">
      <c r="A151" s="11"/>
      <c r="B151" s="11"/>
      <c r="C151" s="11"/>
      <c r="D151" s="11"/>
      <c r="E151" s="11"/>
      <c r="F151" s="11"/>
      <c r="G151" s="11"/>
      <c r="H151" s="11"/>
      <c r="I151" s="55"/>
      <c r="J151" s="55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</row>
    <row r="152" spans="1:41" x14ac:dyDescent="0.25">
      <c r="A152" s="11"/>
      <c r="B152" s="11"/>
      <c r="C152" s="11"/>
      <c r="D152" s="11"/>
      <c r="E152" s="11"/>
      <c r="F152" s="11"/>
      <c r="G152" s="11"/>
      <c r="H152" s="11"/>
      <c r="I152" s="55"/>
      <c r="J152" s="55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x14ac:dyDescent="0.25">
      <c r="A153" s="11"/>
      <c r="B153" s="11"/>
      <c r="C153" s="11"/>
      <c r="D153" s="11"/>
      <c r="E153" s="11"/>
      <c r="F153" s="11"/>
      <c r="G153" s="11"/>
      <c r="H153" s="11"/>
      <c r="I153" s="55"/>
      <c r="J153" s="55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x14ac:dyDescent="0.25">
      <c r="A154" s="11"/>
      <c r="B154" s="11"/>
      <c r="C154" s="11"/>
      <c r="D154" s="11"/>
      <c r="E154" s="11"/>
      <c r="F154" s="11"/>
      <c r="G154" s="11"/>
      <c r="H154" s="11"/>
      <c r="I154" s="55"/>
      <c r="J154" s="55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x14ac:dyDescent="0.25">
      <c r="A155" s="11"/>
      <c r="B155" s="11"/>
      <c r="C155" s="11"/>
      <c r="D155" s="11"/>
      <c r="E155" s="11"/>
      <c r="F155" s="11"/>
      <c r="G155" s="11"/>
      <c r="H155" s="11"/>
      <c r="I155" s="55"/>
      <c r="J155" s="55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x14ac:dyDescent="0.25">
      <c r="A156" s="11"/>
      <c r="B156" s="11"/>
      <c r="C156" s="11"/>
      <c r="D156" s="11"/>
      <c r="E156" s="11"/>
      <c r="F156" s="11"/>
      <c r="G156" s="11"/>
      <c r="H156" s="11"/>
      <c r="I156" s="55"/>
      <c r="J156" s="55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x14ac:dyDescent="0.25">
      <c r="A157" s="11"/>
      <c r="B157" s="11"/>
      <c r="C157" s="11"/>
      <c r="D157" s="11"/>
      <c r="E157" s="11"/>
      <c r="F157" s="11"/>
      <c r="G157" s="11"/>
      <c r="H157" s="11"/>
      <c r="I157" s="55"/>
      <c r="J157" s="55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</row>
    <row r="158" spans="1:41" x14ac:dyDescent="0.25">
      <c r="A158" s="11"/>
      <c r="B158" s="11"/>
      <c r="C158" s="11"/>
      <c r="D158" s="11"/>
      <c r="E158" s="11"/>
      <c r="F158" s="11"/>
      <c r="G158" s="11"/>
      <c r="H158" s="11"/>
      <c r="I158" s="55"/>
      <c r="J158" s="55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</row>
    <row r="159" spans="1:41" x14ac:dyDescent="0.25">
      <c r="A159" s="11"/>
      <c r="B159" s="11"/>
      <c r="C159" s="11"/>
      <c r="D159" s="11"/>
      <c r="E159" s="11"/>
      <c r="F159" s="11"/>
      <c r="G159" s="11"/>
      <c r="H159" s="11"/>
      <c r="I159" s="55"/>
      <c r="J159" s="55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</row>
    <row r="160" spans="1:41" x14ac:dyDescent="0.25">
      <c r="A160" s="11"/>
      <c r="B160" s="11"/>
      <c r="C160" s="11"/>
      <c r="D160" s="11"/>
      <c r="E160" s="11"/>
      <c r="F160" s="11"/>
      <c r="G160" s="11"/>
      <c r="H160" s="11"/>
      <c r="I160" s="55"/>
      <c r="J160" s="55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</row>
    <row r="161" spans="1:41" x14ac:dyDescent="0.25">
      <c r="A161" s="11"/>
      <c r="B161" s="11"/>
      <c r="C161" s="11"/>
      <c r="D161" s="11"/>
      <c r="E161" s="11"/>
      <c r="F161" s="11"/>
      <c r="G161" s="11"/>
      <c r="H161" s="11"/>
      <c r="I161" s="263"/>
      <c r="J161" s="11"/>
      <c r="K161" s="263"/>
      <c r="L161" s="263"/>
      <c r="M161" s="263"/>
      <c r="N161" s="11"/>
      <c r="O161" s="263"/>
      <c r="P161" s="263"/>
      <c r="Q161" s="263"/>
      <c r="R161" s="263"/>
      <c r="S161" s="263"/>
      <c r="T161" s="263"/>
      <c r="U161" s="263"/>
      <c r="V161" s="263"/>
      <c r="W161" s="263"/>
      <c r="X161" s="263"/>
      <c r="Y161" s="263"/>
      <c r="Z161" s="263"/>
      <c r="AA161" s="263"/>
      <c r="AB161" s="11"/>
      <c r="AC161" s="11"/>
      <c r="AD161" s="263"/>
      <c r="AE161" s="11"/>
      <c r="AF161" s="263"/>
      <c r="AG161" s="11"/>
      <c r="AH161" s="263"/>
      <c r="AI161" s="11"/>
      <c r="AJ161" s="11"/>
      <c r="AK161" s="11"/>
      <c r="AL161" s="11"/>
      <c r="AM161" s="11"/>
      <c r="AN161" s="11"/>
      <c r="AO161" s="11"/>
    </row>
    <row r="162" spans="1:41" x14ac:dyDescent="0.25">
      <c r="A162" s="11"/>
      <c r="B162" s="11"/>
      <c r="C162" s="11"/>
      <c r="D162" s="11"/>
      <c r="E162" s="11"/>
      <c r="F162" s="11"/>
      <c r="G162" s="11"/>
      <c r="H162" s="11"/>
      <c r="I162" s="55"/>
      <c r="J162" s="55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</row>
    <row r="163" spans="1:41" x14ac:dyDescent="0.25">
      <c r="A163" s="11"/>
      <c r="B163" s="11"/>
      <c r="C163" s="11"/>
      <c r="D163" s="11"/>
      <c r="E163" s="263"/>
      <c r="F163" s="11"/>
      <c r="G163" s="11"/>
      <c r="H163" s="11"/>
      <c r="I163" s="55"/>
      <c r="J163" s="55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</row>
    <row r="164" spans="1:41" x14ac:dyDescent="0.25">
      <c r="A164" s="11"/>
      <c r="B164" s="11"/>
      <c r="C164" s="11"/>
      <c r="D164" s="11"/>
      <c r="E164" s="11"/>
      <c r="F164" s="11"/>
      <c r="G164" s="11"/>
      <c r="H164" s="11"/>
      <c r="I164" s="55"/>
      <c r="J164" s="55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</row>
    <row r="165" spans="1:41" x14ac:dyDescent="0.25">
      <c r="A165" s="11"/>
      <c r="B165" s="11"/>
      <c r="C165" s="11"/>
      <c r="D165" s="11"/>
      <c r="E165" s="11"/>
      <c r="F165" s="11"/>
      <c r="G165" s="11"/>
      <c r="H165" s="11"/>
      <c r="I165" s="263"/>
      <c r="J165" s="11"/>
      <c r="K165" s="263"/>
      <c r="L165" s="263"/>
      <c r="M165" s="263"/>
      <c r="N165" s="11"/>
      <c r="O165" s="263"/>
      <c r="P165" s="263"/>
      <c r="Q165" s="263"/>
      <c r="R165" s="263"/>
      <c r="S165" s="263"/>
      <c r="T165" s="263"/>
      <c r="U165" s="263"/>
      <c r="V165" s="263"/>
      <c r="W165" s="263"/>
      <c r="X165" s="263"/>
      <c r="Y165" s="263"/>
      <c r="Z165" s="263"/>
      <c r="AA165" s="263"/>
      <c r="AB165" s="11"/>
      <c r="AC165" s="11"/>
      <c r="AD165" s="263"/>
      <c r="AE165" s="11"/>
      <c r="AF165" s="263"/>
      <c r="AG165" s="11"/>
      <c r="AH165" s="263"/>
      <c r="AI165" s="11"/>
      <c r="AJ165" s="11"/>
      <c r="AK165" s="11"/>
      <c r="AL165" s="11"/>
      <c r="AM165" s="11"/>
      <c r="AN165" s="11"/>
      <c r="AO165" s="11"/>
    </row>
    <row r="166" spans="1:41" x14ac:dyDescent="0.25">
      <c r="A166" s="11"/>
      <c r="B166" s="11"/>
      <c r="C166" s="11"/>
      <c r="D166" s="11"/>
      <c r="E166" s="11"/>
      <c r="F166" s="11"/>
      <c r="G166" s="11"/>
      <c r="H166" s="11"/>
      <c r="I166" s="55"/>
      <c r="J166" s="55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</row>
    <row r="167" spans="1:41" x14ac:dyDescent="0.25">
      <c r="A167" s="11"/>
      <c r="B167" s="11"/>
      <c r="C167" s="11"/>
      <c r="D167" s="11"/>
      <c r="E167" s="263"/>
      <c r="F167" s="11"/>
      <c r="G167" s="11"/>
      <c r="H167" s="11"/>
      <c r="I167" s="55"/>
      <c r="J167" s="55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</row>
    <row r="168" spans="1:41" x14ac:dyDescent="0.25">
      <c r="A168" s="11"/>
      <c r="B168" s="11"/>
      <c r="C168" s="11"/>
      <c r="D168" s="11"/>
      <c r="E168" s="11"/>
      <c r="F168" s="11"/>
      <c r="G168" s="11"/>
      <c r="H168" s="11"/>
      <c r="I168" s="55"/>
      <c r="J168" s="55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</row>
    <row r="169" spans="1:41" x14ac:dyDescent="0.25">
      <c r="A169" s="11"/>
      <c r="B169" s="11"/>
      <c r="C169" s="11"/>
      <c r="D169" s="11"/>
      <c r="E169" s="11"/>
      <c r="F169" s="11"/>
      <c r="G169" s="11"/>
      <c r="H169" s="11"/>
      <c r="I169" s="55"/>
      <c r="J169" s="55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</row>
    <row r="170" spans="1:41" x14ac:dyDescent="0.25">
      <c r="A170" s="11"/>
      <c r="B170" s="11"/>
      <c r="C170" s="11"/>
      <c r="D170" s="11"/>
      <c r="E170" s="11"/>
      <c r="F170" s="11"/>
      <c r="G170" s="11"/>
      <c r="H170" s="11"/>
      <c r="I170" s="55"/>
      <c r="J170" s="55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</row>
    <row r="171" spans="1:41" x14ac:dyDescent="0.25">
      <c r="A171" s="11"/>
      <c r="B171" s="11"/>
      <c r="C171" s="11"/>
      <c r="D171" s="11"/>
      <c r="E171" s="11"/>
      <c r="F171" s="11"/>
      <c r="G171" s="11"/>
      <c r="H171" s="11"/>
      <c r="I171" s="55"/>
      <c r="J171" s="55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</row>
    <row r="172" spans="1:41" x14ac:dyDescent="0.25">
      <c r="A172" s="11"/>
      <c r="B172" s="11"/>
      <c r="C172" s="11"/>
      <c r="D172" s="11"/>
      <c r="E172" s="11"/>
      <c r="F172" s="11"/>
      <c r="G172" s="11"/>
      <c r="H172" s="11"/>
      <c r="I172" s="55"/>
      <c r="J172" s="55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</row>
    <row r="173" spans="1:41" x14ac:dyDescent="0.25">
      <c r="A173" s="11"/>
      <c r="B173" s="11"/>
      <c r="C173" s="11"/>
      <c r="D173" s="11"/>
      <c r="E173" s="11"/>
      <c r="F173" s="11"/>
      <c r="G173" s="11"/>
      <c r="H173" s="11"/>
      <c r="I173" s="55"/>
      <c r="J173" s="55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</row>
    <row r="174" spans="1:41" x14ac:dyDescent="0.25">
      <c r="A174" s="11"/>
      <c r="B174" s="11"/>
      <c r="C174" s="11"/>
      <c r="D174" s="11"/>
      <c r="E174" s="11"/>
      <c r="F174" s="11"/>
      <c r="G174" s="11"/>
      <c r="H174" s="11"/>
      <c r="I174" s="55"/>
      <c r="J174" s="55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</row>
    <row r="175" spans="1:41" x14ac:dyDescent="0.25">
      <c r="A175" s="11"/>
      <c r="B175" s="11"/>
      <c r="C175" s="11"/>
      <c r="D175" s="11"/>
      <c r="E175" s="11"/>
      <c r="F175" s="11"/>
      <c r="G175" s="11"/>
      <c r="H175" s="11"/>
      <c r="I175" s="55"/>
      <c r="J175" s="55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</row>
    <row r="176" spans="1:41" x14ac:dyDescent="0.25">
      <c r="A176" s="11"/>
      <c r="B176" s="11"/>
      <c r="C176" s="11"/>
      <c r="D176" s="11"/>
      <c r="E176" s="11"/>
      <c r="F176" s="11"/>
      <c r="G176" s="11"/>
      <c r="H176" s="11"/>
      <c r="I176" s="55"/>
      <c r="J176" s="55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</row>
    <row r="177" spans="1:41" x14ac:dyDescent="0.25">
      <c r="A177" s="11"/>
      <c r="B177" s="11"/>
      <c r="C177" s="11"/>
      <c r="D177" s="11"/>
      <c r="E177" s="11"/>
      <c r="F177" s="11"/>
      <c r="G177" s="11"/>
      <c r="H177" s="11"/>
      <c r="I177" s="55"/>
      <c r="J177" s="55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</row>
    <row r="178" spans="1:41" x14ac:dyDescent="0.25">
      <c r="A178" s="11"/>
      <c r="B178" s="11"/>
      <c r="C178" s="11"/>
      <c r="D178" s="11"/>
      <c r="E178" s="11"/>
      <c r="F178" s="11"/>
      <c r="G178" s="11"/>
      <c r="H178" s="11"/>
      <c r="I178" s="55"/>
      <c r="J178" s="55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</row>
    <row r="179" spans="1:41" x14ac:dyDescent="0.25">
      <c r="A179" s="11"/>
      <c r="B179" s="11"/>
      <c r="C179" s="11"/>
      <c r="D179" s="11"/>
      <c r="E179" s="11"/>
      <c r="F179" s="11"/>
      <c r="G179" s="11"/>
      <c r="H179" s="11"/>
      <c r="I179" s="55"/>
      <c r="J179" s="55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</row>
    <row r="180" spans="1:41" x14ac:dyDescent="0.25">
      <c r="A180" s="11"/>
      <c r="B180" s="11"/>
      <c r="C180" s="11"/>
      <c r="D180" s="11"/>
      <c r="E180" s="11"/>
      <c r="F180" s="11"/>
      <c r="G180" s="11"/>
      <c r="H180" s="11"/>
      <c r="I180" s="55"/>
      <c r="J180" s="55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</row>
    <row r="181" spans="1:41" x14ac:dyDescent="0.25">
      <c r="A181" s="11"/>
      <c r="B181" s="11"/>
      <c r="C181" s="11"/>
      <c r="D181" s="11"/>
      <c r="E181" s="11"/>
      <c r="F181" s="11"/>
      <c r="G181" s="11"/>
      <c r="H181" s="11"/>
      <c r="I181" s="55"/>
      <c r="J181" s="55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</row>
    <row r="182" spans="1:41" x14ac:dyDescent="0.25">
      <c r="A182" s="11"/>
      <c r="B182" s="11"/>
      <c r="C182" s="11"/>
      <c r="D182" s="11"/>
      <c r="E182" s="11"/>
      <c r="F182" s="11"/>
      <c r="G182" s="11"/>
      <c r="H182" s="11"/>
      <c r="I182" s="55"/>
      <c r="J182" s="55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</row>
    <row r="183" spans="1:41" x14ac:dyDescent="0.25">
      <c r="A183" s="11"/>
      <c r="B183" s="11"/>
      <c r="C183" s="11"/>
      <c r="D183" s="11"/>
      <c r="E183" s="11"/>
      <c r="F183" s="11"/>
      <c r="G183" s="11"/>
      <c r="H183" s="11"/>
      <c r="I183" s="55"/>
      <c r="J183" s="55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</row>
    <row r="184" spans="1:41" x14ac:dyDescent="0.25">
      <c r="A184" s="11"/>
      <c r="B184" s="11"/>
      <c r="C184" s="11"/>
      <c r="D184" s="11"/>
      <c r="E184" s="11"/>
      <c r="F184" s="11"/>
      <c r="G184" s="11"/>
      <c r="H184" s="11"/>
      <c r="I184" s="55"/>
      <c r="J184" s="55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</row>
    <row r="185" spans="1:41" x14ac:dyDescent="0.25">
      <c r="A185" s="11"/>
      <c r="B185" s="11"/>
      <c r="C185" s="11"/>
      <c r="D185" s="11"/>
      <c r="E185" s="11"/>
      <c r="F185" s="11"/>
      <c r="G185" s="11"/>
      <c r="H185" s="11"/>
      <c r="I185" s="55"/>
      <c r="J185" s="55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</row>
    <row r="186" spans="1:41" x14ac:dyDescent="0.25">
      <c r="A186" s="11"/>
      <c r="B186" s="11"/>
      <c r="C186" s="11"/>
      <c r="D186" s="11"/>
      <c r="E186" s="11"/>
      <c r="F186" s="11"/>
      <c r="G186" s="11"/>
      <c r="H186" s="11"/>
      <c r="I186" s="55"/>
      <c r="J186" s="55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</row>
    <row r="187" spans="1:41" x14ac:dyDescent="0.25">
      <c r="A187" s="11"/>
      <c r="B187" s="11"/>
      <c r="C187" s="11"/>
      <c r="D187" s="11"/>
      <c r="E187" s="11"/>
      <c r="F187" s="11"/>
      <c r="G187" s="11"/>
      <c r="H187" s="11"/>
      <c r="I187" s="55"/>
      <c r="J187" s="55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</row>
    <row r="188" spans="1:41" x14ac:dyDescent="0.25">
      <c r="A188" s="11"/>
      <c r="B188" s="11"/>
      <c r="C188" s="11"/>
      <c r="D188" s="11"/>
      <c r="E188" s="11"/>
      <c r="F188" s="11"/>
      <c r="G188" s="11"/>
      <c r="H188" s="11"/>
      <c r="I188" s="55"/>
      <c r="J188" s="55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</row>
    <row r="189" spans="1:41" x14ac:dyDescent="0.25">
      <c r="A189" s="11"/>
      <c r="B189" s="11"/>
      <c r="C189" s="11"/>
      <c r="D189" s="11"/>
      <c r="E189" s="11"/>
      <c r="F189" s="11"/>
      <c r="G189" s="11"/>
      <c r="H189" s="11"/>
      <c r="I189" s="55"/>
      <c r="J189" s="55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</row>
    <row r="190" spans="1:41" x14ac:dyDescent="0.25">
      <c r="A190" s="11"/>
      <c r="B190" s="11"/>
      <c r="C190" s="11"/>
      <c r="D190" s="11"/>
      <c r="E190" s="11"/>
      <c r="F190" s="11"/>
      <c r="G190" s="263"/>
      <c r="H190" s="11"/>
      <c r="I190" s="55"/>
      <c r="J190" s="55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</row>
    <row r="191" spans="1:41" x14ac:dyDescent="0.25">
      <c r="A191" s="11"/>
      <c r="B191" s="11"/>
      <c r="C191" s="11"/>
      <c r="D191" s="11"/>
      <c r="E191" s="11"/>
      <c r="F191" s="11"/>
      <c r="G191" s="11"/>
      <c r="H191" s="11"/>
      <c r="I191" s="55"/>
      <c r="J191" s="55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</row>
    <row r="192" spans="1:41" x14ac:dyDescent="0.25">
      <c r="A192" s="11"/>
      <c r="B192" s="11"/>
      <c r="C192" s="11"/>
      <c r="D192" s="11"/>
      <c r="E192" s="11"/>
      <c r="F192" s="11"/>
      <c r="G192" s="11"/>
      <c r="H192" s="11"/>
      <c r="I192" s="55"/>
      <c r="J192" s="55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</row>
    <row r="193" spans="1:41" x14ac:dyDescent="0.25">
      <c r="A193" s="11"/>
      <c r="B193" s="11"/>
      <c r="C193" s="11"/>
      <c r="D193" s="11"/>
      <c r="E193" s="11"/>
      <c r="F193" s="11"/>
      <c r="G193" s="11"/>
      <c r="H193" s="11"/>
      <c r="I193" s="55"/>
      <c r="J193" s="55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</row>
    <row r="194" spans="1:41" x14ac:dyDescent="0.25">
      <c r="A194" s="11"/>
      <c r="B194" s="11"/>
      <c r="C194" s="11"/>
      <c r="D194" s="11"/>
      <c r="E194" s="11"/>
      <c r="F194" s="11"/>
      <c r="G194" s="263"/>
      <c r="H194" s="11"/>
      <c r="I194" s="55"/>
      <c r="J194" s="55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</row>
  </sheetData>
  <sheetProtection algorithmName="SHA-512" hashValue="ntXRtrGKiQhD1Byu0phIR775HWzu4Obn+9QsWSYfREsrepe65XA/Es3+hCQnbzPwpHTmx0Jj36ACKIZeKq8gbg==" saltValue="yrCS3Ci/AyMJw2+GYOrEag==" spinCount="100000" sheet="1" scenarios="1"/>
  <mergeCells count="2">
    <mergeCell ref="AD31:AE31"/>
    <mergeCell ref="AG31:AH31"/>
  </mergeCells>
  <dataValidations disablePrompts="1" count="2">
    <dataValidation type="list" allowBlank="1" sqref="B29 B95 B62" xr:uid="{00000000-0002-0000-0D00-000000000000}">
      <formula1>"SELF,ALL,BAS,DEP,BASMEMBERS,MEMBERS,NOEXPAND,GDEP"</formula1>
    </dataValidation>
    <dataValidation type="list" allowBlank="1" sqref="B28 B94 B61" xr:uid="{00000000-0002-0000-0D00-000001000000}">
      <formula1>"ACCOUNT,BUSINESSUNIT,CATEGORY,DATASRC,DEPARTMENT,INTCO,MEASURES,RPTCURRENCY,TIME"</formula1>
    </dataValidation>
  </dataValidations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customProperties>
    <customPr name="EpmWorksheetKeyString_GUID" r:id="rId2"/>
    <customPr name="FPMExcelClientCellBasedFunctionStatus" r:id="rId3"/>
    <customPr name="FPMExcelClientRefreshTime" r:id="rId4"/>
  </customProperties>
  <legacyDrawing r:id="rId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8">
    <tabColor theme="6" tint="0.39997558519241921"/>
    <pageSetUpPr fitToPage="1"/>
  </sheetPr>
  <dimension ref="A1:AI211"/>
  <sheetViews>
    <sheetView topLeftCell="K25" zoomScale="85" zoomScaleNormal="85" workbookViewId="0">
      <pane xSplit="4" ySplit="8" topLeftCell="O33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3" width="9.7109375" style="1" hidden="1" customWidth="1" outlineLevel="1"/>
    <col min="14" max="14" width="38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16384" width="9.140625" style="1"/>
  </cols>
  <sheetData>
    <row r="1" spans="1:35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63" t="str">
        <f>Venue4!N1</f>
        <v/>
      </c>
      <c r="O1" s="11" t="s">
        <v>732</v>
      </c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</row>
    <row r="2" spans="1:35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11"/>
      <c r="H4" s="11"/>
      <c r="I4" s="55"/>
      <c r="J4" s="55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11"/>
      <c r="H5" s="11"/>
      <c r="I5" s="55"/>
      <c r="J5" s="55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idden="1" outlineLevel="1" x14ac:dyDescent="0.25">
      <c r="A6" s="49" t="s">
        <v>52</v>
      </c>
      <c r="B6" s="52" t="s">
        <v>734</v>
      </c>
      <c r="C6" s="11" t="str">
        <f>IF(_epmOfflineCondition_,"Venue 4",_xll.EVDES(B6,$B$1))</f>
        <v>Venue 4</v>
      </c>
      <c r="D6" s="11"/>
      <c r="E6" s="54" t="str">
        <f>IF(_epmOfflineCondition_,"D_VENUES",_xll.EVPRO($B$1,$B$6,$F$6))</f>
        <v>D_VENUES</v>
      </c>
      <c r="F6" s="11" t="s">
        <v>278</v>
      </c>
      <c r="G6" s="11"/>
      <c r="H6" s="11"/>
      <c r="I6" s="55"/>
      <c r="J6" s="55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11"/>
      <c r="H7" s="11"/>
      <c r="I7" s="55"/>
      <c r="J7" s="55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11"/>
      <c r="H8" s="11"/>
      <c r="I8" s="55"/>
      <c r="J8" s="55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59" t="str">
        <f>IF(SetUp!$O$1=TRUE,"TRAILING12",IF(AA17="CURRENT","ROLLINGFORECAST","PERIODIC"))</f>
        <v>PERIODIC</v>
      </c>
      <c r="AB11" s="11"/>
      <c r="AC11" s="11"/>
      <c r="AD11" s="11"/>
      <c r="AE11" s="11"/>
      <c r="AF11" s="11"/>
      <c r="AG11" s="11"/>
      <c r="AH11" s="11"/>
      <c r="AI11" s="11"/>
    </row>
    <row r="12" spans="1:35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11"/>
      <c r="M12" s="11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</row>
    <row r="13" spans="1:35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11"/>
      <c r="M13" s="11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</row>
    <row r="14" spans="1:35" hidden="1" outlineLevel="1" x14ac:dyDescent="0.25">
      <c r="A14" s="56" t="str">
        <f>IF(_epmOfflineCondition_,"Evdre:Ok",_xll.EVDRE($B$1,A17:B24))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11"/>
      <c r="M14" s="11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</row>
    <row r="15" spans="1:35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11"/>
      <c r="M15" s="11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</row>
    <row r="16" spans="1:35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11"/>
      <c r="M16" s="11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</row>
    <row r="17" spans="1:35" hidden="1" outlineLevel="1" x14ac:dyDescent="0.25">
      <c r="A17" s="61" t="s">
        <v>2</v>
      </c>
      <c r="B17" s="62" t="str">
        <f>IF(_epmOfflineCondition_,"'Venue4_KPI'!$B$2:$B$10",_xll.EVRNG($B$2:$B$10))</f>
        <v>'Venue4_KPI'!$B$2:$B$10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11"/>
      <c r="M17" s="11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 t="str">
        <f>Z17</f>
        <v>ACTUAL_CON</v>
      </c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</row>
    <row r="18" spans="1:35" hidden="1" outlineLevel="1" x14ac:dyDescent="0.25">
      <c r="A18" s="61" t="s">
        <v>3</v>
      </c>
      <c r="B18" s="62" t="str">
        <f>IF(_epmOfflineCondition_,"'Venue4_KPI'!$O$16:$AI$18",_xll.EVRNG(O16:AI18))</f>
        <v>'Venue4_KPI'!$O$16:$AI$18</v>
      </c>
      <c r="C18" s="11"/>
      <c r="D18" s="11"/>
      <c r="E18" s="11"/>
      <c r="F18" s="11"/>
      <c r="G18" s="11"/>
      <c r="H18" s="11"/>
      <c r="I18" s="55"/>
      <c r="J18" s="55"/>
      <c r="K18" s="11"/>
      <c r="L18" s="11"/>
      <c r="M18" s="11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59" t="str">
        <f>AA11</f>
        <v>PERIODIC</v>
      </c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</row>
    <row r="19" spans="1:35" hidden="1" outlineLevel="1" x14ac:dyDescent="0.25">
      <c r="A19" s="61" t="s">
        <v>4</v>
      </c>
      <c r="B19" s="62" t="str">
        <f>IF(_epmOfflineCondition_,"'Venue4_KPI'!$H$35:$H$146",_xll.EVRNG(H35:H146))</f>
        <v>'Venue4_KPI'!$H$35:$H$146</v>
      </c>
      <c r="C19" s="11"/>
      <c r="D19" s="11"/>
      <c r="E19" s="11"/>
      <c r="F19" s="11"/>
      <c r="G19" s="63" t="str">
        <f>$B$6</f>
        <v>D2145</v>
      </c>
      <c r="H19" s="63" t="s">
        <v>273</v>
      </c>
      <c r="I19" s="64"/>
      <c r="J19" s="64"/>
      <c r="K19" s="63"/>
      <c r="L19" s="63"/>
      <c r="M19" s="63"/>
      <c r="N19" s="63" t="str">
        <f>IF(_epmOfflineCondition_,"Total Food &amp; Beverage Revenue",_xll.EVDES(H19))</f>
        <v>Total Food &amp; Beverage Revenue</v>
      </c>
      <c r="O19" s="65">
        <f>IF(_epmOfflineCondition_,0,_xll.EVGTS($B$1,1,$B$3,$B$5,$B$7,$B$9,O$16,O$17,O$18,$G$19,$H$19))</f>
        <v>0</v>
      </c>
      <c r="P19" s="65">
        <f>IF(_epmOfflineCondition_,0,_xll.EVGTS($B$1,1,$B$3,$B$5,$B$7,$B$9,P$16,P$17,P$18,$G$19,$H$19))</f>
        <v>0</v>
      </c>
      <c r="Q19" s="65">
        <f>IF(_epmOfflineCondition_,0,_xll.EVGTS($B$1,1,$B$3,$B$5,$B$7,$B$9,Q$16,Q$17,Q$18,$G$19,$H$19))</f>
        <v>0</v>
      </c>
      <c r="R19" s="65">
        <f>IF(_epmOfflineCondition_,0,_xll.EVGTS($B$1,1,$B$3,$B$5,$B$7,$B$9,R$16,R$17,R$18,$G$19,$H$19))</f>
        <v>0</v>
      </c>
      <c r="S19" s="65">
        <f>IF(_epmOfflineCondition_,0,_xll.EVGTS($B$1,1,$B$3,$B$5,$B$7,$B$9,S$16,S$17,S$18,$G$19,$H$19))</f>
        <v>0</v>
      </c>
      <c r="T19" s="65">
        <f>IF(_epmOfflineCondition_,0,_xll.EVGTS($B$1,1,$B$3,$B$5,$B$7,$B$9,T$16,T$17,T$18,$G$19,$H$19))</f>
        <v>0</v>
      </c>
      <c r="U19" s="65">
        <f>IF(_epmOfflineCondition_,0,_xll.EVGTS($B$1,1,$B$3,$B$5,$B$7,$B$9,U$16,U$17,U$18,$G$19,$H$19))</f>
        <v>0</v>
      </c>
      <c r="V19" s="65">
        <f>IF(_epmOfflineCondition_,0,_xll.EVGTS($B$1,1,$B$3,$B$5,$B$7,$B$9,V$16,V$17,V$18,$G$19,$H$19))</f>
        <v>0</v>
      </c>
      <c r="W19" s="65">
        <f>IF(_epmOfflineCondition_,0,_xll.EVGTS($B$1,1,$B$3,$B$5,$B$7,$B$9,W$16,W$17,W$18,$G$19,$H$19))</f>
        <v>0</v>
      </c>
      <c r="X19" s="65">
        <f>IF(_epmOfflineCondition_,0,_xll.EVGTS($B$1,1,$B$3,$B$5,$B$7,$B$9,X$16,X$17,X$18,$G$19,$H$19))</f>
        <v>0</v>
      </c>
      <c r="Y19" s="65">
        <f>IF(_epmOfflineCondition_,0,_xll.EVGTS($B$1,1,$B$3,$B$5,$B$7,$B$9,Y$16,Y$17,Y$18,$G$19,$H$19))</f>
        <v>0</v>
      </c>
      <c r="Z19" s="65">
        <f>IF(_epmOfflineCondition_,0,_xll.EVGTS($B$1,1,$B$3,$B$5,$B$7,$B$9,Z$16,Z$17,Z$18,$G$19,$H$19))</f>
        <v>0</v>
      </c>
      <c r="AA19" s="65">
        <f>SUM(O19:Z19)</f>
        <v>0</v>
      </c>
      <c r="AB19" s="63"/>
      <c r="AC19" s="63"/>
      <c r="AD19" s="65">
        <f>IF(_epmOfflineCondition_,0,_xll.EVGTS($B$1,1,$B$3,$B$5,$B$7,$B$9,AD$16,AD$17,AD$18,$G$19,$H$19))</f>
        <v>0</v>
      </c>
      <c r="AE19" s="63"/>
      <c r="AF19" s="63"/>
      <c r="AG19" s="65">
        <f>IF(_epmOfflineCondition_,0,_xll.EVGTS($B$1,1,$B$3,$B$5,$B$7,$B$9,AG$16,AG$17,AG$18,$G$19,$H$19))</f>
        <v>0</v>
      </c>
      <c r="AH19" s="63"/>
      <c r="AI19" s="63"/>
    </row>
    <row r="20" spans="1:35" hidden="1" outlineLevel="1" x14ac:dyDescent="0.25">
      <c r="A20" s="61" t="s">
        <v>5</v>
      </c>
      <c r="B20" s="62"/>
      <c r="C20" s="11"/>
      <c r="D20" s="11"/>
      <c r="E20" s="11"/>
      <c r="F20" s="11"/>
      <c r="G20" s="63" t="str">
        <f>$B$6</f>
        <v>D2145</v>
      </c>
      <c r="H20" s="63">
        <v>946000</v>
      </c>
      <c r="I20" s="64"/>
      <c r="J20" s="64"/>
      <c r="K20" s="63"/>
      <c r="L20" s="63"/>
      <c r="M20" s="63"/>
      <c r="N20" s="63" t="str">
        <f>IF(_epmOfflineCondition_,"Total Customers",_xll.EVDES(H20))</f>
        <v>Total Customers</v>
      </c>
      <c r="O20" s="65">
        <f>IF(_epmOfflineCondition_,0,_xll.EVGTS($B$1,1,$B$3,$B$5,$B$7,$B$9,O$16,O$17,O$18,$G$20,$H$20))</f>
        <v>0</v>
      </c>
      <c r="P20" s="65">
        <f>IF(_epmOfflineCondition_,0,_xll.EVGTS($B$1,1,$B$3,$B$5,$B$7,$B$9,P$16,P$17,P$18,$G$20,$H$20))</f>
        <v>0</v>
      </c>
      <c r="Q20" s="65">
        <f>IF(_epmOfflineCondition_,0,_xll.EVGTS($B$1,1,$B$3,$B$5,$B$7,$B$9,Q$16,Q$17,Q$18,$G$20,$H$20))</f>
        <v>0</v>
      </c>
      <c r="R20" s="65">
        <f>IF(_epmOfflineCondition_,0,_xll.EVGTS($B$1,1,$B$3,$B$5,$B$7,$B$9,R$16,R$17,R$18,$G$20,$H$20))</f>
        <v>0</v>
      </c>
      <c r="S20" s="65">
        <f>IF(_epmOfflineCondition_,0,_xll.EVGTS($B$1,1,$B$3,$B$5,$B$7,$B$9,S$16,S$17,S$18,$G$20,$H$20))</f>
        <v>0</v>
      </c>
      <c r="T20" s="65">
        <f>IF(_epmOfflineCondition_,0,_xll.EVGTS($B$1,1,$B$3,$B$5,$B$7,$B$9,T$16,T$17,T$18,$G$20,$H$20))</f>
        <v>0</v>
      </c>
      <c r="U20" s="65">
        <f>IF(_epmOfflineCondition_,0,_xll.EVGTS($B$1,1,$B$3,$B$5,$B$7,$B$9,U$16,U$17,U$18,$G$20,$H$20))</f>
        <v>0</v>
      </c>
      <c r="V20" s="65">
        <f>IF(_epmOfflineCondition_,0,_xll.EVGTS($B$1,1,$B$3,$B$5,$B$7,$B$9,V$16,V$17,V$18,$G$20,$H$20))</f>
        <v>0</v>
      </c>
      <c r="W20" s="65">
        <f>IF(_epmOfflineCondition_,0,_xll.EVGTS($B$1,1,$B$3,$B$5,$B$7,$B$9,W$16,W$17,W$18,$G$20,$H$20))</f>
        <v>0</v>
      </c>
      <c r="X20" s="65">
        <f>IF(_epmOfflineCondition_,0,_xll.EVGTS($B$1,1,$B$3,$B$5,$B$7,$B$9,X$16,X$17,X$18,$G$20,$H$20))</f>
        <v>0</v>
      </c>
      <c r="Y20" s="65">
        <f>IF(_epmOfflineCondition_,0,_xll.EVGTS($B$1,1,$B$3,$B$5,$B$7,$B$9,Y$16,Y$17,Y$18,$G$20,$H$20))</f>
        <v>0</v>
      </c>
      <c r="Z20" s="65">
        <f>IF(_epmOfflineCondition_,0,_xll.EVGTS($B$1,1,$B$3,$B$5,$B$7,$B$9,Z$16,Z$17,Z$18,$G$20,$H$20))</f>
        <v>0</v>
      </c>
      <c r="AA20" s="65">
        <f>SUM(O20:Z20)</f>
        <v>0</v>
      </c>
      <c r="AB20" s="63"/>
      <c r="AC20" s="63"/>
      <c r="AD20" s="65">
        <f>IF(_epmOfflineCondition_,0,_xll.EVGTS($B$1,1,$B$3,$B$5,$B$7,$B$9,AD$16,AD$17,AD$18,$G$20,$H$20))</f>
        <v>0</v>
      </c>
      <c r="AE20" s="63"/>
      <c r="AF20" s="63"/>
      <c r="AG20" s="65">
        <f>IF(_epmOfflineCondition_,0,_xll.EVGTS($B$1,1,$B$3,$B$5,$B$7,$B$9,AG$16,AG$17,AG$18,$G$20,$H$20))</f>
        <v>0</v>
      </c>
      <c r="AH20" s="63"/>
      <c r="AI20" s="63"/>
    </row>
    <row r="21" spans="1:35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hidden="1" outlineLevel="1" x14ac:dyDescent="0.25">
      <c r="A22" s="61" t="s">
        <v>7</v>
      </c>
      <c r="B22" s="62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idden="1" outlineLevel="1" x14ac:dyDescent="0.25">
      <c r="A23" s="61" t="s">
        <v>47</v>
      </c>
      <c r="B23" s="62" t="str">
        <f>IF(_epmOfflineCondition_,"'Venue4_KPI'!$A$37:$B$58",_xll.EVRNG($A$37:$B$58))</f>
        <v>'Venue4_KPI'!$A$37:$B$58</v>
      </c>
      <c r="C23" s="11"/>
      <c r="D23" s="11"/>
      <c r="E23" s="11"/>
      <c r="F23" s="11"/>
      <c r="G23" s="11"/>
      <c r="H23" s="11"/>
      <c r="I23" s="55"/>
      <c r="J23" s="55"/>
      <c r="K23" s="6"/>
      <c r="L23" s="6"/>
      <c r="M23" s="6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380"/>
      <c r="AE23" s="11"/>
      <c r="AF23" s="11"/>
      <c r="AG23" s="11"/>
      <c r="AH23" s="11"/>
      <c r="AI23" s="11"/>
    </row>
    <row r="24" spans="1:35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22.5" x14ac:dyDescent="0.3">
      <c r="A26" s="57" t="s">
        <v>9</v>
      </c>
      <c r="B26" s="58" t="s">
        <v>10</v>
      </c>
      <c r="C26" s="11"/>
      <c r="D26" s="11"/>
      <c r="E26" s="11"/>
      <c r="F26" s="11"/>
      <c r="G26" s="11"/>
      <c r="H26" s="11"/>
      <c r="I26" s="55"/>
      <c r="J26" s="55"/>
      <c r="K26" s="11"/>
      <c r="L26" s="11"/>
      <c r="M26" s="11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8" x14ac:dyDescent="0.25">
      <c r="A27" s="61" t="s">
        <v>11</v>
      </c>
      <c r="B27" s="62" t="s">
        <v>21</v>
      </c>
      <c r="C27" s="11"/>
      <c r="D27" s="11"/>
      <c r="E27" s="11"/>
      <c r="F27" s="11"/>
      <c r="G27" s="11"/>
      <c r="H27" s="11"/>
      <c r="I27" s="55"/>
      <c r="J27" s="55"/>
      <c r="K27" s="11"/>
      <c r="L27" s="11"/>
      <c r="M27" s="11"/>
      <c r="N27" s="67" t="str">
        <f>IF(_epmOfflineCondition_,"Venue 4 Department",IF($N$1="",IF(_xll.EVDES(B6,$B$1)="#NODATA","",_xll.EVDES(B6,$B$1)&amp;" Department"),$N$1))</f>
        <v>Venue 4 Department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.75" x14ac:dyDescent="0.25">
      <c r="A28" s="61" t="s">
        <v>12</v>
      </c>
      <c r="B28" s="62" t="s">
        <v>22</v>
      </c>
      <c r="C28" s="11"/>
      <c r="D28" s="11"/>
      <c r="E28" s="11"/>
      <c r="F28" s="11"/>
      <c r="G28" s="11"/>
      <c r="H28" s="11"/>
      <c r="I28" s="55"/>
      <c r="J28" s="55"/>
      <c r="K28" s="11"/>
      <c r="L28" s="11"/>
      <c r="M28" s="11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ht="15" customHeight="1" x14ac:dyDescent="0.25">
      <c r="A29" s="61" t="s">
        <v>13</v>
      </c>
      <c r="B29" s="62" t="s">
        <v>293</v>
      </c>
      <c r="C29" s="11"/>
      <c r="D29" s="11"/>
      <c r="E29" s="11"/>
      <c r="F29" s="11"/>
      <c r="G29" s="11"/>
      <c r="H29" s="11"/>
      <c r="I29" s="55"/>
      <c r="J29" s="55"/>
      <c r="K29" s="11"/>
      <c r="L29" s="11"/>
      <c r="M29" s="11"/>
      <c r="N29" s="68" t="str">
        <f>IF(_epmOfflineCondition_,"Local Currency",_xll.EVDES(B9,B1))</f>
        <v>Local Currency</v>
      </c>
      <c r="O29" s="484" t="s">
        <v>344</v>
      </c>
      <c r="P29" s="484"/>
      <c r="Q29" s="484"/>
      <c r="R29" s="484"/>
      <c r="S29" s="484"/>
      <c r="T29" s="484"/>
      <c r="U29" s="484"/>
      <c r="V29" s="484"/>
      <c r="W29" s="484"/>
      <c r="X29" s="484"/>
      <c r="Y29" s="484"/>
      <c r="Z29" s="484"/>
      <c r="AA29" s="484"/>
      <c r="AB29" s="11"/>
      <c r="AC29" s="11"/>
      <c r="AD29" s="11"/>
      <c r="AE29" s="11"/>
      <c r="AF29" s="11"/>
      <c r="AG29" s="11"/>
      <c r="AH29" s="11"/>
      <c r="AI29" s="11"/>
    </row>
    <row r="30" spans="1:35" x14ac:dyDescent="0.25">
      <c r="A30" s="61" t="s">
        <v>14</v>
      </c>
      <c r="B30" s="62"/>
      <c r="C30" s="11"/>
      <c r="D30" s="11"/>
      <c r="E30" s="11"/>
      <c r="F30" s="11"/>
      <c r="G30" s="11"/>
      <c r="H30" s="11"/>
      <c r="I30" s="55"/>
      <c r="J30" s="55"/>
      <c r="K30" s="11"/>
      <c r="L30" s="11"/>
      <c r="M30" s="11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</row>
    <row r="31" spans="1:35" x14ac:dyDescent="0.25">
      <c r="A31" s="61" t="s">
        <v>15</v>
      </c>
      <c r="B31" s="62"/>
      <c r="C31" s="11"/>
      <c r="D31" s="11"/>
      <c r="E31" s="11"/>
      <c r="F31" s="11"/>
      <c r="G31" s="11"/>
      <c r="H31" s="11"/>
      <c r="I31" s="55"/>
      <c r="J31" s="55"/>
      <c r="K31" s="11"/>
      <c r="L31" s="11"/>
      <c r="M31" s="11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</row>
    <row r="32" spans="1:35" s="8" customFormat="1" ht="30" customHeight="1" x14ac:dyDescent="0.25">
      <c r="A32" s="77" t="s">
        <v>16</v>
      </c>
      <c r="B32" s="78"/>
      <c r="C32" s="79"/>
      <c r="D32" s="79"/>
      <c r="E32" s="11"/>
      <c r="F32" s="79"/>
      <c r="G32" s="79"/>
      <c r="H32" s="80"/>
      <c r="I32" s="81"/>
      <c r="J32" s="81"/>
      <c r="K32" s="79"/>
      <c r="L32" s="79"/>
      <c r="M32" s="79"/>
      <c r="N32" s="79"/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</row>
    <row r="33" spans="1:35" ht="15.75" x14ac:dyDescent="0.25">
      <c r="A33" s="61" t="s">
        <v>17</v>
      </c>
      <c r="B33" s="62"/>
      <c r="C33" s="11"/>
      <c r="D33" s="11"/>
      <c r="E33" s="11"/>
      <c r="F33" s="11"/>
      <c r="G33" s="11"/>
      <c r="H33" s="11"/>
      <c r="I33" s="55"/>
      <c r="J33" s="55"/>
      <c r="K33" s="11"/>
      <c r="L33" s="11"/>
      <c r="M33" s="11"/>
      <c r="N33" s="485" t="s">
        <v>330</v>
      </c>
      <c r="O33" s="125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7"/>
      <c r="AC33" s="11"/>
      <c r="AD33" s="125"/>
      <c r="AE33" s="126"/>
      <c r="AF33" s="127"/>
      <c r="AG33" s="125"/>
      <c r="AH33" s="126"/>
      <c r="AI33" s="127"/>
    </row>
    <row r="34" spans="1:35" x14ac:dyDescent="0.25">
      <c r="A34" s="11"/>
      <c r="B34" s="11"/>
      <c r="C34" s="11"/>
      <c r="D34" s="11"/>
      <c r="E34" s="11"/>
      <c r="F34" s="11"/>
      <c r="G34" s="11"/>
      <c r="H34" s="11"/>
      <c r="I34" s="55"/>
      <c r="J34" s="55"/>
      <c r="K34" s="11"/>
      <c r="L34" s="129" t="s">
        <v>364</v>
      </c>
      <c r="M34" s="129" t="s">
        <v>783</v>
      </c>
      <c r="N34" s="49" t="s">
        <v>312</v>
      </c>
      <c r="O34" s="199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114"/>
      <c r="AC34" s="11"/>
      <c r="AD34" s="199"/>
      <c r="AE34" s="200"/>
      <c r="AF34" s="114"/>
      <c r="AG34" s="199"/>
      <c r="AH34" s="200"/>
      <c r="AI34" s="114"/>
    </row>
    <row r="35" spans="1:35" x14ac:dyDescent="0.25">
      <c r="A35" s="11"/>
      <c r="B35" s="11"/>
      <c r="C35" s="11"/>
      <c r="D35" s="11"/>
      <c r="E35" s="11"/>
      <c r="F35" s="11"/>
      <c r="G35" s="11"/>
      <c r="H35" s="84" t="s">
        <v>260</v>
      </c>
      <c r="I35" s="118" t="str">
        <f>IF(_epmOfflineCondition_,"T5",_xll.EVPRO($B$1,$H35,"STYLE"))</f>
        <v>T5</v>
      </c>
      <c r="J35" s="118" t="str">
        <f>IF(_epmOfflineCondition_,"Y",_xll.EVPRO($B$1,$H35,"CALC"))</f>
        <v>Y</v>
      </c>
      <c r="K35" s="86"/>
      <c r="L35" s="86" t="str">
        <f>IF(_epmOfflineCondition_,"461100",_xll.EVPRO($B$1,H35,"JDEID"))</f>
        <v>461100</v>
      </c>
      <c r="M35" s="86" t="str">
        <f>IF(_epmOfflineCondition_,"",IF(AND(I35="N",J35="N"),_xll.EVPRO($B$1,H35,"PSFTID"),""))</f>
        <v/>
      </c>
      <c r="N35" s="86" t="str">
        <f>IF(_epmOfflineCondition_,"Breakfast Food",IF(_xll.EVDES(H35,$B$1)="#NODATA","",_xll.EVDES(H35,$B$1)))</f>
        <v>Breakfast Food</v>
      </c>
      <c r="O35" s="134"/>
      <c r="P35" s="134"/>
      <c r="Q35" s="134"/>
      <c r="R35" s="134"/>
      <c r="S35" s="134"/>
      <c r="T35" s="134"/>
      <c r="U35" s="134"/>
      <c r="V35" s="134"/>
      <c r="W35" s="134"/>
      <c r="X35" s="134"/>
      <c r="Y35" s="134"/>
      <c r="Z35" s="134"/>
      <c r="AA35" s="134">
        <f t="shared" ref="AA35:AA41" si="0">SUM(O35:Z35)</f>
        <v>0</v>
      </c>
      <c r="AB35" s="138" t="str">
        <f>IF(AA35=0,"",IFERROR(AA35/AA$19,""))</f>
        <v/>
      </c>
      <c r="AC35" s="136"/>
      <c r="AD35" s="134"/>
      <c r="AE35" s="138" t="str">
        <f>IF(AD35=0,"",IFERROR(AD35/AD$19,""))</f>
        <v/>
      </c>
      <c r="AF35" s="137">
        <f t="shared" ref="AF35:AF42" si="1">IF(AND($AA35="",AD35=""),"",$AA35-AD35)</f>
        <v>0</v>
      </c>
      <c r="AG35" s="134"/>
      <c r="AH35" s="138" t="str">
        <f>IF(AG35=0,"",IFERROR(AG35/AG$19,""))</f>
        <v/>
      </c>
      <c r="AI35" s="137">
        <f t="shared" ref="AI35:AI42" si="2">IF(AND($AA35="",AG35=""),"",$AA35-AG35)</f>
        <v>0</v>
      </c>
    </row>
    <row r="36" spans="1:35" x14ac:dyDescent="0.25">
      <c r="A36" s="57" t="s">
        <v>23</v>
      </c>
      <c r="B36" s="58" t="s">
        <v>24</v>
      </c>
      <c r="C36" s="11"/>
      <c r="D36" s="11"/>
      <c r="E36" s="11"/>
      <c r="F36" s="11"/>
      <c r="G36" s="11"/>
      <c r="H36" s="84" t="s">
        <v>294</v>
      </c>
      <c r="I36" s="118" t="str">
        <f>IF(_epmOfflineCondition_,"T6",_xll.EVPRO($B$1,$H36,"STYLE"))</f>
        <v>T6</v>
      </c>
      <c r="J36" s="118" t="str">
        <f>IF(_epmOfflineCondition_,"Y",_xll.EVPRO($B$1,$H36,"CALC"))</f>
        <v>Y</v>
      </c>
      <c r="K36" s="86"/>
      <c r="L36" s="86" t="str">
        <f>IF(_epmOfflineCondition_,"461200",_xll.EVPRO($B$1,H36,"JDEID"))</f>
        <v>461200</v>
      </c>
      <c r="M36" s="86" t="str">
        <f>IF(_epmOfflineCondition_,"",IF(AND(I36="N",J36="N"),_xll.EVPRO($B$1,H36,"PSFTID"),""))</f>
        <v/>
      </c>
      <c r="N36" s="86" t="str">
        <f>IF(_epmOfflineCondition_,"Breakfast Liquor",IF(_xll.EVDES(H36,$B$1)="#NODATA","",_xll.EVDES(H36,$B$1)))</f>
        <v>Breakfast Liquor</v>
      </c>
      <c r="O36" s="134"/>
      <c r="P36" s="134"/>
      <c r="Q36" s="134"/>
      <c r="R36" s="134"/>
      <c r="S36" s="134"/>
      <c r="T36" s="134"/>
      <c r="U36" s="134"/>
      <c r="V36" s="134"/>
      <c r="W36" s="134"/>
      <c r="X36" s="134"/>
      <c r="Y36" s="134"/>
      <c r="Z36" s="134"/>
      <c r="AA36" s="134">
        <f t="shared" si="0"/>
        <v>0</v>
      </c>
      <c r="AB36" s="138" t="str">
        <f>IF(AA36=0,"",IFERROR(AA36/AA$19,""))</f>
        <v/>
      </c>
      <c r="AC36" s="136"/>
      <c r="AD36" s="134"/>
      <c r="AE36" s="138" t="str">
        <f>IF(AD36=0,"",IFERROR(AD36/AD$19,""))</f>
        <v/>
      </c>
      <c r="AF36" s="137">
        <f t="shared" si="1"/>
        <v>0</v>
      </c>
      <c r="AG36" s="134"/>
      <c r="AH36" s="138" t="str">
        <f>IF(AG36=0,"",IFERROR(AG36/AG$19,""))</f>
        <v/>
      </c>
      <c r="AI36" s="137">
        <f t="shared" si="2"/>
        <v>0</v>
      </c>
    </row>
    <row r="37" spans="1:35" x14ac:dyDescent="0.25">
      <c r="A37" s="61" t="s">
        <v>25</v>
      </c>
      <c r="B37" s="62"/>
      <c r="C37" s="11"/>
      <c r="D37" s="11"/>
      <c r="E37" s="11"/>
      <c r="F37" s="11"/>
      <c r="G37" s="11"/>
      <c r="H37" s="84" t="s">
        <v>295</v>
      </c>
      <c r="I37" s="118" t="str">
        <f>IF(_epmOfflineCondition_,"T6",_xll.EVPRO($B$1,$H37,"STYLE"))</f>
        <v>T6</v>
      </c>
      <c r="J37" s="118" t="str">
        <f>IF(_epmOfflineCondition_,"Y",_xll.EVPRO($B$1,$H37,"CALC"))</f>
        <v>Y</v>
      </c>
      <c r="K37" s="86"/>
      <c r="L37" s="86" t="str">
        <f>IF(_epmOfflineCondition_,"461300",_xll.EVPRO($B$1,H37,"JDEID"))</f>
        <v>461300</v>
      </c>
      <c r="M37" s="86" t="str">
        <f>IF(_epmOfflineCondition_,"",IF(AND(I37="N",J37="N"),_xll.EVPRO($B$1,H37,"PSFTID"),""))</f>
        <v/>
      </c>
      <c r="N37" s="86" t="str">
        <f>IF(_epmOfflineCondition_,"Breakfast Beer",IF(_xll.EVDES(H37,$B$1)="#NODATA","",_xll.EVDES(H37,$B$1)))</f>
        <v>Breakfast Beer</v>
      </c>
      <c r="O37" s="134"/>
      <c r="P37" s="134"/>
      <c r="Q37" s="134"/>
      <c r="R37" s="134"/>
      <c r="S37" s="134"/>
      <c r="T37" s="134"/>
      <c r="U37" s="134"/>
      <c r="V37" s="134"/>
      <c r="W37" s="134"/>
      <c r="X37" s="134"/>
      <c r="Y37" s="134"/>
      <c r="Z37" s="134"/>
      <c r="AA37" s="134">
        <f t="shared" si="0"/>
        <v>0</v>
      </c>
      <c r="AB37" s="138" t="str">
        <f>IF(AA37=0,"",IFERROR(AA37/AA$19,""))</f>
        <v/>
      </c>
      <c r="AC37" s="136"/>
      <c r="AD37" s="134"/>
      <c r="AE37" s="138" t="str">
        <f>IF(AD37=0,"",IFERROR(AD37/AD$19,""))</f>
        <v/>
      </c>
      <c r="AF37" s="137">
        <f t="shared" si="1"/>
        <v>0</v>
      </c>
      <c r="AG37" s="134"/>
      <c r="AH37" s="138" t="str">
        <f>IF(AG37=0,"",IFERROR(AG37/AG$19,""))</f>
        <v/>
      </c>
      <c r="AI37" s="137">
        <f t="shared" si="2"/>
        <v>0</v>
      </c>
    </row>
    <row r="38" spans="1:35" x14ac:dyDescent="0.25">
      <c r="A38" s="61" t="s">
        <v>26</v>
      </c>
      <c r="B38" s="62"/>
      <c r="C38" s="11"/>
      <c r="D38" s="11"/>
      <c r="E38" s="11"/>
      <c r="F38" s="11"/>
      <c r="G38" s="11"/>
      <c r="H38" s="84" t="s">
        <v>296</v>
      </c>
      <c r="I38" s="118" t="str">
        <f>IF(_epmOfflineCondition_,"T6",_xll.EVPRO($B$1,$H38,"STYLE"))</f>
        <v>T6</v>
      </c>
      <c r="J38" s="118" t="str">
        <f>IF(_epmOfflineCondition_,"Y",_xll.EVPRO($B$1,$H38,"CALC"))</f>
        <v>Y</v>
      </c>
      <c r="K38" s="86"/>
      <c r="L38" s="86" t="str">
        <f>IF(_epmOfflineCondition_,"461400",_xll.EVPRO($B$1,H38,"JDEID"))</f>
        <v>461400</v>
      </c>
      <c r="M38" s="86" t="str">
        <f>IF(_epmOfflineCondition_,"",IF(AND(I38="N",J38="N"),_xll.EVPRO($B$1,H38,"PSFTID"),""))</f>
        <v/>
      </c>
      <c r="N38" s="86" t="str">
        <f>IF(_epmOfflineCondition_,"Breakfast Wine",IF(_xll.EVDES(H38,$B$1)="#NODATA","",_xll.EVDES(H38,$B$1)))</f>
        <v>Breakfast Wine</v>
      </c>
      <c r="O38" s="228"/>
      <c r="P38" s="228"/>
      <c r="Q38" s="228"/>
      <c r="R38" s="228"/>
      <c r="S38" s="228"/>
      <c r="T38" s="228"/>
      <c r="U38" s="228"/>
      <c r="V38" s="228"/>
      <c r="W38" s="228"/>
      <c r="X38" s="228"/>
      <c r="Y38" s="228"/>
      <c r="Z38" s="228"/>
      <c r="AA38" s="228">
        <f t="shared" si="0"/>
        <v>0</v>
      </c>
      <c r="AB38" s="230" t="str">
        <f>IF(AA38=0,"",IFERROR(AA38/AA$19,""))</f>
        <v/>
      </c>
      <c r="AC38" s="136"/>
      <c r="AD38" s="228"/>
      <c r="AE38" s="230" t="str">
        <f>IF(AD38=0,"",IFERROR(AD38/AD$19,""))</f>
        <v/>
      </c>
      <c r="AF38" s="231">
        <f t="shared" si="1"/>
        <v>0</v>
      </c>
      <c r="AG38" s="228"/>
      <c r="AH38" s="230" t="str">
        <f>IF(AG38=0,"",IFERROR(AG38/AG$19,""))</f>
        <v/>
      </c>
      <c r="AI38" s="231">
        <f t="shared" si="2"/>
        <v>0</v>
      </c>
    </row>
    <row r="39" spans="1:35" x14ac:dyDescent="0.25">
      <c r="A39" s="61" t="s">
        <v>27</v>
      </c>
      <c r="B39" s="62"/>
      <c r="C39" s="11"/>
      <c r="D39" s="11"/>
      <c r="E39" s="11"/>
      <c r="F39" s="11"/>
      <c r="G39" s="11"/>
      <c r="H39" s="84" t="s">
        <v>318</v>
      </c>
      <c r="I39" s="118" t="str">
        <f>IF(_epmOfflineCondition_,"N",_xll.EVPRO($B$1,$H39,"STYLE"))</f>
        <v>N</v>
      </c>
      <c r="J39" s="118" t="str">
        <f>IF(_epmOfflineCondition_,"Y",_xll.EVPRO($B$1,$H39,"CALC"))</f>
        <v>Y</v>
      </c>
      <c r="K39" s="86"/>
      <c r="L39" s="86" t="str">
        <f>IF(_epmOfflineCondition_,"",_xll.EVPRO($B$1,H39,"JDEID"))</f>
        <v/>
      </c>
      <c r="M39" s="86" t="str">
        <f>IF(_epmOfflineCondition_,"",IF(AND(I39="N",J39="N"),_xll.EVPRO($B$1,H39,"PSFTID"),""))</f>
        <v/>
      </c>
      <c r="N39" s="102" t="str">
        <f>IF(_epmOfflineCondition_,"Breakfast Revenue",IF(_xll.EVDES(H39,$B$1)="#NODATA","",_xll.EVDES(H39,$B$1)))</f>
        <v>Breakfast Revenue</v>
      </c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158">
        <f t="shared" si="0"/>
        <v>0</v>
      </c>
      <c r="AB39" s="159" t="str">
        <f>IF(AA39=0,"",IFERROR(AA39/AA$19,""))</f>
        <v/>
      </c>
      <c r="AC39" s="136"/>
      <c r="AD39" s="158"/>
      <c r="AE39" s="159" t="str">
        <f>IF(AD39=0,"",IFERROR(AD39/AD$19,""))</f>
        <v/>
      </c>
      <c r="AF39" s="160">
        <f t="shared" si="1"/>
        <v>0</v>
      </c>
      <c r="AG39" s="158"/>
      <c r="AH39" s="159" t="str">
        <f>IF(AG39=0,"",IFERROR(AG39/AG$19,""))</f>
        <v/>
      </c>
      <c r="AI39" s="160">
        <f t="shared" si="2"/>
        <v>0</v>
      </c>
    </row>
    <row r="40" spans="1:35" x14ac:dyDescent="0.25">
      <c r="A40" s="61" t="s">
        <v>28</v>
      </c>
      <c r="B40" s="62"/>
      <c r="C40" s="11"/>
      <c r="D40" s="11"/>
      <c r="E40" s="11"/>
      <c r="F40" s="11"/>
      <c r="G40" s="11"/>
      <c r="H40" s="84" t="s">
        <v>764</v>
      </c>
      <c r="I40" s="118" t="str">
        <f>IF(_epmOfflineCondition_,"N",_xll.EVPRO($B$1,$H40,"STYLE"))</f>
        <v>N</v>
      </c>
      <c r="J40" s="118" t="str">
        <f>IF(_epmOfflineCondition_,"N",_xll.EVPRO($B$1,$H40,"CALC"))</f>
        <v>N</v>
      </c>
      <c r="K40" s="86"/>
      <c r="L40" s="86" t="str">
        <f>IF(_epmOfflineCondition_,"947100",_xll.EVPRO($B$1,H40,"JDEID"))</f>
        <v>947100</v>
      </c>
      <c r="M40" s="86" t="str">
        <f>IF(_epmOfflineCondition_,"999991",IF(AND(I40="N",J40="N"),_xll.EVPRO($B$1,H40,"PSFTID"),""))</f>
        <v>999991</v>
      </c>
      <c r="N40" s="86" t="str">
        <f>IF(_epmOfflineCondition_,"# of Operating Days - Breakfast",IF(_xll.EVDES(H40,$B$1)="#NODATA","",_xll.EVDES(H40,$B$1)))</f>
        <v># of Operating Days - Breakfast</v>
      </c>
      <c r="O40" s="240"/>
      <c r="P40" s="240"/>
      <c r="Q40" s="240"/>
      <c r="R40" s="240"/>
      <c r="S40" s="240"/>
      <c r="T40" s="240"/>
      <c r="U40" s="240"/>
      <c r="V40" s="240"/>
      <c r="W40" s="240"/>
      <c r="X40" s="240"/>
      <c r="Y40" s="240"/>
      <c r="Z40" s="240"/>
      <c r="AA40" s="240">
        <f t="shared" si="0"/>
        <v>0</v>
      </c>
      <c r="AB40" s="242"/>
      <c r="AC40" s="136"/>
      <c r="AD40" s="240"/>
      <c r="AE40" s="242"/>
      <c r="AF40" s="243">
        <f t="shared" si="1"/>
        <v>0</v>
      </c>
      <c r="AG40" s="240"/>
      <c r="AH40" s="242"/>
      <c r="AI40" s="243">
        <f t="shared" si="2"/>
        <v>0</v>
      </c>
    </row>
    <row r="41" spans="1:35" x14ac:dyDescent="0.25">
      <c r="A41" s="61" t="s">
        <v>29</v>
      </c>
      <c r="B41" s="62"/>
      <c r="C41" s="11"/>
      <c r="D41" s="11"/>
      <c r="E41" s="11"/>
      <c r="F41" s="11"/>
      <c r="G41" s="11"/>
      <c r="H41" s="84" t="s">
        <v>297</v>
      </c>
      <c r="I41" s="118" t="str">
        <f>IF(_epmOfflineCondition_,"N",_xll.EVPRO($B$1,$H41,"STYLE"))</f>
        <v>N</v>
      </c>
      <c r="J41" s="118" t="str">
        <f>IF(_epmOfflineCondition_,"N",_xll.EVPRO($B$1,$H41,"CALC"))</f>
        <v>N</v>
      </c>
      <c r="K41" s="86"/>
      <c r="L41" s="86" t="str">
        <f>IF(_epmOfflineCondition_,"946100",_xll.EVPRO($B$1,H41,"JDEID"))</f>
        <v>946100</v>
      </c>
      <c r="M41" s="86" t="str">
        <f>IF(_epmOfflineCondition_,"991501",IF(AND(I41="N",J41="N"),_xll.EVPRO($B$1,H41,"PSFTID"),""))</f>
        <v>991501</v>
      </c>
      <c r="N41" s="86" t="str">
        <f>IF(_epmOfflineCondition_,"Breakfast Customers",IF(_xll.EVDES(H41,$B$1)="#NODATA","",_xll.EVDES(H41,$B$1)))</f>
        <v>Breakfast Customers</v>
      </c>
      <c r="O41" s="240"/>
      <c r="P41" s="240"/>
      <c r="Q41" s="240"/>
      <c r="R41" s="240"/>
      <c r="S41" s="240"/>
      <c r="T41" s="240"/>
      <c r="U41" s="240"/>
      <c r="V41" s="240"/>
      <c r="W41" s="240"/>
      <c r="X41" s="240"/>
      <c r="Y41" s="240"/>
      <c r="Z41" s="240"/>
      <c r="AA41" s="240">
        <f t="shared" si="0"/>
        <v>0</v>
      </c>
      <c r="AB41" s="242" t="str">
        <f>IF(AA41=0,"",IFERROR(AA41/AA$87,""))</f>
        <v/>
      </c>
      <c r="AC41" s="136"/>
      <c r="AD41" s="240"/>
      <c r="AE41" s="242" t="str">
        <f>IF(AD41=0,"",IFERROR(AD41/AD$87,""))</f>
        <v/>
      </c>
      <c r="AF41" s="243">
        <f t="shared" si="1"/>
        <v>0</v>
      </c>
      <c r="AG41" s="240"/>
      <c r="AH41" s="242" t="str">
        <f>IF(AG41=0,"",IFERROR(AG41/AG$87,""))</f>
        <v/>
      </c>
      <c r="AI41" s="243">
        <f t="shared" si="2"/>
        <v>0</v>
      </c>
    </row>
    <row r="42" spans="1:35" x14ac:dyDescent="0.25">
      <c r="A42" s="61" t="s">
        <v>30</v>
      </c>
      <c r="B42" s="62" t="s">
        <v>78</v>
      </c>
      <c r="C42" s="11"/>
      <c r="D42" s="11"/>
      <c r="E42" s="11"/>
      <c r="F42" s="11"/>
      <c r="G42" s="11"/>
      <c r="H42" s="84" t="s">
        <v>313</v>
      </c>
      <c r="I42" s="118" t="str">
        <f>IF(_epmOfflineCondition_,"N",_xll.EVPRO($B$1,$H42,"STYLE"))</f>
        <v>N</v>
      </c>
      <c r="J42" s="118" t="str">
        <f>IF(_epmOfflineCondition_,"Y",_xll.EVPRO($B$1,$H42,"CALC"))</f>
        <v>Y</v>
      </c>
      <c r="K42" s="86"/>
      <c r="L42" s="86" t="str">
        <f>IF(_epmOfflineCondition_,"",_xll.EVPRO($B$1,H42,"JDEID"))</f>
        <v/>
      </c>
      <c r="M42" s="86" t="str">
        <f>IF(_epmOfflineCondition_,"",IF(AND(I42="N",J42="N"),_xll.EVPRO($B$1,H42,"PSFTID"),""))</f>
        <v/>
      </c>
      <c r="N42" s="186" t="str">
        <f>IF(_epmOfflineCondition_,"Breakfast - Average Check",IF(_xll.EVDES(H42,$B$1)="#NODATA","",_xll.EVDES(H42,$B$1)))</f>
        <v>Breakfast - Average Check</v>
      </c>
      <c r="O42" s="490"/>
      <c r="P42" s="490"/>
      <c r="Q42" s="490"/>
      <c r="R42" s="490"/>
      <c r="S42" s="490"/>
      <c r="T42" s="490"/>
      <c r="U42" s="490"/>
      <c r="V42" s="490"/>
      <c r="W42" s="490"/>
      <c r="X42" s="490"/>
      <c r="Y42" s="490"/>
      <c r="Z42" s="490"/>
      <c r="AA42" s="490" t="str">
        <f>IFERROR(AA39/AA41,"")</f>
        <v/>
      </c>
      <c r="AB42" s="490"/>
      <c r="AC42" s="136"/>
      <c r="AD42" s="490"/>
      <c r="AE42" s="490"/>
      <c r="AF42" s="491" t="str">
        <f t="shared" si="1"/>
        <v/>
      </c>
      <c r="AG42" s="490"/>
      <c r="AH42" s="490"/>
      <c r="AI42" s="491" t="str">
        <f t="shared" si="2"/>
        <v/>
      </c>
    </row>
    <row r="43" spans="1:35" x14ac:dyDescent="0.25">
      <c r="A43" s="61" t="s">
        <v>31</v>
      </c>
      <c r="B43" s="62" t="s">
        <v>78</v>
      </c>
      <c r="C43" s="11"/>
      <c r="D43" s="11"/>
      <c r="E43" s="11"/>
      <c r="F43" s="11"/>
      <c r="G43" s="486">
        <f>COUNTIF(O44:AI44,FALSE)</f>
        <v>0</v>
      </c>
      <c r="H43" s="84"/>
      <c r="I43" s="118"/>
      <c r="J43" s="118"/>
      <c r="K43" s="86"/>
      <c r="L43" s="86"/>
      <c r="M43" s="86"/>
      <c r="N43" s="487" t="s">
        <v>345</v>
      </c>
      <c r="O43" s="492">
        <f t="shared" ref="O43:AA43" si="3">ROUND(IFERROR(O39/O41,0),2)</f>
        <v>0</v>
      </c>
      <c r="P43" s="493">
        <f t="shared" si="3"/>
        <v>0</v>
      </c>
      <c r="Q43" s="493">
        <f t="shared" si="3"/>
        <v>0</v>
      </c>
      <c r="R43" s="493">
        <f t="shared" si="3"/>
        <v>0</v>
      </c>
      <c r="S43" s="493">
        <f t="shared" si="3"/>
        <v>0</v>
      </c>
      <c r="T43" s="493">
        <f t="shared" si="3"/>
        <v>0</v>
      </c>
      <c r="U43" s="493">
        <f t="shared" si="3"/>
        <v>0</v>
      </c>
      <c r="V43" s="493">
        <f t="shared" si="3"/>
        <v>0</v>
      </c>
      <c r="W43" s="493">
        <f t="shared" si="3"/>
        <v>0</v>
      </c>
      <c r="X43" s="493">
        <f t="shared" si="3"/>
        <v>0</v>
      </c>
      <c r="Y43" s="493">
        <f t="shared" si="3"/>
        <v>0</v>
      </c>
      <c r="Z43" s="493">
        <f t="shared" si="3"/>
        <v>0</v>
      </c>
      <c r="AA43" s="493">
        <f t="shared" si="3"/>
        <v>0</v>
      </c>
      <c r="AB43" s="494"/>
      <c r="AC43" s="136"/>
      <c r="AD43" s="492">
        <f>ROUND(IFERROR(AD39/AD41,0),2)</f>
        <v>0</v>
      </c>
      <c r="AE43" s="493"/>
      <c r="AF43" s="151"/>
      <c r="AG43" s="492">
        <f>ROUND(IFERROR(AG39/AG41,0),2)</f>
        <v>0</v>
      </c>
      <c r="AH43" s="493"/>
      <c r="AI43" s="151"/>
    </row>
    <row r="44" spans="1:35" x14ac:dyDescent="0.25">
      <c r="A44" s="61" t="s">
        <v>32</v>
      </c>
      <c r="B44" s="62"/>
      <c r="C44" s="11"/>
      <c r="D44" s="11"/>
      <c r="E44" s="11"/>
      <c r="F44" s="11"/>
      <c r="G44" s="11"/>
      <c r="H44" s="84"/>
      <c r="I44" s="118"/>
      <c r="J44" s="118"/>
      <c r="K44" s="86"/>
      <c r="L44" s="86"/>
      <c r="M44" s="86"/>
      <c r="N44" s="49" t="s">
        <v>314</v>
      </c>
      <c r="O44" s="495" t="b">
        <f t="shared" ref="O44:AA44" si="4">ROUND(O42,2)=ROUND(O43,2)</f>
        <v>1</v>
      </c>
      <c r="P44" s="496" t="b">
        <f t="shared" si="4"/>
        <v>1</v>
      </c>
      <c r="Q44" s="496" t="b">
        <f t="shared" si="4"/>
        <v>1</v>
      </c>
      <c r="R44" s="496" t="b">
        <f t="shared" si="4"/>
        <v>1</v>
      </c>
      <c r="S44" s="496" t="b">
        <f t="shared" si="4"/>
        <v>1</v>
      </c>
      <c r="T44" s="496" t="b">
        <f t="shared" si="4"/>
        <v>1</v>
      </c>
      <c r="U44" s="496" t="b">
        <f t="shared" si="4"/>
        <v>1</v>
      </c>
      <c r="V44" s="496" t="b">
        <f t="shared" si="4"/>
        <v>1</v>
      </c>
      <c r="W44" s="496" t="b">
        <f t="shared" si="4"/>
        <v>1</v>
      </c>
      <c r="X44" s="496" t="b">
        <f t="shared" si="4"/>
        <v>1</v>
      </c>
      <c r="Y44" s="496" t="b">
        <f t="shared" si="4"/>
        <v>1</v>
      </c>
      <c r="Z44" s="496" t="b">
        <f t="shared" si="4"/>
        <v>1</v>
      </c>
      <c r="AA44" s="496" t="e">
        <f t="shared" si="4"/>
        <v>#VALUE!</v>
      </c>
      <c r="AB44" s="497"/>
      <c r="AC44" s="498"/>
      <c r="AD44" s="495"/>
      <c r="AE44" s="496" t="b">
        <f>ROUND(AD42,2)=ROUND(AD43,2)</f>
        <v>1</v>
      </c>
      <c r="AF44" s="497"/>
      <c r="AG44" s="495"/>
      <c r="AH44" s="496" t="b">
        <f>ROUND(AG42,2)=ROUND(AG43,2)</f>
        <v>1</v>
      </c>
      <c r="AI44" s="497"/>
    </row>
    <row r="45" spans="1:35" x14ac:dyDescent="0.25">
      <c r="A45" s="61" t="s">
        <v>33</v>
      </c>
      <c r="B45" s="62"/>
      <c r="C45" s="11"/>
      <c r="D45" s="11"/>
      <c r="E45" s="11"/>
      <c r="F45" s="11"/>
      <c r="G45" s="11"/>
      <c r="H45" s="84" t="s">
        <v>261</v>
      </c>
      <c r="I45" s="118" t="str">
        <f>IF(_epmOfflineCondition_,"T5",_xll.EVPRO($B$1,$H45,"STYLE"))</f>
        <v>T5</v>
      </c>
      <c r="J45" s="118" t="str">
        <f>IF(_epmOfflineCondition_,"Y",_xll.EVPRO($B$1,$H45,"CALC"))</f>
        <v>Y</v>
      </c>
      <c r="K45" s="86"/>
      <c r="L45" s="86" t="str">
        <f>IF(_epmOfflineCondition_,"462100",_xll.EVPRO($B$1,H45,"JDEID"))</f>
        <v>462100</v>
      </c>
      <c r="M45" s="86" t="str">
        <f>IF(_epmOfflineCondition_,"",IF(AND(I45="N",J45="N"),_xll.EVPRO($B$1,H45,"PSFTID"),""))</f>
        <v/>
      </c>
      <c r="N45" s="86" t="str">
        <f>IF(_epmOfflineCondition_,"Lunch Food",IF(_xll.EVDES(H45,$B$1)="#NODATA","",_xll.EVDES(H45,$B$1)))</f>
        <v>Lunch Food</v>
      </c>
      <c r="O45" s="134"/>
      <c r="P45" s="134"/>
      <c r="Q45" s="134"/>
      <c r="R45" s="134"/>
      <c r="S45" s="134"/>
      <c r="T45" s="134"/>
      <c r="U45" s="134"/>
      <c r="V45" s="134"/>
      <c r="W45" s="134"/>
      <c r="X45" s="134"/>
      <c r="Y45" s="134"/>
      <c r="Z45" s="134"/>
      <c r="AA45" s="134">
        <f t="shared" ref="AA45:AA51" si="5">SUM(O45:Z45)</f>
        <v>0</v>
      </c>
      <c r="AB45" s="138" t="str">
        <f>IF(AA45=0,"",IFERROR(AA45/AA$19,""))</f>
        <v/>
      </c>
      <c r="AC45" s="136"/>
      <c r="AD45" s="134"/>
      <c r="AE45" s="138" t="str">
        <f>IF(AD45=0,"",IFERROR(AD45/AD$19,""))</f>
        <v/>
      </c>
      <c r="AF45" s="137">
        <f t="shared" ref="AF45:AF52" si="6">IF(AND($AA45="",AD45=""),"",$AA45-AD45)</f>
        <v>0</v>
      </c>
      <c r="AG45" s="134"/>
      <c r="AH45" s="138" t="str">
        <f>IF(AG45=0,"",IFERROR(AG45/AG$19,""))</f>
        <v/>
      </c>
      <c r="AI45" s="137">
        <f t="shared" ref="AI45:AI52" si="7">IF(AND($AA45="",AG45=""),"",$AA45-AG45)</f>
        <v>0</v>
      </c>
    </row>
    <row r="46" spans="1:35" x14ac:dyDescent="0.25">
      <c r="A46" s="61" t="s">
        <v>34</v>
      </c>
      <c r="B46" s="62"/>
      <c r="C46" s="11"/>
      <c r="D46" s="11"/>
      <c r="E46" s="11"/>
      <c r="F46" s="11"/>
      <c r="G46" s="11"/>
      <c r="H46" s="181" t="s">
        <v>301</v>
      </c>
      <c r="I46" s="118" t="str">
        <f>IF(_epmOfflineCondition_,"T6",_xll.EVPRO($B$1,$H46,"STYLE"))</f>
        <v>T6</v>
      </c>
      <c r="J46" s="118" t="str">
        <f>IF(_epmOfflineCondition_,"Y",_xll.EVPRO($B$1,$H46,"CALC"))</f>
        <v>Y</v>
      </c>
      <c r="K46" s="86"/>
      <c r="L46" s="86" t="str">
        <f>IF(_epmOfflineCondition_,"462200",_xll.EVPRO($B$1,H46,"JDEID"))</f>
        <v>462200</v>
      </c>
      <c r="M46" s="86" t="str">
        <f>IF(_epmOfflineCondition_,"",IF(AND(I46="N",J46="N"),_xll.EVPRO($B$1,H46,"PSFTID"),""))</f>
        <v/>
      </c>
      <c r="N46" s="86" t="str">
        <f>IF(_epmOfflineCondition_,"Lunch Liquor",IF(_xll.EVDES(H46,$B$1)="#NODATA","",_xll.EVDES(H46,$B$1)))</f>
        <v>Lunch Liquor</v>
      </c>
      <c r="O46" s="134"/>
      <c r="P46" s="134"/>
      <c r="Q46" s="134"/>
      <c r="R46" s="134"/>
      <c r="S46" s="134"/>
      <c r="T46" s="134"/>
      <c r="U46" s="134"/>
      <c r="V46" s="134"/>
      <c r="W46" s="134"/>
      <c r="X46" s="134"/>
      <c r="Y46" s="134"/>
      <c r="Z46" s="134"/>
      <c r="AA46" s="134">
        <f t="shared" si="5"/>
        <v>0</v>
      </c>
      <c r="AB46" s="138" t="str">
        <f>IF(AA46=0,"",IFERROR(AA46/AA$19,""))</f>
        <v/>
      </c>
      <c r="AC46" s="136"/>
      <c r="AD46" s="134"/>
      <c r="AE46" s="138" t="str">
        <f>IF(AD46=0,"",IFERROR(AD46/AD$19,""))</f>
        <v/>
      </c>
      <c r="AF46" s="137">
        <f t="shared" si="6"/>
        <v>0</v>
      </c>
      <c r="AG46" s="134"/>
      <c r="AH46" s="138" t="str">
        <f>IF(AG46=0,"",IFERROR(AG46/AG$19,""))</f>
        <v/>
      </c>
      <c r="AI46" s="137">
        <f t="shared" si="7"/>
        <v>0</v>
      </c>
    </row>
    <row r="47" spans="1:35" x14ac:dyDescent="0.25">
      <c r="A47" s="61" t="s">
        <v>35</v>
      </c>
      <c r="B47" s="62"/>
      <c r="C47" s="11"/>
      <c r="D47" s="11"/>
      <c r="E47" s="11"/>
      <c r="F47" s="11"/>
      <c r="G47" s="11"/>
      <c r="H47" s="181" t="s">
        <v>305</v>
      </c>
      <c r="I47" s="118" t="str">
        <f>IF(_epmOfflineCondition_,"T6",_xll.EVPRO($B$1,$H47,"STYLE"))</f>
        <v>T6</v>
      </c>
      <c r="J47" s="118" t="str">
        <f>IF(_epmOfflineCondition_,"Y",_xll.EVPRO($B$1,$H47,"CALC"))</f>
        <v>Y</v>
      </c>
      <c r="K47" s="86"/>
      <c r="L47" s="86" t="str">
        <f>IF(_epmOfflineCondition_,"462300",_xll.EVPRO($B$1,H47,"JDEID"))</f>
        <v>462300</v>
      </c>
      <c r="M47" s="86" t="str">
        <f>IF(_epmOfflineCondition_,"",IF(AND(I47="N",J47="N"),_xll.EVPRO($B$1,H47,"PSFTID"),""))</f>
        <v/>
      </c>
      <c r="N47" s="86" t="str">
        <f>IF(_epmOfflineCondition_,"Lunch Beer",IF(_xll.EVDES(H47,$B$1)="#NODATA","",_xll.EVDES(H47,$B$1)))</f>
        <v>Lunch Beer</v>
      </c>
      <c r="O47" s="134"/>
      <c r="P47" s="134"/>
      <c r="Q47" s="134"/>
      <c r="R47" s="134"/>
      <c r="S47" s="134"/>
      <c r="T47" s="134"/>
      <c r="U47" s="134"/>
      <c r="V47" s="134"/>
      <c r="W47" s="134"/>
      <c r="X47" s="134"/>
      <c r="Y47" s="134"/>
      <c r="Z47" s="134"/>
      <c r="AA47" s="134">
        <f t="shared" si="5"/>
        <v>0</v>
      </c>
      <c r="AB47" s="138" t="str">
        <f>IF(AA47=0,"",IFERROR(AA47/AA$19,""))</f>
        <v/>
      </c>
      <c r="AC47" s="136"/>
      <c r="AD47" s="134"/>
      <c r="AE47" s="138" t="str">
        <f>IF(AD47=0,"",IFERROR(AD47/AD$19,""))</f>
        <v/>
      </c>
      <c r="AF47" s="137">
        <f t="shared" si="6"/>
        <v>0</v>
      </c>
      <c r="AG47" s="134"/>
      <c r="AH47" s="138" t="str">
        <f>IF(AG47=0,"",IFERROR(AG47/AG$19,""))</f>
        <v/>
      </c>
      <c r="AI47" s="137">
        <f t="shared" si="7"/>
        <v>0</v>
      </c>
    </row>
    <row r="48" spans="1:35" x14ac:dyDescent="0.25">
      <c r="A48" s="61" t="s">
        <v>36</v>
      </c>
      <c r="B48" s="62"/>
      <c r="C48" s="11"/>
      <c r="D48" s="11"/>
      <c r="E48" s="11"/>
      <c r="F48" s="11"/>
      <c r="G48" s="11"/>
      <c r="H48" s="181" t="s">
        <v>303</v>
      </c>
      <c r="I48" s="118" t="str">
        <f>IF(_epmOfflineCondition_,"T6",_xll.EVPRO($B$1,$H48,"STYLE"))</f>
        <v>T6</v>
      </c>
      <c r="J48" s="118" t="str">
        <f>IF(_epmOfflineCondition_,"Y",_xll.EVPRO($B$1,$H48,"CALC"))</f>
        <v>Y</v>
      </c>
      <c r="K48" s="86"/>
      <c r="L48" s="86" t="str">
        <f>IF(_epmOfflineCondition_,"462400",_xll.EVPRO($B$1,H48,"JDEID"))</f>
        <v>462400</v>
      </c>
      <c r="M48" s="86" t="str">
        <f>IF(_epmOfflineCondition_,"",IF(AND(I48="N",J48="N"),_xll.EVPRO($B$1,H48,"PSFTID"),""))</f>
        <v/>
      </c>
      <c r="N48" s="86" t="str">
        <f>IF(_epmOfflineCondition_,"Lunch Wine",IF(_xll.EVDES(H48,$B$1)="#NODATA","",_xll.EVDES(H48,$B$1)))</f>
        <v>Lunch Wine</v>
      </c>
      <c r="O48" s="228"/>
      <c r="P48" s="228"/>
      <c r="Q48" s="228"/>
      <c r="R48" s="228"/>
      <c r="S48" s="228"/>
      <c r="T48" s="228"/>
      <c r="U48" s="228"/>
      <c r="V48" s="228"/>
      <c r="W48" s="228"/>
      <c r="X48" s="228"/>
      <c r="Y48" s="228"/>
      <c r="Z48" s="228"/>
      <c r="AA48" s="228">
        <f t="shared" si="5"/>
        <v>0</v>
      </c>
      <c r="AB48" s="230" t="str">
        <f>IF(AA48=0,"",IFERROR(AA48/AA$19,""))</f>
        <v/>
      </c>
      <c r="AC48" s="136"/>
      <c r="AD48" s="228"/>
      <c r="AE48" s="230" t="str">
        <f>IF(AD48=0,"",IFERROR(AD48/AD$19,""))</f>
        <v/>
      </c>
      <c r="AF48" s="231">
        <f t="shared" si="6"/>
        <v>0</v>
      </c>
      <c r="AG48" s="228"/>
      <c r="AH48" s="230" t="str">
        <f>IF(AG48=0,"",IFERROR(AG48/AG$19,""))</f>
        <v/>
      </c>
      <c r="AI48" s="231">
        <f t="shared" si="7"/>
        <v>0</v>
      </c>
    </row>
    <row r="49" spans="1:35" x14ac:dyDescent="0.25">
      <c r="A49" s="61" t="s">
        <v>37</v>
      </c>
      <c r="B49" s="62"/>
      <c r="C49" s="11"/>
      <c r="D49" s="11"/>
      <c r="E49" s="11"/>
      <c r="F49" s="11"/>
      <c r="G49" s="11"/>
      <c r="H49" s="84" t="s">
        <v>319</v>
      </c>
      <c r="I49" s="118" t="str">
        <f>IF(_epmOfflineCondition_,"N",_xll.EVPRO($B$1,$H49,"STYLE"))</f>
        <v>N</v>
      </c>
      <c r="J49" s="118" t="str">
        <f>IF(_epmOfflineCondition_,"Y",_xll.EVPRO($B$1,$H49,"CALC"))</f>
        <v>Y</v>
      </c>
      <c r="K49" s="86"/>
      <c r="L49" s="86" t="str">
        <f>IF(_epmOfflineCondition_,"",_xll.EVPRO($B$1,H49,"JDEID"))</f>
        <v/>
      </c>
      <c r="M49" s="86" t="str">
        <f>IF(_epmOfflineCondition_,"",IF(AND(I49="N",J49="N"),_xll.EVPRO($B$1,H49,"PSFTID"),""))</f>
        <v/>
      </c>
      <c r="N49" s="102" t="str">
        <f>IF(_epmOfflineCondition_,"Lunch Revenue",IF(_xll.EVDES(H49,$B$1)="#NODATA","",_xll.EVDES(H49,$B$1)))</f>
        <v>Lunch Revenue</v>
      </c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158">
        <f t="shared" si="5"/>
        <v>0</v>
      </c>
      <c r="AB49" s="159" t="str">
        <f>IF(AA49=0,"",IFERROR(AA49/AA$19,""))</f>
        <v/>
      </c>
      <c r="AC49" s="136"/>
      <c r="AD49" s="158"/>
      <c r="AE49" s="159" t="str">
        <f>IF(AD49=0,"",IFERROR(AD49/AD$19,""))</f>
        <v/>
      </c>
      <c r="AF49" s="160">
        <f t="shared" si="6"/>
        <v>0</v>
      </c>
      <c r="AG49" s="158"/>
      <c r="AH49" s="159" t="str">
        <f>IF(AG49=0,"",IFERROR(AG49/AG$19,""))</f>
        <v/>
      </c>
      <c r="AI49" s="160">
        <f t="shared" si="7"/>
        <v>0</v>
      </c>
    </row>
    <row r="50" spans="1:35" x14ac:dyDescent="0.25">
      <c r="A50" s="61" t="s">
        <v>38</v>
      </c>
      <c r="B50" s="62"/>
      <c r="C50" s="11"/>
      <c r="D50" s="11"/>
      <c r="E50" s="11"/>
      <c r="F50" s="11"/>
      <c r="G50" s="11"/>
      <c r="H50" s="84" t="s">
        <v>765</v>
      </c>
      <c r="I50" s="118" t="str">
        <f>IF(_epmOfflineCondition_,"N",_xll.EVPRO($B$1,$H50,"STYLE"))</f>
        <v>N</v>
      </c>
      <c r="J50" s="118" t="str">
        <f>IF(_epmOfflineCondition_,"N",_xll.EVPRO($B$1,$H50,"CALC"))</f>
        <v>N</v>
      </c>
      <c r="K50" s="86"/>
      <c r="L50" s="86" t="str">
        <f>IF(_epmOfflineCondition_,"947200",_xll.EVPRO($B$1,H50,"JDEID"))</f>
        <v>947200</v>
      </c>
      <c r="M50" s="86" t="str">
        <f>IF(_epmOfflineCondition_,"999992",IF(AND(I50="N",J50="N"),_xll.EVPRO($B$1,H50,"PSFTID"),""))</f>
        <v>999992</v>
      </c>
      <c r="N50" s="86" t="str">
        <f>IF(_epmOfflineCondition_,"# of Operating Days - Lunch",IF(_xll.EVDES(H50,$B$1)="#NODATA","",_xll.EVDES(H50,$B$1)))</f>
        <v># of Operating Days - Lunch</v>
      </c>
      <c r="O50" s="240"/>
      <c r="P50" s="240"/>
      <c r="Q50" s="240"/>
      <c r="R50" s="240"/>
      <c r="S50" s="240"/>
      <c r="T50" s="240"/>
      <c r="U50" s="240"/>
      <c r="V50" s="240"/>
      <c r="W50" s="240"/>
      <c r="X50" s="240"/>
      <c r="Y50" s="240"/>
      <c r="Z50" s="240"/>
      <c r="AA50" s="240">
        <f t="shared" si="5"/>
        <v>0</v>
      </c>
      <c r="AB50" s="242"/>
      <c r="AC50" s="136"/>
      <c r="AD50" s="240"/>
      <c r="AE50" s="242"/>
      <c r="AF50" s="243">
        <f t="shared" si="6"/>
        <v>0</v>
      </c>
      <c r="AG50" s="240"/>
      <c r="AH50" s="242"/>
      <c r="AI50" s="243">
        <f t="shared" si="7"/>
        <v>0</v>
      </c>
    </row>
    <row r="51" spans="1:35" x14ac:dyDescent="0.25">
      <c r="A51" s="61" t="s">
        <v>39</v>
      </c>
      <c r="B51" s="62"/>
      <c r="C51" s="11"/>
      <c r="D51" s="11"/>
      <c r="E51" s="11"/>
      <c r="F51" s="11"/>
      <c r="G51" s="11"/>
      <c r="H51" s="84" t="s">
        <v>298</v>
      </c>
      <c r="I51" s="118" t="str">
        <f>IF(_epmOfflineCondition_,"N",_xll.EVPRO($B$1,$H51,"STYLE"))</f>
        <v>N</v>
      </c>
      <c r="J51" s="118" t="str">
        <f>IF(_epmOfflineCondition_,"N",_xll.EVPRO($B$1,$H51,"CALC"))</f>
        <v>N</v>
      </c>
      <c r="K51" s="86"/>
      <c r="L51" s="86" t="str">
        <f>IF(_epmOfflineCondition_,"946200",_xll.EVPRO($B$1,H51,"JDEID"))</f>
        <v>946200</v>
      </c>
      <c r="M51" s="86" t="str">
        <f>IF(_epmOfflineCondition_,"991502",IF(AND(I51="N",J51="N"),_xll.EVPRO($B$1,H51,"PSFTID"),""))</f>
        <v>991502</v>
      </c>
      <c r="N51" s="86" t="str">
        <f>IF(_epmOfflineCondition_,"Lunch Customers",IF(_xll.EVDES(H51,$B$1)="#NODATA","",_xll.EVDES(H51,$B$1)))</f>
        <v>Lunch Customers</v>
      </c>
      <c r="O51" s="240"/>
      <c r="P51" s="240"/>
      <c r="Q51" s="240"/>
      <c r="R51" s="240"/>
      <c r="S51" s="240"/>
      <c r="T51" s="240"/>
      <c r="U51" s="240"/>
      <c r="V51" s="240"/>
      <c r="W51" s="240"/>
      <c r="X51" s="240"/>
      <c r="Y51" s="240"/>
      <c r="Z51" s="240"/>
      <c r="AA51" s="240">
        <f t="shared" si="5"/>
        <v>0</v>
      </c>
      <c r="AB51" s="242" t="str">
        <f>IF(AA51=0,"",IFERROR(AA51/AA$87,""))</f>
        <v/>
      </c>
      <c r="AC51" s="136"/>
      <c r="AD51" s="240"/>
      <c r="AE51" s="242" t="str">
        <f>IF(AD51=0,"",IFERROR(AD51/AD$87,""))</f>
        <v/>
      </c>
      <c r="AF51" s="243">
        <f t="shared" si="6"/>
        <v>0</v>
      </c>
      <c r="AG51" s="240"/>
      <c r="AH51" s="242" t="str">
        <f>IF(AG51=0,"",IFERROR(AG51/AG$87,""))</f>
        <v/>
      </c>
      <c r="AI51" s="243">
        <f t="shared" si="7"/>
        <v>0</v>
      </c>
    </row>
    <row r="52" spans="1:35" x14ac:dyDescent="0.25">
      <c r="A52" s="61" t="s">
        <v>40</v>
      </c>
      <c r="B52" s="62"/>
      <c r="C52" s="11"/>
      <c r="D52" s="11"/>
      <c r="E52" s="11"/>
      <c r="F52" s="11"/>
      <c r="G52" s="11"/>
      <c r="H52" s="84" t="s">
        <v>315</v>
      </c>
      <c r="I52" s="118" t="str">
        <f>IF(_epmOfflineCondition_,"N",_xll.EVPRO($B$1,$H52,"STYLE"))</f>
        <v>N</v>
      </c>
      <c r="J52" s="118" t="str">
        <f>IF(_epmOfflineCondition_,"Y",_xll.EVPRO($B$1,$H52,"CALC"))</f>
        <v>Y</v>
      </c>
      <c r="K52" s="86"/>
      <c r="L52" s="86" t="str">
        <f>IF(_epmOfflineCondition_,"",_xll.EVPRO($B$1,H52,"JDEID"))</f>
        <v/>
      </c>
      <c r="M52" s="86" t="str">
        <f>IF(_epmOfflineCondition_,"",IF(AND(I52="N",J52="N"),_xll.EVPRO($B$1,H52,"PSFTID"),""))</f>
        <v/>
      </c>
      <c r="N52" s="186" t="str">
        <f>IF(_epmOfflineCondition_,"Lunch - Average Check",IF(_xll.EVDES(H52,$B$1)="#NODATA","",_xll.EVDES(H52,$B$1)))</f>
        <v>Lunch - Average Check</v>
      </c>
      <c r="O52" s="490"/>
      <c r="P52" s="490"/>
      <c r="Q52" s="490"/>
      <c r="R52" s="490"/>
      <c r="S52" s="490"/>
      <c r="T52" s="490"/>
      <c r="U52" s="490"/>
      <c r="V52" s="490"/>
      <c r="W52" s="490"/>
      <c r="X52" s="490"/>
      <c r="Y52" s="490"/>
      <c r="Z52" s="490"/>
      <c r="AA52" s="490" t="str">
        <f>IFERROR(AA49/AA51,"")</f>
        <v/>
      </c>
      <c r="AB52" s="490"/>
      <c r="AC52" s="136"/>
      <c r="AD52" s="490"/>
      <c r="AE52" s="490"/>
      <c r="AF52" s="491" t="str">
        <f t="shared" si="6"/>
        <v/>
      </c>
      <c r="AG52" s="490"/>
      <c r="AH52" s="490"/>
      <c r="AI52" s="491" t="str">
        <f t="shared" si="7"/>
        <v/>
      </c>
    </row>
    <row r="53" spans="1:35" x14ac:dyDescent="0.25">
      <c r="A53" s="61" t="s">
        <v>41</v>
      </c>
      <c r="B53" s="62"/>
      <c r="C53" s="11"/>
      <c r="D53" s="11"/>
      <c r="E53" s="11"/>
      <c r="F53" s="11"/>
      <c r="G53" s="486">
        <f>COUNTIF(O54:AI54,FALSE)</f>
        <v>0</v>
      </c>
      <c r="H53" s="84"/>
      <c r="I53" s="118"/>
      <c r="J53" s="118"/>
      <c r="K53" s="86"/>
      <c r="L53" s="86"/>
      <c r="M53" s="86"/>
      <c r="N53" s="487" t="s">
        <v>345</v>
      </c>
      <c r="O53" s="492">
        <f t="shared" ref="O53:AA53" si="8">ROUND(IFERROR(O49/O51,0),2)</f>
        <v>0</v>
      </c>
      <c r="P53" s="493">
        <f t="shared" si="8"/>
        <v>0</v>
      </c>
      <c r="Q53" s="493">
        <f t="shared" si="8"/>
        <v>0</v>
      </c>
      <c r="R53" s="493">
        <f t="shared" si="8"/>
        <v>0</v>
      </c>
      <c r="S53" s="493">
        <f t="shared" si="8"/>
        <v>0</v>
      </c>
      <c r="T53" s="493">
        <f t="shared" si="8"/>
        <v>0</v>
      </c>
      <c r="U53" s="493">
        <f t="shared" si="8"/>
        <v>0</v>
      </c>
      <c r="V53" s="493">
        <f t="shared" si="8"/>
        <v>0</v>
      </c>
      <c r="W53" s="493">
        <f t="shared" si="8"/>
        <v>0</v>
      </c>
      <c r="X53" s="493">
        <f t="shared" si="8"/>
        <v>0</v>
      </c>
      <c r="Y53" s="493">
        <f t="shared" si="8"/>
        <v>0</v>
      </c>
      <c r="Z53" s="493">
        <f t="shared" si="8"/>
        <v>0</v>
      </c>
      <c r="AA53" s="493">
        <f t="shared" si="8"/>
        <v>0</v>
      </c>
      <c r="AB53" s="494"/>
      <c r="AC53" s="136"/>
      <c r="AD53" s="492">
        <f>ROUND(IFERROR(AD49/AD51,0),2)</f>
        <v>0</v>
      </c>
      <c r="AE53" s="493"/>
      <c r="AF53" s="151"/>
      <c r="AG53" s="492">
        <f>ROUND(IFERROR(AG49/AG51,0),2)</f>
        <v>0</v>
      </c>
      <c r="AH53" s="493"/>
      <c r="AI53" s="151"/>
    </row>
    <row r="54" spans="1:35" x14ac:dyDescent="0.25">
      <c r="A54" s="61" t="s">
        <v>42</v>
      </c>
      <c r="B54" s="62"/>
      <c r="C54" s="11"/>
      <c r="D54" s="11"/>
      <c r="E54" s="11"/>
      <c r="F54" s="11"/>
      <c r="G54" s="11"/>
      <c r="H54" s="84"/>
      <c r="I54" s="118"/>
      <c r="J54" s="118"/>
      <c r="K54" s="86"/>
      <c r="L54" s="86"/>
      <c r="M54" s="86"/>
      <c r="N54" s="49" t="s">
        <v>316</v>
      </c>
      <c r="O54" s="495" t="b">
        <f t="shared" ref="O54:AA54" si="9">ROUND(O52,2)=ROUND(O53,2)</f>
        <v>1</v>
      </c>
      <c r="P54" s="496" t="b">
        <f t="shared" si="9"/>
        <v>1</v>
      </c>
      <c r="Q54" s="496" t="b">
        <f t="shared" si="9"/>
        <v>1</v>
      </c>
      <c r="R54" s="496" t="b">
        <f t="shared" si="9"/>
        <v>1</v>
      </c>
      <c r="S54" s="496" t="b">
        <f t="shared" si="9"/>
        <v>1</v>
      </c>
      <c r="T54" s="496" t="b">
        <f t="shared" si="9"/>
        <v>1</v>
      </c>
      <c r="U54" s="496" t="b">
        <f t="shared" si="9"/>
        <v>1</v>
      </c>
      <c r="V54" s="496" t="b">
        <f t="shared" si="9"/>
        <v>1</v>
      </c>
      <c r="W54" s="496" t="b">
        <f t="shared" si="9"/>
        <v>1</v>
      </c>
      <c r="X54" s="496" t="b">
        <f t="shared" si="9"/>
        <v>1</v>
      </c>
      <c r="Y54" s="496" t="b">
        <f t="shared" si="9"/>
        <v>1</v>
      </c>
      <c r="Z54" s="496" t="b">
        <f t="shared" si="9"/>
        <v>1</v>
      </c>
      <c r="AA54" s="496" t="e">
        <f t="shared" si="9"/>
        <v>#VALUE!</v>
      </c>
      <c r="AB54" s="497"/>
      <c r="AC54" s="498"/>
      <c r="AD54" s="495"/>
      <c r="AE54" s="496" t="b">
        <f>ROUND(AD52,2)=ROUND(AD53,2)</f>
        <v>1</v>
      </c>
      <c r="AF54" s="497"/>
      <c r="AG54" s="495"/>
      <c r="AH54" s="496" t="b">
        <f>ROUND(AG52,2)=ROUND(AG53,2)</f>
        <v>1</v>
      </c>
      <c r="AI54" s="497"/>
    </row>
    <row r="55" spans="1:35" x14ac:dyDescent="0.25">
      <c r="A55" s="61" t="s">
        <v>43</v>
      </c>
      <c r="B55" s="62"/>
      <c r="C55" s="11"/>
      <c r="D55" s="11"/>
      <c r="E55" s="11"/>
      <c r="F55" s="11"/>
      <c r="G55" s="11"/>
      <c r="H55" s="84" t="s">
        <v>262</v>
      </c>
      <c r="I55" s="118" t="str">
        <f>IF(_epmOfflineCondition_,"T5",_xll.EVPRO($B$1,$H55,"STYLE"))</f>
        <v>T5</v>
      </c>
      <c r="J55" s="118" t="str">
        <f>IF(_epmOfflineCondition_,"Y",_xll.EVPRO($B$1,$H55,"CALC"))</f>
        <v>Y</v>
      </c>
      <c r="K55" s="86"/>
      <c r="L55" s="86" t="str">
        <f>IF(_epmOfflineCondition_,"463100",_xll.EVPRO($B$1,H55,"JDEID"))</f>
        <v>463100</v>
      </c>
      <c r="M55" s="86" t="str">
        <f>IF(_epmOfflineCondition_,"",IF(AND(I55="N",J55="N"),_xll.EVPRO($B$1,H55,"PSFTID"),""))</f>
        <v/>
      </c>
      <c r="N55" s="86" t="str">
        <f>IF(_epmOfflineCondition_,"Dinner Food",IF(_xll.EVDES(H55,$B$1)="#NODATA","",_xll.EVDES(H55,$B$1)))</f>
        <v>Dinner Food</v>
      </c>
      <c r="O55" s="134"/>
      <c r="P55" s="134"/>
      <c r="Q55" s="134"/>
      <c r="R55" s="134"/>
      <c r="S55" s="134"/>
      <c r="T55" s="134"/>
      <c r="U55" s="134"/>
      <c r="V55" s="134"/>
      <c r="W55" s="134"/>
      <c r="X55" s="134"/>
      <c r="Y55" s="134"/>
      <c r="Z55" s="134"/>
      <c r="AA55" s="134">
        <f t="shared" ref="AA55:AA61" si="10">SUM(O55:Z55)</f>
        <v>0</v>
      </c>
      <c r="AB55" s="138" t="str">
        <f>IF(AA55=0,"",IFERROR(AA55/AA$19,""))</f>
        <v/>
      </c>
      <c r="AC55" s="136"/>
      <c r="AD55" s="134"/>
      <c r="AE55" s="138" t="str">
        <f>IF(AD55=0,"",IFERROR(AD55/AD$19,""))</f>
        <v/>
      </c>
      <c r="AF55" s="137">
        <f t="shared" ref="AF55:AF62" si="11">IF(AND($AA55="",AD55=""),"",$AA55-AD55)</f>
        <v>0</v>
      </c>
      <c r="AG55" s="134"/>
      <c r="AH55" s="138" t="str">
        <f>IF(AG55=0,"",IFERROR(AG55/AG$19,""))</f>
        <v/>
      </c>
      <c r="AI55" s="137">
        <f t="shared" ref="AI55:AI62" si="12">IF(AND($AA55="",AG55=""),"",$AA55-AG55)</f>
        <v>0</v>
      </c>
    </row>
    <row r="56" spans="1:35" x14ac:dyDescent="0.25">
      <c r="A56" s="61" t="s">
        <v>44</v>
      </c>
      <c r="B56" s="62"/>
      <c r="C56" s="11"/>
      <c r="D56" s="11"/>
      <c r="E56" s="11"/>
      <c r="F56" s="11"/>
      <c r="G56" s="11"/>
      <c r="H56" s="84" t="s">
        <v>302</v>
      </c>
      <c r="I56" s="118" t="str">
        <f>IF(_epmOfflineCondition_,"T6",_xll.EVPRO($B$1,$H56,"STYLE"))</f>
        <v>T6</v>
      </c>
      <c r="J56" s="118" t="str">
        <f>IF(_epmOfflineCondition_,"Y",_xll.EVPRO($B$1,$H56,"CALC"))</f>
        <v>Y</v>
      </c>
      <c r="K56" s="86"/>
      <c r="L56" s="86" t="str">
        <f>IF(_epmOfflineCondition_,"463200",_xll.EVPRO($B$1,H56,"JDEID"))</f>
        <v>463200</v>
      </c>
      <c r="M56" s="86" t="str">
        <f>IF(_epmOfflineCondition_,"",IF(AND(I56="N",J56="N"),_xll.EVPRO($B$1,H56,"PSFTID"),""))</f>
        <v/>
      </c>
      <c r="N56" s="86" t="str">
        <f>IF(_epmOfflineCondition_,"Dinner Liquor",IF(_xll.EVDES(H56,$B$1)="#NODATA","",_xll.EVDES(H56,$B$1)))</f>
        <v>Dinner Liquor</v>
      </c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/>
      <c r="Z56" s="134"/>
      <c r="AA56" s="134">
        <f t="shared" si="10"/>
        <v>0</v>
      </c>
      <c r="AB56" s="138" t="str">
        <f>IF(AA56=0,"",IFERROR(AA56/AA$19,""))</f>
        <v/>
      </c>
      <c r="AC56" s="136"/>
      <c r="AD56" s="134"/>
      <c r="AE56" s="138" t="str">
        <f>IF(AD56=0,"",IFERROR(AD56/AD$19,""))</f>
        <v/>
      </c>
      <c r="AF56" s="137">
        <f t="shared" si="11"/>
        <v>0</v>
      </c>
      <c r="AG56" s="134"/>
      <c r="AH56" s="138" t="str">
        <f>IF(AG56=0,"",IFERROR(AG56/AG$19,""))</f>
        <v/>
      </c>
      <c r="AI56" s="137">
        <f t="shared" si="12"/>
        <v>0</v>
      </c>
    </row>
    <row r="57" spans="1:35" x14ac:dyDescent="0.25">
      <c r="A57" s="61" t="s">
        <v>45</v>
      </c>
      <c r="B57" s="62"/>
      <c r="C57" s="11"/>
      <c r="D57" s="11"/>
      <c r="E57" s="11"/>
      <c r="F57" s="11"/>
      <c r="G57" s="11"/>
      <c r="H57" s="84" t="s">
        <v>306</v>
      </c>
      <c r="I57" s="118" t="str">
        <f>IF(_epmOfflineCondition_,"T6",_xll.EVPRO($B$1,$H57,"STYLE"))</f>
        <v>T6</v>
      </c>
      <c r="J57" s="118" t="str">
        <f>IF(_epmOfflineCondition_,"Y",_xll.EVPRO($B$1,$H57,"CALC"))</f>
        <v>Y</v>
      </c>
      <c r="K57" s="86"/>
      <c r="L57" s="86" t="str">
        <f>IF(_epmOfflineCondition_,"463300",_xll.EVPRO($B$1,H57,"JDEID"))</f>
        <v>463300</v>
      </c>
      <c r="M57" s="86" t="str">
        <f>IF(_epmOfflineCondition_,"",IF(AND(I57="N",J57="N"),_xll.EVPRO($B$1,H57,"PSFTID"),""))</f>
        <v/>
      </c>
      <c r="N57" s="86" t="str">
        <f>IF(_epmOfflineCondition_,"Dinner Beer",IF(_xll.EVDES(H57,$B$1)="#NODATA","",_xll.EVDES(H57,$B$1)))</f>
        <v>Dinner Beer</v>
      </c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>
        <f t="shared" si="10"/>
        <v>0</v>
      </c>
      <c r="AB57" s="138" t="str">
        <f>IF(AA57=0,"",IFERROR(AA57/AA$19,""))</f>
        <v/>
      </c>
      <c r="AC57" s="136"/>
      <c r="AD57" s="134"/>
      <c r="AE57" s="138" t="str">
        <f>IF(AD57=0,"",IFERROR(AD57/AD$19,""))</f>
        <v/>
      </c>
      <c r="AF57" s="137">
        <f t="shared" si="11"/>
        <v>0</v>
      </c>
      <c r="AG57" s="134"/>
      <c r="AH57" s="138" t="str">
        <f>IF(AG57=0,"",IFERROR(AG57/AG$19,""))</f>
        <v/>
      </c>
      <c r="AI57" s="137">
        <f t="shared" si="12"/>
        <v>0</v>
      </c>
    </row>
    <row r="58" spans="1:35" x14ac:dyDescent="0.25">
      <c r="A58" s="61" t="s">
        <v>46</v>
      </c>
      <c r="B58" s="62"/>
      <c r="C58" s="11"/>
      <c r="D58" s="11"/>
      <c r="E58" s="11"/>
      <c r="F58" s="11"/>
      <c r="G58" s="11"/>
      <c r="H58" s="84" t="s">
        <v>304</v>
      </c>
      <c r="I58" s="118" t="str">
        <f>IF(_epmOfflineCondition_,"T6",_xll.EVPRO($B$1,$H58,"STYLE"))</f>
        <v>T6</v>
      </c>
      <c r="J58" s="118" t="str">
        <f>IF(_epmOfflineCondition_,"Y",_xll.EVPRO($B$1,$H58,"CALC"))</f>
        <v>Y</v>
      </c>
      <c r="K58" s="86"/>
      <c r="L58" s="86" t="str">
        <f>IF(_epmOfflineCondition_,"463400",_xll.EVPRO($B$1,H58,"JDEID"))</f>
        <v>463400</v>
      </c>
      <c r="M58" s="86" t="str">
        <f>IF(_epmOfflineCondition_,"",IF(AND(I58="N",J58="N"),_xll.EVPRO($B$1,H58,"PSFTID"),""))</f>
        <v/>
      </c>
      <c r="N58" s="86" t="str">
        <f>IF(_epmOfflineCondition_,"Dinner Wine",IF(_xll.EVDES(H58,$B$1)="#NODATA","",_xll.EVDES(H58,$B$1)))</f>
        <v>Dinner Wine</v>
      </c>
      <c r="O58" s="228"/>
      <c r="P58" s="228"/>
      <c r="Q58" s="228"/>
      <c r="R58" s="228"/>
      <c r="S58" s="228"/>
      <c r="T58" s="228"/>
      <c r="U58" s="228"/>
      <c r="V58" s="228"/>
      <c r="W58" s="228"/>
      <c r="X58" s="228"/>
      <c r="Y58" s="228"/>
      <c r="Z58" s="228"/>
      <c r="AA58" s="228">
        <f t="shared" si="10"/>
        <v>0</v>
      </c>
      <c r="AB58" s="230" t="str">
        <f>IF(AA58=0,"",IFERROR(AA58/AA$19,""))</f>
        <v/>
      </c>
      <c r="AC58" s="136"/>
      <c r="AD58" s="228"/>
      <c r="AE58" s="230" t="str">
        <f>IF(AD58=0,"",IFERROR(AD58/AD$19,""))</f>
        <v/>
      </c>
      <c r="AF58" s="231">
        <f t="shared" si="11"/>
        <v>0</v>
      </c>
      <c r="AG58" s="228"/>
      <c r="AH58" s="230" t="str">
        <f>IF(AG58=0,"",IFERROR(AG58/AG$19,""))</f>
        <v/>
      </c>
      <c r="AI58" s="231">
        <f t="shared" si="12"/>
        <v>0</v>
      </c>
    </row>
    <row r="59" spans="1:35" x14ac:dyDescent="0.25">
      <c r="A59" s="11"/>
      <c r="B59" s="11"/>
      <c r="C59" s="11"/>
      <c r="D59" s="11"/>
      <c r="E59" s="11"/>
      <c r="F59" s="11"/>
      <c r="G59" s="11"/>
      <c r="H59" s="84" t="s">
        <v>320</v>
      </c>
      <c r="I59" s="118" t="str">
        <f>IF(_epmOfflineCondition_,"N",_xll.EVPRO($B$1,$H59,"STYLE"))</f>
        <v>N</v>
      </c>
      <c r="J59" s="118" t="str">
        <f>IF(_epmOfflineCondition_,"Y",_xll.EVPRO($B$1,$H59,"CALC"))</f>
        <v>Y</v>
      </c>
      <c r="K59" s="86"/>
      <c r="L59" s="86" t="str">
        <f>IF(_epmOfflineCondition_,"",_xll.EVPRO($B$1,H59,"JDEID"))</f>
        <v/>
      </c>
      <c r="M59" s="86" t="str">
        <f>IF(_epmOfflineCondition_,"",IF(AND(I59="N",J59="N"),_xll.EVPRO($B$1,H59,"PSFTID"),""))</f>
        <v/>
      </c>
      <c r="N59" s="102" t="str">
        <f>IF(_epmOfflineCondition_,"Dinner Revenue",IF(_xll.EVDES(H59,$B$1)="#NODATA","",_xll.EVDES(H59,$B$1)))</f>
        <v>Dinner Revenue</v>
      </c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158">
        <f t="shared" si="10"/>
        <v>0</v>
      </c>
      <c r="AB59" s="159" t="str">
        <f>IF(AA59=0,"",IFERROR(AA59/AA$19,""))</f>
        <v/>
      </c>
      <c r="AC59" s="136"/>
      <c r="AD59" s="158"/>
      <c r="AE59" s="159" t="str">
        <f>IF(AD59=0,"",IFERROR(AD59/AD$19,""))</f>
        <v/>
      </c>
      <c r="AF59" s="160">
        <f t="shared" si="11"/>
        <v>0</v>
      </c>
      <c r="AG59" s="158"/>
      <c r="AH59" s="159" t="str">
        <f>IF(AG59=0,"",IFERROR(AG59/AG$19,""))</f>
        <v/>
      </c>
      <c r="AI59" s="160">
        <f t="shared" si="12"/>
        <v>0</v>
      </c>
    </row>
    <row r="60" spans="1:35" x14ac:dyDescent="0.25">
      <c r="A60" s="11"/>
      <c r="B60" s="11"/>
      <c r="C60" s="11"/>
      <c r="D60" s="11"/>
      <c r="E60" s="11"/>
      <c r="F60" s="11"/>
      <c r="G60" s="11"/>
      <c r="H60" s="84" t="s">
        <v>766</v>
      </c>
      <c r="I60" s="118" t="str">
        <f>IF(_epmOfflineCondition_,"N",_xll.EVPRO($B$1,$H60,"STYLE"))</f>
        <v>N</v>
      </c>
      <c r="J60" s="118" t="str">
        <f>IF(_epmOfflineCondition_,"N",_xll.EVPRO($B$1,$H60,"CALC"))</f>
        <v>N</v>
      </c>
      <c r="K60" s="86"/>
      <c r="L60" s="86" t="str">
        <f>IF(_epmOfflineCondition_,"947300",_xll.EVPRO($B$1,H60,"JDEID"))</f>
        <v>947300</v>
      </c>
      <c r="M60" s="86" t="str">
        <f>IF(_epmOfflineCondition_,"999993",IF(AND(I60="N",J60="N"),_xll.EVPRO($B$1,H60,"PSFTID"),""))</f>
        <v>999993</v>
      </c>
      <c r="N60" s="86" t="str">
        <f>IF(_epmOfflineCondition_,"# of Operating Days - Dinner",IF(_xll.EVDES(H60,$B$1)="#NODATA","",_xll.EVDES(H60,$B$1)))</f>
        <v># of Operating Days - Dinner</v>
      </c>
      <c r="O60" s="240"/>
      <c r="P60" s="240"/>
      <c r="Q60" s="240"/>
      <c r="R60" s="240"/>
      <c r="S60" s="240"/>
      <c r="T60" s="240"/>
      <c r="U60" s="240"/>
      <c r="V60" s="240"/>
      <c r="W60" s="240"/>
      <c r="X60" s="240"/>
      <c r="Y60" s="240"/>
      <c r="Z60" s="240"/>
      <c r="AA60" s="240">
        <f t="shared" si="10"/>
        <v>0</v>
      </c>
      <c r="AB60" s="242"/>
      <c r="AC60" s="136"/>
      <c r="AD60" s="240"/>
      <c r="AE60" s="242"/>
      <c r="AF60" s="243">
        <f t="shared" si="11"/>
        <v>0</v>
      </c>
      <c r="AG60" s="240"/>
      <c r="AH60" s="242"/>
      <c r="AI60" s="243">
        <f t="shared" si="12"/>
        <v>0</v>
      </c>
    </row>
    <row r="61" spans="1:35" x14ac:dyDescent="0.25">
      <c r="A61" s="11"/>
      <c r="B61" s="11"/>
      <c r="C61" s="11"/>
      <c r="D61" s="11"/>
      <c r="E61" s="11"/>
      <c r="F61" s="11"/>
      <c r="G61" s="11"/>
      <c r="H61" s="84" t="s">
        <v>299</v>
      </c>
      <c r="I61" s="118" t="str">
        <f>IF(_epmOfflineCondition_,"N",_xll.EVPRO($B$1,$H61,"STYLE"))</f>
        <v>N</v>
      </c>
      <c r="J61" s="118" t="str">
        <f>IF(_epmOfflineCondition_,"N",_xll.EVPRO($B$1,$H61,"CALC"))</f>
        <v>N</v>
      </c>
      <c r="K61" s="86"/>
      <c r="L61" s="86" t="str">
        <f>IF(_epmOfflineCondition_,"946300",_xll.EVPRO($B$1,H61,"JDEID"))</f>
        <v>946300</v>
      </c>
      <c r="M61" s="86" t="str">
        <f>IF(_epmOfflineCondition_,"991503",IF(AND(I61="N",J61="N"),_xll.EVPRO($B$1,H61,"PSFTID"),""))</f>
        <v>991503</v>
      </c>
      <c r="N61" s="86" t="str">
        <f>IF(_epmOfflineCondition_,"Dinner Customers",IF(_xll.EVDES(H61,$B$1)="#NODATA","",_xll.EVDES(H61,$B$1)))</f>
        <v>Dinner Customers</v>
      </c>
      <c r="O61" s="240"/>
      <c r="P61" s="240"/>
      <c r="Q61" s="240"/>
      <c r="R61" s="240"/>
      <c r="S61" s="240"/>
      <c r="T61" s="240"/>
      <c r="U61" s="240"/>
      <c r="V61" s="240"/>
      <c r="W61" s="240"/>
      <c r="X61" s="240"/>
      <c r="Y61" s="240"/>
      <c r="Z61" s="240"/>
      <c r="AA61" s="240">
        <f t="shared" si="10"/>
        <v>0</v>
      </c>
      <c r="AB61" s="242" t="str">
        <f>IF(AA61=0,"",IFERROR(AA61/AA$87,""))</f>
        <v/>
      </c>
      <c r="AC61" s="136"/>
      <c r="AD61" s="240"/>
      <c r="AE61" s="242" t="str">
        <f>IF(AD61=0,"",IFERROR(AD61/AD$87,""))</f>
        <v/>
      </c>
      <c r="AF61" s="243">
        <f t="shared" si="11"/>
        <v>0</v>
      </c>
      <c r="AG61" s="240"/>
      <c r="AH61" s="242" t="str">
        <f>IF(AG61=0,"",IFERROR(AG61/AG$87,""))</f>
        <v/>
      </c>
      <c r="AI61" s="243">
        <f t="shared" si="12"/>
        <v>0</v>
      </c>
    </row>
    <row r="62" spans="1:35" x14ac:dyDescent="0.25">
      <c r="A62" s="11"/>
      <c r="B62" s="11"/>
      <c r="C62" s="11"/>
      <c r="D62" s="11"/>
      <c r="E62" s="11"/>
      <c r="F62" s="11"/>
      <c r="G62" s="11"/>
      <c r="H62" s="181" t="s">
        <v>317</v>
      </c>
      <c r="I62" s="118" t="str">
        <f>IF(_epmOfflineCondition_,"N",_xll.EVPRO($B$1,$H62,"STYLE"))</f>
        <v>N</v>
      </c>
      <c r="J62" s="118" t="str">
        <f>IF(_epmOfflineCondition_,"Y",_xll.EVPRO($B$1,$H62,"CALC"))</f>
        <v>Y</v>
      </c>
      <c r="K62" s="86"/>
      <c r="L62" s="86" t="str">
        <f>IF(_epmOfflineCondition_,"",_xll.EVPRO($B$1,H62,"JDEID"))</f>
        <v/>
      </c>
      <c r="M62" s="86" t="str">
        <f>IF(_epmOfflineCondition_,"",IF(AND(I62="N",J62="N"),_xll.EVPRO($B$1,H62,"PSFTID"),""))</f>
        <v/>
      </c>
      <c r="N62" s="186" t="str">
        <f>IF(_epmOfflineCondition_,"Dinner - Average Check",IF(_xll.EVDES(H62,$B$1)="#NODATA","",_xll.EVDES(H62,$B$1)))</f>
        <v>Dinner - Average Check</v>
      </c>
      <c r="O62" s="490"/>
      <c r="P62" s="490"/>
      <c r="Q62" s="490"/>
      <c r="R62" s="490"/>
      <c r="S62" s="490"/>
      <c r="T62" s="490"/>
      <c r="U62" s="490"/>
      <c r="V62" s="490"/>
      <c r="W62" s="490"/>
      <c r="X62" s="490"/>
      <c r="Y62" s="490"/>
      <c r="Z62" s="490"/>
      <c r="AA62" s="490" t="str">
        <f>IFERROR(AA59/AA61,"")</f>
        <v/>
      </c>
      <c r="AB62" s="490"/>
      <c r="AC62" s="136"/>
      <c r="AD62" s="490"/>
      <c r="AE62" s="490"/>
      <c r="AF62" s="491" t="str">
        <f t="shared" si="11"/>
        <v/>
      </c>
      <c r="AG62" s="490"/>
      <c r="AH62" s="490"/>
      <c r="AI62" s="491" t="str">
        <f t="shared" si="12"/>
        <v/>
      </c>
    </row>
    <row r="63" spans="1:35" x14ac:dyDescent="0.25">
      <c r="A63" s="11"/>
      <c r="B63" s="11"/>
      <c r="C63" s="11"/>
      <c r="D63" s="11"/>
      <c r="E63" s="11"/>
      <c r="F63" s="11"/>
      <c r="G63" s="486">
        <f>COUNTIF(O64:AI64,FALSE)</f>
        <v>0</v>
      </c>
      <c r="H63" s="84"/>
      <c r="I63" s="118"/>
      <c r="J63" s="118"/>
      <c r="K63" s="86"/>
      <c r="L63" s="86"/>
      <c r="M63" s="86"/>
      <c r="N63" s="487" t="s">
        <v>345</v>
      </c>
      <c r="O63" s="492">
        <f t="shared" ref="O63:AA63" si="13">ROUND(IFERROR(O59/O61,0),2)</f>
        <v>0</v>
      </c>
      <c r="P63" s="493">
        <f t="shared" si="13"/>
        <v>0</v>
      </c>
      <c r="Q63" s="493">
        <f t="shared" si="13"/>
        <v>0</v>
      </c>
      <c r="R63" s="493">
        <f t="shared" si="13"/>
        <v>0</v>
      </c>
      <c r="S63" s="493">
        <f t="shared" si="13"/>
        <v>0</v>
      </c>
      <c r="T63" s="493">
        <f t="shared" si="13"/>
        <v>0</v>
      </c>
      <c r="U63" s="493">
        <f t="shared" si="13"/>
        <v>0</v>
      </c>
      <c r="V63" s="493">
        <f t="shared" si="13"/>
        <v>0</v>
      </c>
      <c r="W63" s="493">
        <f t="shared" si="13"/>
        <v>0</v>
      </c>
      <c r="X63" s="493">
        <f t="shared" si="13"/>
        <v>0</v>
      </c>
      <c r="Y63" s="493">
        <f t="shared" si="13"/>
        <v>0</v>
      </c>
      <c r="Z63" s="493">
        <f t="shared" si="13"/>
        <v>0</v>
      </c>
      <c r="AA63" s="493">
        <f t="shared" si="13"/>
        <v>0</v>
      </c>
      <c r="AB63" s="494"/>
      <c r="AC63" s="136"/>
      <c r="AD63" s="492">
        <f>ROUND(IFERROR(AD59/AD61,0),2)</f>
        <v>0</v>
      </c>
      <c r="AE63" s="493"/>
      <c r="AF63" s="151"/>
      <c r="AG63" s="492">
        <f>ROUND(IFERROR(AG59/AG61,0),2)</f>
        <v>0</v>
      </c>
      <c r="AH63" s="493"/>
      <c r="AI63" s="151"/>
    </row>
    <row r="64" spans="1:35" x14ac:dyDescent="0.25">
      <c r="A64" s="11"/>
      <c r="B64" s="11"/>
      <c r="C64" s="11"/>
      <c r="D64" s="11"/>
      <c r="E64" s="11"/>
      <c r="F64" s="11"/>
      <c r="G64" s="11"/>
      <c r="H64" s="181"/>
      <c r="I64" s="118"/>
      <c r="J64" s="118"/>
      <c r="K64" s="86"/>
      <c r="L64" s="86"/>
      <c r="M64" s="86"/>
      <c r="N64" s="49" t="s">
        <v>307</v>
      </c>
      <c r="O64" s="495" t="b">
        <f t="shared" ref="O64:AA64" si="14">ROUND(O62,2)=ROUND(O63,2)</f>
        <v>1</v>
      </c>
      <c r="P64" s="496" t="b">
        <f t="shared" si="14"/>
        <v>1</v>
      </c>
      <c r="Q64" s="496" t="b">
        <f t="shared" si="14"/>
        <v>1</v>
      </c>
      <c r="R64" s="496" t="b">
        <f t="shared" si="14"/>
        <v>1</v>
      </c>
      <c r="S64" s="496" t="b">
        <f t="shared" si="14"/>
        <v>1</v>
      </c>
      <c r="T64" s="496" t="b">
        <f t="shared" si="14"/>
        <v>1</v>
      </c>
      <c r="U64" s="496" t="b">
        <f t="shared" si="14"/>
        <v>1</v>
      </c>
      <c r="V64" s="496" t="b">
        <f t="shared" si="14"/>
        <v>1</v>
      </c>
      <c r="W64" s="496" t="b">
        <f t="shared" si="14"/>
        <v>1</v>
      </c>
      <c r="X64" s="496" t="b">
        <f t="shared" si="14"/>
        <v>1</v>
      </c>
      <c r="Y64" s="496" t="b">
        <f t="shared" si="14"/>
        <v>1</v>
      </c>
      <c r="Z64" s="496" t="b">
        <f t="shared" si="14"/>
        <v>1</v>
      </c>
      <c r="AA64" s="496" t="e">
        <f t="shared" si="14"/>
        <v>#VALUE!</v>
      </c>
      <c r="AB64" s="497"/>
      <c r="AC64" s="498"/>
      <c r="AD64" s="495"/>
      <c r="AE64" s="496" t="b">
        <f>ROUND(AD62,2)=ROUND(AD63,2)</f>
        <v>1</v>
      </c>
      <c r="AF64" s="497"/>
      <c r="AG64" s="495"/>
      <c r="AH64" s="496" t="b">
        <f>ROUND(AG62,2)=ROUND(AG63,2)</f>
        <v>1</v>
      </c>
      <c r="AI64" s="497"/>
    </row>
    <row r="65" spans="1:35" x14ac:dyDescent="0.25">
      <c r="A65" s="11"/>
      <c r="B65" s="11"/>
      <c r="C65" s="11"/>
      <c r="D65" s="11"/>
      <c r="E65" s="11"/>
      <c r="F65" s="11"/>
      <c r="G65" s="11"/>
      <c r="H65" s="181" t="s">
        <v>263</v>
      </c>
      <c r="I65" s="118" t="str">
        <f>IF(_epmOfflineCondition_,"T5",_xll.EVPRO($B$1,$H65,"STYLE"))</f>
        <v>T5</v>
      </c>
      <c r="J65" s="118" t="str">
        <f>IF(_epmOfflineCondition_,"Y",_xll.EVPRO($B$1,$H65,"CALC"))</f>
        <v>Y</v>
      </c>
      <c r="K65" s="86"/>
      <c r="L65" s="86" t="str">
        <f>IF(_epmOfflineCondition_,"464100",_xll.EVPRO($B$1,H65,"JDEID"))</f>
        <v>464100</v>
      </c>
      <c r="M65" s="86" t="str">
        <f>IF(_epmOfflineCondition_,"",IF(AND(I65="N",J65="N"),_xll.EVPRO($B$1,H65,"PSFTID"),""))</f>
        <v/>
      </c>
      <c r="N65" s="86" t="str">
        <f>IF(_epmOfflineCondition_,"Bar Food",IF(_xll.EVDES(H65,$B$1)="#NODATA","",_xll.EVDES(H65,$B$1)))</f>
        <v>Bar Food</v>
      </c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>
        <f t="shared" ref="AA65:AA71" si="15">SUM(O65:Z65)</f>
        <v>0</v>
      </c>
      <c r="AB65" s="138" t="str">
        <f>IF(AA65=0,"",IFERROR(AA65/AA$19,""))</f>
        <v/>
      </c>
      <c r="AC65" s="136"/>
      <c r="AD65" s="134"/>
      <c r="AE65" s="138" t="str">
        <f>IF(AD65=0,"",IFERROR(AD65/AD$19,""))</f>
        <v/>
      </c>
      <c r="AF65" s="137">
        <f t="shared" ref="AF65:AF72" si="16">IF(AND($AA65="",AD65=""),"",$AA65-AD65)</f>
        <v>0</v>
      </c>
      <c r="AG65" s="134"/>
      <c r="AH65" s="138" t="str">
        <f>IF(AG65=0,"",IFERROR(AG65/AG$19,""))</f>
        <v/>
      </c>
      <c r="AI65" s="137">
        <f t="shared" ref="AI65:AI72" si="17">IF(AND($AA65="",AG65=""),"",$AA65-AG65)</f>
        <v>0</v>
      </c>
    </row>
    <row r="66" spans="1:35" x14ac:dyDescent="0.25">
      <c r="A66" s="11"/>
      <c r="B66" s="11"/>
      <c r="C66" s="11"/>
      <c r="D66" s="11"/>
      <c r="E66" s="11"/>
      <c r="F66" s="11"/>
      <c r="G66" s="11"/>
      <c r="H66" s="181" t="s">
        <v>308</v>
      </c>
      <c r="I66" s="118" t="str">
        <f>IF(_epmOfflineCondition_,"T6",_xll.EVPRO($B$1,$H66,"STYLE"))</f>
        <v>T6</v>
      </c>
      <c r="J66" s="118" t="str">
        <f>IF(_epmOfflineCondition_,"Y",_xll.EVPRO($B$1,$H66,"CALC"))</f>
        <v>Y</v>
      </c>
      <c r="K66" s="86"/>
      <c r="L66" s="86" t="str">
        <f>IF(_epmOfflineCondition_,"464200",_xll.EVPRO($B$1,H66,"JDEID"))</f>
        <v>464200</v>
      </c>
      <c r="M66" s="86" t="str">
        <f>IF(_epmOfflineCondition_,"",IF(AND(I66="N",J66="N"),_xll.EVPRO($B$1,H66,"PSFTID"),""))</f>
        <v/>
      </c>
      <c r="N66" s="86" t="str">
        <f>IF(_epmOfflineCondition_,"Bar Liquor",IF(_xll.EVDES(H66,$B$1)="#NODATA","",_xll.EVDES(H66,$B$1)))</f>
        <v>Bar Liquor</v>
      </c>
      <c r="O66" s="134"/>
      <c r="P66" s="134"/>
      <c r="Q66" s="134"/>
      <c r="R66" s="134"/>
      <c r="S66" s="134"/>
      <c r="T66" s="134"/>
      <c r="U66" s="134"/>
      <c r="V66" s="134"/>
      <c r="W66" s="134"/>
      <c r="X66" s="134"/>
      <c r="Y66" s="134"/>
      <c r="Z66" s="134"/>
      <c r="AA66" s="134">
        <f t="shared" si="15"/>
        <v>0</v>
      </c>
      <c r="AB66" s="138" t="str">
        <f>IF(AA66=0,"",IFERROR(AA66/AA$19,""))</f>
        <v/>
      </c>
      <c r="AC66" s="136"/>
      <c r="AD66" s="134"/>
      <c r="AE66" s="138" t="str">
        <f>IF(AD66=0,"",IFERROR(AD66/AD$19,""))</f>
        <v/>
      </c>
      <c r="AF66" s="137">
        <f t="shared" si="16"/>
        <v>0</v>
      </c>
      <c r="AG66" s="134"/>
      <c r="AH66" s="138" t="str">
        <f>IF(AG66=0,"",IFERROR(AG66/AG$19,""))</f>
        <v/>
      </c>
      <c r="AI66" s="137">
        <f t="shared" si="17"/>
        <v>0</v>
      </c>
    </row>
    <row r="67" spans="1:35" x14ac:dyDescent="0.25">
      <c r="A67" s="11"/>
      <c r="B67" s="11"/>
      <c r="C67" s="11"/>
      <c r="D67" s="11"/>
      <c r="E67" s="11"/>
      <c r="F67" s="11"/>
      <c r="G67" s="11"/>
      <c r="H67" s="181" t="s">
        <v>310</v>
      </c>
      <c r="I67" s="118" t="str">
        <f>IF(_epmOfflineCondition_,"T6",_xll.EVPRO($B$1,$H67,"STYLE"))</f>
        <v>T6</v>
      </c>
      <c r="J67" s="118" t="str">
        <f>IF(_epmOfflineCondition_,"Y",_xll.EVPRO($B$1,$H67,"CALC"))</f>
        <v>Y</v>
      </c>
      <c r="K67" s="86"/>
      <c r="L67" s="86" t="str">
        <f>IF(_epmOfflineCondition_,"464300",_xll.EVPRO($B$1,H67,"JDEID"))</f>
        <v>464300</v>
      </c>
      <c r="M67" s="86" t="str">
        <f>IF(_epmOfflineCondition_,"",IF(AND(I67="N",J67="N"),_xll.EVPRO($B$1,H67,"PSFTID"),""))</f>
        <v/>
      </c>
      <c r="N67" s="86" t="str">
        <f>IF(_epmOfflineCondition_,"Bar Beer",IF(_xll.EVDES(H67,$B$1)="#NODATA","",_xll.EVDES(H67,$B$1)))</f>
        <v>Bar Beer</v>
      </c>
      <c r="O67" s="134"/>
      <c r="P67" s="134"/>
      <c r="Q67" s="134"/>
      <c r="R67" s="134"/>
      <c r="S67" s="134"/>
      <c r="T67" s="134"/>
      <c r="U67" s="134"/>
      <c r="V67" s="134"/>
      <c r="W67" s="134"/>
      <c r="X67" s="134"/>
      <c r="Y67" s="134"/>
      <c r="Z67" s="134"/>
      <c r="AA67" s="134">
        <f t="shared" si="15"/>
        <v>0</v>
      </c>
      <c r="AB67" s="138" t="str">
        <f>IF(AA67=0,"",IFERROR(AA67/AA$19,""))</f>
        <v/>
      </c>
      <c r="AC67" s="136"/>
      <c r="AD67" s="134"/>
      <c r="AE67" s="138" t="str">
        <f>IF(AD67=0,"",IFERROR(AD67/AD$19,""))</f>
        <v/>
      </c>
      <c r="AF67" s="137">
        <f t="shared" si="16"/>
        <v>0</v>
      </c>
      <c r="AG67" s="134"/>
      <c r="AH67" s="138" t="str">
        <f>IF(AG67=0,"",IFERROR(AG67/AG$19,""))</f>
        <v/>
      </c>
      <c r="AI67" s="137">
        <f t="shared" si="17"/>
        <v>0</v>
      </c>
    </row>
    <row r="68" spans="1:35" x14ac:dyDescent="0.25">
      <c r="A68" s="11"/>
      <c r="B68" s="11"/>
      <c r="C68" s="11"/>
      <c r="D68" s="11"/>
      <c r="E68" s="11"/>
      <c r="F68" s="11"/>
      <c r="G68" s="11"/>
      <c r="H68" s="181" t="s">
        <v>309</v>
      </c>
      <c r="I68" s="118" t="str">
        <f>IF(_epmOfflineCondition_,"T6",_xll.EVPRO($B$1,$H68,"STYLE"))</f>
        <v>T6</v>
      </c>
      <c r="J68" s="118" t="str">
        <f>IF(_epmOfflineCondition_,"Y",_xll.EVPRO($B$1,$H68,"CALC"))</f>
        <v>Y</v>
      </c>
      <c r="K68" s="86"/>
      <c r="L68" s="86" t="str">
        <f>IF(_epmOfflineCondition_,"464400",_xll.EVPRO($B$1,H68,"JDEID"))</f>
        <v>464400</v>
      </c>
      <c r="M68" s="86" t="str">
        <f>IF(_epmOfflineCondition_,"",IF(AND(I68="N",J68="N"),_xll.EVPRO($B$1,H68,"PSFTID"),""))</f>
        <v/>
      </c>
      <c r="N68" s="86" t="str">
        <f>IF(_epmOfflineCondition_,"Bar Wine",IF(_xll.EVDES(H68,$B$1)="#NODATA","",_xll.EVDES(H68,$B$1)))</f>
        <v>Bar Wine</v>
      </c>
      <c r="O68" s="228"/>
      <c r="P68" s="228"/>
      <c r="Q68" s="228"/>
      <c r="R68" s="228"/>
      <c r="S68" s="228"/>
      <c r="T68" s="228"/>
      <c r="U68" s="228"/>
      <c r="V68" s="228"/>
      <c r="W68" s="228"/>
      <c r="X68" s="228"/>
      <c r="Y68" s="228"/>
      <c r="Z68" s="228"/>
      <c r="AA68" s="228">
        <f t="shared" si="15"/>
        <v>0</v>
      </c>
      <c r="AB68" s="230" t="str">
        <f>IF(AA68=0,"",IFERROR(AA68/AA$19,""))</f>
        <v/>
      </c>
      <c r="AC68" s="136"/>
      <c r="AD68" s="228"/>
      <c r="AE68" s="230" t="str">
        <f>IF(AD68=0,"",IFERROR(AD68/AD$19,""))</f>
        <v/>
      </c>
      <c r="AF68" s="231">
        <f t="shared" si="16"/>
        <v>0</v>
      </c>
      <c r="AG68" s="228"/>
      <c r="AH68" s="230" t="str">
        <f>IF(AG68=0,"",IFERROR(AG68/AG$19,""))</f>
        <v/>
      </c>
      <c r="AI68" s="231">
        <f t="shared" si="17"/>
        <v>0</v>
      </c>
    </row>
    <row r="69" spans="1:35" x14ac:dyDescent="0.25">
      <c r="A69" s="11"/>
      <c r="B69" s="11"/>
      <c r="C69" s="11"/>
      <c r="D69" s="11"/>
      <c r="E69" s="11"/>
      <c r="F69" s="11"/>
      <c r="G69" s="11"/>
      <c r="H69" s="181" t="s">
        <v>327</v>
      </c>
      <c r="I69" s="118" t="str">
        <f>IF(_epmOfflineCondition_,"N",_xll.EVPRO($B$1,$H69,"STYLE"))</f>
        <v>N</v>
      </c>
      <c r="J69" s="118" t="str">
        <f>IF(_epmOfflineCondition_,"Y",_xll.EVPRO($B$1,$H69,"CALC"))</f>
        <v>Y</v>
      </c>
      <c r="K69" s="86"/>
      <c r="L69" s="86" t="str">
        <f>IF(_epmOfflineCondition_,"",_xll.EVPRO($B$1,H69,"JDEID"))</f>
        <v/>
      </c>
      <c r="M69" s="86" t="str">
        <f>IF(_epmOfflineCondition_,"",IF(AND(I69="N",J69="N"),_xll.EVPRO($B$1,H69,"PSFTID"),""))</f>
        <v/>
      </c>
      <c r="N69" s="102" t="str">
        <f>IF(_epmOfflineCondition_,"Bar Revenue",IF(_xll.EVDES(H69,$B$1)="#NODATA","",_xll.EVDES(H69,$B$1)))</f>
        <v>Bar Revenue</v>
      </c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>
        <f t="shared" si="15"/>
        <v>0</v>
      </c>
      <c r="AB69" s="159" t="str">
        <f>IF(AA69=0,"",IFERROR(AA69/AA$19,""))</f>
        <v/>
      </c>
      <c r="AC69" s="136"/>
      <c r="AD69" s="158"/>
      <c r="AE69" s="159" t="str">
        <f>IF(AD69=0,"",IFERROR(AD69/AD$19,""))</f>
        <v/>
      </c>
      <c r="AF69" s="160">
        <f t="shared" si="16"/>
        <v>0</v>
      </c>
      <c r="AG69" s="158"/>
      <c r="AH69" s="159" t="str">
        <f>IF(AG69=0,"",IFERROR(AG69/AG$19,""))</f>
        <v/>
      </c>
      <c r="AI69" s="160">
        <f t="shared" si="17"/>
        <v>0</v>
      </c>
    </row>
    <row r="70" spans="1:35" x14ac:dyDescent="0.25">
      <c r="A70" s="11"/>
      <c r="B70" s="11"/>
      <c r="C70" s="11"/>
      <c r="D70" s="11"/>
      <c r="E70" s="11"/>
      <c r="F70" s="11"/>
      <c r="G70" s="11"/>
      <c r="H70" s="181" t="s">
        <v>767</v>
      </c>
      <c r="I70" s="118" t="str">
        <f>IF(_epmOfflineCondition_,"N",_xll.EVPRO($B$1,$H70,"STYLE"))</f>
        <v>N</v>
      </c>
      <c r="J70" s="118" t="str">
        <f>IF(_epmOfflineCondition_,"N",_xll.EVPRO($B$1,$H70,"CALC"))</f>
        <v>N</v>
      </c>
      <c r="K70" s="86"/>
      <c r="L70" s="86" t="str">
        <f>IF(_epmOfflineCondition_,"947400",_xll.EVPRO($B$1,H70,"JDEID"))</f>
        <v>947400</v>
      </c>
      <c r="M70" s="86" t="str">
        <f>IF(_epmOfflineCondition_,"999994",IF(AND(I70="N",J70="N"),_xll.EVPRO($B$1,H70,"PSFTID"),""))</f>
        <v>999994</v>
      </c>
      <c r="N70" s="86" t="str">
        <f>IF(_epmOfflineCondition_,"# of Operating Days - Bar",IF(_xll.EVDES(H70,$B$1)="#NODATA","",_xll.EVDES(H70,$B$1)))</f>
        <v># of Operating Days - Bar</v>
      </c>
      <c r="O70" s="240"/>
      <c r="P70" s="240"/>
      <c r="Q70" s="240"/>
      <c r="R70" s="240"/>
      <c r="S70" s="240"/>
      <c r="T70" s="240"/>
      <c r="U70" s="240"/>
      <c r="V70" s="240"/>
      <c r="W70" s="240"/>
      <c r="X70" s="240"/>
      <c r="Y70" s="240"/>
      <c r="Z70" s="240"/>
      <c r="AA70" s="240">
        <f t="shared" si="15"/>
        <v>0</v>
      </c>
      <c r="AB70" s="242"/>
      <c r="AC70" s="136"/>
      <c r="AD70" s="240"/>
      <c r="AE70" s="242"/>
      <c r="AF70" s="243">
        <f t="shared" si="16"/>
        <v>0</v>
      </c>
      <c r="AG70" s="240"/>
      <c r="AH70" s="242"/>
      <c r="AI70" s="243">
        <f t="shared" si="17"/>
        <v>0</v>
      </c>
    </row>
    <row r="71" spans="1:35" x14ac:dyDescent="0.25">
      <c r="A71" s="11"/>
      <c r="B71" s="11"/>
      <c r="C71" s="11"/>
      <c r="D71" s="11"/>
      <c r="E71" s="11"/>
      <c r="F71" s="11"/>
      <c r="G71" s="11"/>
      <c r="H71" s="181" t="s">
        <v>326</v>
      </c>
      <c r="I71" s="118" t="str">
        <f>IF(_epmOfflineCondition_,"N",_xll.EVPRO($B$1,$H71,"STYLE"))</f>
        <v>N</v>
      </c>
      <c r="J71" s="118" t="str">
        <f>IF(_epmOfflineCondition_,"N",_xll.EVPRO($B$1,$H71,"CALC"))</f>
        <v>N</v>
      </c>
      <c r="K71" s="86"/>
      <c r="L71" s="86" t="str">
        <f>IF(_epmOfflineCondition_,"946500",_xll.EVPRO($B$1,H71,"JDEID"))</f>
        <v>946500</v>
      </c>
      <c r="M71" s="86" t="str">
        <f>IF(_epmOfflineCondition_,"991522",IF(AND(I71="N",J71="N"),_xll.EVPRO($B$1,H71,"PSFTID"),""))</f>
        <v>991522</v>
      </c>
      <c r="N71" s="86" t="str">
        <f>IF(_epmOfflineCondition_,"Bar Customers",IF(_xll.EVDES(H71,$B$1)="#NODATA","",_xll.EVDES(H71,$B$1)))</f>
        <v>Bar Customers</v>
      </c>
      <c r="O71" s="240"/>
      <c r="P71" s="240"/>
      <c r="Q71" s="240"/>
      <c r="R71" s="240"/>
      <c r="S71" s="240"/>
      <c r="T71" s="240"/>
      <c r="U71" s="240"/>
      <c r="V71" s="240"/>
      <c r="W71" s="240"/>
      <c r="X71" s="240"/>
      <c r="Y71" s="240"/>
      <c r="Z71" s="240"/>
      <c r="AA71" s="240">
        <f t="shared" si="15"/>
        <v>0</v>
      </c>
      <c r="AB71" s="242" t="str">
        <f>IF(AA71=0,"",IFERROR(AA71/AA$87,""))</f>
        <v/>
      </c>
      <c r="AC71" s="136"/>
      <c r="AD71" s="240"/>
      <c r="AE71" s="242" t="str">
        <f>IF(AD71=0,"",IFERROR(AD71/AD$87,""))</f>
        <v/>
      </c>
      <c r="AF71" s="243">
        <f t="shared" si="16"/>
        <v>0</v>
      </c>
      <c r="AG71" s="240"/>
      <c r="AH71" s="242" t="str">
        <f>IF(AG71=0,"",IFERROR(AG71/AG$87,""))</f>
        <v/>
      </c>
      <c r="AI71" s="243">
        <f t="shared" si="17"/>
        <v>0</v>
      </c>
    </row>
    <row r="72" spans="1:35" x14ac:dyDescent="0.25">
      <c r="A72" s="11"/>
      <c r="B72" s="11"/>
      <c r="C72" s="11"/>
      <c r="D72" s="11"/>
      <c r="E72" s="11"/>
      <c r="F72" s="11"/>
      <c r="G72" s="11"/>
      <c r="H72" s="181" t="s">
        <v>328</v>
      </c>
      <c r="I72" s="118" t="str">
        <f>IF(_epmOfflineCondition_,"N",_xll.EVPRO($B$1,$H72,"STYLE"))</f>
        <v>N</v>
      </c>
      <c r="J72" s="118" t="str">
        <f>IF(_epmOfflineCondition_,"Y",_xll.EVPRO($B$1,$H72,"CALC"))</f>
        <v>Y</v>
      </c>
      <c r="K72" s="86"/>
      <c r="L72" s="86" t="str">
        <f>IF(_epmOfflineCondition_,"",_xll.EVPRO($B$1,H72,"JDEID"))</f>
        <v/>
      </c>
      <c r="M72" s="86" t="str">
        <f>IF(_epmOfflineCondition_,"",IF(AND(I72="N",J72="N"),_xll.EVPRO($B$1,H72,"PSFTID"),""))</f>
        <v/>
      </c>
      <c r="N72" s="186" t="str">
        <f>IF(_epmOfflineCondition_,"Bar- Average Check",IF(_xll.EVDES(H72,$B$1)="#NODATA","",_xll.EVDES(H72,$B$1)))</f>
        <v>Bar- Average Check</v>
      </c>
      <c r="O72" s="490"/>
      <c r="P72" s="490"/>
      <c r="Q72" s="490"/>
      <c r="R72" s="490"/>
      <c r="S72" s="490"/>
      <c r="T72" s="490"/>
      <c r="U72" s="490"/>
      <c r="V72" s="490"/>
      <c r="W72" s="490"/>
      <c r="X72" s="490"/>
      <c r="Y72" s="490"/>
      <c r="Z72" s="490"/>
      <c r="AA72" s="490" t="str">
        <f>IFERROR(AA69/AA71,"")</f>
        <v/>
      </c>
      <c r="AB72" s="490"/>
      <c r="AC72" s="136"/>
      <c r="AD72" s="490"/>
      <c r="AE72" s="490"/>
      <c r="AF72" s="491" t="str">
        <f t="shared" si="16"/>
        <v/>
      </c>
      <c r="AG72" s="490"/>
      <c r="AH72" s="490"/>
      <c r="AI72" s="491" t="str">
        <f t="shared" si="17"/>
        <v/>
      </c>
    </row>
    <row r="73" spans="1:35" x14ac:dyDescent="0.25">
      <c r="A73" s="11"/>
      <c r="B73" s="11"/>
      <c r="C73" s="11"/>
      <c r="D73" s="11"/>
      <c r="E73" s="11"/>
      <c r="F73" s="11"/>
      <c r="G73" s="486">
        <f>COUNTIF(O74:AI74,FALSE)</f>
        <v>0</v>
      </c>
      <c r="H73" s="84"/>
      <c r="I73" s="118"/>
      <c r="J73" s="118"/>
      <c r="K73" s="86"/>
      <c r="L73" s="86"/>
      <c r="M73" s="86"/>
      <c r="N73" s="487" t="s">
        <v>345</v>
      </c>
      <c r="O73" s="492">
        <f t="shared" ref="O73:AA73" si="18">ROUND(IFERROR(O69/O71,0),2)</f>
        <v>0</v>
      </c>
      <c r="P73" s="493">
        <f t="shared" si="18"/>
        <v>0</v>
      </c>
      <c r="Q73" s="493">
        <f t="shared" si="18"/>
        <v>0</v>
      </c>
      <c r="R73" s="493">
        <f t="shared" si="18"/>
        <v>0</v>
      </c>
      <c r="S73" s="493">
        <f t="shared" si="18"/>
        <v>0</v>
      </c>
      <c r="T73" s="493">
        <f t="shared" si="18"/>
        <v>0</v>
      </c>
      <c r="U73" s="493">
        <f t="shared" si="18"/>
        <v>0</v>
      </c>
      <c r="V73" s="493">
        <f t="shared" si="18"/>
        <v>0</v>
      </c>
      <c r="W73" s="493">
        <f t="shared" si="18"/>
        <v>0</v>
      </c>
      <c r="X73" s="493">
        <f t="shared" si="18"/>
        <v>0</v>
      </c>
      <c r="Y73" s="493">
        <f t="shared" si="18"/>
        <v>0</v>
      </c>
      <c r="Z73" s="493">
        <f t="shared" si="18"/>
        <v>0</v>
      </c>
      <c r="AA73" s="493">
        <f t="shared" si="18"/>
        <v>0</v>
      </c>
      <c r="AB73" s="494"/>
      <c r="AC73" s="136"/>
      <c r="AD73" s="492">
        <f>ROUND(IFERROR(AD69/AD71,0),2)</f>
        <v>0</v>
      </c>
      <c r="AE73" s="493"/>
      <c r="AF73" s="151"/>
      <c r="AG73" s="492">
        <f>ROUND(IFERROR(AG69/AG71,0),2)</f>
        <v>0</v>
      </c>
      <c r="AH73" s="493"/>
      <c r="AI73" s="151"/>
    </row>
    <row r="74" spans="1:35" x14ac:dyDescent="0.25">
      <c r="A74" s="11"/>
      <c r="B74" s="11"/>
      <c r="C74" s="11"/>
      <c r="D74" s="11"/>
      <c r="E74" s="11"/>
      <c r="F74" s="11"/>
      <c r="G74" s="11"/>
      <c r="H74" s="181"/>
      <c r="I74" s="118"/>
      <c r="J74" s="118"/>
      <c r="K74" s="86"/>
      <c r="L74" s="86"/>
      <c r="M74" s="86"/>
      <c r="N74" s="49" t="s">
        <v>324</v>
      </c>
      <c r="O74" s="495" t="b">
        <f t="shared" ref="O74:AA74" si="19">ROUND(O72,2)=ROUND(O73,2)</f>
        <v>1</v>
      </c>
      <c r="P74" s="496" t="b">
        <f t="shared" si="19"/>
        <v>1</v>
      </c>
      <c r="Q74" s="496" t="b">
        <f t="shared" si="19"/>
        <v>1</v>
      </c>
      <c r="R74" s="496" t="b">
        <f t="shared" si="19"/>
        <v>1</v>
      </c>
      <c r="S74" s="496" t="b">
        <f t="shared" si="19"/>
        <v>1</v>
      </c>
      <c r="T74" s="496" t="b">
        <f t="shared" si="19"/>
        <v>1</v>
      </c>
      <c r="U74" s="496" t="b">
        <f t="shared" si="19"/>
        <v>1</v>
      </c>
      <c r="V74" s="496" t="b">
        <f t="shared" si="19"/>
        <v>1</v>
      </c>
      <c r="W74" s="496" t="b">
        <f t="shared" si="19"/>
        <v>1</v>
      </c>
      <c r="X74" s="496" t="b">
        <f t="shared" si="19"/>
        <v>1</v>
      </c>
      <c r="Y74" s="496" t="b">
        <f t="shared" si="19"/>
        <v>1</v>
      </c>
      <c r="Z74" s="496" t="b">
        <f t="shared" si="19"/>
        <v>1</v>
      </c>
      <c r="AA74" s="496" t="e">
        <f t="shared" si="19"/>
        <v>#VALUE!</v>
      </c>
      <c r="AB74" s="497"/>
      <c r="AC74" s="498"/>
      <c r="AD74" s="495"/>
      <c r="AE74" s="496" t="b">
        <f>ROUND(AD72,2)=ROUND(AD73,2)</f>
        <v>1</v>
      </c>
      <c r="AF74" s="497"/>
      <c r="AG74" s="495"/>
      <c r="AH74" s="496" t="b">
        <f>ROUND(AG72,2)=ROUND(AG73,2)</f>
        <v>1</v>
      </c>
      <c r="AI74" s="497"/>
    </row>
    <row r="75" spans="1:35" x14ac:dyDescent="0.25">
      <c r="A75" s="11"/>
      <c r="B75" s="11"/>
      <c r="C75" s="11"/>
      <c r="D75" s="11"/>
      <c r="E75" s="11"/>
      <c r="F75" s="11"/>
      <c r="G75" s="11"/>
      <c r="H75" s="181" t="s">
        <v>264</v>
      </c>
      <c r="I75" s="118" t="str">
        <f>IF(_epmOfflineCondition_,"T5",_xll.EVPRO($B$1,$H75,"STYLE"))</f>
        <v>T5</v>
      </c>
      <c r="J75" s="118" t="str">
        <f>IF(_epmOfflineCondition_,"Y",_xll.EVPRO($B$1,$H75,"CALC"))</f>
        <v>Y</v>
      </c>
      <c r="K75" s="86"/>
      <c r="L75" s="86" t="str">
        <f>IF(_epmOfflineCondition_,"465100",_xll.EVPRO($B$1,H75,"JDEID"))</f>
        <v>465100</v>
      </c>
      <c r="M75" s="86" t="str">
        <f>IF(_epmOfflineCondition_,"",IF(AND(I75="N",J75="N"),_xll.EVPRO($B$1,H75,"PSFTID"),""))</f>
        <v/>
      </c>
      <c r="N75" s="86" t="str">
        <f>IF(_epmOfflineCondition_,"Private Dining Food",IF(_xll.EVDES(H75,$B$1)="#NODATA","",_xll.EVDES(H75,$B$1)))</f>
        <v>Private Dining Food</v>
      </c>
      <c r="O75" s="134"/>
      <c r="P75" s="134"/>
      <c r="Q75" s="134"/>
      <c r="R75" s="134"/>
      <c r="S75" s="134"/>
      <c r="T75" s="134"/>
      <c r="U75" s="134"/>
      <c r="V75" s="134"/>
      <c r="W75" s="134"/>
      <c r="X75" s="134"/>
      <c r="Y75" s="134"/>
      <c r="Z75" s="134"/>
      <c r="AA75" s="134">
        <f t="shared" ref="AA75:AA80" si="20">SUM(O75:Z75)</f>
        <v>0</v>
      </c>
      <c r="AB75" s="138" t="str">
        <f>IF(AA75=0,"",IFERROR(AA75/AA$19,""))</f>
        <v/>
      </c>
      <c r="AC75" s="136"/>
      <c r="AD75" s="134"/>
      <c r="AE75" s="138" t="str">
        <f>IF(AD75=0,"",IFERROR(AD75/AD$19,""))</f>
        <v/>
      </c>
      <c r="AF75" s="137">
        <f t="shared" ref="AF75:AF81" si="21">IF(AND($AA75="",AD75=""),"",$AA75-AD75)</f>
        <v>0</v>
      </c>
      <c r="AG75" s="134"/>
      <c r="AH75" s="138" t="str">
        <f>IF(AG75=0,"",IFERROR(AG75/AG$19,""))</f>
        <v/>
      </c>
      <c r="AI75" s="137">
        <f t="shared" ref="AI75:AI81" si="22">IF(AND($AA75="",AG75=""),"",$AA75-AG75)</f>
        <v>0</v>
      </c>
    </row>
    <row r="76" spans="1:35" x14ac:dyDescent="0.25">
      <c r="A76" s="11"/>
      <c r="B76" s="11"/>
      <c r="C76" s="11"/>
      <c r="D76" s="11"/>
      <c r="E76" s="11"/>
      <c r="F76" s="11"/>
      <c r="G76" s="11"/>
      <c r="H76" s="181" t="s">
        <v>321</v>
      </c>
      <c r="I76" s="118" t="str">
        <f>IF(_epmOfflineCondition_,"T6",_xll.EVPRO($B$1,$H76,"STYLE"))</f>
        <v>T6</v>
      </c>
      <c r="J76" s="118" t="str">
        <f>IF(_epmOfflineCondition_,"Y",_xll.EVPRO($B$1,$H76,"CALC"))</f>
        <v>Y</v>
      </c>
      <c r="K76" s="86"/>
      <c r="L76" s="86" t="str">
        <f>IF(_epmOfflineCondition_,"465200",_xll.EVPRO($B$1,H76,"JDEID"))</f>
        <v>465200</v>
      </c>
      <c r="M76" s="86" t="str">
        <f>IF(_epmOfflineCondition_,"",IF(AND(I76="N",J76="N"),_xll.EVPRO($B$1,H76,"PSFTID"),""))</f>
        <v/>
      </c>
      <c r="N76" s="86" t="str">
        <f>IF(_epmOfflineCondition_,"Private Dining Liquor",IF(_xll.EVDES(H76,$B$1)="#NODATA","",_xll.EVDES(H76,$B$1)))</f>
        <v>Private Dining Liquor</v>
      </c>
      <c r="O76" s="134"/>
      <c r="P76" s="134"/>
      <c r="Q76" s="134"/>
      <c r="R76" s="134"/>
      <c r="S76" s="134"/>
      <c r="T76" s="134"/>
      <c r="U76" s="134"/>
      <c r="V76" s="134"/>
      <c r="W76" s="134"/>
      <c r="X76" s="134"/>
      <c r="Y76" s="134"/>
      <c r="Z76" s="134"/>
      <c r="AA76" s="134">
        <f t="shared" si="20"/>
        <v>0</v>
      </c>
      <c r="AB76" s="138" t="str">
        <f>IF(AA76=0,"",IFERROR(AA76/AA$19,""))</f>
        <v/>
      </c>
      <c r="AC76" s="136"/>
      <c r="AD76" s="134"/>
      <c r="AE76" s="138" t="str">
        <f>IF(AD76=0,"",IFERROR(AD76/AD$19,""))</f>
        <v/>
      </c>
      <c r="AF76" s="137">
        <f t="shared" si="21"/>
        <v>0</v>
      </c>
      <c r="AG76" s="134"/>
      <c r="AH76" s="138" t="str">
        <f>IF(AG76=0,"",IFERROR(AG76/AG$19,""))</f>
        <v/>
      </c>
      <c r="AI76" s="137">
        <f t="shared" si="22"/>
        <v>0</v>
      </c>
    </row>
    <row r="77" spans="1:35" x14ac:dyDescent="0.25">
      <c r="A77" s="11"/>
      <c r="B77" s="11"/>
      <c r="C77" s="11"/>
      <c r="D77" s="11"/>
      <c r="E77" s="11"/>
      <c r="F77" s="11"/>
      <c r="G77" s="11"/>
      <c r="H77" s="181" t="s">
        <v>323</v>
      </c>
      <c r="I77" s="118" t="str">
        <f>IF(_epmOfflineCondition_,"T6",_xll.EVPRO($B$1,$H77,"STYLE"))</f>
        <v>T6</v>
      </c>
      <c r="J77" s="118" t="str">
        <f>IF(_epmOfflineCondition_,"Y",_xll.EVPRO($B$1,$H77,"CALC"))</f>
        <v>Y</v>
      </c>
      <c r="K77" s="86"/>
      <c r="L77" s="86" t="str">
        <f>IF(_epmOfflineCondition_,"465300",_xll.EVPRO($B$1,H77,"JDEID"))</f>
        <v>465300</v>
      </c>
      <c r="M77" s="86" t="str">
        <f>IF(_epmOfflineCondition_,"",IF(AND(I77="N",J77="N"),_xll.EVPRO($B$1,H77,"PSFTID"),""))</f>
        <v/>
      </c>
      <c r="N77" s="86" t="str">
        <f>IF(_epmOfflineCondition_,"Private Dining Beer",IF(_xll.EVDES(H77,$B$1)="#NODATA","",_xll.EVDES(H77,$B$1)))</f>
        <v>Private Dining Beer</v>
      </c>
      <c r="O77" s="134"/>
      <c r="P77" s="134"/>
      <c r="Q77" s="134"/>
      <c r="R77" s="134"/>
      <c r="S77" s="134"/>
      <c r="T77" s="134"/>
      <c r="U77" s="134"/>
      <c r="V77" s="134"/>
      <c r="W77" s="134"/>
      <c r="X77" s="134"/>
      <c r="Y77" s="134"/>
      <c r="Z77" s="134"/>
      <c r="AA77" s="134">
        <f t="shared" si="20"/>
        <v>0</v>
      </c>
      <c r="AB77" s="138" t="str">
        <f>IF(AA77=0,"",IFERROR(AA77/AA$19,""))</f>
        <v/>
      </c>
      <c r="AC77" s="136"/>
      <c r="AD77" s="134"/>
      <c r="AE77" s="138" t="str">
        <f>IF(AD77=0,"",IFERROR(AD77/AD$19,""))</f>
        <v/>
      </c>
      <c r="AF77" s="137">
        <f t="shared" si="21"/>
        <v>0</v>
      </c>
      <c r="AG77" s="134"/>
      <c r="AH77" s="138" t="str">
        <f>IF(AG77=0,"",IFERROR(AG77/AG$19,""))</f>
        <v/>
      </c>
      <c r="AI77" s="137">
        <f t="shared" si="22"/>
        <v>0</v>
      </c>
    </row>
    <row r="78" spans="1:35" x14ac:dyDescent="0.25">
      <c r="A78" s="11"/>
      <c r="B78" s="11"/>
      <c r="C78" s="204"/>
      <c r="D78" s="11"/>
      <c r="E78" s="11"/>
      <c r="F78" s="11"/>
      <c r="G78" s="11"/>
      <c r="H78" s="181" t="s">
        <v>322</v>
      </c>
      <c r="I78" s="118" t="str">
        <f>IF(_epmOfflineCondition_,"T6",_xll.EVPRO($B$1,$H78,"STYLE"))</f>
        <v>T6</v>
      </c>
      <c r="J78" s="118" t="str">
        <f>IF(_epmOfflineCondition_,"Y",_xll.EVPRO($B$1,$H78,"CALC"))</f>
        <v>Y</v>
      </c>
      <c r="K78" s="86"/>
      <c r="L78" s="86" t="str">
        <f>IF(_epmOfflineCondition_,"465400",_xll.EVPRO($B$1,H78,"JDEID"))</f>
        <v>465400</v>
      </c>
      <c r="M78" s="86" t="str">
        <f>IF(_epmOfflineCondition_,"",IF(AND(I78="N",J78="N"),_xll.EVPRO($B$1,H78,"PSFTID"),""))</f>
        <v/>
      </c>
      <c r="N78" s="86" t="str">
        <f>IF(_epmOfflineCondition_,"Private Dining Wine",IF(_xll.EVDES(H78,$B$1)="#NODATA","",_xll.EVDES(H78,$B$1)))</f>
        <v>Private Dining Wine</v>
      </c>
      <c r="O78" s="228"/>
      <c r="P78" s="228"/>
      <c r="Q78" s="228"/>
      <c r="R78" s="228"/>
      <c r="S78" s="228"/>
      <c r="T78" s="228"/>
      <c r="U78" s="228"/>
      <c r="V78" s="228"/>
      <c r="W78" s="228"/>
      <c r="X78" s="228"/>
      <c r="Y78" s="228"/>
      <c r="Z78" s="228"/>
      <c r="AA78" s="228">
        <f t="shared" si="20"/>
        <v>0</v>
      </c>
      <c r="AB78" s="230" t="str">
        <f>IF(AA78=0,"",IFERROR(AA78/AA$19,""))</f>
        <v/>
      </c>
      <c r="AC78" s="136"/>
      <c r="AD78" s="228"/>
      <c r="AE78" s="230" t="str">
        <f>IF(AD78=0,"",IFERROR(AD78/AD$19,""))</f>
        <v/>
      </c>
      <c r="AF78" s="231">
        <f t="shared" si="21"/>
        <v>0</v>
      </c>
      <c r="AG78" s="228"/>
      <c r="AH78" s="230" t="str">
        <f>IF(AG78=0,"",IFERROR(AG78/AG$19,""))</f>
        <v/>
      </c>
      <c r="AI78" s="231">
        <f t="shared" si="22"/>
        <v>0</v>
      </c>
    </row>
    <row r="79" spans="1:35" x14ac:dyDescent="0.25">
      <c r="A79" s="11"/>
      <c r="B79" s="11"/>
      <c r="C79" s="204"/>
      <c r="D79" s="11"/>
      <c r="E79" s="11"/>
      <c r="F79" s="11"/>
      <c r="G79" s="11"/>
      <c r="H79" s="181" t="s">
        <v>329</v>
      </c>
      <c r="I79" s="118" t="str">
        <f>IF(_epmOfflineCondition_,"N",_xll.EVPRO($B$1,$H79,"STYLE"))</f>
        <v>N</v>
      </c>
      <c r="J79" s="118" t="str">
        <f>IF(_epmOfflineCondition_,"Y",_xll.EVPRO($B$1,$H79,"CALC"))</f>
        <v>Y</v>
      </c>
      <c r="K79" s="86"/>
      <c r="L79" s="86" t="str">
        <f>IF(_epmOfflineCondition_,"",_xll.EVPRO($B$1,H79,"JDEID"))</f>
        <v/>
      </c>
      <c r="M79" s="86" t="str">
        <f>IF(_epmOfflineCondition_,"",IF(AND(I79="N",J79="N"),_xll.EVPRO($B$1,H79,"PSFTID"),""))</f>
        <v/>
      </c>
      <c r="N79" s="102" t="str">
        <f>IF(_epmOfflineCondition_,"Private Dining Revenue",IF(_xll.EVDES(H79,$B$1)="#NODATA","",_xll.EVDES(H79,$B$1)))</f>
        <v>Private Dining Revenue</v>
      </c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>
        <f t="shared" si="20"/>
        <v>0</v>
      </c>
      <c r="AB79" s="159" t="str">
        <f>IF(AA79=0,"",IFERROR(AA79/AA$19,""))</f>
        <v/>
      </c>
      <c r="AC79" s="136"/>
      <c r="AD79" s="158"/>
      <c r="AE79" s="159" t="str">
        <f>IF(AD79=0,"",IFERROR(AD79/AD$19,""))</f>
        <v/>
      </c>
      <c r="AF79" s="160">
        <f t="shared" si="21"/>
        <v>0</v>
      </c>
      <c r="AG79" s="158"/>
      <c r="AH79" s="159" t="str">
        <f>IF(AG79=0,"",IFERROR(AG79/AG$19,""))</f>
        <v/>
      </c>
      <c r="AI79" s="160">
        <f t="shared" si="22"/>
        <v>0</v>
      </c>
    </row>
    <row r="80" spans="1:35" x14ac:dyDescent="0.25">
      <c r="A80" s="11"/>
      <c r="B80" s="11"/>
      <c r="C80" s="204"/>
      <c r="D80" s="11"/>
      <c r="E80" s="11"/>
      <c r="F80" s="11"/>
      <c r="G80" s="11"/>
      <c r="H80" s="181" t="s">
        <v>300</v>
      </c>
      <c r="I80" s="118" t="str">
        <f>IF(_epmOfflineCondition_,"N",_xll.EVPRO($B$1,$H80,"STYLE"))</f>
        <v>N</v>
      </c>
      <c r="J80" s="118" t="str">
        <f>IF(_epmOfflineCondition_,"N",_xll.EVPRO($B$1,$H80,"CALC"))</f>
        <v>N</v>
      </c>
      <c r="K80" s="86"/>
      <c r="L80" s="86" t="str">
        <f>IF(_epmOfflineCondition_,"946400",_xll.EVPRO($B$1,H80,"JDEID"))</f>
        <v>946400</v>
      </c>
      <c r="M80" s="86" t="str">
        <f>IF(_epmOfflineCondition_,"991510",IF(AND(I80="N",J80="N"),_xll.EVPRO($B$1,H80,"PSFTID"),""))</f>
        <v>991510</v>
      </c>
      <c r="N80" s="86" t="str">
        <f>IF(_epmOfflineCondition_,"Private Dining Customers",IF(_xll.EVDES(H80,$B$1)="#NODATA","",_xll.EVDES(H80,$B$1)))</f>
        <v>Private Dining Customers</v>
      </c>
      <c r="O80" s="240"/>
      <c r="P80" s="240"/>
      <c r="Q80" s="240"/>
      <c r="R80" s="240"/>
      <c r="S80" s="240"/>
      <c r="T80" s="240"/>
      <c r="U80" s="240"/>
      <c r="V80" s="240"/>
      <c r="W80" s="240"/>
      <c r="X80" s="240"/>
      <c r="Y80" s="240"/>
      <c r="Z80" s="240"/>
      <c r="AA80" s="240">
        <f t="shared" si="20"/>
        <v>0</v>
      </c>
      <c r="AB80" s="242" t="str">
        <f>IF(AA80=0,"",IFERROR(AA80/AA$87,""))</f>
        <v/>
      </c>
      <c r="AC80" s="136"/>
      <c r="AD80" s="240"/>
      <c r="AE80" s="242" t="str">
        <f>IF(AD80=0,"",IFERROR(AD80/AD$87,""))</f>
        <v/>
      </c>
      <c r="AF80" s="243">
        <f t="shared" si="21"/>
        <v>0</v>
      </c>
      <c r="AG80" s="240"/>
      <c r="AH80" s="242" t="str">
        <f>IF(AG80=0,"",IFERROR(AG80/AG$87,""))</f>
        <v/>
      </c>
      <c r="AI80" s="243">
        <f t="shared" si="22"/>
        <v>0</v>
      </c>
    </row>
    <row r="81" spans="1:35" x14ac:dyDescent="0.25">
      <c r="A81" s="11"/>
      <c r="B81" s="11"/>
      <c r="C81" s="204"/>
      <c r="D81" s="11"/>
      <c r="E81" s="11"/>
      <c r="F81" s="11"/>
      <c r="G81" s="11"/>
      <c r="H81" s="181" t="s">
        <v>325</v>
      </c>
      <c r="I81" s="118" t="str">
        <f>IF(_epmOfflineCondition_,"N",_xll.EVPRO($B$1,$H81,"STYLE"))</f>
        <v>N</v>
      </c>
      <c r="J81" s="118" t="str">
        <f>IF(_epmOfflineCondition_,"Y",_xll.EVPRO($B$1,$H81,"CALC"))</f>
        <v>Y</v>
      </c>
      <c r="K81" s="86"/>
      <c r="L81" s="86" t="str">
        <f>IF(_epmOfflineCondition_,"",_xll.EVPRO($B$1,H81,"JDEID"))</f>
        <v/>
      </c>
      <c r="M81" s="86" t="str">
        <f>IF(_epmOfflineCondition_,"",IF(AND(I81="N",J81="N"),_xll.EVPRO($B$1,H81,"PSFTID"),""))</f>
        <v/>
      </c>
      <c r="N81" s="186" t="str">
        <f>IF(_epmOfflineCondition_,"Private Dining - Average Check",IF(_xll.EVDES(H81,$B$1)="#NODATA","",_xll.EVDES(H81,$B$1)))</f>
        <v>Private Dining - Average Check</v>
      </c>
      <c r="O81" s="490"/>
      <c r="P81" s="490"/>
      <c r="Q81" s="490"/>
      <c r="R81" s="490"/>
      <c r="S81" s="490"/>
      <c r="T81" s="490"/>
      <c r="U81" s="490"/>
      <c r="V81" s="490"/>
      <c r="W81" s="490"/>
      <c r="X81" s="490"/>
      <c r="Y81" s="490"/>
      <c r="Z81" s="490"/>
      <c r="AA81" s="490" t="str">
        <f>IFERROR(AA79/AA80,"")</f>
        <v/>
      </c>
      <c r="AB81" s="490"/>
      <c r="AC81" s="136"/>
      <c r="AD81" s="490"/>
      <c r="AE81" s="490"/>
      <c r="AF81" s="491" t="str">
        <f t="shared" si="21"/>
        <v/>
      </c>
      <c r="AG81" s="490"/>
      <c r="AH81" s="490"/>
      <c r="AI81" s="491" t="str">
        <f t="shared" si="22"/>
        <v/>
      </c>
    </row>
    <row r="82" spans="1:35" x14ac:dyDescent="0.25">
      <c r="A82" s="11"/>
      <c r="B82" s="11"/>
      <c r="C82" s="204"/>
      <c r="D82" s="11"/>
      <c r="E82" s="11"/>
      <c r="F82" s="11"/>
      <c r="G82" s="486">
        <f>COUNTIF(O84:AI84,FALSE)</f>
        <v>0</v>
      </c>
      <c r="H82" s="84"/>
      <c r="I82" s="118"/>
      <c r="J82" s="118"/>
      <c r="K82" s="86"/>
      <c r="L82" s="86"/>
      <c r="M82" s="86"/>
      <c r="N82" s="487" t="s">
        <v>345</v>
      </c>
      <c r="O82" s="492">
        <f t="shared" ref="O82:AA82" si="23">ROUND(IFERROR(O79/O80,0),2)</f>
        <v>0</v>
      </c>
      <c r="P82" s="493">
        <f t="shared" si="23"/>
        <v>0</v>
      </c>
      <c r="Q82" s="493">
        <f t="shared" si="23"/>
        <v>0</v>
      </c>
      <c r="R82" s="493">
        <f t="shared" si="23"/>
        <v>0</v>
      </c>
      <c r="S82" s="493">
        <f t="shared" si="23"/>
        <v>0</v>
      </c>
      <c r="T82" s="493">
        <f t="shared" si="23"/>
        <v>0</v>
      </c>
      <c r="U82" s="493">
        <f t="shared" si="23"/>
        <v>0</v>
      </c>
      <c r="V82" s="493">
        <f t="shared" si="23"/>
        <v>0</v>
      </c>
      <c r="W82" s="493">
        <f t="shared" si="23"/>
        <v>0</v>
      </c>
      <c r="X82" s="493">
        <f t="shared" si="23"/>
        <v>0</v>
      </c>
      <c r="Y82" s="493">
        <f t="shared" si="23"/>
        <v>0</v>
      </c>
      <c r="Z82" s="493">
        <f t="shared" si="23"/>
        <v>0</v>
      </c>
      <c r="AA82" s="493">
        <f t="shared" si="23"/>
        <v>0</v>
      </c>
      <c r="AB82" s="494"/>
      <c r="AC82" s="136"/>
      <c r="AD82" s="492">
        <f>ROUND(IFERROR(AD79/AD80,0),2)</f>
        <v>0</v>
      </c>
      <c r="AE82" s="493"/>
      <c r="AF82" s="151"/>
      <c r="AG82" s="492">
        <f>ROUND(IFERROR(AG79/AG80,0),2)</f>
        <v>0</v>
      </c>
      <c r="AH82" s="493"/>
      <c r="AI82" s="151"/>
    </row>
    <row r="83" spans="1:35" x14ac:dyDescent="0.25">
      <c r="A83" s="11"/>
      <c r="B83" s="11"/>
      <c r="C83" s="204"/>
      <c r="D83" s="11"/>
      <c r="E83" s="11"/>
      <c r="F83" s="11"/>
      <c r="G83" s="11"/>
      <c r="H83" s="84" t="s">
        <v>486</v>
      </c>
      <c r="I83" s="118" t="str">
        <f>IF(_epmOfflineCondition_,"T5",_xll.EVPRO($B$1,$H83,"STYLE"))</f>
        <v>T5</v>
      </c>
      <c r="J83" s="118" t="str">
        <f>IF(_epmOfflineCondition_,"Y",_xll.EVPRO($B$1,$H83,"CALC"))</f>
        <v>Y</v>
      </c>
      <c r="K83" s="86"/>
      <c r="L83" s="86" t="str">
        <f>IF(_epmOfflineCondition_,"",_xll.EVPRO($B$1,H83,"JDEID"))</f>
        <v/>
      </c>
      <c r="M83" s="86" t="str">
        <f>IF(_epmOfflineCondition_,"",IF(AND(I83="N",J83="N"),_xll.EVPRO($B$1,H83,"PSFTID"),""))</f>
        <v/>
      </c>
      <c r="N83" s="86" t="str">
        <f>IF(_epmOfflineCondition_,"Food &amp; Beverage: Allowances",IF(_xll.EVDES(H83,$B$1)="#NODATA","",_xll.EVDES(H83,$B$1)))</f>
        <v>Food &amp; Beverage: Allowances</v>
      </c>
      <c r="O83" s="134"/>
      <c r="P83" s="134"/>
      <c r="Q83" s="134"/>
      <c r="R83" s="134"/>
      <c r="S83" s="134"/>
      <c r="T83" s="134"/>
      <c r="U83" s="134"/>
      <c r="V83" s="134"/>
      <c r="W83" s="134"/>
      <c r="X83" s="134"/>
      <c r="Y83" s="134"/>
      <c r="Z83" s="134"/>
      <c r="AA83" s="134">
        <f>SUM(O83:Z83)</f>
        <v>0</v>
      </c>
      <c r="AB83" s="138" t="str">
        <f>IF(AA83=0,"",IFERROR(AA83/AA$19,""))</f>
        <v/>
      </c>
      <c r="AC83" s="136"/>
      <c r="AD83" s="134"/>
      <c r="AE83" s="138" t="str">
        <f>IF(AD83=0,"",IFERROR(AD83/AD$19,""))</f>
        <v/>
      </c>
      <c r="AF83" s="137">
        <f>IF(AND($AA83="",AD83=""),"",$AA83-AD83)</f>
        <v>0</v>
      </c>
      <c r="AG83" s="134"/>
      <c r="AH83" s="138" t="str">
        <f>IF(AG83=0,"",IFERROR(AG83/AG$19,""))</f>
        <v/>
      </c>
      <c r="AI83" s="137">
        <f>IF(AND($AA83="",AG83=""),"",$AA83-AG83)</f>
        <v>0</v>
      </c>
    </row>
    <row r="84" spans="1:35" x14ac:dyDescent="0.25">
      <c r="A84" s="11"/>
      <c r="B84" s="11"/>
      <c r="C84" s="204"/>
      <c r="D84" s="11"/>
      <c r="E84" s="11"/>
      <c r="F84" s="11"/>
      <c r="G84" s="11"/>
      <c r="H84" s="84"/>
      <c r="I84" s="118"/>
      <c r="J84" s="118"/>
      <c r="K84" s="86"/>
      <c r="L84" s="86"/>
      <c r="M84" s="86"/>
      <c r="N84" s="49" t="s">
        <v>348</v>
      </c>
      <c r="O84" s="495" t="b">
        <f t="shared" ref="O84:AA84" si="24">ROUND(O81,2)=ROUND(O82,2)</f>
        <v>1</v>
      </c>
      <c r="P84" s="496" t="b">
        <f t="shared" si="24"/>
        <v>1</v>
      </c>
      <c r="Q84" s="496" t="b">
        <f t="shared" si="24"/>
        <v>1</v>
      </c>
      <c r="R84" s="496" t="b">
        <f t="shared" si="24"/>
        <v>1</v>
      </c>
      <c r="S84" s="496" t="b">
        <f t="shared" si="24"/>
        <v>1</v>
      </c>
      <c r="T84" s="496" t="b">
        <f t="shared" si="24"/>
        <v>1</v>
      </c>
      <c r="U84" s="496" t="b">
        <f t="shared" si="24"/>
        <v>1</v>
      </c>
      <c r="V84" s="496" t="b">
        <f t="shared" si="24"/>
        <v>1</v>
      </c>
      <c r="W84" s="496" t="b">
        <f t="shared" si="24"/>
        <v>1</v>
      </c>
      <c r="X84" s="496" t="b">
        <f t="shared" si="24"/>
        <v>1</v>
      </c>
      <c r="Y84" s="496" t="b">
        <f t="shared" si="24"/>
        <v>1</v>
      </c>
      <c r="Z84" s="496" t="b">
        <f t="shared" si="24"/>
        <v>1</v>
      </c>
      <c r="AA84" s="496" t="e">
        <f t="shared" si="24"/>
        <v>#VALUE!</v>
      </c>
      <c r="AB84" s="497"/>
      <c r="AC84" s="498"/>
      <c r="AD84" s="495"/>
      <c r="AE84" s="496" t="b">
        <f>ROUND(AD81,2)=ROUND(AD82,2)</f>
        <v>1</v>
      </c>
      <c r="AF84" s="497"/>
      <c r="AG84" s="495"/>
      <c r="AH84" s="496" t="b">
        <f>ROUND(AG81,2)=ROUND(AG82,2)</f>
        <v>1</v>
      </c>
      <c r="AI84" s="497"/>
    </row>
    <row r="85" spans="1:35" x14ac:dyDescent="0.25">
      <c r="A85" s="11"/>
      <c r="B85" s="11"/>
      <c r="C85" s="204"/>
      <c r="D85" s="11"/>
      <c r="E85" s="11"/>
      <c r="F85" s="11"/>
      <c r="G85" s="11"/>
      <c r="H85" s="181" t="s">
        <v>273</v>
      </c>
      <c r="I85" s="118" t="str">
        <f>IF(_epmOfflineCondition_,"T4",_xll.EVPRO($B$1,$H85,"STYLE"))</f>
        <v>T4</v>
      </c>
      <c r="J85" s="118" t="str">
        <f>IF(_epmOfflineCondition_,"Y",_xll.EVPRO($B$1,$H85,"CALC"))</f>
        <v>Y</v>
      </c>
      <c r="K85" s="11"/>
      <c r="L85" s="86" t="str">
        <f>IF(_epmOfflineCondition_,"",_xll.EVPRO($B$1,H85,"JDEID"))</f>
        <v/>
      </c>
      <c r="M85" s="86" t="str">
        <f>IF(_epmOfflineCondition_,"",IF(AND(I85="N",J85="N"),_xll.EVPRO($B$1,H85,"PSFTID"),""))</f>
        <v/>
      </c>
      <c r="N85" s="86" t="str">
        <f>IF(_epmOfflineCondition_,"Total Food &amp; Beverage Revenue",IF(_xll.EVDES(H85,$B$1)="#NODATA","",_xll.EVDES(H85,$B$1)))</f>
        <v>Total Food &amp; Beverage Revenue</v>
      </c>
      <c r="O85" s="502"/>
      <c r="P85" s="502"/>
      <c r="Q85" s="502"/>
      <c r="R85" s="502"/>
      <c r="S85" s="502"/>
      <c r="T85" s="502"/>
      <c r="U85" s="502"/>
      <c r="V85" s="502"/>
      <c r="W85" s="502"/>
      <c r="X85" s="502"/>
      <c r="Y85" s="502"/>
      <c r="Z85" s="502"/>
      <c r="AA85" s="502">
        <f>SUM(O85:Z85)</f>
        <v>0</v>
      </c>
      <c r="AB85" s="503" t="str">
        <f>IF(AA85=0,"",IFERROR(AA85/AA$19,""))</f>
        <v/>
      </c>
      <c r="AC85" s="136"/>
      <c r="AD85" s="502"/>
      <c r="AE85" s="503" t="str">
        <f>IF(AD85=0,"",IFERROR(AD85/AD$19,""))</f>
        <v/>
      </c>
      <c r="AF85" s="504">
        <f>IF(AND($AA85="",AD85=""),"",$AA85-AD85)</f>
        <v>0</v>
      </c>
      <c r="AG85" s="502"/>
      <c r="AH85" s="503" t="str">
        <f>IF(AG85=0,"",IFERROR(AG85/AG$19,""))</f>
        <v/>
      </c>
      <c r="AI85" s="504">
        <f>IF(AND($AA85="",AG85=""),"",$AA85-AG85)</f>
        <v>0</v>
      </c>
    </row>
    <row r="86" spans="1:35" x14ac:dyDescent="0.25">
      <c r="A86" s="11"/>
      <c r="B86" s="11"/>
      <c r="C86" s="204"/>
      <c r="D86" s="11"/>
      <c r="E86" s="11"/>
      <c r="F86" s="11"/>
      <c r="G86" s="11"/>
      <c r="H86" s="181" t="s">
        <v>768</v>
      </c>
      <c r="I86" s="118" t="str">
        <f>IF(_epmOfflineCondition_,"N",_xll.EVPRO($B$1,$H86,"STYLE"))</f>
        <v>N</v>
      </c>
      <c r="J86" s="118" t="str">
        <f>IF(_epmOfflineCondition_,"N",_xll.EVPRO($B$1,$H86,"CALC"))</f>
        <v>N</v>
      </c>
      <c r="K86" s="11"/>
      <c r="L86" s="86" t="str">
        <f>IF(_epmOfflineCondition_,"947500",_xll.EVPRO($B$1,H86,"JDEID"))</f>
        <v>947500</v>
      </c>
      <c r="M86" s="86" t="str">
        <f>IF(_epmOfflineCondition_,"991552",IF(AND(I86="N",J86="N"),_xll.EVPRO($B$1,H86,"PSFTID"),""))</f>
        <v>991552</v>
      </c>
      <c r="N86" s="86" t="str">
        <f>IF(_epmOfflineCondition_,"# of Seats in Outlet",IF(_xll.EVDES(H86,$B$1)="#NODATA","",_xll.EVDES(H86,$B$1)))</f>
        <v># of Seats in Outlet</v>
      </c>
      <c r="O86" s="502"/>
      <c r="P86" s="502"/>
      <c r="Q86" s="502"/>
      <c r="R86" s="502"/>
      <c r="S86" s="502"/>
      <c r="T86" s="502"/>
      <c r="U86" s="502"/>
      <c r="V86" s="502"/>
      <c r="W86" s="502"/>
      <c r="X86" s="502"/>
      <c r="Y86" s="502"/>
      <c r="Z86" s="502"/>
      <c r="AA86" s="502">
        <f>SUM(O86:Z86)</f>
        <v>0</v>
      </c>
      <c r="AB86" s="503"/>
      <c r="AC86" s="136"/>
      <c r="AD86" s="502"/>
      <c r="AE86" s="503"/>
      <c r="AF86" s="504">
        <f>IF(AND($AA86="",AD86=""),"",$AA86-AD86)</f>
        <v>0</v>
      </c>
      <c r="AG86" s="502"/>
      <c r="AH86" s="503"/>
      <c r="AI86" s="504">
        <f>IF(AND($AA86="",AG86=""),"",$AA86-AG86)</f>
        <v>0</v>
      </c>
    </row>
    <row r="87" spans="1:35" x14ac:dyDescent="0.25">
      <c r="A87" s="11"/>
      <c r="B87" s="11"/>
      <c r="C87" s="204"/>
      <c r="D87" s="11"/>
      <c r="E87" s="11"/>
      <c r="F87" s="11"/>
      <c r="G87" s="11"/>
      <c r="H87" s="181" t="s">
        <v>331</v>
      </c>
      <c r="I87" s="118" t="str">
        <f>IF(_epmOfflineCondition_,"T2",_xll.EVPRO($B$1,$H87,"STYLE"))</f>
        <v>T2</v>
      </c>
      <c r="J87" s="118" t="str">
        <f>IF(_epmOfflineCondition_,"Y",_xll.EVPRO($B$1,$H87,"CALC"))</f>
        <v>Y</v>
      </c>
      <c r="K87" s="11"/>
      <c r="L87" s="86" t="str">
        <f>IF(_epmOfflineCondition_,"946000",_xll.EVPRO($B$1,H87,"JDEID"))</f>
        <v>946000</v>
      </c>
      <c r="M87" s="86" t="str">
        <f>IF(_epmOfflineCondition_,"",IF(AND(I87="N",J87="N"),_xll.EVPRO($B$1,H87,"PSFTID"),""))</f>
        <v/>
      </c>
      <c r="N87" s="86" t="str">
        <f>IF(_epmOfflineCondition_,"Total Customers",IF(_xll.EVDES(H87,$B$1)="#NODATA","",_xll.EVDES(H87,$B$1)))</f>
        <v>Total Customers</v>
      </c>
      <c r="O87" s="502"/>
      <c r="P87" s="502"/>
      <c r="Q87" s="502"/>
      <c r="R87" s="502"/>
      <c r="S87" s="502"/>
      <c r="T87" s="502"/>
      <c r="U87" s="502"/>
      <c r="V87" s="502"/>
      <c r="W87" s="502"/>
      <c r="X87" s="502"/>
      <c r="Y87" s="502"/>
      <c r="Z87" s="502"/>
      <c r="AA87" s="502">
        <f>SUM(O87:Z87)</f>
        <v>0</v>
      </c>
      <c r="AB87" s="503" t="str">
        <f>IF(AA87=0,"",IFERROR(AA87/AA$20,""))</f>
        <v/>
      </c>
      <c r="AC87" s="136"/>
      <c r="AD87" s="502"/>
      <c r="AE87" s="503" t="str">
        <f>IF(AD87=0,"",IFERROR(AD87/AD$20,""))</f>
        <v/>
      </c>
      <c r="AF87" s="504">
        <f>IF(AND($AA87="",AD87=""),"",$AA87-AD87)</f>
        <v>0</v>
      </c>
      <c r="AG87" s="502"/>
      <c r="AH87" s="503" t="str">
        <f>IF(AG87=0,"",IFERROR(AG87/AG$20,""))</f>
        <v/>
      </c>
      <c r="AI87" s="504">
        <f>IF(AND($AA87="",AG87=""),"",$AA87-AG87)</f>
        <v>0</v>
      </c>
    </row>
    <row r="88" spans="1:35" x14ac:dyDescent="0.25">
      <c r="A88" s="11"/>
      <c r="B88" s="11"/>
      <c r="C88" s="204"/>
      <c r="D88" s="11"/>
      <c r="E88" s="11"/>
      <c r="F88" s="11"/>
      <c r="G88" s="11"/>
      <c r="H88" s="181" t="s">
        <v>311</v>
      </c>
      <c r="I88" s="118" t="str">
        <f>IF(_epmOfflineCondition_,"N",_xll.EVPRO($B$1,$H88,"STYLE"))</f>
        <v>N</v>
      </c>
      <c r="J88" s="118" t="str">
        <f>IF(_epmOfflineCondition_,"Y",_xll.EVPRO($B$1,$H88,"CALC"))</f>
        <v>Y</v>
      </c>
      <c r="K88" s="11"/>
      <c r="L88" s="86"/>
      <c r="M88" s="86"/>
      <c r="N88" s="86" t="str">
        <f>IF(_epmOfflineCondition_,"Total Average Check",IF(_xll.EVDES(H88,$B$1)="#NODATA","",_xll.EVDES(H88,$B$1)))</f>
        <v>Total Average Check</v>
      </c>
      <c r="O88" s="490"/>
      <c r="P88" s="490"/>
      <c r="Q88" s="490"/>
      <c r="R88" s="490"/>
      <c r="S88" s="490"/>
      <c r="T88" s="490"/>
      <c r="U88" s="490"/>
      <c r="V88" s="490"/>
      <c r="W88" s="490"/>
      <c r="X88" s="490"/>
      <c r="Y88" s="490"/>
      <c r="Z88" s="490"/>
      <c r="AA88" s="490" t="str">
        <f>IFERROR(AA85/AA87,"")</f>
        <v/>
      </c>
      <c r="AB88" s="490"/>
      <c r="AC88" s="136"/>
      <c r="AD88" s="490"/>
      <c r="AE88" s="490"/>
      <c r="AF88" s="491" t="str">
        <f>IF(AND($AA88="",AD88=""),"",$AA88-AD88)</f>
        <v/>
      </c>
      <c r="AG88" s="490"/>
      <c r="AH88" s="490"/>
      <c r="AI88" s="491" t="str">
        <f>IF(AND($AA88="",AG88=""),"",$AA88-AG88)</f>
        <v/>
      </c>
    </row>
    <row r="89" spans="1:35" x14ac:dyDescent="0.25">
      <c r="A89" s="11"/>
      <c r="B89" s="11"/>
      <c r="C89" s="204"/>
      <c r="D89" s="11"/>
      <c r="E89" s="11"/>
      <c r="F89" s="11"/>
      <c r="G89" s="11"/>
      <c r="H89" s="181"/>
      <c r="I89" s="118"/>
      <c r="J89" s="118"/>
      <c r="K89" s="11"/>
      <c r="L89" s="86"/>
      <c r="M89" s="86"/>
      <c r="N89" s="86"/>
      <c r="O89" s="166"/>
      <c r="P89" s="167"/>
      <c r="Q89" s="167"/>
      <c r="R89" s="167"/>
      <c r="S89" s="167"/>
      <c r="T89" s="167"/>
      <c r="U89" s="167"/>
      <c r="V89" s="167"/>
      <c r="W89" s="167"/>
      <c r="X89" s="167"/>
      <c r="Y89" s="167"/>
      <c r="Z89" s="167"/>
      <c r="AA89" s="167"/>
      <c r="AB89" s="168"/>
      <c r="AC89" s="136"/>
      <c r="AD89" s="166"/>
      <c r="AE89" s="167"/>
      <c r="AF89" s="168"/>
      <c r="AG89" s="166"/>
      <c r="AH89" s="167"/>
      <c r="AI89" s="168"/>
    </row>
    <row r="90" spans="1:35" x14ac:dyDescent="0.25">
      <c r="A90" s="11"/>
      <c r="B90" s="11"/>
      <c r="C90" s="204"/>
      <c r="D90" s="11"/>
      <c r="E90" s="11"/>
      <c r="F90" s="11"/>
      <c r="G90" s="11"/>
      <c r="H90" s="181"/>
      <c r="I90" s="118"/>
      <c r="J90" s="118"/>
      <c r="K90" s="11"/>
      <c r="L90" s="86"/>
      <c r="M90" s="86"/>
      <c r="N90" s="49" t="s">
        <v>334</v>
      </c>
      <c r="O90" s="154"/>
      <c r="P90" s="155"/>
      <c r="Q90" s="155"/>
      <c r="R90" s="155"/>
      <c r="S90" s="155"/>
      <c r="T90" s="155"/>
      <c r="U90" s="155"/>
      <c r="V90" s="155"/>
      <c r="W90" s="155"/>
      <c r="X90" s="155"/>
      <c r="Y90" s="155"/>
      <c r="Z90" s="155"/>
      <c r="AA90" s="155"/>
      <c r="AB90" s="156"/>
      <c r="AC90" s="136"/>
      <c r="AD90" s="154"/>
      <c r="AE90" s="155"/>
      <c r="AF90" s="156"/>
      <c r="AG90" s="154"/>
      <c r="AH90" s="155"/>
      <c r="AI90" s="156"/>
    </row>
    <row r="91" spans="1:35" hidden="1" outlineLevel="1" x14ac:dyDescent="0.25">
      <c r="A91" s="11"/>
      <c r="B91" s="11"/>
      <c r="C91" s="204"/>
      <c r="D91" s="11"/>
      <c r="E91" s="11"/>
      <c r="F91" s="11"/>
      <c r="G91" s="11"/>
      <c r="H91" s="181" t="s">
        <v>332</v>
      </c>
      <c r="I91" s="118" t="str">
        <f>IF(_epmOfflineCondition_,"T4",_xll.EVPRO($B$1,$H91,"STYLE"))</f>
        <v>T4</v>
      </c>
      <c r="J91" s="118" t="str">
        <f>IF(_epmOfflineCondition_,"Y",_xll.EVPRO($B$1,$H91,"CALC"))</f>
        <v>Y</v>
      </c>
      <c r="K91" s="11"/>
      <c r="L91" s="86"/>
      <c r="M91" s="86"/>
      <c r="N91" s="86" t="str">
        <f>IF(_epmOfflineCondition_,"F&amp;B Kitchen - THW",IF(_xll.EVDES(H91,$B$1)="#NODATA","",_xll.EVDES(H91,$B$1)))</f>
        <v>F&amp;B Kitchen - THW</v>
      </c>
      <c r="O91" s="134"/>
      <c r="P91" s="134"/>
      <c r="Q91" s="134"/>
      <c r="R91" s="134"/>
      <c r="S91" s="134"/>
      <c r="T91" s="134"/>
      <c r="U91" s="134"/>
      <c r="V91" s="134"/>
      <c r="W91" s="134"/>
      <c r="X91" s="134"/>
      <c r="Y91" s="134"/>
      <c r="Z91" s="134"/>
      <c r="AA91" s="134">
        <f>SUM(O91:Z91)</f>
        <v>0</v>
      </c>
      <c r="AB91" s="138"/>
      <c r="AC91" s="136"/>
      <c r="AD91" s="134"/>
      <c r="AE91" s="138"/>
      <c r="AF91" s="137">
        <f>IF(AND($AA91="",AD91=""),"",$AA91-AD91)</f>
        <v>0</v>
      </c>
      <c r="AG91" s="134"/>
      <c r="AH91" s="138"/>
      <c r="AI91" s="137">
        <f>IF(AND($AA91="",AG91=""),"",$AA91-AG91)</f>
        <v>0</v>
      </c>
    </row>
    <row r="92" spans="1:35" hidden="1" outlineLevel="1" x14ac:dyDescent="0.25">
      <c r="A92" s="11"/>
      <c r="B92" s="11"/>
      <c r="C92" s="204"/>
      <c r="D92" s="11"/>
      <c r="E92" s="11"/>
      <c r="F92" s="11"/>
      <c r="G92" s="11"/>
      <c r="H92" s="181" t="s">
        <v>333</v>
      </c>
      <c r="I92" s="118" t="str">
        <f>IF(_epmOfflineCondition_,"T4",_xll.EVPRO($B$1,$H92,"STYLE"))</f>
        <v>T4</v>
      </c>
      <c r="J92" s="118" t="str">
        <f>IF(_epmOfflineCondition_,"Y",_xll.EVPRO($B$1,$H92,"CALC"))</f>
        <v>Y</v>
      </c>
      <c r="K92" s="11"/>
      <c r="L92" s="86"/>
      <c r="M92" s="86"/>
      <c r="N92" s="86" t="str">
        <f>IF(_epmOfflineCondition_,"F&amp;B Venues - THW",IF(_xll.EVDES(H92,$B$1)="#NODATA","",_xll.EVDES(H92,$B$1)))</f>
        <v>F&amp;B Venues - THW</v>
      </c>
      <c r="O92" s="134"/>
      <c r="P92" s="134"/>
      <c r="Q92" s="134"/>
      <c r="R92" s="134"/>
      <c r="S92" s="134"/>
      <c r="T92" s="134"/>
      <c r="U92" s="134"/>
      <c r="V92" s="134"/>
      <c r="W92" s="134"/>
      <c r="X92" s="134"/>
      <c r="Y92" s="134"/>
      <c r="Z92" s="134"/>
      <c r="AA92" s="134">
        <f>SUM(O92:Z92)</f>
        <v>0</v>
      </c>
      <c r="AB92" s="138"/>
      <c r="AC92" s="136"/>
      <c r="AD92" s="134"/>
      <c r="AE92" s="138"/>
      <c r="AF92" s="137">
        <f>IF(AND($AA92="",AD92=""),"",$AA92-AD92)</f>
        <v>0</v>
      </c>
      <c r="AG92" s="134"/>
      <c r="AH92" s="138"/>
      <c r="AI92" s="137">
        <f>IF(AND($AA92="",AG92=""),"",$AA92-AG92)</f>
        <v>0</v>
      </c>
    </row>
    <row r="93" spans="1:35" collapsed="1" x14ac:dyDescent="0.25">
      <c r="A93" s="11"/>
      <c r="B93" s="11"/>
      <c r="C93" s="204"/>
      <c r="D93" s="11"/>
      <c r="E93" s="11"/>
      <c r="F93" s="11"/>
      <c r="G93" s="11"/>
      <c r="H93" s="181"/>
      <c r="I93" s="118"/>
      <c r="J93" s="118"/>
      <c r="K93" s="11"/>
      <c r="L93" s="86"/>
      <c r="M93" s="86"/>
      <c r="N93" s="100" t="s">
        <v>335</v>
      </c>
      <c r="O93" s="505" t="str">
        <f t="shared" ref="O93:AA93" si="25">IFERROR(O$87/O91,"")</f>
        <v/>
      </c>
      <c r="P93" s="505" t="str">
        <f t="shared" si="25"/>
        <v/>
      </c>
      <c r="Q93" s="505" t="str">
        <f t="shared" si="25"/>
        <v/>
      </c>
      <c r="R93" s="505" t="str">
        <f t="shared" si="25"/>
        <v/>
      </c>
      <c r="S93" s="505" t="str">
        <f t="shared" si="25"/>
        <v/>
      </c>
      <c r="T93" s="505" t="str">
        <f t="shared" si="25"/>
        <v/>
      </c>
      <c r="U93" s="505" t="str">
        <f t="shared" si="25"/>
        <v/>
      </c>
      <c r="V93" s="505" t="str">
        <f t="shared" si="25"/>
        <v/>
      </c>
      <c r="W93" s="505" t="str">
        <f t="shared" si="25"/>
        <v/>
      </c>
      <c r="X93" s="505" t="str">
        <f t="shared" si="25"/>
        <v/>
      </c>
      <c r="Y93" s="505" t="str">
        <f t="shared" si="25"/>
        <v/>
      </c>
      <c r="Z93" s="505" t="str">
        <f t="shared" si="25"/>
        <v/>
      </c>
      <c r="AA93" s="505" t="str">
        <f t="shared" si="25"/>
        <v/>
      </c>
      <c r="AB93" s="506"/>
      <c r="AC93" s="136"/>
      <c r="AD93" s="505" t="str">
        <f>IFERROR(AD$87/AD91,"")</f>
        <v/>
      </c>
      <c r="AE93" s="506"/>
      <c r="AF93" s="226" t="str">
        <f>IF(AND($AA93="",AD93=""),"",$AA93-AD93)</f>
        <v/>
      </c>
      <c r="AG93" s="505" t="str">
        <f>IFERROR(AG$87/AG91,"")</f>
        <v/>
      </c>
      <c r="AH93" s="506"/>
      <c r="AI93" s="226" t="str">
        <f>IF(AND($AA93="",AG93=""),"",$AA93-AG93)</f>
        <v/>
      </c>
    </row>
    <row r="94" spans="1:35" x14ac:dyDescent="0.25">
      <c r="A94" s="11"/>
      <c r="B94" s="11"/>
      <c r="C94" s="204"/>
      <c r="D94" s="11"/>
      <c r="E94" s="11"/>
      <c r="F94" s="11"/>
      <c r="G94" s="11"/>
      <c r="H94" s="181"/>
      <c r="I94" s="118"/>
      <c r="J94" s="118"/>
      <c r="K94" s="11"/>
      <c r="L94" s="86"/>
      <c r="M94" s="86"/>
      <c r="N94" s="100" t="s">
        <v>336</v>
      </c>
      <c r="O94" s="505" t="str">
        <f t="shared" ref="O94:AA94" si="26">IFERROR(O$87/O92,"")</f>
        <v/>
      </c>
      <c r="P94" s="505" t="str">
        <f t="shared" si="26"/>
        <v/>
      </c>
      <c r="Q94" s="505" t="str">
        <f t="shared" si="26"/>
        <v/>
      </c>
      <c r="R94" s="505" t="str">
        <f t="shared" si="26"/>
        <v/>
      </c>
      <c r="S94" s="505" t="str">
        <f t="shared" si="26"/>
        <v/>
      </c>
      <c r="T94" s="505" t="str">
        <f t="shared" si="26"/>
        <v/>
      </c>
      <c r="U94" s="505" t="str">
        <f t="shared" si="26"/>
        <v/>
      </c>
      <c r="V94" s="505" t="str">
        <f t="shared" si="26"/>
        <v/>
      </c>
      <c r="W94" s="505" t="str">
        <f t="shared" si="26"/>
        <v/>
      </c>
      <c r="X94" s="505" t="str">
        <f t="shared" si="26"/>
        <v/>
      </c>
      <c r="Y94" s="505" t="str">
        <f t="shared" si="26"/>
        <v/>
      </c>
      <c r="Z94" s="505" t="str">
        <f t="shared" si="26"/>
        <v/>
      </c>
      <c r="AA94" s="505" t="str">
        <f t="shared" si="26"/>
        <v/>
      </c>
      <c r="AB94" s="506"/>
      <c r="AC94" s="136"/>
      <c r="AD94" s="505" t="str">
        <f>IFERROR(AD$87/AD92,"")</f>
        <v/>
      </c>
      <c r="AE94" s="506"/>
      <c r="AF94" s="226" t="str">
        <f>IF(AND($AA94="",AD94=""),"",$AA94-AD94)</f>
        <v/>
      </c>
      <c r="AG94" s="505" t="str">
        <f>IFERROR(AG$87/AG92,"")</f>
        <v/>
      </c>
      <c r="AH94" s="506"/>
      <c r="AI94" s="226" t="str">
        <f>IF(AND($AA94="",AG94=""),"",$AA94-AG94)</f>
        <v/>
      </c>
    </row>
    <row r="95" spans="1:35" x14ac:dyDescent="0.25">
      <c r="A95" s="11"/>
      <c r="B95" s="11"/>
      <c r="C95" s="204"/>
      <c r="D95" s="11"/>
      <c r="E95" s="11"/>
      <c r="F95" s="11"/>
      <c r="G95" s="11"/>
      <c r="H95" s="181"/>
      <c r="I95" s="118"/>
      <c r="J95" s="118"/>
      <c r="K95" s="11"/>
      <c r="L95" s="86"/>
      <c r="M95" s="86"/>
      <c r="N95" s="86"/>
      <c r="O95" s="507"/>
      <c r="P95" s="508"/>
      <c r="Q95" s="508"/>
      <c r="R95" s="508"/>
      <c r="S95" s="508"/>
      <c r="T95" s="508"/>
      <c r="U95" s="508"/>
      <c r="V95" s="508"/>
      <c r="W95" s="508"/>
      <c r="X95" s="508"/>
      <c r="Y95" s="508"/>
      <c r="Z95" s="508"/>
      <c r="AA95" s="508"/>
      <c r="AB95" s="153"/>
      <c r="AC95" s="136"/>
      <c r="AD95" s="509"/>
      <c r="AE95" s="477"/>
      <c r="AF95" s="153"/>
      <c r="AG95" s="477"/>
      <c r="AH95" s="477"/>
      <c r="AI95" s="153"/>
    </row>
    <row r="96" spans="1:35" x14ac:dyDescent="0.25">
      <c r="A96" s="11"/>
      <c r="B96" s="11"/>
      <c r="C96" s="204"/>
      <c r="D96" s="11"/>
      <c r="E96" s="11"/>
      <c r="F96" s="11"/>
      <c r="G96" s="11"/>
      <c r="H96" s="181"/>
      <c r="I96" s="118"/>
      <c r="J96" s="118"/>
      <c r="K96" s="11"/>
      <c r="L96" s="86"/>
      <c r="M96" s="86"/>
      <c r="N96" s="49" t="s">
        <v>343</v>
      </c>
      <c r="O96" s="509"/>
      <c r="P96" s="477"/>
      <c r="Q96" s="477"/>
      <c r="R96" s="477"/>
      <c r="S96" s="477"/>
      <c r="T96" s="477"/>
      <c r="U96" s="477"/>
      <c r="V96" s="477"/>
      <c r="W96" s="477"/>
      <c r="X96" s="477"/>
      <c r="Y96" s="477"/>
      <c r="Z96" s="477"/>
      <c r="AA96" s="477"/>
      <c r="AB96" s="510"/>
      <c r="AC96" s="136"/>
      <c r="AD96" s="511"/>
      <c r="AE96" s="512"/>
      <c r="AF96" s="153"/>
      <c r="AG96" s="477"/>
      <c r="AH96" s="512"/>
      <c r="AI96" s="153"/>
    </row>
    <row r="97" spans="1:35" x14ac:dyDescent="0.25">
      <c r="A97" s="11"/>
      <c r="B97" s="11"/>
      <c r="C97" s="204"/>
      <c r="D97" s="11"/>
      <c r="E97" s="11"/>
      <c r="F97" s="11"/>
      <c r="G97" s="11"/>
      <c r="H97" s="181"/>
      <c r="I97" s="118"/>
      <c r="J97" s="118"/>
      <c r="K97" s="11"/>
      <c r="L97" s="86"/>
      <c r="M97" s="86"/>
      <c r="N97" s="49" t="s">
        <v>337</v>
      </c>
      <c r="O97" s="154"/>
      <c r="P97" s="155"/>
      <c r="Q97" s="155"/>
      <c r="R97" s="155"/>
      <c r="S97" s="155"/>
      <c r="T97" s="155"/>
      <c r="U97" s="155"/>
      <c r="V97" s="155"/>
      <c r="W97" s="155"/>
      <c r="X97" s="155"/>
      <c r="Y97" s="155"/>
      <c r="Z97" s="155"/>
      <c r="AA97" s="155"/>
      <c r="AB97" s="156"/>
      <c r="AC97" s="136"/>
      <c r="AD97" s="154"/>
      <c r="AE97" s="155"/>
      <c r="AF97" s="156"/>
      <c r="AG97" s="155"/>
      <c r="AH97" s="155"/>
      <c r="AI97" s="156"/>
    </row>
    <row r="98" spans="1:35" x14ac:dyDescent="0.25">
      <c r="A98" s="11"/>
      <c r="B98" s="11"/>
      <c r="C98" s="204"/>
      <c r="D98" s="11"/>
      <c r="E98" s="11"/>
      <c r="F98" s="11"/>
      <c r="G98" s="11"/>
      <c r="H98" s="181" t="s">
        <v>294</v>
      </c>
      <c r="I98" s="118"/>
      <c r="J98" s="118"/>
      <c r="K98" s="11"/>
      <c r="L98" s="86" t="str">
        <f>IF(_epmOfflineCondition_,"461200",_xll.EVPRO($B$1,H98,"JDEID"))</f>
        <v>461200</v>
      </c>
      <c r="M98" s="86" t="str">
        <f>IF(_epmOfflineCondition_,"",IF(AND(I98="N",J98="N"),_xll.EVPRO($B$1,H98,"PSFTID"),""))</f>
        <v/>
      </c>
      <c r="N98" s="86" t="str">
        <f>IF(_epmOfflineCondition_,"Breakfast Liquor",IF(_xll.EVDES(H98,$B$1)="#NODATA","",_xll.EVDES(H98,$B$1)))</f>
        <v>Breakfast Liquor</v>
      </c>
      <c r="O98" s="134"/>
      <c r="P98" s="134"/>
      <c r="Q98" s="134"/>
      <c r="R98" s="134"/>
      <c r="S98" s="134"/>
      <c r="T98" s="134"/>
      <c r="U98" s="134"/>
      <c r="V98" s="134"/>
      <c r="W98" s="134"/>
      <c r="X98" s="134"/>
      <c r="Y98" s="134"/>
      <c r="Z98" s="134"/>
      <c r="AA98" s="134">
        <f t="shared" ref="AA98:AA103" si="27">SUM(O98:Z98)</f>
        <v>0</v>
      </c>
      <c r="AB98" s="138" t="str">
        <f t="shared" ref="AB98:AB103" si="28">IF(AA98=0,"",IFERROR(AA98/AA$19,""))</f>
        <v/>
      </c>
      <c r="AC98" s="136"/>
      <c r="AD98" s="134"/>
      <c r="AE98" s="138" t="str">
        <f t="shared" ref="AE98:AE103" si="29">IF(AD98=0,"",IFERROR(AD98/AD$19,""))</f>
        <v/>
      </c>
      <c r="AF98" s="137">
        <f t="shared" ref="AF98:AF103" si="30">IF(AND($AA98="",AD98=""),"",$AA98-AD98)</f>
        <v>0</v>
      </c>
      <c r="AG98" s="134"/>
      <c r="AH98" s="138" t="str">
        <f t="shared" ref="AH98:AH103" si="31">IF(AG98=0,"",IFERROR(AG98/AG$19,""))</f>
        <v/>
      </c>
      <c r="AI98" s="137">
        <f t="shared" ref="AI98:AI103" si="32">IF(AND($AA98="",AG98=""),"",$AA98-AG98)</f>
        <v>0</v>
      </c>
    </row>
    <row r="99" spans="1:35" x14ac:dyDescent="0.25">
      <c r="A99" s="11"/>
      <c r="B99" s="11"/>
      <c r="C99" s="204"/>
      <c r="D99" s="11"/>
      <c r="E99" s="11"/>
      <c r="F99" s="11"/>
      <c r="G99" s="11"/>
      <c r="H99" s="181" t="s">
        <v>301</v>
      </c>
      <c r="I99" s="118"/>
      <c r="J99" s="118"/>
      <c r="K99" s="11"/>
      <c r="L99" s="86" t="str">
        <f>IF(_epmOfflineCondition_,"462200",_xll.EVPRO($B$1,H99,"JDEID"))</f>
        <v>462200</v>
      </c>
      <c r="M99" s="86" t="str">
        <f>IF(_epmOfflineCondition_,"",IF(AND(I99="N",J99="N"),_xll.EVPRO($B$1,H99,"PSFTID"),""))</f>
        <v/>
      </c>
      <c r="N99" s="86" t="str">
        <f>IF(_epmOfflineCondition_,"Lunch Liquor",IF(_xll.EVDES(H99,$B$1)="#NODATA","",_xll.EVDES(H99,$B$1)))</f>
        <v>Lunch Liquor</v>
      </c>
      <c r="O99" s="134"/>
      <c r="P99" s="134"/>
      <c r="Q99" s="134"/>
      <c r="R99" s="134"/>
      <c r="S99" s="134"/>
      <c r="T99" s="134"/>
      <c r="U99" s="134"/>
      <c r="V99" s="134"/>
      <c r="W99" s="134"/>
      <c r="X99" s="134"/>
      <c r="Y99" s="134"/>
      <c r="Z99" s="134"/>
      <c r="AA99" s="134">
        <f t="shared" si="27"/>
        <v>0</v>
      </c>
      <c r="AB99" s="138" t="str">
        <f t="shared" si="28"/>
        <v/>
      </c>
      <c r="AC99" s="136"/>
      <c r="AD99" s="134"/>
      <c r="AE99" s="138" t="str">
        <f t="shared" si="29"/>
        <v/>
      </c>
      <c r="AF99" s="137">
        <f t="shared" si="30"/>
        <v>0</v>
      </c>
      <c r="AG99" s="134"/>
      <c r="AH99" s="138" t="str">
        <f t="shared" si="31"/>
        <v/>
      </c>
      <c r="AI99" s="137">
        <f t="shared" si="32"/>
        <v>0</v>
      </c>
    </row>
    <row r="100" spans="1:35" x14ac:dyDescent="0.25">
      <c r="A100" s="11"/>
      <c r="B100" s="11"/>
      <c r="C100" s="204"/>
      <c r="D100" s="11"/>
      <c r="E100" s="11"/>
      <c r="F100" s="11"/>
      <c r="G100" s="11"/>
      <c r="H100" s="181" t="s">
        <v>302</v>
      </c>
      <c r="I100" s="118"/>
      <c r="J100" s="118"/>
      <c r="K100" s="11"/>
      <c r="L100" s="86" t="str">
        <f>IF(_epmOfflineCondition_,"463200",_xll.EVPRO($B$1,H100,"JDEID"))</f>
        <v>463200</v>
      </c>
      <c r="M100" s="86" t="str">
        <f>IF(_epmOfflineCondition_,"",IF(AND(I100="N",J100="N"),_xll.EVPRO($B$1,H100,"PSFTID"),""))</f>
        <v/>
      </c>
      <c r="N100" s="86" t="str">
        <f>IF(_epmOfflineCondition_,"Dinner Liquor",IF(_xll.EVDES(H100,$B$1)="#NODATA","",_xll.EVDES(H100,$B$1)))</f>
        <v>Dinner Liquor</v>
      </c>
      <c r="O100" s="134"/>
      <c r="P100" s="134"/>
      <c r="Q100" s="134"/>
      <c r="R100" s="134"/>
      <c r="S100" s="134"/>
      <c r="T100" s="134"/>
      <c r="U100" s="134"/>
      <c r="V100" s="134"/>
      <c r="W100" s="134"/>
      <c r="X100" s="134"/>
      <c r="Y100" s="134"/>
      <c r="Z100" s="134"/>
      <c r="AA100" s="134">
        <f t="shared" si="27"/>
        <v>0</v>
      </c>
      <c r="AB100" s="138" t="str">
        <f t="shared" si="28"/>
        <v/>
      </c>
      <c r="AC100" s="136"/>
      <c r="AD100" s="134"/>
      <c r="AE100" s="138" t="str">
        <f t="shared" si="29"/>
        <v/>
      </c>
      <c r="AF100" s="137">
        <f t="shared" si="30"/>
        <v>0</v>
      </c>
      <c r="AG100" s="134"/>
      <c r="AH100" s="138" t="str">
        <f t="shared" si="31"/>
        <v/>
      </c>
      <c r="AI100" s="137">
        <f t="shared" si="32"/>
        <v>0</v>
      </c>
    </row>
    <row r="101" spans="1:35" x14ac:dyDescent="0.25">
      <c r="A101" s="11"/>
      <c r="B101" s="11"/>
      <c r="C101" s="204"/>
      <c r="D101" s="11"/>
      <c r="E101" s="11"/>
      <c r="F101" s="11"/>
      <c r="G101" s="11"/>
      <c r="H101" s="181" t="s">
        <v>308</v>
      </c>
      <c r="I101" s="118"/>
      <c r="J101" s="118"/>
      <c r="K101" s="11"/>
      <c r="L101" s="86" t="str">
        <f>IF(_epmOfflineCondition_,"464200",_xll.EVPRO($B$1,H101,"JDEID"))</f>
        <v>464200</v>
      </c>
      <c r="M101" s="86" t="str">
        <f>IF(_epmOfflineCondition_,"",IF(AND(I101="N",J101="N"),_xll.EVPRO($B$1,H101,"PSFTID"),""))</f>
        <v/>
      </c>
      <c r="N101" s="86" t="str">
        <f>IF(_epmOfflineCondition_,"Bar Liquor",IF(_xll.EVDES(H101,$B$1)="#NODATA","",_xll.EVDES(H101,$B$1)))</f>
        <v>Bar Liquor</v>
      </c>
      <c r="O101" s="134"/>
      <c r="P101" s="134"/>
      <c r="Q101" s="134"/>
      <c r="R101" s="134"/>
      <c r="S101" s="134"/>
      <c r="T101" s="134"/>
      <c r="U101" s="134"/>
      <c r="V101" s="134"/>
      <c r="W101" s="134"/>
      <c r="X101" s="134"/>
      <c r="Y101" s="134"/>
      <c r="Z101" s="134"/>
      <c r="AA101" s="134">
        <f t="shared" si="27"/>
        <v>0</v>
      </c>
      <c r="AB101" s="138" t="str">
        <f t="shared" si="28"/>
        <v/>
      </c>
      <c r="AC101" s="136"/>
      <c r="AD101" s="134"/>
      <c r="AE101" s="138" t="str">
        <f t="shared" si="29"/>
        <v/>
      </c>
      <c r="AF101" s="137">
        <f t="shared" si="30"/>
        <v>0</v>
      </c>
      <c r="AG101" s="134"/>
      <c r="AH101" s="138" t="str">
        <f t="shared" si="31"/>
        <v/>
      </c>
      <c r="AI101" s="137">
        <f t="shared" si="32"/>
        <v>0</v>
      </c>
    </row>
    <row r="102" spans="1:35" x14ac:dyDescent="0.25">
      <c r="A102" s="11"/>
      <c r="B102" s="11"/>
      <c r="C102" s="204"/>
      <c r="D102" s="11"/>
      <c r="E102" s="11"/>
      <c r="F102" s="11"/>
      <c r="G102" s="11"/>
      <c r="H102" s="181" t="s">
        <v>321</v>
      </c>
      <c r="I102" s="118"/>
      <c r="J102" s="118"/>
      <c r="K102" s="11"/>
      <c r="L102" s="86" t="str">
        <f>IF(_epmOfflineCondition_,"465200",_xll.EVPRO($B$1,H102,"JDEID"))</f>
        <v>465200</v>
      </c>
      <c r="M102" s="86" t="str">
        <f>IF(_epmOfflineCondition_,"",IF(AND(I102="N",J102="N"),_xll.EVPRO($B$1,H102,"PSFTID"),""))</f>
        <v/>
      </c>
      <c r="N102" s="86" t="str">
        <f>IF(_epmOfflineCondition_,"Private Dining Liquor",IF(_xll.EVDES(H102,$B$1)="#NODATA","",_xll.EVDES(H102,$B$1)))</f>
        <v>Private Dining Liquor</v>
      </c>
      <c r="O102" s="134"/>
      <c r="P102" s="134"/>
      <c r="Q102" s="134"/>
      <c r="R102" s="134"/>
      <c r="S102" s="134"/>
      <c r="T102" s="134"/>
      <c r="U102" s="134"/>
      <c r="V102" s="134"/>
      <c r="W102" s="134"/>
      <c r="X102" s="134"/>
      <c r="Y102" s="134"/>
      <c r="Z102" s="134"/>
      <c r="AA102" s="134">
        <f t="shared" si="27"/>
        <v>0</v>
      </c>
      <c r="AB102" s="138" t="str">
        <f t="shared" si="28"/>
        <v/>
      </c>
      <c r="AC102" s="136"/>
      <c r="AD102" s="134"/>
      <c r="AE102" s="138" t="str">
        <f t="shared" si="29"/>
        <v/>
      </c>
      <c r="AF102" s="137">
        <f t="shared" si="30"/>
        <v>0</v>
      </c>
      <c r="AG102" s="134"/>
      <c r="AH102" s="138" t="str">
        <f t="shared" si="31"/>
        <v/>
      </c>
      <c r="AI102" s="137">
        <f t="shared" si="32"/>
        <v>0</v>
      </c>
    </row>
    <row r="103" spans="1:35" x14ac:dyDescent="0.25">
      <c r="A103" s="11"/>
      <c r="B103" s="11"/>
      <c r="C103" s="204"/>
      <c r="D103" s="11"/>
      <c r="E103" s="11"/>
      <c r="F103" s="11"/>
      <c r="G103" s="11"/>
      <c r="H103" s="181" t="s">
        <v>340</v>
      </c>
      <c r="I103" s="118"/>
      <c r="J103" s="118"/>
      <c r="K103" s="11"/>
      <c r="L103" s="86" t="str">
        <f>IF(_epmOfflineCondition_,"",_xll.EVPRO($B$1,H103,"JDEID"))</f>
        <v/>
      </c>
      <c r="M103" s="86" t="str">
        <f>IF(_epmOfflineCondition_,"",IF(AND(I103="N",J103="N"),_xll.EVPRO($B$1,H103,"PSFTID"),""))</f>
        <v/>
      </c>
      <c r="N103" s="102" t="str">
        <f>IF(_epmOfflineCondition_,"Liquor Revenue ",IF(_xll.EVDES(H103,$B$1)="#NODATA","",_xll.EVDES(H103,$B$1)))</f>
        <v xml:space="preserve">Liquor Revenue </v>
      </c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>
        <f t="shared" si="27"/>
        <v>0</v>
      </c>
      <c r="AB103" s="159" t="str">
        <f t="shared" si="28"/>
        <v/>
      </c>
      <c r="AC103" s="136"/>
      <c r="AD103" s="158"/>
      <c r="AE103" s="159" t="str">
        <f t="shared" si="29"/>
        <v/>
      </c>
      <c r="AF103" s="160">
        <f t="shared" si="30"/>
        <v>0</v>
      </c>
      <c r="AG103" s="158"/>
      <c r="AH103" s="159" t="str">
        <f t="shared" si="31"/>
        <v/>
      </c>
      <c r="AI103" s="160">
        <f t="shared" si="32"/>
        <v>0</v>
      </c>
    </row>
    <row r="104" spans="1:35" x14ac:dyDescent="0.25">
      <c r="A104" s="11"/>
      <c r="B104" s="11"/>
      <c r="C104" s="204"/>
      <c r="D104" s="11"/>
      <c r="E104" s="11"/>
      <c r="F104" s="11"/>
      <c r="G104" s="11"/>
      <c r="H104" s="181"/>
      <c r="I104" s="118"/>
      <c r="J104" s="118"/>
      <c r="K104" s="11"/>
      <c r="L104" s="86"/>
      <c r="M104" s="86"/>
      <c r="N104" s="49"/>
      <c r="O104" s="166"/>
      <c r="P104" s="167"/>
      <c r="Q104" s="167"/>
      <c r="R104" s="167"/>
      <c r="S104" s="167"/>
      <c r="T104" s="167"/>
      <c r="U104" s="167"/>
      <c r="V104" s="167"/>
      <c r="W104" s="167"/>
      <c r="X104" s="167"/>
      <c r="Y104" s="167"/>
      <c r="Z104" s="167"/>
      <c r="AA104" s="167"/>
      <c r="AB104" s="168"/>
      <c r="AC104" s="136"/>
      <c r="AD104" s="166"/>
      <c r="AE104" s="167"/>
      <c r="AF104" s="168"/>
      <c r="AG104" s="166"/>
      <c r="AH104" s="167"/>
      <c r="AI104" s="168"/>
    </row>
    <row r="105" spans="1:35" x14ac:dyDescent="0.25">
      <c r="A105" s="11"/>
      <c r="B105" s="11"/>
      <c r="C105" s="204"/>
      <c r="D105" s="11"/>
      <c r="E105" s="11"/>
      <c r="F105" s="11"/>
      <c r="G105" s="11"/>
      <c r="H105" s="181"/>
      <c r="I105" s="118"/>
      <c r="J105" s="118"/>
      <c r="K105" s="11"/>
      <c r="L105" s="86"/>
      <c r="M105" s="86"/>
      <c r="N105" s="49" t="s">
        <v>339</v>
      </c>
      <c r="O105" s="154"/>
      <c r="P105" s="155"/>
      <c r="Q105" s="155"/>
      <c r="R105" s="155"/>
      <c r="S105" s="155"/>
      <c r="T105" s="155"/>
      <c r="U105" s="155"/>
      <c r="V105" s="155"/>
      <c r="W105" s="155"/>
      <c r="X105" s="155"/>
      <c r="Y105" s="155"/>
      <c r="Z105" s="155"/>
      <c r="AA105" s="155"/>
      <c r="AB105" s="156"/>
      <c r="AC105" s="136"/>
      <c r="AD105" s="154"/>
      <c r="AE105" s="155"/>
      <c r="AF105" s="156"/>
      <c r="AG105" s="154"/>
      <c r="AH105" s="155"/>
      <c r="AI105" s="156"/>
    </row>
    <row r="106" spans="1:35" x14ac:dyDescent="0.25">
      <c r="A106" s="11"/>
      <c r="B106" s="11"/>
      <c r="C106" s="204"/>
      <c r="D106" s="11"/>
      <c r="E106" s="11"/>
      <c r="F106" s="11"/>
      <c r="G106" s="11"/>
      <c r="H106" s="181" t="s">
        <v>295</v>
      </c>
      <c r="I106" s="118"/>
      <c r="J106" s="118"/>
      <c r="K106" s="11"/>
      <c r="L106" s="86" t="str">
        <f>IF(_epmOfflineCondition_,"461300",_xll.EVPRO($B$1,H106,"JDEID"))</f>
        <v>461300</v>
      </c>
      <c r="M106" s="86" t="str">
        <f>IF(_epmOfflineCondition_,"",IF(AND(I106="N",J106="N"),_xll.EVPRO($B$1,H106,"PSFTID"),""))</f>
        <v/>
      </c>
      <c r="N106" s="86" t="str">
        <f>IF(_epmOfflineCondition_,"Breakfast Beer",IF(_xll.EVDES(H106,$B$1)="#NODATA","",_xll.EVDES(H106,$B$1)))</f>
        <v>Breakfast Beer</v>
      </c>
      <c r="O106" s="134"/>
      <c r="P106" s="134"/>
      <c r="Q106" s="134"/>
      <c r="R106" s="134"/>
      <c r="S106" s="134"/>
      <c r="T106" s="134"/>
      <c r="U106" s="134"/>
      <c r="V106" s="134"/>
      <c r="W106" s="134"/>
      <c r="X106" s="134"/>
      <c r="Y106" s="134"/>
      <c r="Z106" s="134"/>
      <c r="AA106" s="134">
        <f t="shared" ref="AA106:AA111" si="33">SUM(O106:Z106)</f>
        <v>0</v>
      </c>
      <c r="AB106" s="138" t="str">
        <f t="shared" ref="AB106:AB111" si="34">IF(AA106=0,"",IFERROR(AA106/AA$19,""))</f>
        <v/>
      </c>
      <c r="AC106" s="136"/>
      <c r="AD106" s="134"/>
      <c r="AE106" s="138" t="str">
        <f t="shared" ref="AE106:AE111" si="35">IF(AD106=0,"",IFERROR(AD106/AD$19,""))</f>
        <v/>
      </c>
      <c r="AF106" s="137">
        <f t="shared" ref="AF106:AF111" si="36">IF(AND($AA106="",AD106=""),"",$AA106-AD106)</f>
        <v>0</v>
      </c>
      <c r="AG106" s="134"/>
      <c r="AH106" s="138" t="str">
        <f t="shared" ref="AH106:AH111" si="37">IF(AG106=0,"",IFERROR(AG106/AG$19,""))</f>
        <v/>
      </c>
      <c r="AI106" s="137">
        <f t="shared" ref="AI106:AI111" si="38">IF(AND($AA106="",AG106=""),"",$AA106-AG106)</f>
        <v>0</v>
      </c>
    </row>
    <row r="107" spans="1:35" x14ac:dyDescent="0.25">
      <c r="A107" s="11"/>
      <c r="B107" s="11"/>
      <c r="C107" s="204"/>
      <c r="D107" s="11"/>
      <c r="E107" s="11"/>
      <c r="F107" s="11"/>
      <c r="G107" s="11"/>
      <c r="H107" s="181" t="s">
        <v>305</v>
      </c>
      <c r="I107" s="118"/>
      <c r="J107" s="118"/>
      <c r="K107" s="11"/>
      <c r="L107" s="86" t="str">
        <f>IF(_epmOfflineCondition_,"462300",_xll.EVPRO($B$1,H107,"JDEID"))</f>
        <v>462300</v>
      </c>
      <c r="M107" s="86" t="str">
        <f>IF(_epmOfflineCondition_,"",IF(AND(I107="N",J107="N"),_xll.EVPRO($B$1,H107,"PSFTID"),""))</f>
        <v/>
      </c>
      <c r="N107" s="86" t="str">
        <f>IF(_epmOfflineCondition_,"Lunch Beer",IF(_xll.EVDES(H107,$B$1)="#NODATA","",_xll.EVDES(H107,$B$1)))</f>
        <v>Lunch Beer</v>
      </c>
      <c r="O107" s="134"/>
      <c r="P107" s="134"/>
      <c r="Q107" s="134"/>
      <c r="R107" s="134"/>
      <c r="S107" s="134"/>
      <c r="T107" s="134"/>
      <c r="U107" s="134"/>
      <c r="V107" s="134"/>
      <c r="W107" s="134"/>
      <c r="X107" s="134"/>
      <c r="Y107" s="134"/>
      <c r="Z107" s="134"/>
      <c r="AA107" s="134">
        <f t="shared" si="33"/>
        <v>0</v>
      </c>
      <c r="AB107" s="138" t="str">
        <f t="shared" si="34"/>
        <v/>
      </c>
      <c r="AC107" s="136"/>
      <c r="AD107" s="134"/>
      <c r="AE107" s="138" t="str">
        <f t="shared" si="35"/>
        <v/>
      </c>
      <c r="AF107" s="137">
        <f t="shared" si="36"/>
        <v>0</v>
      </c>
      <c r="AG107" s="134"/>
      <c r="AH107" s="138" t="str">
        <f t="shared" si="37"/>
        <v/>
      </c>
      <c r="AI107" s="137">
        <f t="shared" si="38"/>
        <v>0</v>
      </c>
    </row>
    <row r="108" spans="1:35" x14ac:dyDescent="0.25">
      <c r="A108" s="11"/>
      <c r="B108" s="11"/>
      <c r="C108" s="204"/>
      <c r="D108" s="11"/>
      <c r="E108" s="11"/>
      <c r="F108" s="11"/>
      <c r="G108" s="11"/>
      <c r="H108" s="181" t="s">
        <v>306</v>
      </c>
      <c r="I108" s="118"/>
      <c r="J108" s="118"/>
      <c r="K108" s="11"/>
      <c r="L108" s="86" t="str">
        <f>IF(_epmOfflineCondition_,"463300",_xll.EVPRO($B$1,H108,"JDEID"))</f>
        <v>463300</v>
      </c>
      <c r="M108" s="86" t="str">
        <f>IF(_epmOfflineCondition_,"",IF(AND(I108="N",J108="N"),_xll.EVPRO($B$1,H108,"PSFTID"),""))</f>
        <v/>
      </c>
      <c r="N108" s="86" t="str">
        <f>IF(_epmOfflineCondition_,"Dinner Beer",IF(_xll.EVDES(H108,$B$1)="#NODATA","",_xll.EVDES(H108,$B$1)))</f>
        <v>Dinner Beer</v>
      </c>
      <c r="O108" s="134"/>
      <c r="P108" s="134"/>
      <c r="Q108" s="134"/>
      <c r="R108" s="134"/>
      <c r="S108" s="134"/>
      <c r="T108" s="134"/>
      <c r="U108" s="134"/>
      <c r="V108" s="134"/>
      <c r="W108" s="134"/>
      <c r="X108" s="134"/>
      <c r="Y108" s="134"/>
      <c r="Z108" s="134"/>
      <c r="AA108" s="134">
        <f t="shared" si="33"/>
        <v>0</v>
      </c>
      <c r="AB108" s="138" t="str">
        <f t="shared" si="34"/>
        <v/>
      </c>
      <c r="AC108" s="136"/>
      <c r="AD108" s="134"/>
      <c r="AE108" s="138" t="str">
        <f t="shared" si="35"/>
        <v/>
      </c>
      <c r="AF108" s="137">
        <f t="shared" si="36"/>
        <v>0</v>
      </c>
      <c r="AG108" s="134"/>
      <c r="AH108" s="138" t="str">
        <f t="shared" si="37"/>
        <v/>
      </c>
      <c r="AI108" s="137">
        <f t="shared" si="38"/>
        <v>0</v>
      </c>
    </row>
    <row r="109" spans="1:35" x14ac:dyDescent="0.25">
      <c r="A109" s="11"/>
      <c r="B109" s="11"/>
      <c r="C109" s="204"/>
      <c r="D109" s="11"/>
      <c r="E109" s="11"/>
      <c r="F109" s="11"/>
      <c r="G109" s="11"/>
      <c r="H109" s="181" t="s">
        <v>310</v>
      </c>
      <c r="I109" s="118"/>
      <c r="J109" s="118"/>
      <c r="K109" s="11"/>
      <c r="L109" s="86" t="str">
        <f>IF(_epmOfflineCondition_,"464300",_xll.EVPRO($B$1,H109,"JDEID"))</f>
        <v>464300</v>
      </c>
      <c r="M109" s="86" t="str">
        <f>IF(_epmOfflineCondition_,"",IF(AND(I109="N",J109="N"),_xll.EVPRO($B$1,H109,"PSFTID"),""))</f>
        <v/>
      </c>
      <c r="N109" s="86" t="str">
        <f>IF(_epmOfflineCondition_,"Bar Beer",IF(_xll.EVDES(H109,$B$1)="#NODATA","",_xll.EVDES(H109,$B$1)))</f>
        <v>Bar Beer</v>
      </c>
      <c r="O109" s="134"/>
      <c r="P109" s="134"/>
      <c r="Q109" s="134"/>
      <c r="R109" s="134"/>
      <c r="S109" s="134"/>
      <c r="T109" s="134"/>
      <c r="U109" s="134"/>
      <c r="V109" s="134"/>
      <c r="W109" s="134"/>
      <c r="X109" s="134"/>
      <c r="Y109" s="134"/>
      <c r="Z109" s="134"/>
      <c r="AA109" s="134">
        <f t="shared" si="33"/>
        <v>0</v>
      </c>
      <c r="AB109" s="138" t="str">
        <f t="shared" si="34"/>
        <v/>
      </c>
      <c r="AC109" s="136"/>
      <c r="AD109" s="134"/>
      <c r="AE109" s="138" t="str">
        <f t="shared" si="35"/>
        <v/>
      </c>
      <c r="AF109" s="137">
        <f t="shared" si="36"/>
        <v>0</v>
      </c>
      <c r="AG109" s="134"/>
      <c r="AH109" s="138" t="str">
        <f t="shared" si="37"/>
        <v/>
      </c>
      <c r="AI109" s="137">
        <f t="shared" si="38"/>
        <v>0</v>
      </c>
    </row>
    <row r="110" spans="1:35" x14ac:dyDescent="0.25">
      <c r="A110" s="11"/>
      <c r="B110" s="11"/>
      <c r="C110" s="204"/>
      <c r="D110" s="11"/>
      <c r="E110" s="11"/>
      <c r="F110" s="11"/>
      <c r="G110" s="11"/>
      <c r="H110" s="181" t="s">
        <v>323</v>
      </c>
      <c r="I110" s="118"/>
      <c r="J110" s="118"/>
      <c r="K110" s="11"/>
      <c r="L110" s="86" t="str">
        <f>IF(_epmOfflineCondition_,"465300",_xll.EVPRO($B$1,H110,"JDEID"))</f>
        <v>465300</v>
      </c>
      <c r="M110" s="86" t="str">
        <f>IF(_epmOfflineCondition_,"",IF(AND(I110="N",J110="N"),_xll.EVPRO($B$1,H110,"PSFTID"),""))</f>
        <v/>
      </c>
      <c r="N110" s="86" t="str">
        <f>IF(_epmOfflineCondition_,"Private Dining Beer",IF(_xll.EVDES(H110,$B$1)="#NODATA","",_xll.EVDES(H110,$B$1)))</f>
        <v>Private Dining Beer</v>
      </c>
      <c r="O110" s="134"/>
      <c r="P110" s="134"/>
      <c r="Q110" s="134"/>
      <c r="R110" s="134"/>
      <c r="S110" s="134"/>
      <c r="T110" s="134"/>
      <c r="U110" s="134"/>
      <c r="V110" s="134"/>
      <c r="W110" s="134"/>
      <c r="X110" s="134"/>
      <c r="Y110" s="134"/>
      <c r="Z110" s="134"/>
      <c r="AA110" s="134">
        <f t="shared" si="33"/>
        <v>0</v>
      </c>
      <c r="AB110" s="138" t="str">
        <f t="shared" si="34"/>
        <v/>
      </c>
      <c r="AC110" s="136"/>
      <c r="AD110" s="134"/>
      <c r="AE110" s="138" t="str">
        <f t="shared" si="35"/>
        <v/>
      </c>
      <c r="AF110" s="137">
        <f t="shared" si="36"/>
        <v>0</v>
      </c>
      <c r="AG110" s="134"/>
      <c r="AH110" s="138" t="str">
        <f t="shared" si="37"/>
        <v/>
      </c>
      <c r="AI110" s="137">
        <f t="shared" si="38"/>
        <v>0</v>
      </c>
    </row>
    <row r="111" spans="1:35" x14ac:dyDescent="0.25">
      <c r="A111" s="11"/>
      <c r="B111" s="11"/>
      <c r="C111" s="204"/>
      <c r="D111" s="11"/>
      <c r="E111" s="11"/>
      <c r="F111" s="11"/>
      <c r="G111" s="11"/>
      <c r="H111" s="181" t="s">
        <v>342</v>
      </c>
      <c r="I111" s="118"/>
      <c r="J111" s="118"/>
      <c r="K111" s="11"/>
      <c r="L111" s="86" t="str">
        <f>IF(_epmOfflineCondition_,"",_xll.EVPRO($B$1,H111,"JDEID"))</f>
        <v/>
      </c>
      <c r="M111" s="86" t="str">
        <f>IF(_epmOfflineCondition_,"",IF(AND(I111="N",J111="N"),_xll.EVPRO($B$1,H111,"PSFTID"),""))</f>
        <v/>
      </c>
      <c r="N111" s="102" t="str">
        <f>IF(_epmOfflineCondition_,"Beer Revenue",IF(_xll.EVDES(H111,$B$1)="#NODATA","",_xll.EVDES(H111,$B$1)))</f>
        <v>Beer Revenue</v>
      </c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>
        <f t="shared" si="33"/>
        <v>0</v>
      </c>
      <c r="AB111" s="159" t="str">
        <f t="shared" si="34"/>
        <v/>
      </c>
      <c r="AC111" s="136"/>
      <c r="AD111" s="158"/>
      <c r="AE111" s="159" t="str">
        <f t="shared" si="35"/>
        <v/>
      </c>
      <c r="AF111" s="160">
        <f t="shared" si="36"/>
        <v>0</v>
      </c>
      <c r="AG111" s="158"/>
      <c r="AH111" s="159" t="str">
        <f t="shared" si="37"/>
        <v/>
      </c>
      <c r="AI111" s="160">
        <f t="shared" si="38"/>
        <v>0</v>
      </c>
    </row>
    <row r="112" spans="1:35" x14ac:dyDescent="0.25">
      <c r="A112" s="11"/>
      <c r="B112" s="11"/>
      <c r="C112" s="204"/>
      <c r="D112" s="11"/>
      <c r="E112" s="11"/>
      <c r="F112" s="11"/>
      <c r="G112" s="11"/>
      <c r="H112" s="181"/>
      <c r="I112" s="118"/>
      <c r="J112" s="118"/>
      <c r="K112" s="11"/>
      <c r="L112" s="86"/>
      <c r="M112" s="86"/>
      <c r="N112" s="49"/>
      <c r="O112" s="166"/>
      <c r="P112" s="167"/>
      <c r="Q112" s="167"/>
      <c r="R112" s="167"/>
      <c r="S112" s="167"/>
      <c r="T112" s="167"/>
      <c r="U112" s="167"/>
      <c r="V112" s="167"/>
      <c r="W112" s="167"/>
      <c r="X112" s="167"/>
      <c r="Y112" s="167"/>
      <c r="Z112" s="167"/>
      <c r="AA112" s="167"/>
      <c r="AB112" s="168"/>
      <c r="AC112" s="136"/>
      <c r="AD112" s="166"/>
      <c r="AE112" s="167"/>
      <c r="AF112" s="168"/>
      <c r="AG112" s="166"/>
      <c r="AH112" s="167"/>
      <c r="AI112" s="168"/>
    </row>
    <row r="113" spans="1:35" x14ac:dyDescent="0.25">
      <c r="A113" s="11"/>
      <c r="B113" s="11"/>
      <c r="C113" s="204"/>
      <c r="D113" s="11"/>
      <c r="E113" s="11"/>
      <c r="F113" s="11"/>
      <c r="G113" s="11"/>
      <c r="H113" s="181"/>
      <c r="I113" s="118"/>
      <c r="J113" s="118"/>
      <c r="K113" s="11"/>
      <c r="L113" s="86"/>
      <c r="M113" s="86"/>
      <c r="N113" s="49" t="s">
        <v>338</v>
      </c>
      <c r="O113" s="154"/>
      <c r="P113" s="155"/>
      <c r="Q113" s="155"/>
      <c r="R113" s="155"/>
      <c r="S113" s="155"/>
      <c r="T113" s="155"/>
      <c r="U113" s="155"/>
      <c r="V113" s="155"/>
      <c r="W113" s="155"/>
      <c r="X113" s="155"/>
      <c r="Y113" s="155"/>
      <c r="Z113" s="155"/>
      <c r="AA113" s="155"/>
      <c r="AB113" s="156"/>
      <c r="AC113" s="136"/>
      <c r="AD113" s="154"/>
      <c r="AE113" s="155"/>
      <c r="AF113" s="156"/>
      <c r="AG113" s="154"/>
      <c r="AH113" s="155"/>
      <c r="AI113" s="156"/>
    </row>
    <row r="114" spans="1:35" x14ac:dyDescent="0.25">
      <c r="A114" s="11"/>
      <c r="B114" s="11"/>
      <c r="C114" s="204"/>
      <c r="D114" s="11"/>
      <c r="E114" s="11"/>
      <c r="F114" s="11"/>
      <c r="G114" s="11"/>
      <c r="H114" s="181" t="s">
        <v>296</v>
      </c>
      <c r="I114" s="118"/>
      <c r="J114" s="118"/>
      <c r="K114" s="11"/>
      <c r="L114" s="86" t="str">
        <f>IF(_epmOfflineCondition_,"461400",_xll.EVPRO($B$1,H114,"JDEID"))</f>
        <v>461400</v>
      </c>
      <c r="M114" s="86" t="str">
        <f>IF(_epmOfflineCondition_,"",IF(AND(I114="N",J114="N"),_xll.EVPRO($B$1,H114,"PSFTID"),""))</f>
        <v/>
      </c>
      <c r="N114" s="86" t="str">
        <f>IF(_epmOfflineCondition_,"Breakfast Wine",IF(_xll.EVDES(H114,$B$1)="#NODATA","",_xll.EVDES(H114,$B$1)))</f>
        <v>Breakfast Wine</v>
      </c>
      <c r="O114" s="134"/>
      <c r="P114" s="134"/>
      <c r="Q114" s="134"/>
      <c r="R114" s="134"/>
      <c r="S114" s="134"/>
      <c r="T114" s="134"/>
      <c r="U114" s="134"/>
      <c r="V114" s="134"/>
      <c r="W114" s="134"/>
      <c r="X114" s="134"/>
      <c r="Y114" s="134"/>
      <c r="Z114" s="134"/>
      <c r="AA114" s="134">
        <f t="shared" ref="AA114:AA119" si="39">SUM(O114:Z114)</f>
        <v>0</v>
      </c>
      <c r="AB114" s="138" t="str">
        <f t="shared" ref="AB114:AB119" si="40">IF(AA114=0,"",IFERROR(AA114/AA$19,""))</f>
        <v/>
      </c>
      <c r="AC114" s="136"/>
      <c r="AD114" s="134"/>
      <c r="AE114" s="138" t="str">
        <f t="shared" ref="AE114:AE119" si="41">IF(AD114=0,"",IFERROR(AD114/AD$19,""))</f>
        <v/>
      </c>
      <c r="AF114" s="137">
        <f t="shared" ref="AF114:AF119" si="42">IF(AND($AA114="",AD114=""),"",$AA114-AD114)</f>
        <v>0</v>
      </c>
      <c r="AG114" s="134"/>
      <c r="AH114" s="138" t="str">
        <f t="shared" ref="AH114:AH119" si="43">IF(AG114=0,"",IFERROR(AG114/AG$19,""))</f>
        <v/>
      </c>
      <c r="AI114" s="137">
        <f t="shared" ref="AI114:AI119" si="44">IF(AND($AA114="",AG114=""),"",$AA114-AG114)</f>
        <v>0</v>
      </c>
    </row>
    <row r="115" spans="1:35" x14ac:dyDescent="0.25">
      <c r="A115" s="11"/>
      <c r="B115" s="11"/>
      <c r="C115" s="204"/>
      <c r="D115" s="11"/>
      <c r="E115" s="11"/>
      <c r="F115" s="11"/>
      <c r="G115" s="11"/>
      <c r="H115" s="181" t="s">
        <v>303</v>
      </c>
      <c r="I115" s="118"/>
      <c r="J115" s="118"/>
      <c r="K115" s="11"/>
      <c r="L115" s="86" t="str">
        <f>IF(_epmOfflineCondition_,"462400",_xll.EVPRO($B$1,H115,"JDEID"))</f>
        <v>462400</v>
      </c>
      <c r="M115" s="86" t="str">
        <f>IF(_epmOfflineCondition_,"",IF(AND(I115="N",J115="N"),_xll.EVPRO($B$1,H115,"PSFTID"),""))</f>
        <v/>
      </c>
      <c r="N115" s="86" t="str">
        <f>IF(_epmOfflineCondition_,"Lunch Wine",IF(_xll.EVDES(H115,$B$1)="#NODATA","",_xll.EVDES(H115,$B$1)))</f>
        <v>Lunch Wine</v>
      </c>
      <c r="O115" s="134"/>
      <c r="P115" s="134"/>
      <c r="Q115" s="134"/>
      <c r="R115" s="134"/>
      <c r="S115" s="134"/>
      <c r="T115" s="134"/>
      <c r="U115" s="134"/>
      <c r="V115" s="134"/>
      <c r="W115" s="134"/>
      <c r="X115" s="134"/>
      <c r="Y115" s="134"/>
      <c r="Z115" s="134"/>
      <c r="AA115" s="134">
        <f t="shared" si="39"/>
        <v>0</v>
      </c>
      <c r="AB115" s="138" t="str">
        <f t="shared" si="40"/>
        <v/>
      </c>
      <c r="AC115" s="136"/>
      <c r="AD115" s="134"/>
      <c r="AE115" s="138" t="str">
        <f t="shared" si="41"/>
        <v/>
      </c>
      <c r="AF115" s="137">
        <f t="shared" si="42"/>
        <v>0</v>
      </c>
      <c r="AG115" s="134"/>
      <c r="AH115" s="138" t="str">
        <f t="shared" si="43"/>
        <v/>
      </c>
      <c r="AI115" s="137">
        <f t="shared" si="44"/>
        <v>0</v>
      </c>
    </row>
    <row r="116" spans="1:35" x14ac:dyDescent="0.25">
      <c r="A116" s="11"/>
      <c r="B116" s="11"/>
      <c r="C116" s="204"/>
      <c r="D116" s="11"/>
      <c r="E116" s="11"/>
      <c r="F116" s="11"/>
      <c r="G116" s="11"/>
      <c r="H116" s="181" t="s">
        <v>304</v>
      </c>
      <c r="I116" s="118"/>
      <c r="J116" s="118"/>
      <c r="K116" s="11"/>
      <c r="L116" s="86" t="str">
        <f>IF(_epmOfflineCondition_,"463400",_xll.EVPRO($B$1,H116,"JDEID"))</f>
        <v>463400</v>
      </c>
      <c r="M116" s="86" t="str">
        <f>IF(_epmOfflineCondition_,"",IF(AND(I116="N",J116="N"),_xll.EVPRO($B$1,H116,"PSFTID"),""))</f>
        <v/>
      </c>
      <c r="N116" s="86" t="str">
        <f>IF(_epmOfflineCondition_,"Dinner Wine",IF(_xll.EVDES(H116,$B$1)="#NODATA","",_xll.EVDES(H116,$B$1)))</f>
        <v>Dinner Wine</v>
      </c>
      <c r="O116" s="134"/>
      <c r="P116" s="134"/>
      <c r="Q116" s="134"/>
      <c r="R116" s="134"/>
      <c r="S116" s="134"/>
      <c r="T116" s="134"/>
      <c r="U116" s="134"/>
      <c r="V116" s="134"/>
      <c r="W116" s="134"/>
      <c r="X116" s="134"/>
      <c r="Y116" s="134"/>
      <c r="Z116" s="134"/>
      <c r="AA116" s="134">
        <f t="shared" si="39"/>
        <v>0</v>
      </c>
      <c r="AB116" s="138" t="str">
        <f t="shared" si="40"/>
        <v/>
      </c>
      <c r="AC116" s="136"/>
      <c r="AD116" s="134"/>
      <c r="AE116" s="138" t="str">
        <f t="shared" si="41"/>
        <v/>
      </c>
      <c r="AF116" s="137">
        <f t="shared" si="42"/>
        <v>0</v>
      </c>
      <c r="AG116" s="134"/>
      <c r="AH116" s="138" t="str">
        <f t="shared" si="43"/>
        <v/>
      </c>
      <c r="AI116" s="137">
        <f t="shared" si="44"/>
        <v>0</v>
      </c>
    </row>
    <row r="117" spans="1:35" x14ac:dyDescent="0.25">
      <c r="A117" s="11"/>
      <c r="B117" s="11"/>
      <c r="C117" s="204"/>
      <c r="D117" s="11"/>
      <c r="E117" s="11"/>
      <c r="F117" s="11"/>
      <c r="G117" s="11"/>
      <c r="H117" s="181" t="s">
        <v>309</v>
      </c>
      <c r="I117" s="118"/>
      <c r="J117" s="118"/>
      <c r="K117" s="11"/>
      <c r="L117" s="86" t="str">
        <f>IF(_epmOfflineCondition_,"464400",_xll.EVPRO($B$1,H117,"JDEID"))</f>
        <v>464400</v>
      </c>
      <c r="M117" s="86" t="str">
        <f>IF(_epmOfflineCondition_,"",IF(AND(I117="N",J117="N"),_xll.EVPRO($B$1,H117,"PSFTID"),""))</f>
        <v/>
      </c>
      <c r="N117" s="86" t="str">
        <f>IF(_epmOfflineCondition_,"Bar Wine",IF(_xll.EVDES(H117,$B$1)="#NODATA","",_xll.EVDES(H117,$B$1)))</f>
        <v>Bar Wine</v>
      </c>
      <c r="O117" s="134"/>
      <c r="P117" s="134"/>
      <c r="Q117" s="134"/>
      <c r="R117" s="134"/>
      <c r="S117" s="134"/>
      <c r="T117" s="134"/>
      <c r="U117" s="134"/>
      <c r="V117" s="134"/>
      <c r="W117" s="134"/>
      <c r="X117" s="134"/>
      <c r="Y117" s="134"/>
      <c r="Z117" s="134"/>
      <c r="AA117" s="134">
        <f t="shared" si="39"/>
        <v>0</v>
      </c>
      <c r="AB117" s="138" t="str">
        <f t="shared" si="40"/>
        <v/>
      </c>
      <c r="AC117" s="136"/>
      <c r="AD117" s="134"/>
      <c r="AE117" s="138" t="str">
        <f t="shared" si="41"/>
        <v/>
      </c>
      <c r="AF117" s="137">
        <f t="shared" si="42"/>
        <v>0</v>
      </c>
      <c r="AG117" s="134"/>
      <c r="AH117" s="138" t="str">
        <f t="shared" si="43"/>
        <v/>
      </c>
      <c r="AI117" s="137">
        <f t="shared" si="44"/>
        <v>0</v>
      </c>
    </row>
    <row r="118" spans="1:35" x14ac:dyDescent="0.25">
      <c r="A118" s="11"/>
      <c r="B118" s="11"/>
      <c r="C118" s="204"/>
      <c r="D118" s="11"/>
      <c r="E118" s="11"/>
      <c r="F118" s="11"/>
      <c r="G118" s="11"/>
      <c r="H118" s="181" t="s">
        <v>322</v>
      </c>
      <c r="I118" s="118"/>
      <c r="J118" s="118"/>
      <c r="K118" s="11"/>
      <c r="L118" s="86" t="str">
        <f>IF(_epmOfflineCondition_,"465400",_xll.EVPRO($B$1,H118,"JDEID"))</f>
        <v>465400</v>
      </c>
      <c r="M118" s="86" t="str">
        <f>IF(_epmOfflineCondition_,"",IF(AND(I118="N",J118="N"),_xll.EVPRO($B$1,H118,"PSFTID"),""))</f>
        <v/>
      </c>
      <c r="N118" s="86" t="str">
        <f>IF(_epmOfflineCondition_,"Private Dining Wine",IF(_xll.EVDES(H118,$B$1)="#NODATA","",_xll.EVDES(H118,$B$1)))</f>
        <v>Private Dining Wine</v>
      </c>
      <c r="O118" s="134"/>
      <c r="P118" s="134"/>
      <c r="Q118" s="134"/>
      <c r="R118" s="134"/>
      <c r="S118" s="134"/>
      <c r="T118" s="134"/>
      <c r="U118" s="134"/>
      <c r="V118" s="134"/>
      <c r="W118" s="134"/>
      <c r="X118" s="134"/>
      <c r="Y118" s="134"/>
      <c r="Z118" s="134"/>
      <c r="AA118" s="134">
        <f t="shared" si="39"/>
        <v>0</v>
      </c>
      <c r="AB118" s="138" t="str">
        <f t="shared" si="40"/>
        <v/>
      </c>
      <c r="AC118" s="136"/>
      <c r="AD118" s="134"/>
      <c r="AE118" s="138" t="str">
        <f t="shared" si="41"/>
        <v/>
      </c>
      <c r="AF118" s="137">
        <f t="shared" si="42"/>
        <v>0</v>
      </c>
      <c r="AG118" s="134"/>
      <c r="AH118" s="138" t="str">
        <f t="shared" si="43"/>
        <v/>
      </c>
      <c r="AI118" s="137">
        <f t="shared" si="44"/>
        <v>0</v>
      </c>
    </row>
    <row r="119" spans="1:35" x14ac:dyDescent="0.25">
      <c r="A119" s="11"/>
      <c r="B119" s="11"/>
      <c r="C119" s="204"/>
      <c r="D119" s="11"/>
      <c r="E119" s="11"/>
      <c r="F119" s="11"/>
      <c r="G119" s="11"/>
      <c r="H119" s="181" t="s">
        <v>341</v>
      </c>
      <c r="I119" s="118"/>
      <c r="J119" s="118"/>
      <c r="K119" s="11"/>
      <c r="L119" s="86" t="str">
        <f>IF(_epmOfflineCondition_,"",_xll.EVPRO($B$1,H119,"JDEID"))</f>
        <v/>
      </c>
      <c r="M119" s="86" t="str">
        <f>IF(_epmOfflineCondition_,"",IF(AND(I119="N",J119="N"),_xll.EVPRO($B$1,H119,"PSFTID"),""))</f>
        <v/>
      </c>
      <c r="N119" s="102" t="str">
        <f>IF(_epmOfflineCondition_,"Wine Revenue",IF(_xll.EVDES(H119,$B$1)="#NODATA","",_xll.EVDES(H119,$B$1)))</f>
        <v>Wine Revenue</v>
      </c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58">
        <f t="shared" si="39"/>
        <v>0</v>
      </c>
      <c r="AB119" s="159" t="str">
        <f t="shared" si="40"/>
        <v/>
      </c>
      <c r="AC119" s="136"/>
      <c r="AD119" s="158"/>
      <c r="AE119" s="159" t="str">
        <f t="shared" si="41"/>
        <v/>
      </c>
      <c r="AF119" s="160">
        <f t="shared" si="42"/>
        <v>0</v>
      </c>
      <c r="AG119" s="158"/>
      <c r="AH119" s="159" t="str">
        <f t="shared" si="43"/>
        <v/>
      </c>
      <c r="AI119" s="160">
        <f t="shared" si="44"/>
        <v>0</v>
      </c>
    </row>
    <row r="120" spans="1:35" x14ac:dyDescent="0.25">
      <c r="A120" s="11"/>
      <c r="B120" s="11"/>
      <c r="C120" s="204"/>
      <c r="D120" s="11"/>
      <c r="E120" s="11"/>
      <c r="F120" s="11"/>
      <c r="G120" s="11"/>
      <c r="H120" s="181"/>
      <c r="I120" s="118"/>
      <c r="J120" s="118"/>
      <c r="K120" s="11"/>
      <c r="L120" s="86"/>
      <c r="M120" s="86"/>
      <c r="N120" s="11"/>
      <c r="O120" s="166"/>
      <c r="P120" s="167"/>
      <c r="Q120" s="167"/>
      <c r="R120" s="167"/>
      <c r="S120" s="167"/>
      <c r="T120" s="167"/>
      <c r="U120" s="167"/>
      <c r="V120" s="167"/>
      <c r="W120" s="167"/>
      <c r="X120" s="167"/>
      <c r="Y120" s="167"/>
      <c r="Z120" s="167"/>
      <c r="AA120" s="167"/>
      <c r="AB120" s="168"/>
      <c r="AC120" s="136"/>
      <c r="AD120" s="166"/>
      <c r="AE120" s="167"/>
      <c r="AF120" s="168"/>
      <c r="AG120" s="166"/>
      <c r="AH120" s="167"/>
      <c r="AI120" s="168"/>
    </row>
    <row r="121" spans="1:35" x14ac:dyDescent="0.25">
      <c r="A121" s="11"/>
      <c r="B121" s="11"/>
      <c r="C121" s="204"/>
      <c r="D121" s="11"/>
      <c r="E121" s="11"/>
      <c r="F121" s="11"/>
      <c r="G121" s="11"/>
      <c r="H121" s="84" t="s">
        <v>267</v>
      </c>
      <c r="I121" s="118"/>
      <c r="J121" s="118"/>
      <c r="K121" s="11"/>
      <c r="L121" s="86" t="str">
        <f>IF(_epmOfflineCondition_,"",_xll.EVPRO($B$1,H121,"JDEID"))</f>
        <v/>
      </c>
      <c r="M121" s="86" t="str">
        <f>IF(_epmOfflineCondition_,"",IF(AND(I121="N",J121="N"),_xll.EVPRO($B$1,H121,"PSFTID"),""))</f>
        <v/>
      </c>
      <c r="N121" s="86" t="str">
        <f>IF(_epmOfflineCondition_,"Breakfast  Beverage Revenue",IF(_xll.EVDES(H121,$B$1)="#NODATA","",_xll.EVDES(H121,$B$1)))</f>
        <v>Breakfast  Beverage Revenue</v>
      </c>
      <c r="O121" s="134">
        <f t="shared" ref="O121:Z121" si="45">O98+O106+O114</f>
        <v>0</v>
      </c>
      <c r="P121" s="134">
        <f t="shared" si="45"/>
        <v>0</v>
      </c>
      <c r="Q121" s="134">
        <f t="shared" si="45"/>
        <v>0</v>
      </c>
      <c r="R121" s="134">
        <f t="shared" si="45"/>
        <v>0</v>
      </c>
      <c r="S121" s="134">
        <f t="shared" si="45"/>
        <v>0</v>
      </c>
      <c r="T121" s="134">
        <f t="shared" si="45"/>
        <v>0</v>
      </c>
      <c r="U121" s="134">
        <f t="shared" si="45"/>
        <v>0</v>
      </c>
      <c r="V121" s="134">
        <f t="shared" si="45"/>
        <v>0</v>
      </c>
      <c r="W121" s="134">
        <f t="shared" si="45"/>
        <v>0</v>
      </c>
      <c r="X121" s="134">
        <f t="shared" si="45"/>
        <v>0</v>
      </c>
      <c r="Y121" s="134">
        <f t="shared" si="45"/>
        <v>0</v>
      </c>
      <c r="Z121" s="134">
        <f t="shared" si="45"/>
        <v>0</v>
      </c>
      <c r="AA121" s="134">
        <f t="shared" ref="AA121:AA126" si="46">SUM(O121:Z121)</f>
        <v>0</v>
      </c>
      <c r="AB121" s="138" t="str">
        <f t="shared" ref="AB121:AB126" si="47">IF(AA121=0,"",IFERROR(AA121/AA$19,""))</f>
        <v/>
      </c>
      <c r="AC121" s="136"/>
      <c r="AD121" s="134">
        <f>AD98+AD106+AD114</f>
        <v>0</v>
      </c>
      <c r="AE121" s="138" t="str">
        <f t="shared" ref="AE121:AE126" si="48">IF(AD121=0,"",IFERROR(AD121/AD$19,""))</f>
        <v/>
      </c>
      <c r="AF121" s="137">
        <f t="shared" ref="AF121:AF126" si="49">IF(AND($AA121="",AD121=""),"",$AA121-AD121)</f>
        <v>0</v>
      </c>
      <c r="AG121" s="134">
        <f>AG98+AG106+AG114</f>
        <v>0</v>
      </c>
      <c r="AH121" s="138" t="str">
        <f t="shared" ref="AH121:AH126" si="50">IF(AG121=0,"",IFERROR(AG121/AG$19,""))</f>
        <v/>
      </c>
      <c r="AI121" s="137">
        <f t="shared" ref="AI121:AI126" si="51">IF(AND($AA121="",AG121=""),"",$AA121-AG121)</f>
        <v>0</v>
      </c>
    </row>
    <row r="122" spans="1:35" x14ac:dyDescent="0.25">
      <c r="A122" s="11"/>
      <c r="B122" s="11"/>
      <c r="C122" s="204"/>
      <c r="D122" s="11"/>
      <c r="E122" s="11"/>
      <c r="F122" s="11"/>
      <c r="G122" s="11"/>
      <c r="H122" s="84" t="s">
        <v>268</v>
      </c>
      <c r="I122" s="118"/>
      <c r="J122" s="118"/>
      <c r="K122" s="11"/>
      <c r="L122" s="86" t="str">
        <f>IF(_epmOfflineCondition_,"",_xll.EVPRO($B$1,H122,"JDEID"))</f>
        <v/>
      </c>
      <c r="M122" s="86" t="str">
        <f>IF(_epmOfflineCondition_,"",IF(AND(I122="N",J122="N"),_xll.EVPRO($B$1,H122,"PSFTID"),""))</f>
        <v/>
      </c>
      <c r="N122" s="86" t="str">
        <f>IF(_epmOfflineCondition_,"Lunch Beverage Revenue",IF(_xll.EVDES(H122,$B$1)="#NODATA","",_xll.EVDES(H122,$B$1)))</f>
        <v>Lunch Beverage Revenue</v>
      </c>
      <c r="O122" s="134">
        <f t="shared" ref="O122:Z122" si="52">O99+O107+O115</f>
        <v>0</v>
      </c>
      <c r="P122" s="134">
        <f t="shared" si="52"/>
        <v>0</v>
      </c>
      <c r="Q122" s="134">
        <f t="shared" si="52"/>
        <v>0</v>
      </c>
      <c r="R122" s="134">
        <f t="shared" si="52"/>
        <v>0</v>
      </c>
      <c r="S122" s="134">
        <f t="shared" si="52"/>
        <v>0</v>
      </c>
      <c r="T122" s="134">
        <f t="shared" si="52"/>
        <v>0</v>
      </c>
      <c r="U122" s="134">
        <f t="shared" si="52"/>
        <v>0</v>
      </c>
      <c r="V122" s="134">
        <f t="shared" si="52"/>
        <v>0</v>
      </c>
      <c r="W122" s="134">
        <f t="shared" si="52"/>
        <v>0</v>
      </c>
      <c r="X122" s="134">
        <f t="shared" si="52"/>
        <v>0</v>
      </c>
      <c r="Y122" s="134">
        <f t="shared" si="52"/>
        <v>0</v>
      </c>
      <c r="Z122" s="134">
        <f t="shared" si="52"/>
        <v>0</v>
      </c>
      <c r="AA122" s="134">
        <f t="shared" si="46"/>
        <v>0</v>
      </c>
      <c r="AB122" s="138" t="str">
        <f t="shared" si="47"/>
        <v/>
      </c>
      <c r="AC122" s="136"/>
      <c r="AD122" s="134">
        <f>AD99+AD107+AD115</f>
        <v>0</v>
      </c>
      <c r="AE122" s="138" t="str">
        <f t="shared" si="48"/>
        <v/>
      </c>
      <c r="AF122" s="137">
        <f t="shared" si="49"/>
        <v>0</v>
      </c>
      <c r="AG122" s="134">
        <f>AG99+AG107+AG115</f>
        <v>0</v>
      </c>
      <c r="AH122" s="138" t="str">
        <f t="shared" si="50"/>
        <v/>
      </c>
      <c r="AI122" s="137">
        <f t="shared" si="51"/>
        <v>0</v>
      </c>
    </row>
    <row r="123" spans="1:35" x14ac:dyDescent="0.25">
      <c r="A123" s="11"/>
      <c r="B123" s="11"/>
      <c r="C123" s="204"/>
      <c r="D123" s="11"/>
      <c r="E123" s="11"/>
      <c r="F123" s="11"/>
      <c r="G123" s="11"/>
      <c r="H123" s="181" t="s">
        <v>269</v>
      </c>
      <c r="I123" s="118"/>
      <c r="J123" s="118"/>
      <c r="K123" s="11"/>
      <c r="L123" s="86" t="str">
        <f>IF(_epmOfflineCondition_,"",_xll.EVPRO($B$1,H123,"JDEID"))</f>
        <v/>
      </c>
      <c r="M123" s="86" t="str">
        <f>IF(_epmOfflineCondition_,"",IF(AND(I123="N",J123="N"),_xll.EVPRO($B$1,H123,"PSFTID"),""))</f>
        <v/>
      </c>
      <c r="N123" s="86" t="str">
        <f>IF(_epmOfflineCondition_,"Dinner Beverage Revenue",IF(_xll.EVDES(H123,$B$1)="#NODATA","",_xll.EVDES(H123,$B$1)))</f>
        <v>Dinner Beverage Revenue</v>
      </c>
      <c r="O123" s="134">
        <f t="shared" ref="O123:Z123" si="53">O100+O108+O116</f>
        <v>0</v>
      </c>
      <c r="P123" s="134">
        <f t="shared" si="53"/>
        <v>0</v>
      </c>
      <c r="Q123" s="134">
        <f t="shared" si="53"/>
        <v>0</v>
      </c>
      <c r="R123" s="134">
        <f t="shared" si="53"/>
        <v>0</v>
      </c>
      <c r="S123" s="134">
        <f t="shared" si="53"/>
        <v>0</v>
      </c>
      <c r="T123" s="134">
        <f t="shared" si="53"/>
        <v>0</v>
      </c>
      <c r="U123" s="134">
        <f t="shared" si="53"/>
        <v>0</v>
      </c>
      <c r="V123" s="134">
        <f t="shared" si="53"/>
        <v>0</v>
      </c>
      <c r="W123" s="134">
        <f t="shared" si="53"/>
        <v>0</v>
      </c>
      <c r="X123" s="134">
        <f t="shared" si="53"/>
        <v>0</v>
      </c>
      <c r="Y123" s="134">
        <f t="shared" si="53"/>
        <v>0</v>
      </c>
      <c r="Z123" s="134">
        <f t="shared" si="53"/>
        <v>0</v>
      </c>
      <c r="AA123" s="134">
        <f t="shared" si="46"/>
        <v>0</v>
      </c>
      <c r="AB123" s="138" t="str">
        <f t="shared" si="47"/>
        <v/>
      </c>
      <c r="AC123" s="136"/>
      <c r="AD123" s="134">
        <f>AD100+AD108+AD116</f>
        <v>0</v>
      </c>
      <c r="AE123" s="138" t="str">
        <f t="shared" si="48"/>
        <v/>
      </c>
      <c r="AF123" s="137">
        <f t="shared" si="49"/>
        <v>0</v>
      </c>
      <c r="AG123" s="134">
        <f>AG100+AG108+AG116</f>
        <v>0</v>
      </c>
      <c r="AH123" s="138" t="str">
        <f t="shared" si="50"/>
        <v/>
      </c>
      <c r="AI123" s="137">
        <f t="shared" si="51"/>
        <v>0</v>
      </c>
    </row>
    <row r="124" spans="1:35" x14ac:dyDescent="0.25">
      <c r="A124" s="11"/>
      <c r="B124" s="11"/>
      <c r="C124" s="204"/>
      <c r="D124" s="11"/>
      <c r="E124" s="11"/>
      <c r="F124" s="11"/>
      <c r="G124" s="11"/>
      <c r="H124" s="181" t="s">
        <v>270</v>
      </c>
      <c r="I124" s="118"/>
      <c r="J124" s="118"/>
      <c r="K124" s="11"/>
      <c r="L124" s="86" t="str">
        <f>IF(_epmOfflineCondition_,"",_xll.EVPRO($B$1,H124,"JDEID"))</f>
        <v/>
      </c>
      <c r="M124" s="86" t="str">
        <f>IF(_epmOfflineCondition_,"",IF(AND(I124="N",J124="N"),_xll.EVPRO($B$1,H124,"PSFTID"),""))</f>
        <v/>
      </c>
      <c r="N124" s="86" t="str">
        <f>IF(_epmOfflineCondition_,"Bar Beverage Revenue",IF(_xll.EVDES(H124,$B$1)="#NODATA","",_xll.EVDES(H124,$B$1)))</f>
        <v>Bar Beverage Revenue</v>
      </c>
      <c r="O124" s="134">
        <f t="shared" ref="O124:Z124" si="54">O101+O109+O117</f>
        <v>0</v>
      </c>
      <c r="P124" s="134">
        <f t="shared" si="54"/>
        <v>0</v>
      </c>
      <c r="Q124" s="134">
        <f t="shared" si="54"/>
        <v>0</v>
      </c>
      <c r="R124" s="134">
        <f t="shared" si="54"/>
        <v>0</v>
      </c>
      <c r="S124" s="134">
        <f t="shared" si="54"/>
        <v>0</v>
      </c>
      <c r="T124" s="134">
        <f t="shared" si="54"/>
        <v>0</v>
      </c>
      <c r="U124" s="134">
        <f t="shared" si="54"/>
        <v>0</v>
      </c>
      <c r="V124" s="134">
        <f t="shared" si="54"/>
        <v>0</v>
      </c>
      <c r="W124" s="134">
        <f t="shared" si="54"/>
        <v>0</v>
      </c>
      <c r="X124" s="134">
        <f t="shared" si="54"/>
        <v>0</v>
      </c>
      <c r="Y124" s="134">
        <f t="shared" si="54"/>
        <v>0</v>
      </c>
      <c r="Z124" s="134">
        <f t="shared" si="54"/>
        <v>0</v>
      </c>
      <c r="AA124" s="134">
        <f t="shared" si="46"/>
        <v>0</v>
      </c>
      <c r="AB124" s="138" t="str">
        <f t="shared" si="47"/>
        <v/>
      </c>
      <c r="AC124" s="136"/>
      <c r="AD124" s="134">
        <f>AD101+AD109+AD117</f>
        <v>0</v>
      </c>
      <c r="AE124" s="138" t="str">
        <f t="shared" si="48"/>
        <v/>
      </c>
      <c r="AF124" s="137">
        <f t="shared" si="49"/>
        <v>0</v>
      </c>
      <c r="AG124" s="134">
        <f>AG101+AG109+AG117</f>
        <v>0</v>
      </c>
      <c r="AH124" s="138" t="str">
        <f t="shared" si="50"/>
        <v/>
      </c>
      <c r="AI124" s="137">
        <f t="shared" si="51"/>
        <v>0</v>
      </c>
    </row>
    <row r="125" spans="1:35" x14ac:dyDescent="0.25">
      <c r="A125" s="11"/>
      <c r="B125" s="11"/>
      <c r="C125" s="204"/>
      <c r="D125" s="11"/>
      <c r="E125" s="11"/>
      <c r="F125" s="11"/>
      <c r="G125" s="11"/>
      <c r="H125" s="181" t="s">
        <v>271</v>
      </c>
      <c r="I125" s="118"/>
      <c r="J125" s="118"/>
      <c r="K125" s="11"/>
      <c r="L125" s="86" t="str">
        <f>IF(_epmOfflineCondition_,"",_xll.EVPRO($B$1,H125,"JDEID"))</f>
        <v/>
      </c>
      <c r="M125" s="86" t="str">
        <f>IF(_epmOfflineCondition_,"",IF(AND(I125="N",J125="N"),_xll.EVPRO($B$1,H125,"PSFTID"),""))</f>
        <v/>
      </c>
      <c r="N125" s="86" t="str">
        <f>IF(_epmOfflineCondition_,"Private Dining Beverage Revenue",IF(_xll.EVDES(H125,$B$1)="#NODATA","",_xll.EVDES(H125,$B$1)))</f>
        <v>Private Dining Beverage Revenue</v>
      </c>
      <c r="O125" s="134">
        <f t="shared" ref="O125:Z125" si="55">O102+O110+O118</f>
        <v>0</v>
      </c>
      <c r="P125" s="134">
        <f t="shared" si="55"/>
        <v>0</v>
      </c>
      <c r="Q125" s="134">
        <f t="shared" si="55"/>
        <v>0</v>
      </c>
      <c r="R125" s="134">
        <f t="shared" si="55"/>
        <v>0</v>
      </c>
      <c r="S125" s="134">
        <f t="shared" si="55"/>
        <v>0</v>
      </c>
      <c r="T125" s="134">
        <f t="shared" si="55"/>
        <v>0</v>
      </c>
      <c r="U125" s="134">
        <f t="shared" si="55"/>
        <v>0</v>
      </c>
      <c r="V125" s="134">
        <f t="shared" si="55"/>
        <v>0</v>
      </c>
      <c r="W125" s="134">
        <f t="shared" si="55"/>
        <v>0</v>
      </c>
      <c r="X125" s="134">
        <f t="shared" si="55"/>
        <v>0</v>
      </c>
      <c r="Y125" s="134">
        <f t="shared" si="55"/>
        <v>0</v>
      </c>
      <c r="Z125" s="134">
        <f t="shared" si="55"/>
        <v>0</v>
      </c>
      <c r="AA125" s="134">
        <f t="shared" si="46"/>
        <v>0</v>
      </c>
      <c r="AB125" s="138" t="str">
        <f t="shared" si="47"/>
        <v/>
      </c>
      <c r="AC125" s="136"/>
      <c r="AD125" s="134">
        <f>AD102+AD110+AD118</f>
        <v>0</v>
      </c>
      <c r="AE125" s="138" t="str">
        <f t="shared" si="48"/>
        <v/>
      </c>
      <c r="AF125" s="137">
        <f t="shared" si="49"/>
        <v>0</v>
      </c>
      <c r="AG125" s="134">
        <f>AG102+AG110+AG118</f>
        <v>0</v>
      </c>
      <c r="AH125" s="138" t="str">
        <f t="shared" si="50"/>
        <v/>
      </c>
      <c r="AI125" s="137">
        <f t="shared" si="51"/>
        <v>0</v>
      </c>
    </row>
    <row r="126" spans="1:35" x14ac:dyDescent="0.25">
      <c r="A126" s="11"/>
      <c r="B126" s="11"/>
      <c r="C126" s="204"/>
      <c r="D126" s="11"/>
      <c r="E126" s="11"/>
      <c r="F126" s="11"/>
      <c r="G126" s="11"/>
      <c r="H126" s="84" t="s">
        <v>272</v>
      </c>
      <c r="I126" s="118"/>
      <c r="J126" s="118"/>
      <c r="K126" s="11"/>
      <c r="L126" s="86" t="str">
        <f>IF(_epmOfflineCondition_,"",_xll.EVPRO($B$1,H126,"JDEID"))</f>
        <v/>
      </c>
      <c r="M126" s="86" t="str">
        <f>IF(_epmOfflineCondition_,"",IF(AND(I126="N",J126="N"),_xll.EVPRO($B$1,H126,"PSFTID"),""))</f>
        <v/>
      </c>
      <c r="N126" s="102" t="str">
        <f>IF(_epmOfflineCondition_,"Total Beverage Revenue",IF(_xll.EVDES(H126,$B$1)="#NODATA","",_xll.EVDES(H126,$B$1)))</f>
        <v>Total Beverage Revenue</v>
      </c>
      <c r="O126" s="158">
        <f t="shared" ref="O126:Z126" si="56">SUM(O121:O125)</f>
        <v>0</v>
      </c>
      <c r="P126" s="158">
        <f t="shared" si="56"/>
        <v>0</v>
      </c>
      <c r="Q126" s="158">
        <f t="shared" si="56"/>
        <v>0</v>
      </c>
      <c r="R126" s="158">
        <f t="shared" si="56"/>
        <v>0</v>
      </c>
      <c r="S126" s="158">
        <f t="shared" si="56"/>
        <v>0</v>
      </c>
      <c r="T126" s="158">
        <f t="shared" si="56"/>
        <v>0</v>
      </c>
      <c r="U126" s="158">
        <f t="shared" si="56"/>
        <v>0</v>
      </c>
      <c r="V126" s="158">
        <f t="shared" si="56"/>
        <v>0</v>
      </c>
      <c r="W126" s="158">
        <f t="shared" si="56"/>
        <v>0</v>
      </c>
      <c r="X126" s="158">
        <f t="shared" si="56"/>
        <v>0</v>
      </c>
      <c r="Y126" s="158">
        <f t="shared" si="56"/>
        <v>0</v>
      </c>
      <c r="Z126" s="158">
        <f t="shared" si="56"/>
        <v>0</v>
      </c>
      <c r="AA126" s="158">
        <f t="shared" si="46"/>
        <v>0</v>
      </c>
      <c r="AB126" s="159" t="str">
        <f t="shared" si="47"/>
        <v/>
      </c>
      <c r="AC126" s="136"/>
      <c r="AD126" s="158">
        <f>SUM(AD121:AD125)</f>
        <v>0</v>
      </c>
      <c r="AE126" s="159" t="str">
        <f t="shared" si="48"/>
        <v/>
      </c>
      <c r="AF126" s="160">
        <f t="shared" si="49"/>
        <v>0</v>
      </c>
      <c r="AG126" s="158">
        <f>SUM(AG121:AG125)</f>
        <v>0</v>
      </c>
      <c r="AH126" s="159" t="str">
        <f t="shared" si="50"/>
        <v/>
      </c>
      <c r="AI126" s="160">
        <f t="shared" si="51"/>
        <v>0</v>
      </c>
    </row>
    <row r="127" spans="1:35" x14ac:dyDescent="0.25">
      <c r="A127" s="11"/>
      <c r="B127" s="11"/>
      <c r="C127" s="204"/>
      <c r="D127" s="11"/>
      <c r="E127" s="11"/>
      <c r="F127" s="11"/>
      <c r="G127" s="11"/>
      <c r="H127" s="181"/>
      <c r="I127" s="118"/>
      <c r="J127" s="118"/>
      <c r="K127" s="11"/>
      <c r="L127" s="11"/>
      <c r="M127" s="11"/>
      <c r="N127" s="11"/>
      <c r="O127" s="506">
        <f t="shared" ref="O127:AA127" si="57">O103+O111+O119-O126</f>
        <v>0</v>
      </c>
      <c r="P127" s="506">
        <f t="shared" si="57"/>
        <v>0</v>
      </c>
      <c r="Q127" s="506">
        <f t="shared" si="57"/>
        <v>0</v>
      </c>
      <c r="R127" s="506">
        <f t="shared" si="57"/>
        <v>0</v>
      </c>
      <c r="S127" s="506">
        <f t="shared" si="57"/>
        <v>0</v>
      </c>
      <c r="T127" s="506">
        <f t="shared" si="57"/>
        <v>0</v>
      </c>
      <c r="U127" s="506">
        <f t="shared" si="57"/>
        <v>0</v>
      </c>
      <c r="V127" s="506">
        <f t="shared" si="57"/>
        <v>0</v>
      </c>
      <c r="W127" s="506">
        <f t="shared" si="57"/>
        <v>0</v>
      </c>
      <c r="X127" s="506">
        <f t="shared" si="57"/>
        <v>0</v>
      </c>
      <c r="Y127" s="506">
        <f t="shared" si="57"/>
        <v>0</v>
      </c>
      <c r="Z127" s="506">
        <f t="shared" si="57"/>
        <v>0</v>
      </c>
      <c r="AA127" s="506">
        <f t="shared" si="57"/>
        <v>0</v>
      </c>
      <c r="AB127" s="138"/>
      <c r="AC127" s="136"/>
      <c r="AD127" s="506">
        <f>AD103+AD111+AD119-AD126</f>
        <v>0</v>
      </c>
      <c r="AE127" s="138"/>
      <c r="AF127" s="134"/>
      <c r="AG127" s="506">
        <f>AG103+AG111+AG119-AG126</f>
        <v>0</v>
      </c>
      <c r="AH127" s="138"/>
      <c r="AI127" s="134"/>
    </row>
    <row r="128" spans="1:35" x14ac:dyDescent="0.25">
      <c r="A128" s="11"/>
      <c r="B128" s="11"/>
      <c r="C128" s="204"/>
      <c r="D128" s="11"/>
      <c r="E128" s="11"/>
      <c r="F128" s="11"/>
      <c r="G128" s="11"/>
      <c r="H128" s="181"/>
      <c r="I128" s="118"/>
      <c r="J128" s="118"/>
      <c r="K128" s="11"/>
      <c r="L128" s="11"/>
      <c r="M128" s="11"/>
      <c r="N128" s="11"/>
      <c r="O128" s="166"/>
      <c r="P128" s="167"/>
      <c r="Q128" s="167"/>
      <c r="R128" s="167"/>
      <c r="S128" s="167"/>
      <c r="T128" s="167"/>
      <c r="U128" s="167"/>
      <c r="V128" s="167"/>
      <c r="W128" s="167"/>
      <c r="X128" s="167"/>
      <c r="Y128" s="167"/>
      <c r="Z128" s="167"/>
      <c r="AA128" s="167"/>
      <c r="AB128" s="168"/>
      <c r="AC128" s="136"/>
      <c r="AD128" s="166"/>
      <c r="AE128" s="167"/>
      <c r="AF128" s="168"/>
      <c r="AG128" s="166"/>
      <c r="AH128" s="167"/>
      <c r="AI128" s="168"/>
    </row>
    <row r="129" spans="1:35" ht="15.75" x14ac:dyDescent="0.25">
      <c r="A129" s="11"/>
      <c r="B129" s="11"/>
      <c r="C129" s="204"/>
      <c r="D129" s="11"/>
      <c r="E129" s="11"/>
      <c r="F129" s="11"/>
      <c r="G129" s="11"/>
      <c r="H129" s="181" t="s">
        <v>281</v>
      </c>
      <c r="I129" s="118"/>
      <c r="J129" s="118"/>
      <c r="K129" s="11"/>
      <c r="L129" s="11"/>
      <c r="M129" s="11"/>
      <c r="N129" s="485" t="str">
        <f>IF(_epmOfflineCondition_,"Cost of Sales",IF(_xll.EVDES(H129,$B$1)="#NODATA","",_xll.EVDES(H129,$B$1)))</f>
        <v>Cost of Sales</v>
      </c>
      <c r="O129" s="513"/>
      <c r="P129" s="514"/>
      <c r="Q129" s="514"/>
      <c r="R129" s="514"/>
      <c r="S129" s="514"/>
      <c r="T129" s="514"/>
      <c r="U129" s="514"/>
      <c r="V129" s="514"/>
      <c r="W129" s="514"/>
      <c r="X129" s="514"/>
      <c r="Y129" s="514"/>
      <c r="Z129" s="514"/>
      <c r="AA129" s="514"/>
      <c r="AB129" s="515"/>
      <c r="AC129" s="136"/>
      <c r="AD129" s="513"/>
      <c r="AE129" s="514"/>
      <c r="AF129" s="514"/>
      <c r="AG129" s="514"/>
      <c r="AH129" s="514"/>
      <c r="AI129" s="515"/>
    </row>
    <row r="130" spans="1:35" x14ac:dyDescent="0.25">
      <c r="A130" s="11"/>
      <c r="B130" s="11"/>
      <c r="C130" s="204"/>
      <c r="D130" s="11"/>
      <c r="E130" s="11"/>
      <c r="F130" s="11"/>
      <c r="G130" s="11"/>
      <c r="H130" s="181">
        <v>561100</v>
      </c>
      <c r="I130" s="118"/>
      <c r="J130" s="118"/>
      <c r="K130" s="11"/>
      <c r="L130" s="86" t="str">
        <f>IF(_epmOfflineCondition_,"561100",_xll.EVPRO($B$1,H130,"JDEID"))</f>
        <v>561100</v>
      </c>
      <c r="M130" s="86" t="str">
        <f>IF(_epmOfflineCondition_,"",IF(AND(I130="N",J130="N"),_xll.EVPRO($B$1,H130,"PSFTID"),""))</f>
        <v/>
      </c>
      <c r="N130" s="86" t="str">
        <f>IF(_epmOfflineCondition_,"Cost of Food Sales",IF(_xll.EVDES(H130,$B$1)="#NODATA","",_xll.EVDES(H130,$B$1)))</f>
        <v>Cost of Food Sales</v>
      </c>
      <c r="O130" s="134"/>
      <c r="P130" s="134"/>
      <c r="Q130" s="134"/>
      <c r="R130" s="134"/>
      <c r="S130" s="134"/>
      <c r="T130" s="134"/>
      <c r="U130" s="134"/>
      <c r="V130" s="134"/>
      <c r="W130" s="134"/>
      <c r="X130" s="134"/>
      <c r="Y130" s="134"/>
      <c r="Z130" s="134"/>
      <c r="AA130" s="134">
        <f>SUM(O130:Z130)</f>
        <v>0</v>
      </c>
      <c r="AB130" s="454" t="str">
        <f>IF(_epmOfflineCondition_,"",IF(AA130=0,"",IFERROR(AA130/_xll.EVGTS($B$1,1,_xll.EVPRO($B$1,$H130,"COSBASIS"),$B$3,$B$5,$B$6,$B$7,$B$9,AA$16,AA$17,AA$11),"")))</f>
        <v/>
      </c>
      <c r="AC130" s="136"/>
      <c r="AD130" s="134"/>
      <c r="AE130" s="454" t="str">
        <f>IF(_epmOfflineCondition_,"",IF(AD130=0,"",IFERROR(AD130/_xll.EVGTS($B$1,1,_xll.EVPRO($B$1,$H130,"COSBASIS"),$B$3,$B$5,$B$6,$B$7,$B$9,AD$16,AD$17,AD$18),"")))</f>
        <v/>
      </c>
      <c r="AF130" s="137">
        <f t="shared" ref="AF130:AF141" si="58">IF(AND($AA130="",AD130=""),"",$AA130-AD130)</f>
        <v>0</v>
      </c>
      <c r="AG130" s="134"/>
      <c r="AH130" s="454" t="str">
        <f>IF(_epmOfflineCondition_,"",IF(AG130=0,"",IFERROR(AG130/_xll.EVGTS($B$1,1,_xll.EVPRO($B$1,$H130,"COSBASIS"),$B$3,$B$5,$B$6,$B$7,$B$9,AG$16,AG$17,AG$18),"")))</f>
        <v/>
      </c>
      <c r="AI130" s="137">
        <f t="shared" ref="AI130:AI141" si="59">IF(AND($AA130="",AG130=""),"",$AA130-AG130)</f>
        <v>0</v>
      </c>
    </row>
    <row r="131" spans="1:35" x14ac:dyDescent="0.25">
      <c r="A131" s="11"/>
      <c r="B131" s="11"/>
      <c r="C131" s="204"/>
      <c r="D131" s="11"/>
      <c r="E131" s="11"/>
      <c r="F131" s="11"/>
      <c r="G131" s="11"/>
      <c r="H131" s="181" t="s">
        <v>757</v>
      </c>
      <c r="I131" s="118"/>
      <c r="J131" s="118"/>
      <c r="K131" s="11"/>
      <c r="L131" s="86" t="str">
        <f>IF(_epmOfflineCondition_,"",_xll.EVPRO($B$1,H131,"JDEID"))</f>
        <v/>
      </c>
      <c r="M131" s="86" t="str">
        <f>IF(_epmOfflineCondition_,"",IF(AND(I131="N",J131="N"),_xll.EVPRO($B$1,H131,"PSFTID"),""))</f>
        <v/>
      </c>
      <c r="N131" s="488" t="str">
        <f>IF(_epmOfflineCondition_,"Food Cost %",IF(_xll.EVDES(H131,$B$1)="#NODATA","",_xll.EVDES(H131,$B$1)))</f>
        <v>Food Cost %</v>
      </c>
      <c r="O131" s="503"/>
      <c r="P131" s="503"/>
      <c r="Q131" s="503"/>
      <c r="R131" s="503"/>
      <c r="S131" s="503"/>
      <c r="T131" s="503"/>
      <c r="U131" s="503"/>
      <c r="V131" s="503"/>
      <c r="W131" s="503"/>
      <c r="X131" s="503"/>
      <c r="Y131" s="503"/>
      <c r="Z131" s="503"/>
      <c r="AA131" s="503"/>
      <c r="AB131" s="454"/>
      <c r="AC131" s="136"/>
      <c r="AD131" s="503"/>
      <c r="AE131" s="454"/>
      <c r="AF131" s="516" t="str">
        <f t="shared" si="58"/>
        <v/>
      </c>
      <c r="AG131" s="503"/>
      <c r="AH131" s="454"/>
      <c r="AI131" s="516" t="str">
        <f t="shared" si="59"/>
        <v/>
      </c>
    </row>
    <row r="132" spans="1:35" x14ac:dyDescent="0.25">
      <c r="A132" s="11"/>
      <c r="B132" s="11"/>
      <c r="C132" s="204"/>
      <c r="D132" s="11"/>
      <c r="E132" s="11"/>
      <c r="F132" s="11"/>
      <c r="G132" s="11"/>
      <c r="H132" s="181" t="s">
        <v>637</v>
      </c>
      <c r="I132" s="118"/>
      <c r="J132" s="118"/>
      <c r="K132" s="11"/>
      <c r="L132" s="86" t="str">
        <f>IF(_epmOfflineCondition_,"",_xll.EVPRO($B$1,H132,"JDEID"))</f>
        <v/>
      </c>
      <c r="M132" s="86" t="str">
        <f>IF(_epmOfflineCondition_,"",IF(AND(I132="N",J132="N"),_xll.EVPRO($B$1,H132,"PSFTID"),""))</f>
        <v/>
      </c>
      <c r="N132" s="86" t="str">
        <f>IF(_epmOfflineCondition_,"Cost of Beverage Sales",IF(_xll.EVDES(H132,$B$1)="#NODATA","",_xll.EVDES(H132,$B$1)))</f>
        <v>Cost of Beverage Sales</v>
      </c>
      <c r="O132" s="134"/>
      <c r="P132" s="134"/>
      <c r="Q132" s="134"/>
      <c r="R132" s="134"/>
      <c r="S132" s="134"/>
      <c r="T132" s="134"/>
      <c r="U132" s="134"/>
      <c r="V132" s="134"/>
      <c r="W132" s="134"/>
      <c r="X132" s="134"/>
      <c r="Y132" s="134"/>
      <c r="Z132" s="134"/>
      <c r="AA132" s="134">
        <f>SUM(O132:Z132)</f>
        <v>0</v>
      </c>
      <c r="AB132" s="454" t="str">
        <f>IF(_epmOfflineCondition_,"",IF(AA132=0,"",IFERROR(AA132/_xll.EVGTS($B$1,1,_xll.EVPRO($B$1,$H132,"COSBASIS"),$B$3,$B$5,$B$6,$B$7,$B$9,AA$16,AA$17,AA$11),"")))</f>
        <v/>
      </c>
      <c r="AC132" s="136"/>
      <c r="AD132" s="134"/>
      <c r="AE132" s="454" t="str">
        <f>IF(_epmOfflineCondition_,"",IF(AD132=0,"",IFERROR(AD132/_xll.EVGTS($B$1,1,_xll.EVPRO($B$1,$H132,"COSBASIS"),$B$3,$B$5,$B$6,$B$7,$B$9,AD$16,AD$17,AD$18),"")))</f>
        <v/>
      </c>
      <c r="AF132" s="137">
        <f t="shared" si="58"/>
        <v>0</v>
      </c>
      <c r="AG132" s="134"/>
      <c r="AH132" s="454" t="str">
        <f>IF(_epmOfflineCondition_,"",IF(AG132=0,"",IFERROR(AG132/_xll.EVGTS($B$1,1,_xll.EVPRO($B$1,$H132,"COSBASIS"),$B$3,$B$5,$B$6,$B$7,$B$9,AG$16,AG$17,AG$18),"")))</f>
        <v/>
      </c>
      <c r="AI132" s="137">
        <f t="shared" si="59"/>
        <v>0</v>
      </c>
    </row>
    <row r="133" spans="1:35" x14ac:dyDescent="0.25">
      <c r="A133" s="11"/>
      <c r="B133" s="11"/>
      <c r="C133" s="204"/>
      <c r="D133" s="11"/>
      <c r="E133" s="11"/>
      <c r="F133" s="11"/>
      <c r="G133" s="11"/>
      <c r="H133" s="181" t="s">
        <v>758</v>
      </c>
      <c r="I133" s="118"/>
      <c r="J133" s="118"/>
      <c r="K133" s="11"/>
      <c r="L133" s="86" t="str">
        <f>IF(_epmOfflineCondition_,"",_xll.EVPRO($B$1,H133,"JDEID"))</f>
        <v/>
      </c>
      <c r="M133" s="86" t="str">
        <f>IF(_epmOfflineCondition_,"",IF(AND(I133="N",J133="N"),_xll.EVPRO($B$1,H133,"PSFTID"),""))</f>
        <v/>
      </c>
      <c r="N133" s="488" t="str">
        <f>IF(_epmOfflineCondition_,"Beverage Cost %",IF(_xll.EVDES(H133,$B$1)="#NODATA","",_xll.EVDES(H133,$B$1)))</f>
        <v>Beverage Cost %</v>
      </c>
      <c r="O133" s="503"/>
      <c r="P133" s="503"/>
      <c r="Q133" s="503"/>
      <c r="R133" s="503"/>
      <c r="S133" s="503"/>
      <c r="T133" s="503"/>
      <c r="U133" s="503"/>
      <c r="V133" s="503"/>
      <c r="W133" s="503"/>
      <c r="X133" s="503"/>
      <c r="Y133" s="503"/>
      <c r="Z133" s="503"/>
      <c r="AA133" s="503"/>
      <c r="AB133" s="454"/>
      <c r="AC133" s="136"/>
      <c r="AD133" s="503"/>
      <c r="AE133" s="454"/>
      <c r="AF133" s="516" t="str">
        <f t="shared" si="58"/>
        <v/>
      </c>
      <c r="AG133" s="503"/>
      <c r="AH133" s="454"/>
      <c r="AI133" s="516" t="str">
        <f t="shared" si="59"/>
        <v/>
      </c>
    </row>
    <row r="134" spans="1:35" x14ac:dyDescent="0.25">
      <c r="A134" s="11"/>
      <c r="B134" s="11"/>
      <c r="C134" s="204"/>
      <c r="D134" s="11"/>
      <c r="E134" s="11"/>
      <c r="F134" s="11"/>
      <c r="G134" s="11"/>
      <c r="H134" s="181" t="s">
        <v>756</v>
      </c>
      <c r="I134" s="118"/>
      <c r="J134" s="118"/>
      <c r="K134" s="11"/>
      <c r="L134" s="86" t="str">
        <f>IF(_epmOfflineCondition_,"561300",_xll.EVPRO($B$1,H134,"JDEID"))</f>
        <v>561300</v>
      </c>
      <c r="M134" s="86" t="str">
        <f>IF(_epmOfflineCondition_,"",IF(AND(I134="N",J134="N"),_xll.EVPRO($B$1,H134,"PSFTID"),""))</f>
        <v/>
      </c>
      <c r="N134" s="86" t="str">
        <f>IF(_epmOfflineCondition_,"Liquor Cost of Sales",IF(_xll.EVDES(H134,$B$1)="#NODATA","",_xll.EVDES(H134,$B$1)))</f>
        <v>Liquor Cost of Sales</v>
      </c>
      <c r="O134" s="134"/>
      <c r="P134" s="134"/>
      <c r="Q134" s="134"/>
      <c r="R134" s="134"/>
      <c r="S134" s="134"/>
      <c r="T134" s="134"/>
      <c r="U134" s="134"/>
      <c r="V134" s="134"/>
      <c r="W134" s="134"/>
      <c r="X134" s="134"/>
      <c r="Y134" s="134"/>
      <c r="Z134" s="134"/>
      <c r="AA134" s="134">
        <f>SUM(O134:Z134)</f>
        <v>0</v>
      </c>
      <c r="AB134" s="454" t="str">
        <f>IF(_epmOfflineCondition_,"",IF(AA134=0,"",IFERROR(AA134/_xll.EVGTS($B$1,1,_xll.EVPRO($B$1,$H134,"COSBASIS"),$B$3,$B$5,$B$6,$B$7,$B$9,AA$16,AA$17,AA$11),"")))</f>
        <v/>
      </c>
      <c r="AC134" s="136"/>
      <c r="AD134" s="134"/>
      <c r="AE134" s="454" t="str">
        <f>IF(_epmOfflineCondition_,"",IF(AD134=0,"",IFERROR(AD134/_xll.EVGTS($B$1,1,_xll.EVPRO($B$1,$H134,"COSBASIS"),$B$3,$B$5,$B$6,$B$7,$B$9,AD$16,AD$17,AD$18),"")))</f>
        <v/>
      </c>
      <c r="AF134" s="137">
        <f t="shared" si="58"/>
        <v>0</v>
      </c>
      <c r="AG134" s="134"/>
      <c r="AH134" s="454" t="str">
        <f>IF(_epmOfflineCondition_,"",IF(AG134=0,"",IFERROR(AG134/_xll.EVGTS($B$1,1,_xll.EVPRO($B$1,$H134,"COSBASIS"),$B$3,$B$5,$B$6,$B$7,$B$9,AG$16,AG$17,AG$18),"")))</f>
        <v/>
      </c>
      <c r="AI134" s="137">
        <f t="shared" si="59"/>
        <v>0</v>
      </c>
    </row>
    <row r="135" spans="1:35" x14ac:dyDescent="0.25">
      <c r="A135" s="11"/>
      <c r="B135" s="11"/>
      <c r="C135" s="204"/>
      <c r="D135" s="11"/>
      <c r="E135" s="11"/>
      <c r="F135" s="11"/>
      <c r="G135" s="11"/>
      <c r="H135" s="181" t="s">
        <v>759</v>
      </c>
      <c r="I135" s="118"/>
      <c r="J135" s="118"/>
      <c r="K135" s="11"/>
      <c r="L135" s="86" t="str">
        <f>IF(_epmOfflineCondition_,"",_xll.EVPRO($B$1,H135,"JDEID"))</f>
        <v/>
      </c>
      <c r="M135" s="86" t="str">
        <f>IF(_epmOfflineCondition_,"",IF(AND(I135="N",J135="N"),_xll.EVPRO($B$1,H135,"PSFTID"),""))</f>
        <v/>
      </c>
      <c r="N135" s="488" t="str">
        <f>IF(_epmOfflineCondition_,"Liquor Cost %",IF(_xll.EVDES(H135,$B$1)="#NODATA","",_xll.EVDES(H135,$B$1)))</f>
        <v>Liquor Cost %</v>
      </c>
      <c r="O135" s="503"/>
      <c r="P135" s="503"/>
      <c r="Q135" s="503"/>
      <c r="R135" s="503"/>
      <c r="S135" s="503"/>
      <c r="T135" s="503"/>
      <c r="U135" s="503"/>
      <c r="V135" s="503"/>
      <c r="W135" s="503"/>
      <c r="X135" s="503"/>
      <c r="Y135" s="503"/>
      <c r="Z135" s="503"/>
      <c r="AA135" s="503"/>
      <c r="AB135" s="454"/>
      <c r="AC135" s="136"/>
      <c r="AD135" s="503"/>
      <c r="AE135" s="454"/>
      <c r="AF135" s="516" t="str">
        <f t="shared" si="58"/>
        <v/>
      </c>
      <c r="AG135" s="503"/>
      <c r="AH135" s="454"/>
      <c r="AI135" s="516" t="str">
        <f t="shared" si="59"/>
        <v/>
      </c>
    </row>
    <row r="136" spans="1:35" x14ac:dyDescent="0.25">
      <c r="A136" s="11"/>
      <c r="B136" s="11"/>
      <c r="C136" s="204"/>
      <c r="D136" s="11"/>
      <c r="E136" s="11"/>
      <c r="F136" s="11"/>
      <c r="G136" s="11"/>
      <c r="H136" s="181">
        <v>561400</v>
      </c>
      <c r="I136" s="118"/>
      <c r="J136" s="118"/>
      <c r="K136" s="11"/>
      <c r="L136" s="86" t="str">
        <f>IF(_epmOfflineCondition_,"561400",_xll.EVPRO($B$1,H136,"JDEID"))</f>
        <v>561400</v>
      </c>
      <c r="M136" s="86" t="str">
        <f>IF(_epmOfflineCondition_,"",IF(AND(I136="N",J136="N"),_xll.EVPRO($B$1,H136,"PSFTID"),""))</f>
        <v/>
      </c>
      <c r="N136" s="86" t="str">
        <f>IF(_epmOfflineCondition_,"Beer Cost of Sales",IF(_xll.EVDES(H136,$B$1)="#NODATA","",_xll.EVDES(H136,$B$1)))</f>
        <v>Beer Cost of Sales</v>
      </c>
      <c r="O136" s="134"/>
      <c r="P136" s="134"/>
      <c r="Q136" s="134"/>
      <c r="R136" s="134"/>
      <c r="S136" s="134"/>
      <c r="T136" s="134"/>
      <c r="U136" s="134"/>
      <c r="V136" s="134"/>
      <c r="W136" s="134"/>
      <c r="X136" s="134"/>
      <c r="Y136" s="134"/>
      <c r="Z136" s="134"/>
      <c r="AA136" s="134">
        <f>SUM(O136:Z136)</f>
        <v>0</v>
      </c>
      <c r="AB136" s="454" t="str">
        <f>IF(_epmOfflineCondition_,"",IF(AA136=0,"",IFERROR(AA136/_xll.EVGTS($B$1,1,_xll.EVPRO($B$1,$H136,"COSBASIS"),$B$3,$B$5,$B$6,$B$7,$B$9,AA$16,AA$17,AA$11),"")))</f>
        <v/>
      </c>
      <c r="AC136" s="136"/>
      <c r="AD136" s="134"/>
      <c r="AE136" s="454" t="str">
        <f>IF(_epmOfflineCondition_,"",IF(AD136=0,"",IFERROR(AD136/_xll.EVGTS($B$1,1,_xll.EVPRO($B$1,$H136,"COSBASIS"),$B$3,$B$5,$B$6,$B$7,$B$9,AD$16,AD$17,AD$18),"")))</f>
        <v/>
      </c>
      <c r="AF136" s="137">
        <f t="shared" si="58"/>
        <v>0</v>
      </c>
      <c r="AG136" s="134"/>
      <c r="AH136" s="454" t="str">
        <f>IF(_epmOfflineCondition_,"",IF(AG136=0,"",IFERROR(AG136/_xll.EVGTS($B$1,1,_xll.EVPRO($B$1,$H136,"COSBASIS"),$B$3,$B$5,$B$6,$B$7,$B$9,AG$16,AG$17,AG$18),"")))</f>
        <v/>
      </c>
      <c r="AI136" s="137">
        <f t="shared" si="59"/>
        <v>0</v>
      </c>
    </row>
    <row r="137" spans="1:35" x14ac:dyDescent="0.25">
      <c r="A137" s="11"/>
      <c r="B137" s="11"/>
      <c r="C137" s="204"/>
      <c r="D137" s="11"/>
      <c r="E137" s="11"/>
      <c r="F137" s="11"/>
      <c r="G137" s="11"/>
      <c r="H137" s="181" t="s">
        <v>760</v>
      </c>
      <c r="I137" s="118"/>
      <c r="J137" s="118"/>
      <c r="K137" s="11"/>
      <c r="L137" s="86" t="str">
        <f>IF(_epmOfflineCondition_,"",_xll.EVPRO($B$1,H137,"JDEID"))</f>
        <v/>
      </c>
      <c r="M137" s="86" t="str">
        <f>IF(_epmOfflineCondition_,"",IF(AND(I137="N",J137="N"),_xll.EVPRO($B$1,H137,"PSFTID"),""))</f>
        <v/>
      </c>
      <c r="N137" s="488" t="str">
        <f>IF(_epmOfflineCondition_,"Beer Cost %",IF(_xll.EVDES(H137,$B$1)="#NODATA","",_xll.EVDES(H137,$B$1)))</f>
        <v>Beer Cost %</v>
      </c>
      <c r="O137" s="503"/>
      <c r="P137" s="503"/>
      <c r="Q137" s="503"/>
      <c r="R137" s="503"/>
      <c r="S137" s="503"/>
      <c r="T137" s="503"/>
      <c r="U137" s="503"/>
      <c r="V137" s="503"/>
      <c r="W137" s="503"/>
      <c r="X137" s="503"/>
      <c r="Y137" s="503"/>
      <c r="Z137" s="503"/>
      <c r="AA137" s="503"/>
      <c r="AB137" s="454"/>
      <c r="AC137" s="136"/>
      <c r="AD137" s="503"/>
      <c r="AE137" s="454"/>
      <c r="AF137" s="516" t="str">
        <f t="shared" si="58"/>
        <v/>
      </c>
      <c r="AG137" s="503"/>
      <c r="AH137" s="454"/>
      <c r="AI137" s="516" t="str">
        <f t="shared" si="59"/>
        <v/>
      </c>
    </row>
    <row r="138" spans="1:35" x14ac:dyDescent="0.25">
      <c r="A138" s="11"/>
      <c r="B138" s="11"/>
      <c r="C138" s="11"/>
      <c r="D138" s="11"/>
      <c r="E138" s="11"/>
      <c r="F138" s="11"/>
      <c r="G138" s="11"/>
      <c r="H138" s="181">
        <v>561500</v>
      </c>
      <c r="I138" s="118"/>
      <c r="J138" s="118"/>
      <c r="K138" s="11"/>
      <c r="L138" s="86" t="str">
        <f>IF(_epmOfflineCondition_,"561500",_xll.EVPRO($B$1,H138,"JDEID"))</f>
        <v>561500</v>
      </c>
      <c r="M138" s="86" t="str">
        <f>IF(_epmOfflineCondition_,"",IF(AND(I138="N",J138="N"),_xll.EVPRO($B$1,H138,"PSFTID"),""))</f>
        <v/>
      </c>
      <c r="N138" s="86" t="str">
        <f>IF(_epmOfflineCondition_,"Wine Cost of Sales",IF(_xll.EVDES(H138,$B$1)="#NODATA","",_xll.EVDES(H138,$B$1)))</f>
        <v>Wine Cost of Sales</v>
      </c>
      <c r="O138" s="134"/>
      <c r="P138" s="134"/>
      <c r="Q138" s="134"/>
      <c r="R138" s="134"/>
      <c r="S138" s="134"/>
      <c r="T138" s="134"/>
      <c r="U138" s="134"/>
      <c r="V138" s="134"/>
      <c r="W138" s="134"/>
      <c r="X138" s="134"/>
      <c r="Y138" s="134"/>
      <c r="Z138" s="134"/>
      <c r="AA138" s="134">
        <f>SUM(O138:Z138)</f>
        <v>0</v>
      </c>
      <c r="AB138" s="454" t="str">
        <f>IF(_epmOfflineCondition_,"",IF(AA138=0,"",IFERROR(AA138/_xll.EVGTS($B$1,1,_xll.EVPRO($B$1,$H138,"COSBASIS"),$B$3,$B$5,$B$6,$B$7,$B$9,AA$16,AA$17,AA$11),"")))</f>
        <v/>
      </c>
      <c r="AC138" s="136"/>
      <c r="AD138" s="134"/>
      <c r="AE138" s="454" t="str">
        <f>IF(_epmOfflineCondition_,"",IF(AD138=0,"",IFERROR(AD138/_xll.EVGTS($B$1,1,_xll.EVPRO($B$1,$H138,"COSBASIS"),$B$3,$B$5,$B$6,$B$7,$B$9,AD$16,AD$17,AD$18),"")))</f>
        <v/>
      </c>
      <c r="AF138" s="137">
        <f t="shared" si="58"/>
        <v>0</v>
      </c>
      <c r="AG138" s="134"/>
      <c r="AH138" s="454" t="str">
        <f>IF(_epmOfflineCondition_,"",IF(AG138=0,"",IFERROR(AG138/_xll.EVGTS($B$1,1,_xll.EVPRO($B$1,$H138,"COSBASIS"),$B$3,$B$5,$B$6,$B$7,$B$9,AG$16,AG$17,AG$18),"")))</f>
        <v/>
      </c>
      <c r="AI138" s="137">
        <f t="shared" si="59"/>
        <v>0</v>
      </c>
    </row>
    <row r="139" spans="1:35" x14ac:dyDescent="0.25">
      <c r="A139" s="11"/>
      <c r="B139" s="11"/>
      <c r="C139" s="204"/>
      <c r="D139" s="11"/>
      <c r="E139" s="11"/>
      <c r="F139" s="11"/>
      <c r="G139" s="11"/>
      <c r="H139" s="181" t="s">
        <v>761</v>
      </c>
      <c r="I139" s="118"/>
      <c r="J139" s="118"/>
      <c r="K139" s="11"/>
      <c r="L139" s="86" t="str">
        <f>IF(_epmOfflineCondition_,"",_xll.EVPRO($B$1,H139,"JDEID"))</f>
        <v/>
      </c>
      <c r="M139" s="86" t="str">
        <f>IF(_epmOfflineCondition_,"",IF(AND(I139="N",J139="N"),_xll.EVPRO($B$1,H139,"PSFTID"),""))</f>
        <v/>
      </c>
      <c r="N139" s="488" t="str">
        <f>IF(_epmOfflineCondition_,"Wine Cost %",IF(_xll.EVDES(H139,$B$1)="#NODATA","",_xll.EVDES(H139,$B$1)))</f>
        <v>Wine Cost %</v>
      </c>
      <c r="O139" s="503"/>
      <c r="P139" s="503"/>
      <c r="Q139" s="503"/>
      <c r="R139" s="503"/>
      <c r="S139" s="503"/>
      <c r="T139" s="503"/>
      <c r="U139" s="503"/>
      <c r="V139" s="503"/>
      <c r="W139" s="503"/>
      <c r="X139" s="503"/>
      <c r="Y139" s="503"/>
      <c r="Z139" s="503"/>
      <c r="AA139" s="503"/>
      <c r="AB139" s="454"/>
      <c r="AC139" s="136"/>
      <c r="AD139" s="503"/>
      <c r="AE139" s="454"/>
      <c r="AF139" s="516" t="str">
        <f t="shared" si="58"/>
        <v/>
      </c>
      <c r="AG139" s="503"/>
      <c r="AH139" s="454"/>
      <c r="AI139" s="516" t="str">
        <f t="shared" si="59"/>
        <v/>
      </c>
    </row>
    <row r="140" spans="1:35" x14ac:dyDescent="0.25">
      <c r="A140" s="11"/>
      <c r="B140" s="11"/>
      <c r="C140" s="204"/>
      <c r="D140" s="11"/>
      <c r="E140" s="11"/>
      <c r="F140" s="11"/>
      <c r="G140" s="11"/>
      <c r="H140" s="181" t="s">
        <v>286</v>
      </c>
      <c r="I140" s="118"/>
      <c r="J140" s="118"/>
      <c r="K140" s="11"/>
      <c r="L140" s="86" t="str">
        <f>IF(_epmOfflineCondition_,"",_xll.EVPRO($B$1,H140,"JDEID"))</f>
        <v/>
      </c>
      <c r="M140" s="86" t="str">
        <f>IF(_epmOfflineCondition_,"",IF(AND(I140="N",J140="N"),_xll.EVPRO($B$1,H140,"PSFTID"),""))</f>
        <v/>
      </c>
      <c r="N140" s="86" t="str">
        <f>IF(_epmOfflineCondition_,"Total Cost of Food &amp; Beverage Sales",IF(_xll.EVDES(H140,$B$1)="#NODATA","",_xll.EVDES(H140,$B$1)))</f>
        <v>Total Cost of Food &amp; Beverage Sales</v>
      </c>
      <c r="O140" s="134"/>
      <c r="P140" s="134"/>
      <c r="Q140" s="134"/>
      <c r="R140" s="134"/>
      <c r="S140" s="134"/>
      <c r="T140" s="134"/>
      <c r="U140" s="134"/>
      <c r="V140" s="134"/>
      <c r="W140" s="134"/>
      <c r="X140" s="134"/>
      <c r="Y140" s="134"/>
      <c r="Z140" s="134"/>
      <c r="AA140" s="134">
        <f>SUM(O140:Z140)</f>
        <v>0</v>
      </c>
      <c r="AB140" s="454" t="str">
        <f>IF(_epmOfflineCondition_,"",IF(AA140=0,"",IFERROR(AA140/_xll.EVGTS($B$1,1,_xll.EVPRO($B$1,$H140,"COSBASIS"),$B$3,$B$5,$B$6,$B$7,$B$9,AA$16,AA$17,AA$11),"")))</f>
        <v/>
      </c>
      <c r="AC140" s="136"/>
      <c r="AD140" s="134"/>
      <c r="AE140" s="454" t="str">
        <f>IF(_epmOfflineCondition_,"",IF(AD140=0,"",IFERROR(AD140/_xll.EVGTS($B$1,1,_xll.EVPRO($B$1,$H140,"COSBASIS"),$B$3,$B$5,$B$6,$B$7,$B$9,AD$16,AD$17,AD$18),"")))</f>
        <v/>
      </c>
      <c r="AF140" s="137">
        <f t="shared" si="58"/>
        <v>0</v>
      </c>
      <c r="AG140" s="134"/>
      <c r="AH140" s="454" t="str">
        <f>IF(_epmOfflineCondition_,"",IF(AG140=0,"",IFERROR(AG140/_xll.EVGTS($B$1,1,_xll.EVPRO($B$1,$H140,"COSBASIS"),$B$3,$B$5,$B$6,$B$7,$B$9,AG$16,AG$17,AG$18),"")))</f>
        <v/>
      </c>
      <c r="AI140" s="137">
        <f t="shared" si="59"/>
        <v>0</v>
      </c>
    </row>
    <row r="141" spans="1:35" x14ac:dyDescent="0.25">
      <c r="A141" s="11"/>
      <c r="B141" s="11"/>
      <c r="C141" s="204"/>
      <c r="D141" s="11"/>
      <c r="E141" s="11"/>
      <c r="F141" s="11"/>
      <c r="G141" s="11"/>
      <c r="H141" s="181"/>
      <c r="I141" s="118"/>
      <c r="J141" s="118"/>
      <c r="K141" s="11"/>
      <c r="L141" s="86"/>
      <c r="M141" s="86"/>
      <c r="N141" s="488" t="s">
        <v>763</v>
      </c>
      <c r="O141" s="503" t="str">
        <f t="shared" ref="O141:AA141" si="60">IFERROR(O140/O85,"")</f>
        <v/>
      </c>
      <c r="P141" s="503" t="str">
        <f t="shared" si="60"/>
        <v/>
      </c>
      <c r="Q141" s="503" t="str">
        <f t="shared" si="60"/>
        <v/>
      </c>
      <c r="R141" s="503" t="str">
        <f t="shared" si="60"/>
        <v/>
      </c>
      <c r="S141" s="503" t="str">
        <f t="shared" si="60"/>
        <v/>
      </c>
      <c r="T141" s="503" t="str">
        <f t="shared" si="60"/>
        <v/>
      </c>
      <c r="U141" s="503" t="str">
        <f t="shared" si="60"/>
        <v/>
      </c>
      <c r="V141" s="503" t="str">
        <f t="shared" si="60"/>
        <v/>
      </c>
      <c r="W141" s="503" t="str">
        <f t="shared" si="60"/>
        <v/>
      </c>
      <c r="X141" s="503" t="str">
        <f t="shared" si="60"/>
        <v/>
      </c>
      <c r="Y141" s="503" t="str">
        <f t="shared" si="60"/>
        <v/>
      </c>
      <c r="Z141" s="503" t="str">
        <f t="shared" si="60"/>
        <v/>
      </c>
      <c r="AA141" s="503" t="str">
        <f t="shared" si="60"/>
        <v/>
      </c>
      <c r="AB141" s="454"/>
      <c r="AC141" s="136"/>
      <c r="AD141" s="503" t="str">
        <f>IFERROR(AD140/AD85,"")</f>
        <v/>
      </c>
      <c r="AE141" s="454"/>
      <c r="AF141" s="516" t="str">
        <f t="shared" si="58"/>
        <v/>
      </c>
      <c r="AG141" s="503" t="str">
        <f>IFERROR(AG140/AG85,"")</f>
        <v/>
      </c>
      <c r="AH141" s="454"/>
      <c r="AI141" s="516" t="str">
        <f t="shared" si="59"/>
        <v/>
      </c>
    </row>
    <row r="142" spans="1:35" x14ac:dyDescent="0.25">
      <c r="A142" s="11"/>
      <c r="B142" s="11"/>
      <c r="C142" s="204"/>
      <c r="D142" s="11"/>
      <c r="E142" s="11"/>
      <c r="F142" s="11"/>
      <c r="G142" s="11"/>
      <c r="H142" s="11"/>
      <c r="I142" s="55"/>
      <c r="J142" s="55"/>
      <c r="K142" s="11"/>
      <c r="L142" s="11"/>
      <c r="M142" s="11"/>
      <c r="N142" s="11"/>
      <c r="O142" s="136"/>
      <c r="P142" s="136"/>
      <c r="Q142" s="136"/>
      <c r="R142" s="136"/>
      <c r="S142" s="136"/>
      <c r="T142" s="136"/>
      <c r="U142" s="136"/>
      <c r="V142" s="136"/>
      <c r="W142" s="136"/>
      <c r="X142" s="136"/>
      <c r="Y142" s="136"/>
      <c r="Z142" s="136"/>
      <c r="AA142" s="136"/>
      <c r="AB142" s="136"/>
      <c r="AC142" s="136"/>
      <c r="AD142" s="136"/>
      <c r="AE142" s="136"/>
      <c r="AF142" s="136"/>
      <c r="AG142" s="136"/>
      <c r="AH142" s="136"/>
      <c r="AI142" s="136"/>
    </row>
    <row r="143" spans="1:35" x14ac:dyDescent="0.25">
      <c r="A143" s="11"/>
      <c r="B143" s="11"/>
      <c r="C143" s="204"/>
      <c r="D143" s="11"/>
      <c r="E143" s="11"/>
      <c r="F143" s="11"/>
      <c r="G143" s="11"/>
      <c r="H143" s="181"/>
      <c r="I143" s="118"/>
      <c r="J143" s="118"/>
      <c r="K143" s="11"/>
      <c r="L143" s="11"/>
      <c r="M143" s="11"/>
      <c r="N143" s="100" t="str">
        <f>N85&amp;" - Check"</f>
        <v>Total Food &amp; Beverage Revenue - Check</v>
      </c>
      <c r="O143" s="506">
        <f t="shared" ref="O143:AA143" si="61">O39+O49+O59+O69+O79+O83-O85</f>
        <v>0</v>
      </c>
      <c r="P143" s="506">
        <f t="shared" si="61"/>
        <v>0</v>
      </c>
      <c r="Q143" s="506">
        <f t="shared" si="61"/>
        <v>0</v>
      </c>
      <c r="R143" s="506">
        <f t="shared" si="61"/>
        <v>0</v>
      </c>
      <c r="S143" s="506">
        <f t="shared" si="61"/>
        <v>0</v>
      </c>
      <c r="T143" s="506">
        <f t="shared" si="61"/>
        <v>0</v>
      </c>
      <c r="U143" s="506">
        <f t="shared" si="61"/>
        <v>0</v>
      </c>
      <c r="V143" s="506">
        <f t="shared" si="61"/>
        <v>0</v>
      </c>
      <c r="W143" s="506">
        <f t="shared" si="61"/>
        <v>0</v>
      </c>
      <c r="X143" s="506">
        <f t="shared" si="61"/>
        <v>0</v>
      </c>
      <c r="Y143" s="506">
        <f t="shared" si="61"/>
        <v>0</v>
      </c>
      <c r="Z143" s="506">
        <f t="shared" si="61"/>
        <v>0</v>
      </c>
      <c r="AA143" s="506">
        <f t="shared" si="61"/>
        <v>0</v>
      </c>
      <c r="AB143" s="138"/>
      <c r="AC143" s="136"/>
      <c r="AD143" s="506">
        <f>AD39+AD49+AD59+AD69+AD79+AD83-AD85</f>
        <v>0</v>
      </c>
      <c r="AE143" s="138"/>
      <c r="AF143" s="134"/>
      <c r="AG143" s="506">
        <f>AG39+AG49+AG59+AG69+AG79+AG83-AG85</f>
        <v>0</v>
      </c>
      <c r="AH143" s="138"/>
      <c r="AI143" s="134"/>
    </row>
    <row r="144" spans="1:35" x14ac:dyDescent="0.25">
      <c r="A144" s="11"/>
      <c r="B144" s="11"/>
      <c r="C144" s="204"/>
      <c r="D144" s="11"/>
      <c r="E144" s="11"/>
      <c r="F144" s="11"/>
      <c r="G144" s="11"/>
      <c r="H144" s="181"/>
      <c r="I144" s="118"/>
      <c r="J144" s="118"/>
      <c r="K144" s="11"/>
      <c r="L144" s="11"/>
      <c r="M144" s="11"/>
      <c r="N144" s="100" t="str">
        <f>N87&amp;" - Check"</f>
        <v>Total Customers - Check</v>
      </c>
      <c r="O144" s="506">
        <f t="shared" ref="O144:AA144" si="62">O41+O51+O61+O71+O80-O87</f>
        <v>0</v>
      </c>
      <c r="P144" s="506">
        <f t="shared" si="62"/>
        <v>0</v>
      </c>
      <c r="Q144" s="506">
        <f t="shared" si="62"/>
        <v>0</v>
      </c>
      <c r="R144" s="506">
        <f t="shared" si="62"/>
        <v>0</v>
      </c>
      <c r="S144" s="506">
        <f t="shared" si="62"/>
        <v>0</v>
      </c>
      <c r="T144" s="506">
        <f t="shared" si="62"/>
        <v>0</v>
      </c>
      <c r="U144" s="506">
        <f t="shared" si="62"/>
        <v>0</v>
      </c>
      <c r="V144" s="506">
        <f t="shared" si="62"/>
        <v>0</v>
      </c>
      <c r="W144" s="506">
        <f t="shared" si="62"/>
        <v>0</v>
      </c>
      <c r="X144" s="506">
        <f t="shared" si="62"/>
        <v>0</v>
      </c>
      <c r="Y144" s="506">
        <f t="shared" si="62"/>
        <v>0</v>
      </c>
      <c r="Z144" s="506">
        <f t="shared" si="62"/>
        <v>0</v>
      </c>
      <c r="AA144" s="506">
        <f t="shared" si="62"/>
        <v>0</v>
      </c>
      <c r="AB144" s="138"/>
      <c r="AC144" s="136"/>
      <c r="AD144" s="506">
        <f>AD41+AD51+AD61+AD71+AD80-AD87</f>
        <v>0</v>
      </c>
      <c r="AE144" s="138"/>
      <c r="AF144" s="134"/>
      <c r="AG144" s="506">
        <f>AG41+AG51+AG61+AG71+AG80-AG87</f>
        <v>0</v>
      </c>
      <c r="AH144" s="138"/>
      <c r="AI144" s="134"/>
    </row>
    <row r="145" spans="1:35" x14ac:dyDescent="0.25">
      <c r="A145" s="11"/>
      <c r="B145" s="11"/>
      <c r="C145" s="204"/>
      <c r="D145" s="11"/>
      <c r="E145" s="11"/>
      <c r="F145" s="11"/>
      <c r="G145" s="11"/>
      <c r="H145" s="181"/>
      <c r="I145" s="118"/>
      <c r="J145" s="118"/>
      <c r="K145" s="11"/>
      <c r="L145" s="11"/>
      <c r="M145" s="11"/>
      <c r="N145" s="100" t="str">
        <f>N88&amp;" - Check"</f>
        <v>Total Average Check - Check</v>
      </c>
      <c r="O145" s="505" t="e">
        <f t="shared" ref="O145:AA145" si="63">IFERROR(O$85/O87,"")-O88</f>
        <v>#VALUE!</v>
      </c>
      <c r="P145" s="505" t="e">
        <f t="shared" si="63"/>
        <v>#VALUE!</v>
      </c>
      <c r="Q145" s="505" t="e">
        <f t="shared" si="63"/>
        <v>#VALUE!</v>
      </c>
      <c r="R145" s="505" t="e">
        <f t="shared" si="63"/>
        <v>#VALUE!</v>
      </c>
      <c r="S145" s="505" t="e">
        <f t="shared" si="63"/>
        <v>#VALUE!</v>
      </c>
      <c r="T145" s="505" t="e">
        <f t="shared" si="63"/>
        <v>#VALUE!</v>
      </c>
      <c r="U145" s="505" t="e">
        <f t="shared" si="63"/>
        <v>#VALUE!</v>
      </c>
      <c r="V145" s="505" t="e">
        <f t="shared" si="63"/>
        <v>#VALUE!</v>
      </c>
      <c r="W145" s="505" t="e">
        <f t="shared" si="63"/>
        <v>#VALUE!</v>
      </c>
      <c r="X145" s="505" t="e">
        <f t="shared" si="63"/>
        <v>#VALUE!</v>
      </c>
      <c r="Y145" s="505" t="e">
        <f t="shared" si="63"/>
        <v>#VALUE!</v>
      </c>
      <c r="Z145" s="505" t="e">
        <f t="shared" si="63"/>
        <v>#VALUE!</v>
      </c>
      <c r="AA145" s="505" t="e">
        <f t="shared" si="63"/>
        <v>#VALUE!</v>
      </c>
      <c r="AB145" s="138"/>
      <c r="AC145" s="136"/>
      <c r="AD145" s="505" t="e">
        <f>IFERROR(AD$85/AD87,"")-AD88</f>
        <v>#VALUE!</v>
      </c>
      <c r="AE145" s="138"/>
      <c r="AF145" s="134"/>
      <c r="AG145" s="505" t="e">
        <f>IFERROR(AG$85/AG87,"")-AG88</f>
        <v>#VALUE!</v>
      </c>
      <c r="AH145" s="138"/>
      <c r="AI145" s="134"/>
    </row>
    <row r="146" spans="1:35" x14ac:dyDescent="0.25">
      <c r="A146" s="11"/>
      <c r="B146" s="11"/>
      <c r="C146" s="204"/>
      <c r="D146" s="11"/>
      <c r="E146" s="11"/>
      <c r="F146" s="11"/>
      <c r="G146" s="11"/>
      <c r="H146" s="181"/>
      <c r="I146" s="118"/>
      <c r="J146" s="118"/>
      <c r="K146" s="11"/>
      <c r="L146" s="11"/>
      <c r="M146" s="11"/>
      <c r="N146" s="100" t="s">
        <v>769</v>
      </c>
      <c r="O146" s="506">
        <f t="shared" ref="O146:AA146" si="64">(O130+O132)-O140</f>
        <v>0</v>
      </c>
      <c r="P146" s="506">
        <f t="shared" si="64"/>
        <v>0</v>
      </c>
      <c r="Q146" s="506">
        <f t="shared" si="64"/>
        <v>0</v>
      </c>
      <c r="R146" s="506">
        <f t="shared" si="64"/>
        <v>0</v>
      </c>
      <c r="S146" s="506">
        <f t="shared" si="64"/>
        <v>0</v>
      </c>
      <c r="T146" s="506">
        <f t="shared" si="64"/>
        <v>0</v>
      </c>
      <c r="U146" s="506">
        <f t="shared" si="64"/>
        <v>0</v>
      </c>
      <c r="V146" s="506">
        <f t="shared" si="64"/>
        <v>0</v>
      </c>
      <c r="W146" s="506">
        <f t="shared" si="64"/>
        <v>0</v>
      </c>
      <c r="X146" s="506">
        <f t="shared" si="64"/>
        <v>0</v>
      </c>
      <c r="Y146" s="506">
        <f t="shared" si="64"/>
        <v>0</v>
      </c>
      <c r="Z146" s="506">
        <f t="shared" si="64"/>
        <v>0</v>
      </c>
      <c r="AA146" s="506">
        <f t="shared" si="64"/>
        <v>0</v>
      </c>
      <c r="AB146" s="138"/>
      <c r="AC146" s="136"/>
      <c r="AD146" s="506">
        <f>(AD130+AD132)-AD140</f>
        <v>0</v>
      </c>
      <c r="AE146" s="138"/>
      <c r="AF146" s="134"/>
      <c r="AG146" s="506">
        <f>(AG130+AG132)-AG140</f>
        <v>0</v>
      </c>
      <c r="AH146" s="138"/>
      <c r="AI146" s="134"/>
    </row>
    <row r="147" spans="1:35" x14ac:dyDescent="0.25">
      <c r="A147" s="11"/>
      <c r="B147" s="11"/>
      <c r="C147" s="204"/>
      <c r="D147" s="11"/>
      <c r="E147" s="11"/>
      <c r="F147" s="11"/>
      <c r="G147" s="11"/>
      <c r="H147" s="11"/>
      <c r="I147" s="55"/>
      <c r="J147" s="55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</row>
    <row r="148" spans="1:35" x14ac:dyDescent="0.25">
      <c r="A148" s="11"/>
      <c r="B148" s="11"/>
      <c r="C148" s="204"/>
      <c r="D148" s="11"/>
      <c r="E148" s="11"/>
      <c r="F148" s="11"/>
      <c r="G148" s="11"/>
      <c r="H148" s="11"/>
      <c r="I148" s="55"/>
      <c r="J148" s="55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</row>
    <row r="149" spans="1:35" x14ac:dyDescent="0.25">
      <c r="A149" s="11"/>
      <c r="B149" s="11"/>
      <c r="C149" s="204"/>
      <c r="D149" s="11"/>
      <c r="E149" s="11"/>
      <c r="F149" s="11"/>
      <c r="G149" s="11"/>
      <c r="H149" s="11"/>
      <c r="I149" s="55"/>
      <c r="J149" s="55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</row>
    <row r="150" spans="1:35" x14ac:dyDescent="0.25">
      <c r="A150" s="11"/>
      <c r="B150" s="11"/>
      <c r="C150" s="204"/>
      <c r="D150" s="11"/>
      <c r="E150" s="11"/>
      <c r="F150" s="11"/>
      <c r="G150" s="11"/>
      <c r="H150" s="11"/>
      <c r="I150" s="55"/>
      <c r="J150" s="55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</row>
    <row r="151" spans="1:35" x14ac:dyDescent="0.25">
      <c r="A151" s="11"/>
      <c r="B151" s="11"/>
      <c r="C151" s="204"/>
      <c r="D151" s="11"/>
      <c r="E151" s="11"/>
      <c r="F151" s="11"/>
      <c r="G151" s="11"/>
      <c r="H151" s="11"/>
      <c r="I151" s="55"/>
      <c r="J151" s="55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</row>
    <row r="152" spans="1:35" x14ac:dyDescent="0.25">
      <c r="A152" s="11"/>
      <c r="B152" s="11"/>
      <c r="C152" s="204"/>
      <c r="D152" s="11"/>
      <c r="E152" s="11"/>
      <c r="F152" s="11"/>
      <c r="G152" s="11"/>
      <c r="H152" s="11"/>
      <c r="I152" s="55"/>
      <c r="J152" s="55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</row>
    <row r="153" spans="1:35" x14ac:dyDescent="0.25">
      <c r="A153" s="11"/>
      <c r="B153" s="11"/>
      <c r="C153" s="204"/>
      <c r="D153" s="11"/>
      <c r="E153" s="11"/>
      <c r="F153" s="11"/>
      <c r="G153" s="11"/>
      <c r="H153" s="11"/>
      <c r="I153" s="55"/>
      <c r="J153" s="55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</row>
    <row r="154" spans="1:35" x14ac:dyDescent="0.25">
      <c r="A154" s="11"/>
      <c r="B154" s="11"/>
      <c r="C154" s="11"/>
      <c r="D154" s="11"/>
      <c r="E154" s="11"/>
      <c r="F154" s="11"/>
      <c r="G154" s="11"/>
      <c r="H154" s="11"/>
      <c r="I154" s="55"/>
      <c r="J154" s="55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</row>
    <row r="155" spans="1:35" x14ac:dyDescent="0.25">
      <c r="A155" s="11"/>
      <c r="B155" s="11"/>
      <c r="C155" s="11"/>
      <c r="D155" s="11"/>
      <c r="E155" s="11"/>
      <c r="F155" s="11"/>
      <c r="G155" s="11"/>
      <c r="H155" s="11"/>
      <c r="I155" s="55"/>
      <c r="J155" s="55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</row>
    <row r="156" spans="1:35" x14ac:dyDescent="0.25">
      <c r="A156" s="11"/>
      <c r="B156" s="11"/>
      <c r="C156" s="11"/>
      <c r="D156" s="11"/>
      <c r="E156" s="11"/>
      <c r="F156" s="11"/>
      <c r="G156" s="11"/>
      <c r="H156" s="11"/>
      <c r="I156" s="55"/>
      <c r="J156" s="55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</row>
    <row r="157" spans="1:35" x14ac:dyDescent="0.25">
      <c r="A157" s="11"/>
      <c r="B157" s="11"/>
      <c r="C157" s="11"/>
      <c r="D157" s="11"/>
      <c r="E157" s="11"/>
      <c r="F157" s="11"/>
      <c r="G157" s="11"/>
      <c r="H157" s="11"/>
      <c r="I157" s="55"/>
      <c r="J157" s="55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</row>
    <row r="158" spans="1:35" x14ac:dyDescent="0.25">
      <c r="A158" s="11"/>
      <c r="B158" s="11"/>
      <c r="C158" s="11"/>
      <c r="D158" s="11"/>
      <c r="E158" s="11"/>
      <c r="F158" s="11"/>
      <c r="G158" s="11"/>
      <c r="H158" s="11"/>
      <c r="I158" s="55"/>
      <c r="J158" s="55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</row>
    <row r="159" spans="1:35" x14ac:dyDescent="0.25">
      <c r="A159" s="11"/>
      <c r="B159" s="11"/>
      <c r="C159" s="11"/>
      <c r="D159" s="11"/>
      <c r="E159" s="11"/>
      <c r="F159" s="11"/>
      <c r="G159" s="11"/>
      <c r="H159" s="11"/>
      <c r="I159" s="55"/>
      <c r="J159" s="55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</row>
    <row r="160" spans="1:35" x14ac:dyDescent="0.25">
      <c r="A160" s="11"/>
      <c r="B160" s="11"/>
      <c r="C160" s="11"/>
      <c r="D160" s="11"/>
      <c r="E160" s="11"/>
      <c r="F160" s="11"/>
      <c r="G160" s="11"/>
      <c r="H160" s="11"/>
      <c r="I160" s="55"/>
      <c r="J160" s="55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</row>
    <row r="161" spans="1:35" x14ac:dyDescent="0.25">
      <c r="A161" s="11"/>
      <c r="B161" s="11"/>
      <c r="C161" s="11"/>
      <c r="D161" s="11"/>
      <c r="E161" s="11"/>
      <c r="F161" s="11"/>
      <c r="G161" s="11"/>
      <c r="H161" s="11"/>
      <c r="I161" s="55"/>
      <c r="J161" s="55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</row>
    <row r="162" spans="1:35" x14ac:dyDescent="0.25">
      <c r="A162" s="11"/>
      <c r="B162" s="11"/>
      <c r="C162" s="11"/>
      <c r="D162" s="11"/>
      <c r="E162" s="11"/>
      <c r="F162" s="11"/>
      <c r="G162" s="11"/>
      <c r="H162" s="11"/>
      <c r="I162" s="55"/>
      <c r="J162" s="55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</row>
    <row r="163" spans="1:35" x14ac:dyDescent="0.25">
      <c r="A163" s="11"/>
      <c r="B163" s="11"/>
      <c r="C163" s="11"/>
      <c r="D163" s="11"/>
      <c r="E163" s="11"/>
      <c r="F163" s="11"/>
      <c r="G163" s="11"/>
      <c r="H163" s="11"/>
      <c r="I163" s="55"/>
      <c r="J163" s="55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</row>
    <row r="164" spans="1:35" x14ac:dyDescent="0.25">
      <c r="A164" s="11"/>
      <c r="B164" s="11"/>
      <c r="C164" s="11"/>
      <c r="D164" s="11"/>
      <c r="E164" s="11"/>
      <c r="F164" s="11"/>
      <c r="G164" s="11"/>
      <c r="H164" s="11"/>
      <c r="I164" s="55"/>
      <c r="J164" s="55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</row>
    <row r="165" spans="1:35" x14ac:dyDescent="0.25">
      <c r="A165" s="11"/>
      <c r="B165" s="11"/>
      <c r="C165" s="11"/>
      <c r="D165" s="11"/>
      <c r="E165" s="11"/>
      <c r="F165" s="11"/>
      <c r="G165" s="11"/>
      <c r="H165" s="11"/>
      <c r="I165" s="55"/>
      <c r="J165" s="55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</row>
    <row r="166" spans="1:35" x14ac:dyDescent="0.25">
      <c r="A166" s="11"/>
      <c r="B166" s="11"/>
      <c r="C166" s="11"/>
      <c r="D166" s="11"/>
      <c r="E166" s="11"/>
      <c r="F166" s="11"/>
      <c r="G166" s="11"/>
      <c r="H166" s="11"/>
      <c r="I166" s="55"/>
      <c r="J166" s="55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</row>
    <row r="167" spans="1:35" x14ac:dyDescent="0.25">
      <c r="A167" s="11"/>
      <c r="B167" s="11"/>
      <c r="C167" s="11"/>
      <c r="D167" s="11"/>
      <c r="E167" s="11"/>
      <c r="F167" s="11"/>
      <c r="G167" s="11"/>
      <c r="H167" s="11"/>
      <c r="I167" s="55"/>
      <c r="J167" s="55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</row>
    <row r="168" spans="1:35" x14ac:dyDescent="0.25">
      <c r="A168" s="11"/>
      <c r="B168" s="11"/>
      <c r="C168" s="11"/>
      <c r="D168" s="11"/>
      <c r="E168" s="11"/>
      <c r="F168" s="11"/>
      <c r="G168" s="11"/>
      <c r="H168" s="11"/>
      <c r="I168" s="55"/>
      <c r="J168" s="55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</row>
    <row r="169" spans="1:35" x14ac:dyDescent="0.25">
      <c r="A169" s="11"/>
      <c r="B169" s="11"/>
      <c r="C169" s="11"/>
      <c r="D169" s="11"/>
      <c r="E169" s="11"/>
      <c r="F169" s="11"/>
      <c r="G169" s="11"/>
      <c r="H169" s="11"/>
      <c r="I169" s="263"/>
      <c r="J169" s="11"/>
      <c r="K169" s="263"/>
      <c r="L169" s="263"/>
      <c r="M169" s="263"/>
      <c r="N169" s="11"/>
      <c r="O169" s="263"/>
      <c r="P169" s="263"/>
      <c r="Q169" s="263"/>
      <c r="R169" s="263"/>
      <c r="S169" s="263"/>
      <c r="T169" s="263"/>
      <c r="U169" s="263"/>
      <c r="V169" s="263"/>
      <c r="W169" s="263"/>
      <c r="X169" s="263"/>
      <c r="Y169" s="263"/>
      <c r="Z169" s="263"/>
      <c r="AA169" s="263"/>
      <c r="AB169" s="11"/>
      <c r="AC169" s="11"/>
      <c r="AD169" s="263"/>
      <c r="AE169" s="11"/>
      <c r="AF169" s="263"/>
      <c r="AG169" s="11"/>
      <c r="AH169" s="263"/>
      <c r="AI169" s="11"/>
    </row>
    <row r="170" spans="1:35" x14ac:dyDescent="0.25">
      <c r="A170" s="11"/>
      <c r="B170" s="11"/>
      <c r="C170" s="11"/>
      <c r="D170" s="11"/>
      <c r="E170" s="11"/>
      <c r="F170" s="11"/>
      <c r="G170" s="11"/>
      <c r="H170" s="11"/>
      <c r="I170" s="55"/>
      <c r="J170" s="55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</row>
    <row r="171" spans="1:35" x14ac:dyDescent="0.25">
      <c r="A171" s="11"/>
      <c r="B171" s="11"/>
      <c r="C171" s="11"/>
      <c r="D171" s="11"/>
      <c r="E171" s="11"/>
      <c r="F171" s="11"/>
      <c r="G171" s="11"/>
      <c r="H171" s="11"/>
      <c r="I171" s="55"/>
      <c r="J171" s="55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</row>
    <row r="172" spans="1:35" x14ac:dyDescent="0.25">
      <c r="A172" s="11"/>
      <c r="B172" s="11"/>
      <c r="C172" s="11"/>
      <c r="D172" s="11"/>
      <c r="E172" s="11"/>
      <c r="F172" s="11"/>
      <c r="G172" s="11"/>
      <c r="H172" s="11"/>
      <c r="I172" s="55"/>
      <c r="J172" s="55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</row>
    <row r="173" spans="1:35" x14ac:dyDescent="0.25">
      <c r="A173" s="11"/>
      <c r="B173" s="11"/>
      <c r="C173" s="11"/>
      <c r="D173" s="11"/>
      <c r="E173" s="11"/>
      <c r="F173" s="11"/>
      <c r="G173" s="11"/>
      <c r="H173" s="11"/>
      <c r="I173" s="263"/>
      <c r="J173" s="11"/>
      <c r="K173" s="263"/>
      <c r="L173" s="263"/>
      <c r="M173" s="263"/>
      <c r="N173" s="11"/>
      <c r="O173" s="263"/>
      <c r="P173" s="263"/>
      <c r="Q173" s="263"/>
      <c r="R173" s="263"/>
      <c r="S173" s="263"/>
      <c r="T173" s="263"/>
      <c r="U173" s="263"/>
      <c r="V173" s="263"/>
      <c r="W173" s="263"/>
      <c r="X173" s="263"/>
      <c r="Y173" s="263"/>
      <c r="Z173" s="263"/>
      <c r="AA173" s="263"/>
      <c r="AB173" s="11"/>
      <c r="AC173" s="11"/>
      <c r="AD173" s="263"/>
      <c r="AE173" s="11"/>
      <c r="AF173" s="263"/>
      <c r="AG173" s="11"/>
      <c r="AH173" s="263"/>
      <c r="AI173" s="11"/>
    </row>
    <row r="174" spans="1:35" x14ac:dyDescent="0.25">
      <c r="A174" s="11"/>
      <c r="B174" s="11"/>
      <c r="C174" s="11"/>
      <c r="D174" s="11"/>
      <c r="E174" s="11"/>
      <c r="F174" s="11"/>
      <c r="G174" s="11"/>
      <c r="H174" s="11"/>
      <c r="I174" s="55"/>
      <c r="J174" s="55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</row>
    <row r="175" spans="1:35" x14ac:dyDescent="0.25">
      <c r="A175" s="11"/>
      <c r="B175" s="11"/>
      <c r="C175" s="11"/>
      <c r="D175" s="11"/>
      <c r="E175" s="11"/>
      <c r="F175" s="11"/>
      <c r="G175" s="11"/>
      <c r="H175" s="11"/>
      <c r="I175" s="55"/>
      <c r="J175" s="55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</row>
    <row r="176" spans="1:35" x14ac:dyDescent="0.25">
      <c r="A176" s="11"/>
      <c r="B176" s="11"/>
      <c r="C176" s="11"/>
      <c r="D176" s="11"/>
      <c r="E176" s="11"/>
      <c r="F176" s="11"/>
      <c r="G176" s="11"/>
      <c r="H176" s="11"/>
      <c r="I176" s="55"/>
      <c r="J176" s="55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</row>
    <row r="177" spans="1:35" x14ac:dyDescent="0.25">
      <c r="A177" s="11"/>
      <c r="B177" s="11"/>
      <c r="C177" s="11"/>
      <c r="D177" s="11"/>
      <c r="E177" s="11"/>
      <c r="F177" s="11"/>
      <c r="G177" s="11"/>
      <c r="H177" s="11"/>
      <c r="I177" s="55"/>
      <c r="J177" s="55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</row>
    <row r="178" spans="1:35" x14ac:dyDescent="0.25">
      <c r="A178" s="11"/>
      <c r="B178" s="11"/>
      <c r="C178" s="11"/>
      <c r="D178" s="11"/>
      <c r="E178" s="11"/>
      <c r="F178" s="11"/>
      <c r="G178" s="11"/>
      <c r="H178" s="11"/>
      <c r="I178" s="55"/>
      <c r="J178" s="55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</row>
    <row r="179" spans="1:35" x14ac:dyDescent="0.25">
      <c r="A179" s="11"/>
      <c r="B179" s="11"/>
      <c r="C179" s="11"/>
      <c r="D179" s="11"/>
      <c r="E179" s="11"/>
      <c r="F179" s="11"/>
      <c r="G179" s="11"/>
      <c r="H179" s="11"/>
      <c r="I179" s="55"/>
      <c r="J179" s="55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</row>
    <row r="180" spans="1:35" x14ac:dyDescent="0.25">
      <c r="A180" s="11"/>
      <c r="B180" s="11"/>
      <c r="C180" s="11"/>
      <c r="D180" s="11"/>
      <c r="E180" s="11"/>
      <c r="F180" s="11"/>
      <c r="G180" s="11"/>
      <c r="H180" s="11"/>
      <c r="I180" s="55"/>
      <c r="J180" s="55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</row>
    <row r="181" spans="1:35" x14ac:dyDescent="0.25">
      <c r="A181" s="11"/>
      <c r="B181" s="11"/>
      <c r="C181" s="11"/>
      <c r="D181" s="11"/>
      <c r="E181" s="11"/>
      <c r="F181" s="11"/>
      <c r="G181" s="11"/>
      <c r="H181" s="11"/>
      <c r="I181" s="55"/>
      <c r="J181" s="55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</row>
    <row r="182" spans="1:35" x14ac:dyDescent="0.25">
      <c r="A182" s="11"/>
      <c r="B182" s="11"/>
      <c r="C182" s="11"/>
      <c r="D182" s="11"/>
      <c r="E182" s="11"/>
      <c r="F182" s="11"/>
      <c r="G182" s="11"/>
      <c r="H182" s="11"/>
      <c r="I182" s="55"/>
      <c r="J182" s="55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</row>
    <row r="183" spans="1:35" x14ac:dyDescent="0.25">
      <c r="A183" s="11"/>
      <c r="B183" s="11"/>
      <c r="C183" s="11"/>
      <c r="D183" s="11"/>
      <c r="E183" s="11"/>
      <c r="F183" s="11"/>
      <c r="G183" s="11"/>
      <c r="H183" s="11"/>
      <c r="I183" s="55"/>
      <c r="J183" s="55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</row>
    <row r="184" spans="1:35" x14ac:dyDescent="0.25">
      <c r="A184" s="11"/>
      <c r="B184" s="11"/>
      <c r="C184" s="11"/>
      <c r="D184" s="11"/>
      <c r="E184" s="11"/>
      <c r="F184" s="11"/>
      <c r="G184" s="11"/>
      <c r="H184" s="11"/>
      <c r="I184" s="55"/>
      <c r="J184" s="55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</row>
    <row r="185" spans="1:35" x14ac:dyDescent="0.25">
      <c r="A185" s="11"/>
      <c r="B185" s="11"/>
      <c r="C185" s="11"/>
      <c r="D185" s="11"/>
      <c r="E185" s="11"/>
      <c r="F185" s="11"/>
      <c r="G185" s="11"/>
      <c r="H185" s="11"/>
      <c r="I185" s="55"/>
      <c r="J185" s="55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</row>
    <row r="186" spans="1:35" x14ac:dyDescent="0.25">
      <c r="A186" s="11"/>
      <c r="B186" s="11"/>
      <c r="C186" s="11"/>
      <c r="D186" s="11"/>
      <c r="E186" s="11"/>
      <c r="F186" s="11"/>
      <c r="G186" s="11"/>
      <c r="H186" s="11"/>
      <c r="I186" s="55"/>
      <c r="J186" s="55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</row>
    <row r="187" spans="1:35" x14ac:dyDescent="0.25">
      <c r="A187" s="11"/>
      <c r="B187" s="11"/>
      <c r="C187" s="11"/>
      <c r="D187" s="11"/>
      <c r="E187" s="11"/>
      <c r="F187" s="11"/>
      <c r="G187" s="11"/>
      <c r="H187" s="11"/>
      <c r="I187" s="55"/>
      <c r="J187" s="55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</row>
    <row r="188" spans="1:35" x14ac:dyDescent="0.25">
      <c r="A188" s="11"/>
      <c r="B188" s="11"/>
      <c r="C188" s="11"/>
      <c r="D188" s="11"/>
      <c r="E188" s="11"/>
      <c r="F188" s="11"/>
      <c r="G188" s="11"/>
      <c r="H188" s="11"/>
      <c r="I188" s="55"/>
      <c r="J188" s="55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</row>
    <row r="189" spans="1:35" x14ac:dyDescent="0.25">
      <c r="A189" s="11"/>
      <c r="B189" s="11"/>
      <c r="C189" s="11"/>
      <c r="D189" s="11"/>
      <c r="E189" s="11"/>
      <c r="F189" s="11"/>
      <c r="G189" s="11"/>
      <c r="H189" s="11"/>
      <c r="I189" s="55"/>
      <c r="J189" s="55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</row>
    <row r="190" spans="1:35" x14ac:dyDescent="0.25">
      <c r="A190" s="11"/>
      <c r="B190" s="11"/>
      <c r="C190" s="11"/>
      <c r="D190" s="11"/>
      <c r="E190" s="11"/>
      <c r="F190" s="11"/>
      <c r="G190" s="11"/>
      <c r="H190" s="11"/>
      <c r="I190" s="55"/>
      <c r="J190" s="55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</row>
    <row r="191" spans="1:35" x14ac:dyDescent="0.25">
      <c r="A191" s="11"/>
      <c r="B191" s="11"/>
      <c r="C191" s="11"/>
      <c r="D191" s="11"/>
      <c r="E191" s="11"/>
      <c r="F191" s="11"/>
      <c r="G191" s="11"/>
      <c r="H191" s="11"/>
      <c r="I191" s="55"/>
      <c r="J191" s="55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</row>
    <row r="192" spans="1:35" x14ac:dyDescent="0.25">
      <c r="A192" s="11"/>
      <c r="B192" s="11"/>
      <c r="C192" s="11"/>
      <c r="D192" s="11"/>
      <c r="E192" s="11"/>
      <c r="F192" s="11"/>
      <c r="G192" s="11"/>
      <c r="H192" s="11"/>
      <c r="I192" s="55"/>
      <c r="J192" s="55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</row>
    <row r="193" spans="1:35" x14ac:dyDescent="0.25">
      <c r="A193" s="11"/>
      <c r="B193" s="11"/>
      <c r="C193" s="11"/>
      <c r="D193" s="11"/>
      <c r="E193" s="11"/>
      <c r="F193" s="11"/>
      <c r="G193" s="11"/>
      <c r="H193" s="11"/>
      <c r="I193" s="55"/>
      <c r="J193" s="55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</row>
    <row r="194" spans="1:35" x14ac:dyDescent="0.25">
      <c r="A194" s="11"/>
      <c r="B194" s="11"/>
      <c r="C194" s="11"/>
      <c r="D194" s="11"/>
      <c r="E194" s="11"/>
      <c r="F194" s="11"/>
      <c r="G194" s="11"/>
      <c r="H194" s="11"/>
      <c r="I194" s="55"/>
      <c r="J194" s="55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</row>
    <row r="195" spans="1:35" x14ac:dyDescent="0.25">
      <c r="A195" s="11"/>
      <c r="B195" s="11"/>
      <c r="C195" s="11"/>
      <c r="D195" s="11"/>
      <c r="E195" s="11"/>
      <c r="F195" s="11"/>
      <c r="G195" s="11"/>
      <c r="H195" s="11"/>
      <c r="I195" s="55"/>
      <c r="J195" s="55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</row>
    <row r="196" spans="1:35" x14ac:dyDescent="0.25">
      <c r="A196" s="11"/>
      <c r="B196" s="11"/>
      <c r="C196" s="11"/>
      <c r="D196" s="11"/>
      <c r="E196" s="11"/>
      <c r="F196" s="11"/>
      <c r="G196" s="11"/>
      <c r="H196" s="11"/>
      <c r="I196" s="55"/>
      <c r="J196" s="55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</row>
    <row r="197" spans="1:35" x14ac:dyDescent="0.25">
      <c r="A197" s="11"/>
      <c r="B197" s="11"/>
      <c r="C197" s="11"/>
      <c r="D197" s="11"/>
      <c r="E197" s="11"/>
      <c r="F197" s="11"/>
      <c r="G197" s="11"/>
      <c r="H197" s="11"/>
      <c r="I197" s="55"/>
      <c r="J197" s="55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</row>
    <row r="198" spans="1:35" x14ac:dyDescent="0.25">
      <c r="A198" s="11"/>
      <c r="B198" s="11"/>
      <c r="C198" s="11"/>
      <c r="D198" s="11"/>
      <c r="E198" s="11"/>
      <c r="F198" s="11"/>
      <c r="G198" s="11"/>
      <c r="H198" s="11"/>
      <c r="I198" s="55"/>
      <c r="J198" s="55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</row>
    <row r="199" spans="1:35" x14ac:dyDescent="0.25">
      <c r="A199" s="11"/>
      <c r="B199" s="11"/>
      <c r="C199" s="11"/>
      <c r="D199" s="11"/>
      <c r="E199" s="11"/>
      <c r="F199" s="11"/>
      <c r="G199" s="11"/>
      <c r="H199" s="11"/>
      <c r="I199" s="55"/>
      <c r="J199" s="55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</row>
    <row r="200" spans="1:35" x14ac:dyDescent="0.25">
      <c r="A200" s="11"/>
      <c r="B200" s="11"/>
      <c r="C200" s="11"/>
      <c r="D200" s="11"/>
      <c r="E200" s="11"/>
      <c r="F200" s="11"/>
      <c r="G200" s="11"/>
      <c r="H200" s="11"/>
      <c r="I200" s="55"/>
      <c r="J200" s="55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</row>
    <row r="201" spans="1:35" x14ac:dyDescent="0.25">
      <c r="A201" s="11"/>
      <c r="B201" s="11"/>
      <c r="C201" s="11"/>
      <c r="D201" s="11"/>
      <c r="E201" s="11"/>
      <c r="F201" s="11"/>
      <c r="G201" s="11"/>
      <c r="H201" s="11"/>
      <c r="I201" s="55"/>
      <c r="J201" s="55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</row>
    <row r="202" spans="1:35" x14ac:dyDescent="0.25">
      <c r="A202" s="11"/>
      <c r="B202" s="11"/>
      <c r="C202" s="11"/>
      <c r="D202" s="11"/>
      <c r="E202" s="11"/>
      <c r="F202" s="11"/>
      <c r="G202" s="11"/>
      <c r="H202" s="11"/>
      <c r="I202" s="55"/>
      <c r="J202" s="55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</row>
    <row r="203" spans="1:35" x14ac:dyDescent="0.25">
      <c r="A203" s="11"/>
      <c r="B203" s="11"/>
      <c r="C203" s="11"/>
      <c r="D203" s="11"/>
      <c r="E203" s="11"/>
      <c r="F203" s="11"/>
      <c r="G203" s="11"/>
      <c r="H203" s="11"/>
      <c r="I203" s="55"/>
      <c r="J203" s="55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</row>
    <row r="204" spans="1:35" x14ac:dyDescent="0.25">
      <c r="A204" s="11"/>
      <c r="B204" s="11"/>
      <c r="C204" s="11"/>
      <c r="D204" s="11"/>
      <c r="E204" s="11"/>
      <c r="F204" s="11"/>
      <c r="G204" s="11"/>
      <c r="H204" s="11"/>
      <c r="I204" s="55"/>
      <c r="J204" s="55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</row>
    <row r="205" spans="1:35" x14ac:dyDescent="0.25">
      <c r="A205" s="11"/>
      <c r="B205" s="11"/>
      <c r="C205" s="11"/>
      <c r="D205" s="11"/>
      <c r="E205" s="11"/>
      <c r="F205" s="11"/>
      <c r="G205" s="11"/>
      <c r="H205" s="11"/>
      <c r="I205" s="55"/>
      <c r="J205" s="55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</row>
    <row r="206" spans="1:35" x14ac:dyDescent="0.25">
      <c r="A206" s="11"/>
      <c r="B206" s="11"/>
      <c r="C206" s="11"/>
      <c r="D206" s="11"/>
      <c r="E206" s="11"/>
      <c r="F206" s="11"/>
      <c r="G206" s="11"/>
      <c r="H206" s="11"/>
      <c r="I206" s="55"/>
      <c r="J206" s="55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</row>
    <row r="207" spans="1:35" x14ac:dyDescent="0.25">
      <c r="A207" s="11"/>
      <c r="B207" s="11"/>
      <c r="C207" s="11"/>
      <c r="D207" s="11"/>
      <c r="E207" s="263"/>
      <c r="F207" s="11"/>
      <c r="G207" s="11"/>
      <c r="H207" s="11"/>
      <c r="I207" s="55"/>
      <c r="J207" s="55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</row>
    <row r="208" spans="1:35" x14ac:dyDescent="0.25">
      <c r="A208" s="11"/>
      <c r="B208" s="11"/>
      <c r="C208" s="11"/>
      <c r="D208" s="11"/>
      <c r="E208" s="11"/>
      <c r="F208" s="11"/>
      <c r="G208" s="11"/>
      <c r="H208" s="11"/>
      <c r="I208" s="55"/>
      <c r="J208" s="55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</row>
    <row r="209" spans="1:35" x14ac:dyDescent="0.25">
      <c r="A209" s="11"/>
      <c r="B209" s="11"/>
      <c r="C209" s="11"/>
      <c r="D209" s="11"/>
      <c r="E209" s="11"/>
      <c r="F209" s="11"/>
      <c r="G209" s="11"/>
      <c r="H209" s="11"/>
      <c r="I209" s="55"/>
      <c r="J209" s="55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</row>
    <row r="210" spans="1:35" x14ac:dyDescent="0.25">
      <c r="A210" s="11"/>
      <c r="B210" s="11"/>
      <c r="C210" s="11"/>
      <c r="D210" s="11"/>
      <c r="E210" s="11"/>
      <c r="F210" s="11"/>
      <c r="G210" s="11"/>
      <c r="H210" s="11"/>
      <c r="I210" s="55"/>
      <c r="J210" s="55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</row>
    <row r="211" spans="1:35" x14ac:dyDescent="0.25">
      <c r="A211" s="11"/>
      <c r="B211" s="11"/>
      <c r="C211" s="11"/>
      <c r="D211" s="11"/>
      <c r="E211" s="263"/>
      <c r="F211" s="11"/>
      <c r="G211" s="11"/>
      <c r="H211" s="11"/>
      <c r="I211" s="55"/>
      <c r="J211" s="55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</row>
  </sheetData>
  <sheetProtection algorithmName="SHA-512" hashValue="4EawFv3FBIrGhRnUI2Q8MW32VDQxwP3teY/lkpC6VN3gF+gqTt14hRmR/2vvBpIhRrmhy1ykBo6ja572hY8GVQ==" saltValue="RDoeiLgY+WI6/BFJsgLVQg==" spinCount="100000" sheet="1" scenarios="1"/>
  <mergeCells count="2">
    <mergeCell ref="AD31:AE31"/>
    <mergeCell ref="AG31:AH31"/>
  </mergeCells>
  <conditionalFormatting sqref="AD43 AF43:AG43 O43:AA43">
    <cfRule type="expression" dxfId="59" priority="15">
      <formula>ROUND(O42,2)&lt;&gt;ROUND(O43,2)</formula>
    </cfRule>
  </conditionalFormatting>
  <conditionalFormatting sqref="N43">
    <cfRule type="expression" dxfId="58" priority="14">
      <formula>$G43&lt;&gt;0</formula>
    </cfRule>
  </conditionalFormatting>
  <conditionalFormatting sqref="O53:AA53 AD53 AF53:AG53">
    <cfRule type="expression" dxfId="57" priority="13">
      <formula>ROUND(O52,2)&lt;&gt;ROUND(O53,2)</formula>
    </cfRule>
  </conditionalFormatting>
  <conditionalFormatting sqref="N53">
    <cfRule type="expression" dxfId="56" priority="12">
      <formula>$G53&lt;&gt;0</formula>
    </cfRule>
  </conditionalFormatting>
  <conditionalFormatting sqref="O63:AA63 AD63 AF63:AG63">
    <cfRule type="expression" dxfId="55" priority="11">
      <formula>ROUND(O62,2)&lt;&gt;ROUND(O63,2)</formula>
    </cfRule>
  </conditionalFormatting>
  <conditionalFormatting sqref="N63">
    <cfRule type="expression" dxfId="54" priority="10">
      <formula>$G63&lt;&gt;0</formula>
    </cfRule>
  </conditionalFormatting>
  <conditionalFormatting sqref="O73:AA73 AD73 AF73:AG73">
    <cfRule type="expression" dxfId="53" priority="9">
      <formula>ROUND(O72,2)&lt;&gt;ROUND(O73,2)</formula>
    </cfRule>
  </conditionalFormatting>
  <conditionalFormatting sqref="N73">
    <cfRule type="expression" dxfId="52" priority="8">
      <formula>$G73&lt;&gt;0</formula>
    </cfRule>
  </conditionalFormatting>
  <conditionalFormatting sqref="N82">
    <cfRule type="expression" dxfId="51" priority="7">
      <formula>$G82&lt;&gt;0</formula>
    </cfRule>
  </conditionalFormatting>
  <conditionalFormatting sqref="AD82 AF82:AG82 O82:AA82">
    <cfRule type="expression" dxfId="50" priority="6">
      <formula>ROUND(O81,2)&lt;&gt;ROUND(O82,2)</formula>
    </cfRule>
  </conditionalFormatting>
  <conditionalFormatting sqref="AI43">
    <cfRule type="expression" dxfId="49" priority="5">
      <formula>ROUND(AI42,2)&lt;&gt;ROUND(AI43,2)</formula>
    </cfRule>
  </conditionalFormatting>
  <conditionalFormatting sqref="AI53">
    <cfRule type="expression" dxfId="48" priority="4">
      <formula>ROUND(AI52,2)&lt;&gt;ROUND(AI53,2)</formula>
    </cfRule>
  </conditionalFormatting>
  <conditionalFormatting sqref="AI63">
    <cfRule type="expression" dxfId="47" priority="3">
      <formula>ROUND(AI62,2)&lt;&gt;ROUND(AI63,2)</formula>
    </cfRule>
  </conditionalFormatting>
  <conditionalFormatting sqref="AI73">
    <cfRule type="expression" dxfId="46" priority="2">
      <formula>ROUND(AI72,2)&lt;&gt;ROUND(AI73,2)</formula>
    </cfRule>
  </conditionalFormatting>
  <conditionalFormatting sqref="AI82">
    <cfRule type="expression" dxfId="45" priority="1">
      <formula>ROUND(AI81,2)&lt;&gt;ROUND(AI82,2)</formula>
    </cfRule>
  </conditionalFormatting>
  <dataValidations count="2">
    <dataValidation type="list" allowBlank="1" sqref="B28" xr:uid="{00000000-0002-0000-0E00-000000000000}">
      <formula1>"ACCOUNT,BUSINESSUNIT,CATEGORY,DATASRC,DEPARTMENT,INTCO,MEASURES,RPTCURRENCY,TIME"</formula1>
    </dataValidation>
    <dataValidation type="list" allowBlank="1" sqref="B29" xr:uid="{00000000-0002-0000-0E00-000001000000}">
      <formula1>"SELF,ALL,BAS,DEP,BASMEMBERS,MEMBERS,NOEXPAND,GDEP"</formula1>
    </dataValidation>
  </dataValidations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rowBreaks count="1" manualBreakCount="1">
    <brk id="95" min="13" max="34" man="1"/>
  </rowBreaks>
  <customProperties>
    <customPr name="EpmWorksheetKeyString_GUID" r:id="rId2"/>
    <customPr name="FPMExcelClientCellBasedFunctionStatus" r:id="rId3"/>
    <customPr name="FPMExcelClientRefreshTime" r:id="rId4"/>
  </customProperties>
  <legacyDrawing r:id="rId5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5">
    <tabColor theme="6" tint="0.39997558519241921"/>
    <pageSetUpPr fitToPage="1"/>
  </sheetPr>
  <dimension ref="A1:AO198"/>
  <sheetViews>
    <sheetView topLeftCell="K1" zoomScale="85" zoomScaleNormal="85" workbookViewId="0">
      <pane xSplit="4" ySplit="32" topLeftCell="O33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3" width="9.7109375" style="1" hidden="1" customWidth="1" outlineLevel="1"/>
    <col min="14" max="14" width="36.7109375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40" width="0" style="1" hidden="1" customWidth="1" outlineLevel="1"/>
    <col min="41" max="41" width="9.140625" style="1" collapsed="1"/>
    <col min="42" max="16384" width="9.140625" style="1"/>
  </cols>
  <sheetData>
    <row r="1" spans="1:41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517" t="s">
        <v>22</v>
      </c>
      <c r="H1" s="54" t="s">
        <v>729</v>
      </c>
      <c r="I1" s="11"/>
      <c r="J1" s="11"/>
      <c r="K1" s="11"/>
      <c r="L1" s="11"/>
      <c r="M1" s="11"/>
      <c r="N1" s="63" t="str">
        <f>IF(_epmOfflineCondition_,"Minnow Bar",IF(OR(_xll.EVCGT($B$1,$B$6,$H$1,$H$2,$H$3,$H$4,$H$5,$H$6,$H$7,$H$8)="#RFR",_xll.EVCGT($B$1,$B$6,$H$1,$H$2,$H$3,$H$4,$H$5,$H$6,$H$7,$H$8)="#NODATA"),"",_xll.EVCGT($B$1,$B$6,$H$1,$H$2,$H$3,$H$4,$H$5,$H$6,$H$7,$H$8)))</f>
        <v>Minnow Bar</v>
      </c>
      <c r="O1" s="11" t="s">
        <v>732</v>
      </c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</row>
    <row r="2" spans="1:41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517" t="s">
        <v>50</v>
      </c>
      <c r="H2" s="54" t="str">
        <f>"BU"&amp;RIGHT(B3,4)</f>
        <v>BU1334</v>
      </c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</row>
    <row r="3" spans="1:41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517" t="s">
        <v>19</v>
      </c>
      <c r="H3" s="54" t="s">
        <v>684</v>
      </c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517" t="s">
        <v>51</v>
      </c>
      <c r="H4" s="54" t="s">
        <v>731</v>
      </c>
      <c r="I4" s="55"/>
      <c r="J4" s="55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517" t="s">
        <v>53</v>
      </c>
      <c r="H5" s="54" t="s">
        <v>730</v>
      </c>
      <c r="I5" s="55"/>
      <c r="J5" s="55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idden="1" outlineLevel="1" x14ac:dyDescent="0.25">
      <c r="A6" s="49" t="s">
        <v>52</v>
      </c>
      <c r="B6" s="52" t="s">
        <v>735</v>
      </c>
      <c r="C6" s="11" t="str">
        <f>IF(_epmOfflineCondition_,"Venue (Bar)",_xll.EVDES(B6,$B$1))</f>
        <v>Venue (Bar)</v>
      </c>
      <c r="D6" s="11"/>
      <c r="E6" s="54" t="str">
        <f>IF(_epmOfflineCondition_,"D_VENUES",_xll.EVPRO($B$1,$B$6,$F$6))</f>
        <v>D_VENUES</v>
      </c>
      <c r="F6" s="11" t="s">
        <v>278</v>
      </c>
      <c r="G6" s="517" t="s">
        <v>20</v>
      </c>
      <c r="H6" s="54" t="s">
        <v>55</v>
      </c>
      <c r="I6" s="55"/>
      <c r="J6" s="55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517" t="s">
        <v>54</v>
      </c>
      <c r="H7" s="54" t="s">
        <v>62</v>
      </c>
      <c r="I7" s="55"/>
      <c r="J7" s="55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517" t="s">
        <v>18</v>
      </c>
      <c r="H8" s="54" t="s">
        <v>728</v>
      </c>
      <c r="I8" s="55"/>
      <c r="J8" s="55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59" t="str">
        <f>IF(SetUp!$O$1=TRUE,"TRAILING12",IF(AA17="CURRENT","ROLLINGFORECAST","PERIODIC"))</f>
        <v>PERIODIC</v>
      </c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11"/>
      <c r="M12" s="11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  <c r="AJ12" s="11"/>
      <c r="AK12" s="11"/>
      <c r="AL12" s="11"/>
      <c r="AM12" s="11"/>
      <c r="AN12" s="11"/>
      <c r="AO12" s="11"/>
    </row>
    <row r="13" spans="1:41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11"/>
      <c r="M13" s="11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  <c r="AJ13" s="11"/>
      <c r="AK13" s="11"/>
      <c r="AL13" s="11"/>
      <c r="AM13" s="11"/>
      <c r="AN13" s="11"/>
      <c r="AO13" s="11"/>
    </row>
    <row r="14" spans="1:41" hidden="1" outlineLevel="1" x14ac:dyDescent="0.25">
      <c r="A14" s="56" t="str">
        <f>IF(_epmOfflineCondition_,"Evdre:Ok",_xll.EVDRE($B$1,A17:B24,A27:B33))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11"/>
      <c r="M14" s="11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  <c r="AJ14" s="11"/>
      <c r="AK14" s="11"/>
      <c r="AL14" s="11"/>
      <c r="AM14" s="11"/>
      <c r="AN14" s="11"/>
      <c r="AO14" s="11"/>
    </row>
    <row r="15" spans="1:41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11"/>
      <c r="M15" s="11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  <c r="AJ15" s="11"/>
      <c r="AK15" s="11"/>
      <c r="AL15" s="11"/>
      <c r="AM15" s="11"/>
      <c r="AN15" s="11"/>
      <c r="AO15" s="11"/>
    </row>
    <row r="16" spans="1:41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11"/>
      <c r="M16" s="11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  <c r="AJ16" s="11"/>
      <c r="AK16" s="11"/>
      <c r="AL16" s="11"/>
      <c r="AM16" s="11"/>
      <c r="AN16" s="11"/>
      <c r="AO16" s="11"/>
    </row>
    <row r="17" spans="1:41" hidden="1" outlineLevel="1" x14ac:dyDescent="0.25">
      <c r="A17" s="61" t="s">
        <v>2</v>
      </c>
      <c r="B17" s="62" t="str">
        <f>IF(_epmOfflineCondition_,"'VenueBar'!$B$2:$B$10",_xll.EVRNG($B$2:$B$10))</f>
        <v>'VenueBar'!$B$2:$B$10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11"/>
      <c r="M17" s="11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 t="str">
        <f>Z17</f>
        <v>ACTUAL_CON</v>
      </c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  <c r="AJ17" s="11"/>
      <c r="AK17" s="11"/>
      <c r="AL17" s="11"/>
      <c r="AM17" s="11"/>
      <c r="AN17" s="11"/>
      <c r="AO17" s="11"/>
    </row>
    <row r="18" spans="1:41" hidden="1" outlineLevel="1" x14ac:dyDescent="0.25">
      <c r="A18" s="61" t="s">
        <v>3</v>
      </c>
      <c r="B18" s="62" t="str">
        <f>IF(_epmOfflineCondition_,"'VenueBar'!$O$16:$AN$18",_xll.EVRNG($O$16:$AN$18))</f>
        <v>'VenueBar'!$O$16:$AN$18</v>
      </c>
      <c r="C18" s="11"/>
      <c r="D18" s="11"/>
      <c r="E18" s="11"/>
      <c r="F18" s="11"/>
      <c r="G18" s="11"/>
      <c r="H18" s="11"/>
      <c r="I18" s="55"/>
      <c r="J18" s="55"/>
      <c r="K18" s="11"/>
      <c r="L18" s="11"/>
      <c r="M18" s="11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11"/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  <c r="AJ18" s="11"/>
      <c r="AK18" s="11"/>
      <c r="AL18" s="11"/>
      <c r="AM18" s="11"/>
      <c r="AN18" s="11"/>
      <c r="AO18" s="11"/>
    </row>
    <row r="19" spans="1:41" hidden="1" outlineLevel="1" x14ac:dyDescent="0.25">
      <c r="A19" s="61" t="s">
        <v>4</v>
      </c>
      <c r="B19" s="62" t="str">
        <f>IF(_epmOfflineCondition_,"'VenueBar'!$H$35:$H$58",_xll.EVRNG(H35:H58))</f>
        <v>'VenueBar'!$H$35:$H$58</v>
      </c>
      <c r="C19" s="11"/>
      <c r="D19" s="11"/>
      <c r="E19" s="11"/>
      <c r="F19" s="11"/>
      <c r="G19" s="63" t="str">
        <f>$B$6</f>
        <v>D2146</v>
      </c>
      <c r="H19" s="63">
        <v>400000</v>
      </c>
      <c r="I19" s="64"/>
      <c r="J19" s="64"/>
      <c r="K19" s="63"/>
      <c r="L19" s="63"/>
      <c r="M19" s="63"/>
      <c r="N19" s="63" t="str">
        <f>IF(_epmOfflineCondition_,"Total Revenue",_xll.EVDES(H19))</f>
        <v>Total Revenue</v>
      </c>
      <c r="O19" s="65">
        <f>IF(_epmOfflineCondition_,39429.55,_xll.EVGTS($B$1,1,$B$3,$B$5,$B$7,$B$9,O$16,O$17,O$18,$G$19,$H$19))</f>
        <v>39429.550000000003</v>
      </c>
      <c r="P19" s="65">
        <f>IF(_epmOfflineCondition_,48783.11,_xll.EVGTS($B$1,1,$B$3,$B$5,$B$7,$B$9,P$16,P$17,P$18,$G$19,$H$19))</f>
        <v>48783.11</v>
      </c>
      <c r="Q19" s="65">
        <f>IF(_epmOfflineCondition_,50991.52,_xll.EVGTS($B$1,1,$B$3,$B$5,$B$7,$B$9,Q$16,Q$17,Q$18,$G$19,$H$19))</f>
        <v>50991.519999999997</v>
      </c>
      <c r="R19" s="65">
        <f>IF(_epmOfflineCondition_,44685.74,_xll.EVGTS($B$1,1,$B$3,$B$5,$B$7,$B$9,R$16,R$17,R$18,$G$19,$H$19))</f>
        <v>44685.74</v>
      </c>
      <c r="S19" s="65">
        <f>IF(_epmOfflineCondition_,37780.24,_xll.EVGTS($B$1,1,$B$3,$B$5,$B$7,$B$9,S$16,S$17,S$18,$G$19,$H$19))</f>
        <v>37780.239999999998</v>
      </c>
      <c r="T19" s="65">
        <f>IF(_epmOfflineCondition_,40735.23,_xll.EVGTS($B$1,1,$B$3,$B$5,$B$7,$B$9,T$16,T$17,T$18,$G$19,$H$19))</f>
        <v>40735.230000000003</v>
      </c>
      <c r="U19" s="65">
        <f>IF(_epmOfflineCondition_,37165.71,_xll.EVGTS($B$1,1,$B$3,$B$5,$B$7,$B$9,U$16,U$17,U$18,$G$19,$H$19))</f>
        <v>37165.71</v>
      </c>
      <c r="V19" s="65">
        <f>IF(_epmOfflineCondition_,41431.99,_xll.EVGTS($B$1,1,$B$3,$B$5,$B$7,$B$9,V$16,V$17,V$18,$G$19,$H$19))</f>
        <v>41431.99</v>
      </c>
      <c r="W19" s="65">
        <f>IF(_epmOfflineCondition_,25198.83,_xll.EVGTS($B$1,1,$B$3,$B$5,$B$7,$B$9,W$16,W$17,W$18,$G$19,$H$19))</f>
        <v>25198.83</v>
      </c>
      <c r="X19" s="65">
        <f>IF(_epmOfflineCondition_,21328.75,_xll.EVGTS($B$1,1,$B$3,$B$5,$B$7,$B$9,X$16,X$17,X$18,$G$19,$H$19))</f>
        <v>21328.75</v>
      </c>
      <c r="Y19" s="65">
        <f>IF(_epmOfflineCondition_,24676.75,_xll.EVGTS($B$1,1,$B$3,$B$5,$B$7,$B$9,Y$16,Y$17,Y$18,$G$19,$H$19))</f>
        <v>24676.75</v>
      </c>
      <c r="Z19" s="65">
        <f>IF(_epmOfflineCondition_,32172.35,_xll.EVGTS($B$1,1,$B$3,$B$5,$B$7,$B$9,Z$16,Z$17,Z$18,$G$19,$H$19))</f>
        <v>32172.35</v>
      </c>
      <c r="AA19" s="65">
        <f>SUM(O19:Z19)</f>
        <v>444379.76999999996</v>
      </c>
      <c r="AB19" s="63"/>
      <c r="AC19" s="63"/>
      <c r="AD19" s="65">
        <f>IF(_epmOfflineCondition_,610287.4214,_xll.EVGTS($B$1,1,$B$3,$B$5,$B$7,$B$9,AD$16,AD$17,AD$18,$G$19,$H$19))</f>
        <v>610287.42139999999</v>
      </c>
      <c r="AE19" s="63"/>
      <c r="AF19" s="63"/>
      <c r="AG19" s="65">
        <f>IF(_epmOfflineCondition_,166527.11,_xll.EVGTS($B$1,1,$B$3,$B$5,$B$7,$B$9,AG$16,AG$17,AG$18,$G$19,$H$19))</f>
        <v>166527.10999999999</v>
      </c>
      <c r="AH19" s="63"/>
      <c r="AI19" s="63"/>
      <c r="AJ19" s="11"/>
      <c r="AK19" s="11"/>
      <c r="AL19" s="11"/>
      <c r="AM19" s="11"/>
      <c r="AN19" s="11"/>
      <c r="AO19" s="11"/>
    </row>
    <row r="20" spans="1:41" hidden="1" outlineLevel="1" x14ac:dyDescent="0.25">
      <c r="A20" s="61" t="s">
        <v>5</v>
      </c>
      <c r="B20" s="62"/>
      <c r="C20" s="11"/>
      <c r="D20" s="11"/>
      <c r="E20" s="11"/>
      <c r="F20" s="11"/>
      <c r="G20" s="63" t="str">
        <f>$B$6</f>
        <v>D2146</v>
      </c>
      <c r="H20" s="63">
        <v>946000</v>
      </c>
      <c r="I20" s="64"/>
      <c r="J20" s="64"/>
      <c r="K20" s="63"/>
      <c r="L20" s="64"/>
      <c r="M20" s="64"/>
      <c r="N20" s="63" t="str">
        <f>IF(_epmOfflineCondition_,"Total Customers",_xll.EVDES(H20))</f>
        <v>Total Customers</v>
      </c>
      <c r="O20" s="65">
        <f>IF(_epmOfflineCondition_,1942,_xll.EVGTS($B$1,1,$B$3,$B$5,$B$7,$B$9,O$16,O$17,O$18,$G$20,$H$20))</f>
        <v>1942</v>
      </c>
      <c r="P20" s="65">
        <f>IF(_epmOfflineCondition_,2478,_xll.EVGTS($B$1,1,$B$3,$B$5,$B$7,$B$9,P$16,P$17,P$18,$G$20,$H$20))</f>
        <v>2478</v>
      </c>
      <c r="Q20" s="65">
        <f>IF(_epmOfflineCondition_,2730,_xll.EVGTS($B$1,1,$B$3,$B$5,$B$7,$B$9,Q$16,Q$17,Q$18,$G$20,$H$20))</f>
        <v>2730</v>
      </c>
      <c r="R20" s="65">
        <f>IF(_epmOfflineCondition_,2507,_xll.EVGTS($B$1,1,$B$3,$B$5,$B$7,$B$9,R$16,R$17,R$18,$G$20,$H$20))</f>
        <v>2507</v>
      </c>
      <c r="S20" s="65">
        <f>IF(_epmOfflineCondition_,2128,_xll.EVGTS($B$1,1,$B$3,$B$5,$B$7,$B$9,S$16,S$17,S$18,$G$20,$H$20))</f>
        <v>2128</v>
      </c>
      <c r="T20" s="65">
        <f>IF(_epmOfflineCondition_,2038,_xll.EVGTS($B$1,1,$B$3,$B$5,$B$7,$B$9,T$16,T$17,T$18,$G$20,$H$20))</f>
        <v>2038</v>
      </c>
      <c r="U20" s="65">
        <f>IF(_epmOfflineCondition_,2023,_xll.EVGTS($B$1,1,$B$3,$B$5,$B$7,$B$9,U$16,U$17,U$18,$G$20,$H$20))</f>
        <v>2023</v>
      </c>
      <c r="V20" s="65">
        <f>IF(_epmOfflineCondition_,2160,_xll.EVGTS($B$1,1,$B$3,$B$5,$B$7,$B$9,V$16,V$17,V$18,$G$20,$H$20))</f>
        <v>2160</v>
      </c>
      <c r="W20" s="65">
        <f>IF(_epmOfflineCondition_,1266,_xll.EVGTS($B$1,1,$B$3,$B$5,$B$7,$B$9,W$16,W$17,W$18,$G$20,$H$20))</f>
        <v>1266</v>
      </c>
      <c r="X20" s="65">
        <f>IF(_epmOfflineCondition_,1220,_xll.EVGTS($B$1,1,$B$3,$B$5,$B$7,$B$9,X$16,X$17,X$18,$G$20,$H$20))</f>
        <v>1220</v>
      </c>
      <c r="Y20" s="65">
        <f>IF(_epmOfflineCondition_,1139,_xll.EVGTS($B$1,1,$B$3,$B$5,$B$7,$B$9,Y$16,Y$17,Y$18,$G$20,$H$20))</f>
        <v>1139</v>
      </c>
      <c r="Z20" s="65">
        <f>IF(_epmOfflineCondition_,1404,_xll.EVGTS($B$1,1,$B$3,$B$5,$B$7,$B$9,Z$16,Z$17,Z$18,$G$20,$H$20))</f>
        <v>1404</v>
      </c>
      <c r="AA20" s="65">
        <f>SUM(O20:Z20)</f>
        <v>23035</v>
      </c>
      <c r="AB20" s="63"/>
      <c r="AC20" s="63"/>
      <c r="AD20" s="65">
        <f>IF(_epmOfflineCondition_,22861,_xll.EVGTS($B$1,1,$B$3,$B$5,$B$7,$B$9,AD$16,AD$17,AD$18,$G$20,$H$20))</f>
        <v>22861</v>
      </c>
      <c r="AE20" s="63"/>
      <c r="AF20" s="63"/>
      <c r="AG20" s="65">
        <f>IF(_epmOfflineCondition_,9023,_xll.EVGTS($B$1,1,$B$3,$B$5,$B$7,$B$9,AG$16,AG$17,AG$18,$G$20,$H$20))</f>
        <v>9023</v>
      </c>
      <c r="AH20" s="63"/>
      <c r="AI20" s="63"/>
      <c r="AJ20" s="11"/>
      <c r="AK20" s="11"/>
      <c r="AL20" s="11"/>
      <c r="AM20" s="11"/>
      <c r="AN20" s="11"/>
      <c r="AO20" s="11"/>
    </row>
    <row r="21" spans="1:41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idden="1" outlineLevel="1" x14ac:dyDescent="0.25">
      <c r="A22" s="61" t="s">
        <v>7</v>
      </c>
      <c r="B22" s="62" t="str">
        <f>IF(_epmOfflineCondition_,"'VenueBar'!$A$36:$F$44",_xll.EVRNG(A36:F44))</f>
        <v>'VenueBar'!$A$36:$F$44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idden="1" outlineLevel="1" x14ac:dyDescent="0.25">
      <c r="A23" s="61" t="s">
        <v>47</v>
      </c>
      <c r="B23" s="62" t="str">
        <f>IF(_epmOfflineCondition_,"'VenueBar'!$A$125:$B$146",_xll.EVRNG($A$125:$B$146))</f>
        <v>'VenueBar'!$A$125:$B$146</v>
      </c>
      <c r="C23" s="11"/>
      <c r="D23" s="11"/>
      <c r="E23" s="11"/>
      <c r="F23" s="11"/>
      <c r="G23" s="11"/>
      <c r="H23" s="11"/>
      <c r="I23" s="55"/>
      <c r="J23" s="55"/>
      <c r="K23" s="6"/>
      <c r="L23" s="6"/>
      <c r="M23" s="6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380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22.5" x14ac:dyDescent="0.3">
      <c r="A26" s="57" t="s">
        <v>9</v>
      </c>
      <c r="B26" s="58" t="s">
        <v>10</v>
      </c>
      <c r="C26" s="11"/>
      <c r="D26" s="11"/>
      <c r="E26" s="11"/>
      <c r="F26" s="11"/>
      <c r="G26" s="11"/>
      <c r="H26" s="11"/>
      <c r="I26" s="55"/>
      <c r="J26" s="55"/>
      <c r="K26" s="11"/>
      <c r="L26" s="11"/>
      <c r="M26" s="11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8" x14ac:dyDescent="0.25">
      <c r="A27" s="61" t="s">
        <v>11</v>
      </c>
      <c r="B27" s="62" t="s">
        <v>21</v>
      </c>
      <c r="C27" s="11"/>
      <c r="D27" s="11"/>
      <c r="E27" s="11"/>
      <c r="F27" s="11"/>
      <c r="G27" s="11"/>
      <c r="H27" s="11"/>
      <c r="I27" s="55"/>
      <c r="J27" s="55"/>
      <c r="K27" s="11"/>
      <c r="L27" s="11"/>
      <c r="M27" s="11"/>
      <c r="N27" s="67" t="str">
        <f>IF(_epmOfflineCondition_,"Minnow Bar",IF($N$1="",IF(_xll.EVDES(B6,$B$1)="#NODATA","",_xll.EVDES(B6,$B$1)&amp;" Department"),$N$1))</f>
        <v>Minnow Bar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x14ac:dyDescent="0.25">
      <c r="A28" s="61" t="s">
        <v>12</v>
      </c>
      <c r="B28" s="62" t="s">
        <v>22</v>
      </c>
      <c r="C28" s="11"/>
      <c r="D28" s="11"/>
      <c r="E28" s="11"/>
      <c r="F28" s="11"/>
      <c r="G28" s="11"/>
      <c r="H28" s="11"/>
      <c r="I28" s="55"/>
      <c r="J28" s="55"/>
      <c r="K28" s="11"/>
      <c r="L28" s="11"/>
      <c r="M28" s="11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" customHeight="1" x14ac:dyDescent="0.25">
      <c r="A29" s="61" t="s">
        <v>13</v>
      </c>
      <c r="B29" s="62" t="str">
        <f>"DEP(REV_F) AND "&amp;$E$6&amp;"=Y,REV_F,BEV,DEP(REV_BEV) AND "&amp;$E$6&amp;"=Y,REV_BEV,ALLOW_FB,REV_FB,OTHR_REV,DEP(REV_OTHR) AND "&amp;$E$6&amp;"=Y,REV_OTHR,400000"</f>
        <v>DEP(REV_F) AND D_VENUES=Y,REV_F,BEV,DEP(REV_BEV) AND D_VENUES=Y,REV_BEV,ALLOW_FB,REV_FB,OTHR_REV,DEP(REV_OTHR) AND D_VENUES=Y,REV_OTHR,400000</v>
      </c>
      <c r="C29" s="11"/>
      <c r="D29" s="11"/>
      <c r="E29" s="11"/>
      <c r="F29" s="11"/>
      <c r="G29" s="11"/>
      <c r="H29" s="11"/>
      <c r="I29" s="55"/>
      <c r="J29" s="55"/>
      <c r="K29" s="11"/>
      <c r="L29" s="11"/>
      <c r="M29" s="11"/>
      <c r="N29" s="68" t="str">
        <f>IF(_epmOfflineCondition_,"Local Currency",_xll.EVDES(B9,B1))</f>
        <v>Local Currency</v>
      </c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x14ac:dyDescent="0.25">
      <c r="A30" s="61" t="s">
        <v>14</v>
      </c>
      <c r="B30" s="62"/>
      <c r="C30" s="11"/>
      <c r="D30" s="11"/>
      <c r="E30" s="11"/>
      <c r="F30" s="11"/>
      <c r="G30" s="11"/>
      <c r="H30" s="11"/>
      <c r="I30" s="55"/>
      <c r="J30" s="55"/>
      <c r="K30" s="11"/>
      <c r="L30" s="11"/>
      <c r="M30" s="11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  <c r="AJ30" s="69" t="s">
        <v>752</v>
      </c>
      <c r="AK30" s="70"/>
      <c r="AL30" s="71"/>
      <c r="AM30" s="70" t="s">
        <v>751</v>
      </c>
      <c r="AN30" s="70"/>
      <c r="AO30" s="11"/>
    </row>
    <row r="31" spans="1:41" x14ac:dyDescent="0.25">
      <c r="A31" s="61" t="s">
        <v>15</v>
      </c>
      <c r="B31" s="62"/>
      <c r="C31" s="11"/>
      <c r="D31" s="11"/>
      <c r="E31" s="11"/>
      <c r="F31" s="11"/>
      <c r="G31" s="72"/>
      <c r="H31" s="11"/>
      <c r="I31" s="55"/>
      <c r="J31" s="55"/>
      <c r="K31" s="55"/>
      <c r="L31" s="55"/>
      <c r="M31" s="55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  <c r="AJ31" s="73" t="str">
        <f>IF(_epmOfflineCondition_,"2019",_xll.EVPRO($B$1,AA$16,"YEAR"))</f>
        <v>2019</v>
      </c>
      <c r="AK31" s="76" t="str">
        <f>IF(_epmOfflineCondition_,"2019",_xll.EVPRO($B$1,AD$16,"YEAR"))</f>
        <v>2019</v>
      </c>
      <c r="AL31" s="76" t="str">
        <f>IF(_epmOfflineCondition_,"2018",_xll.EVPRO($B$1,AG$16,"YEAR"))</f>
        <v>2018</v>
      </c>
      <c r="AM31" s="73" t="str">
        <f>"vs "&amp;AK31</f>
        <v>vs 2019</v>
      </c>
      <c r="AN31" s="73" t="str">
        <f>"vs "&amp;AL31</f>
        <v>vs 2018</v>
      </c>
      <c r="AO31" s="11"/>
    </row>
    <row r="32" spans="1:41" s="8" customFormat="1" ht="30" customHeight="1" x14ac:dyDescent="0.25">
      <c r="A32" s="77" t="s">
        <v>16</v>
      </c>
      <c r="B32" s="78"/>
      <c r="C32" s="79"/>
      <c r="D32" s="79"/>
      <c r="E32" s="79"/>
      <c r="F32" s="79"/>
      <c r="G32" s="359"/>
      <c r="H32" s="80"/>
      <c r="I32" s="81"/>
      <c r="J32" s="81"/>
      <c r="K32" s="174" t="s">
        <v>117</v>
      </c>
      <c r="L32" s="174"/>
      <c r="M32" s="174"/>
      <c r="N32" s="82" t="s">
        <v>120</v>
      </c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  <c r="AJ32" s="83" t="str">
        <f>Z32</f>
        <v>Actual</v>
      </c>
      <c r="AK32" s="76" t="str">
        <f>AD32</f>
        <v>Budget</v>
      </c>
      <c r="AL32" s="83" t="str">
        <f>AG32</f>
        <v>Actual</v>
      </c>
      <c r="AM32" s="73" t="s">
        <v>748</v>
      </c>
      <c r="AN32" s="73" t="s">
        <v>748</v>
      </c>
      <c r="AO32" s="79"/>
    </row>
    <row r="33" spans="1:41" x14ac:dyDescent="0.25">
      <c r="A33" s="61" t="s">
        <v>17</v>
      </c>
      <c r="B33" s="62"/>
      <c r="C33" s="11"/>
      <c r="D33" s="11"/>
      <c r="E33" s="11"/>
      <c r="F33" s="11"/>
      <c r="G33" s="11"/>
      <c r="H33" s="11" t="s">
        <v>69</v>
      </c>
      <c r="I33" s="55" t="str">
        <f>IF(_epmOfflineCondition_,"B1",_xll.EVPRO($B$1,$H33,"STYLE"))</f>
        <v>B1</v>
      </c>
      <c r="J33" s="55" t="str">
        <f>IF(_epmOfflineCondition_,"Y",_xll.EVPRO($B$1,$H33,"CALC"))</f>
        <v>Y</v>
      </c>
      <c r="K33" s="11"/>
      <c r="L33" s="11"/>
      <c r="M33" s="11"/>
      <c r="N33" s="101" t="str">
        <f>IF(_epmOfflineCondition_,"Revenues",IF(_xll.EVDES(H33,$B$1)="#NODATA","",_xll.EVDES(H33,$B$1)))</f>
        <v>Revenues</v>
      </c>
      <c r="O33" s="125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7"/>
      <c r="AC33" s="11"/>
      <c r="AD33" s="125"/>
      <c r="AE33" s="126"/>
      <c r="AF33" s="127"/>
      <c r="AG33" s="125"/>
      <c r="AH33" s="126"/>
      <c r="AI33" s="127"/>
      <c r="AJ33" s="11"/>
      <c r="AK33" s="11"/>
      <c r="AL33" s="11"/>
      <c r="AM33" s="11"/>
      <c r="AN33" s="11"/>
      <c r="AO33" s="11"/>
    </row>
    <row r="34" spans="1:41" x14ac:dyDescent="0.25">
      <c r="A34" s="11"/>
      <c r="B34" s="11"/>
      <c r="C34" s="11"/>
      <c r="D34" s="11"/>
      <c r="E34" s="11"/>
      <c r="F34" s="11"/>
      <c r="G34" s="11"/>
      <c r="H34" s="11" t="s">
        <v>259</v>
      </c>
      <c r="I34" s="55" t="str">
        <f>IF(_epmOfflineCondition_,"B1",_xll.EVPRO($B$1,$H34,"STYLE"))</f>
        <v>B1</v>
      </c>
      <c r="J34" s="55" t="str">
        <f>IF(_epmOfflineCondition_,"Y",_xll.EVPRO($B$1,$H34,"CALC"))</f>
        <v>Y</v>
      </c>
      <c r="K34" s="11"/>
      <c r="L34" s="129" t="s">
        <v>364</v>
      </c>
      <c r="M34" s="129" t="s">
        <v>783</v>
      </c>
      <c r="N34" s="49" t="str">
        <f>IF(_epmOfflineCondition_,"Food Revenue",IF(_xll.EVDES(H34,$B$1)="#NODATA","",_xll.EVDES(H34,$B$1)))</f>
        <v>Food Revenue</v>
      </c>
      <c r="O34" s="199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114"/>
      <c r="AC34" s="11"/>
      <c r="AD34" s="199"/>
      <c r="AE34" s="200"/>
      <c r="AF34" s="114"/>
      <c r="AG34" s="199"/>
      <c r="AH34" s="200"/>
      <c r="AI34" s="114"/>
      <c r="AJ34" s="11"/>
      <c r="AK34" s="11"/>
      <c r="AL34" s="11"/>
      <c r="AM34" s="11"/>
      <c r="AN34" s="11"/>
      <c r="AO34" s="11"/>
    </row>
    <row r="35" spans="1:41" x14ac:dyDescent="0.25">
      <c r="A35" s="93" t="s">
        <v>92</v>
      </c>
      <c r="B35" s="94" t="s">
        <v>93</v>
      </c>
      <c r="C35" s="94" t="s">
        <v>94</v>
      </c>
      <c r="D35" s="94" t="s">
        <v>95</v>
      </c>
      <c r="E35" s="94" t="s">
        <v>96</v>
      </c>
      <c r="F35" s="95" t="s">
        <v>97</v>
      </c>
      <c r="G35" s="11"/>
      <c r="H35" s="84" t="s">
        <v>260</v>
      </c>
      <c r="I35" s="118" t="str">
        <f>IF(_epmOfflineCondition_,"T5",_xll.EVPRO($B$1,$H35,"STYLE"))</f>
        <v>T5</v>
      </c>
      <c r="J35" s="118" t="str">
        <f>IF(_epmOfflineCondition_,"Y",_xll.EVPRO($B$1,$H35,"CALC"))</f>
        <v>Y</v>
      </c>
      <c r="K35" s="175" t="str">
        <f t="shared" ref="K35:K58" si="0">IF(AND(I35&gt;="T5"),"&gt;","")</f>
        <v>&gt;</v>
      </c>
      <c r="L35" s="86" t="str">
        <f>IF(_epmOfflineCondition_,"461100",_xll.EVPRO($B$1,H35,"JDEID"))</f>
        <v>461100</v>
      </c>
      <c r="M35" s="86" t="str">
        <f>IF(_epmOfflineCondition_,"",IF(AND(I35="N",J35="N"),_xll.EVPRO($B$1,H35,"PSFTID"),""))</f>
        <v/>
      </c>
      <c r="N35" s="86" t="str">
        <f>IF(_epmOfflineCondition_,"Breakfast Food",IF(_xll.EVDES(H35,$B$1)="#NODATA","",_xll.EVDES(H35,$B$1)))</f>
        <v>Breakfast Food</v>
      </c>
      <c r="O35" s="453">
        <v>12001.5</v>
      </c>
      <c r="P35" s="223">
        <v>13836.5</v>
      </c>
      <c r="Q35" s="223">
        <v>15952.92</v>
      </c>
      <c r="R35" s="223">
        <v>16340.27</v>
      </c>
      <c r="S35" s="223">
        <v>13047.79</v>
      </c>
      <c r="T35" s="223">
        <v>14200.5</v>
      </c>
      <c r="U35" s="223">
        <v>13499</v>
      </c>
      <c r="V35" s="223">
        <v>15901.38</v>
      </c>
      <c r="W35" s="223">
        <v>7086.5</v>
      </c>
      <c r="X35" s="223"/>
      <c r="Y35" s="223"/>
      <c r="Z35" s="223"/>
      <c r="AA35" s="223">
        <f t="shared" ref="AA35:AA58" si="1">IF($I35="B1","",SUM(O35:Z35))</f>
        <v>121866.36000000002</v>
      </c>
      <c r="AB35" s="454">
        <f t="shared" ref="AB35:AB58" si="2">IF(AA35=0,"",IFERROR(AA35/AA$19,""))</f>
        <v>0.2742392166052024</v>
      </c>
      <c r="AC35" s="528"/>
      <c r="AD35" s="223">
        <v>25325.759999999998</v>
      </c>
      <c r="AE35" s="454">
        <f t="shared" ref="AE35:AE58" si="3">IF(AD35=0,"",IFERROR(AD35/AD$19,""))</f>
        <v>4.1498086167174604E-2</v>
      </c>
      <c r="AF35" s="456">
        <f t="shared" ref="AF35:AF58" si="4">IF(AND($AA35="",AD35=""),"",$AA35-AD35)</f>
        <v>96540.60000000002</v>
      </c>
      <c r="AG35" s="223">
        <v>52682.87</v>
      </c>
      <c r="AH35" s="454">
        <f t="shared" ref="AH35:AH58" si="5">IF(AG35=0,"",IFERROR(AG35/AG$19,""))</f>
        <v>0.31636212265978797</v>
      </c>
      <c r="AI35" s="457">
        <f t="shared" ref="AI35:AI58" si="6">IF(AND($AA35="",AG35=""),"",$AA35-AG35)</f>
        <v>69183.49000000002</v>
      </c>
      <c r="AJ35" s="458">
        <f t="shared" ref="AJ35:AJ58" si="7">IFERROR(AA35/AA$20,0)</f>
        <v>5.2904866507488615</v>
      </c>
      <c r="AK35" s="459">
        <f t="shared" ref="AK35:AK58" si="8">IFERROR(AD35/AD$20,0)</f>
        <v>1.1078150562092646</v>
      </c>
      <c r="AL35" s="460">
        <f t="shared" ref="AL35:AL58" si="9">IFERROR(AG35/AG$20,0)</f>
        <v>5.8387310207248149</v>
      </c>
      <c r="AM35" s="461" t="str">
        <f t="shared" ref="AM35:AM58" si="10">+IFERROR(ROUND(($AB35-AE35)*100,2)&amp;" pts.",0)</f>
        <v>23.27 pts.</v>
      </c>
      <c r="AN35" s="462" t="str">
        <f t="shared" ref="AN35:AN58" si="11">+IFERROR(ROUND(($AB35-AH35)*100,2)&amp;" pts.",0)</f>
        <v>-4.21 pts.</v>
      </c>
      <c r="AO35" s="11"/>
    </row>
    <row r="36" spans="1:41" x14ac:dyDescent="0.25">
      <c r="A36" s="11"/>
      <c r="B36" s="11"/>
      <c r="C36" s="11"/>
      <c r="D36" s="11"/>
      <c r="E36" s="11"/>
      <c r="F36" s="11"/>
      <c r="G36" s="11"/>
      <c r="H36" s="84" t="s">
        <v>261</v>
      </c>
      <c r="I36" s="118" t="str">
        <f>IF(_epmOfflineCondition_,"T5",_xll.EVPRO($B$1,$H36,"STYLE"))</f>
        <v>T5</v>
      </c>
      <c r="J36" s="118" t="str">
        <f>IF(_epmOfflineCondition_,"Y",_xll.EVPRO($B$1,$H36,"CALC"))</f>
        <v>Y</v>
      </c>
      <c r="K36" s="175" t="str">
        <f t="shared" si="0"/>
        <v>&gt;</v>
      </c>
      <c r="L36" s="86" t="str">
        <f>IF(_epmOfflineCondition_,"462100",_xll.EVPRO($B$1,H36,"JDEID"))</f>
        <v>462100</v>
      </c>
      <c r="M36" s="86" t="str">
        <f>IF(_epmOfflineCondition_,"",IF(AND(I36="N",J36="N"),_xll.EVPRO($B$1,H36,"PSFTID"),""))</f>
        <v/>
      </c>
      <c r="N36" s="86" t="str">
        <f>IF(_epmOfflineCondition_,"Lunch Food",IF(_xll.EVDES(H36,$B$1)="#NODATA","",_xll.EVDES(H36,$B$1)))</f>
        <v>Lunch Food</v>
      </c>
      <c r="O36" s="453"/>
      <c r="P36" s="223"/>
      <c r="Q36" s="223"/>
      <c r="R36" s="223"/>
      <c r="S36" s="223"/>
      <c r="T36" s="223"/>
      <c r="U36" s="223"/>
      <c r="V36" s="223"/>
      <c r="W36" s="223"/>
      <c r="X36" s="223"/>
      <c r="Y36" s="223"/>
      <c r="Z36" s="223"/>
      <c r="AA36" s="223">
        <f t="shared" si="1"/>
        <v>0</v>
      </c>
      <c r="AB36" s="454" t="str">
        <f t="shared" si="2"/>
        <v/>
      </c>
      <c r="AC36" s="528"/>
      <c r="AD36" s="223">
        <v>12327.161952</v>
      </c>
      <c r="AE36" s="454">
        <f t="shared" si="3"/>
        <v>2.0198944824590153E-2</v>
      </c>
      <c r="AF36" s="456">
        <f t="shared" si="4"/>
        <v>-12327.161952</v>
      </c>
      <c r="AG36" s="223"/>
      <c r="AH36" s="454" t="str">
        <f t="shared" si="5"/>
        <v/>
      </c>
      <c r="AI36" s="457">
        <f t="shared" si="6"/>
        <v>0</v>
      </c>
      <c r="AJ36" s="458">
        <f t="shared" si="7"/>
        <v>0</v>
      </c>
      <c r="AK36" s="459">
        <f t="shared" si="8"/>
        <v>0.53922234162984994</v>
      </c>
      <c r="AL36" s="460">
        <f t="shared" si="9"/>
        <v>0</v>
      </c>
      <c r="AM36" s="461">
        <f t="shared" si="10"/>
        <v>0</v>
      </c>
      <c r="AN36" s="462">
        <f t="shared" si="11"/>
        <v>0</v>
      </c>
      <c r="AO36" s="11"/>
    </row>
    <row r="37" spans="1:41" x14ac:dyDescent="0.25">
      <c r="A37" s="11" t="s">
        <v>209</v>
      </c>
      <c r="B37" s="11" t="s">
        <v>21</v>
      </c>
      <c r="C37" s="391"/>
      <c r="D37" s="11" t="s">
        <v>590</v>
      </c>
      <c r="E37" s="11"/>
      <c r="F37" s="11" t="s">
        <v>99</v>
      </c>
      <c r="G37" s="11"/>
      <c r="H37" s="84" t="s">
        <v>262</v>
      </c>
      <c r="I37" s="118" t="str">
        <f>IF(_epmOfflineCondition_,"T5",_xll.EVPRO($B$1,$H37,"STYLE"))</f>
        <v>T5</v>
      </c>
      <c r="J37" s="118" t="str">
        <f>IF(_epmOfflineCondition_,"Y",_xll.EVPRO($B$1,$H37,"CALC"))</f>
        <v>Y</v>
      </c>
      <c r="K37" s="175" t="str">
        <f t="shared" si="0"/>
        <v>&gt;</v>
      </c>
      <c r="L37" s="86" t="str">
        <f>IF(_epmOfflineCondition_,"463100",_xll.EVPRO($B$1,H37,"JDEID"))</f>
        <v>463100</v>
      </c>
      <c r="M37" s="86" t="str">
        <f>IF(_epmOfflineCondition_,"",IF(AND(I37="N",J37="N"),_xll.EVPRO($B$1,H37,"PSFTID"),""))</f>
        <v/>
      </c>
      <c r="N37" s="86" t="str">
        <f>IF(_epmOfflineCondition_,"Dinner Food",IF(_xll.EVDES(H37,$B$1)="#NODATA","",_xll.EVDES(H37,$B$1)))</f>
        <v>Dinner Food</v>
      </c>
      <c r="O37" s="453"/>
      <c r="P37" s="223"/>
      <c r="Q37" s="223"/>
      <c r="R37" s="223"/>
      <c r="S37" s="223"/>
      <c r="T37" s="223"/>
      <c r="U37" s="223"/>
      <c r="V37" s="223"/>
      <c r="W37" s="223"/>
      <c r="X37" s="223"/>
      <c r="Y37" s="223"/>
      <c r="Z37" s="223"/>
      <c r="AA37" s="223">
        <f t="shared" si="1"/>
        <v>0</v>
      </c>
      <c r="AB37" s="454" t="str">
        <f t="shared" si="2"/>
        <v/>
      </c>
      <c r="AC37" s="528"/>
      <c r="AD37" s="223"/>
      <c r="AE37" s="454" t="str">
        <f t="shared" si="3"/>
        <v/>
      </c>
      <c r="AF37" s="456">
        <f t="shared" si="4"/>
        <v>0</v>
      </c>
      <c r="AG37" s="223"/>
      <c r="AH37" s="454" t="str">
        <f t="shared" si="5"/>
        <v/>
      </c>
      <c r="AI37" s="457">
        <f t="shared" si="6"/>
        <v>0</v>
      </c>
      <c r="AJ37" s="458">
        <f t="shared" si="7"/>
        <v>0</v>
      </c>
      <c r="AK37" s="459">
        <f t="shared" si="8"/>
        <v>0</v>
      </c>
      <c r="AL37" s="460">
        <f t="shared" si="9"/>
        <v>0</v>
      </c>
      <c r="AM37" s="461">
        <f t="shared" si="10"/>
        <v>0</v>
      </c>
      <c r="AN37" s="462">
        <f t="shared" si="11"/>
        <v>0</v>
      </c>
      <c r="AO37" s="11"/>
    </row>
    <row r="38" spans="1:41" x14ac:dyDescent="0.25">
      <c r="A38" s="11" t="s">
        <v>105</v>
      </c>
      <c r="B38" s="11"/>
      <c r="C38" s="100" t="s">
        <v>101</v>
      </c>
      <c r="D38" s="11" t="s">
        <v>106</v>
      </c>
      <c r="E38" s="11"/>
      <c r="F38" s="11" t="s">
        <v>98</v>
      </c>
      <c r="G38" s="11"/>
      <c r="H38" s="84" t="s">
        <v>263</v>
      </c>
      <c r="I38" s="118" t="str">
        <f>IF(_epmOfflineCondition_,"T5",_xll.EVPRO($B$1,$H38,"STYLE"))</f>
        <v>T5</v>
      </c>
      <c r="J38" s="118" t="str">
        <f>IF(_epmOfflineCondition_,"Y",_xll.EVPRO($B$1,$H38,"CALC"))</f>
        <v>Y</v>
      </c>
      <c r="K38" s="175" t="str">
        <f t="shared" si="0"/>
        <v>&gt;</v>
      </c>
      <c r="L38" s="86" t="str">
        <f>IF(_epmOfflineCondition_,"464100",_xll.EVPRO($B$1,H38,"JDEID"))</f>
        <v>464100</v>
      </c>
      <c r="M38" s="86" t="str">
        <f>IF(_epmOfflineCondition_,"",IF(AND(I38="N",J38="N"),_xll.EVPRO($B$1,H38,"PSFTID"),""))</f>
        <v/>
      </c>
      <c r="N38" s="86" t="str">
        <f>IF(_epmOfflineCondition_,"Bar Food",IF(_xll.EVDES(H38,$B$1)="#NODATA","",_xll.EVDES(H38,$B$1)))</f>
        <v>Bar Food</v>
      </c>
      <c r="O38" s="453">
        <v>1898.08</v>
      </c>
      <c r="P38" s="223">
        <v>3109.5</v>
      </c>
      <c r="Q38" s="223">
        <v>3817.65</v>
      </c>
      <c r="R38" s="223">
        <v>1879</v>
      </c>
      <c r="S38" s="223">
        <v>1640</v>
      </c>
      <c r="T38" s="223">
        <v>3132.69</v>
      </c>
      <c r="U38" s="223">
        <v>2641.55</v>
      </c>
      <c r="V38" s="223">
        <v>3228.93</v>
      </c>
      <c r="W38" s="223">
        <v>1479.6</v>
      </c>
      <c r="X38" s="223">
        <v>529.5</v>
      </c>
      <c r="Y38" s="223">
        <v>2025.7</v>
      </c>
      <c r="Z38" s="223">
        <v>2695.5</v>
      </c>
      <c r="AA38" s="223">
        <f t="shared" si="1"/>
        <v>28077.7</v>
      </c>
      <c r="AB38" s="454">
        <f t="shared" si="2"/>
        <v>6.3184019380540218E-2</v>
      </c>
      <c r="AC38" s="528"/>
      <c r="AD38" s="223">
        <v>118533.318678</v>
      </c>
      <c r="AE38" s="454">
        <f t="shared" si="3"/>
        <v>0.19422540023204876</v>
      </c>
      <c r="AF38" s="456">
        <f t="shared" si="4"/>
        <v>-90455.618677999999</v>
      </c>
      <c r="AG38" s="223">
        <v>11806.42</v>
      </c>
      <c r="AH38" s="454">
        <f t="shared" si="5"/>
        <v>7.0897885635558086E-2</v>
      </c>
      <c r="AI38" s="457">
        <f t="shared" si="6"/>
        <v>16271.28</v>
      </c>
      <c r="AJ38" s="458">
        <f t="shared" si="7"/>
        <v>1.2189146950293033</v>
      </c>
      <c r="AK38" s="459">
        <f t="shared" si="8"/>
        <v>5.1849577305454702</v>
      </c>
      <c r="AL38" s="460">
        <f t="shared" si="9"/>
        <v>1.3084805497063061</v>
      </c>
      <c r="AM38" s="461" t="str">
        <f t="shared" si="10"/>
        <v>-13.1 pts.</v>
      </c>
      <c r="AN38" s="462" t="str">
        <f t="shared" si="11"/>
        <v>-0.77 pts.</v>
      </c>
      <c r="AO38" s="11"/>
    </row>
    <row r="39" spans="1:41" x14ac:dyDescent="0.25">
      <c r="A39" s="11" t="s">
        <v>104</v>
      </c>
      <c r="B39" s="11"/>
      <c r="C39" s="100" t="s">
        <v>101</v>
      </c>
      <c r="D39" s="11" t="s">
        <v>106</v>
      </c>
      <c r="E39" s="11"/>
      <c r="F39" s="11" t="s">
        <v>98</v>
      </c>
      <c r="G39" s="11"/>
      <c r="H39" s="84" t="s">
        <v>264</v>
      </c>
      <c r="I39" s="118" t="str">
        <f>IF(_epmOfflineCondition_,"T5",_xll.EVPRO($B$1,$H39,"STYLE"))</f>
        <v>T5</v>
      </c>
      <c r="J39" s="118" t="str">
        <f>IF(_epmOfflineCondition_,"Y",_xll.EVPRO($B$1,$H39,"CALC"))</f>
        <v>Y</v>
      </c>
      <c r="K39" s="175" t="str">
        <f t="shared" si="0"/>
        <v>&gt;</v>
      </c>
      <c r="L39" s="86" t="str">
        <f>IF(_epmOfflineCondition_,"465100",_xll.EVPRO($B$1,H39,"JDEID"))</f>
        <v>465100</v>
      </c>
      <c r="M39" s="86" t="str">
        <f>IF(_epmOfflineCondition_,"",IF(AND(I39="N",J39="N"),_xll.EVPRO($B$1,H39,"PSFTID"),""))</f>
        <v/>
      </c>
      <c r="N39" s="86" t="str">
        <f>IF(_epmOfflineCondition_,"Private Dining Food",IF(_xll.EVDES(H39,$B$1)="#NODATA","",_xll.EVDES(H39,$B$1)))</f>
        <v>Private Dining Food</v>
      </c>
      <c r="O39" s="463"/>
      <c r="P39" s="229"/>
      <c r="Q39" s="229"/>
      <c r="R39" s="229"/>
      <c r="S39" s="229"/>
      <c r="T39" s="229"/>
      <c r="U39" s="229"/>
      <c r="V39" s="229"/>
      <c r="W39" s="229"/>
      <c r="X39" s="229"/>
      <c r="Y39" s="229"/>
      <c r="Z39" s="229"/>
      <c r="AA39" s="229">
        <f t="shared" si="1"/>
        <v>0</v>
      </c>
      <c r="AB39" s="464" t="str">
        <f t="shared" si="2"/>
        <v/>
      </c>
      <c r="AC39" s="455"/>
      <c r="AD39" s="229"/>
      <c r="AE39" s="464" t="str">
        <f t="shared" si="3"/>
        <v/>
      </c>
      <c r="AF39" s="465">
        <f t="shared" si="4"/>
        <v>0</v>
      </c>
      <c r="AG39" s="229"/>
      <c r="AH39" s="464" t="str">
        <f t="shared" si="5"/>
        <v/>
      </c>
      <c r="AI39" s="466">
        <f t="shared" si="6"/>
        <v>0</v>
      </c>
      <c r="AJ39" s="467">
        <f t="shared" si="7"/>
        <v>0</v>
      </c>
      <c r="AK39" s="468">
        <f t="shared" si="8"/>
        <v>0</v>
      </c>
      <c r="AL39" s="469">
        <f t="shared" si="9"/>
        <v>0</v>
      </c>
      <c r="AM39" s="470">
        <f t="shared" si="10"/>
        <v>0</v>
      </c>
      <c r="AN39" s="471">
        <f t="shared" si="11"/>
        <v>0</v>
      </c>
      <c r="AO39" s="11"/>
    </row>
    <row r="40" spans="1:41" x14ac:dyDescent="0.25">
      <c r="A40" s="11" t="s">
        <v>100</v>
      </c>
      <c r="B40" s="11"/>
      <c r="C40" s="49" t="s">
        <v>101</v>
      </c>
      <c r="D40" s="11" t="s">
        <v>106</v>
      </c>
      <c r="E40" s="11"/>
      <c r="F40" s="11" t="s">
        <v>98</v>
      </c>
      <c r="G40" s="11"/>
      <c r="H40" s="84" t="s">
        <v>265</v>
      </c>
      <c r="I40" s="184" t="str">
        <f>IF(_epmOfflineCondition_,"T4",_xll.EVPRO($B$1,$H40,"STYLE"))</f>
        <v>T4</v>
      </c>
      <c r="J40" s="184" t="str">
        <f>IF(_epmOfflineCondition_,"Y",_xll.EVPRO($B$1,$H40,"CALC"))</f>
        <v>Y</v>
      </c>
      <c r="K40" s="185" t="str">
        <f t="shared" si="0"/>
        <v/>
      </c>
      <c r="L40" s="186" t="str">
        <f>IF(_epmOfflineCondition_,"",_xll.EVPRO($B$1,H40,"JDEID"))</f>
        <v/>
      </c>
      <c r="M40" s="186" t="str">
        <f>IF(_epmOfflineCondition_,"",IF(AND(I40="N",J40="N"),_xll.EVPRO($B$1,H40,"PSFTID"),""))</f>
        <v/>
      </c>
      <c r="N40" s="186" t="str">
        <f>IF(_epmOfflineCondition_,"Total Food Revenue",IF(_xll.EVDES(H40,$B$1)="#NODATA","",_xll.EVDES(H40,$B$1)))</f>
        <v>Total Food Revenue</v>
      </c>
      <c r="O40" s="472">
        <v>13899.58</v>
      </c>
      <c r="P40" s="236">
        <v>16946</v>
      </c>
      <c r="Q40" s="236">
        <v>19770.57</v>
      </c>
      <c r="R40" s="236">
        <v>18219.27</v>
      </c>
      <c r="S40" s="236">
        <v>14687.79</v>
      </c>
      <c r="T40" s="236">
        <v>17333.189999999999</v>
      </c>
      <c r="U40" s="236">
        <v>16140.55</v>
      </c>
      <c r="V40" s="236">
        <v>19130.310000000001</v>
      </c>
      <c r="W40" s="236">
        <v>8566.1</v>
      </c>
      <c r="X40" s="236">
        <v>529.5</v>
      </c>
      <c r="Y40" s="236">
        <v>2025.7</v>
      </c>
      <c r="Z40" s="236">
        <v>2695.5</v>
      </c>
      <c r="AA40" s="236">
        <f t="shared" si="1"/>
        <v>149944.06000000003</v>
      </c>
      <c r="AB40" s="237">
        <f t="shared" si="2"/>
        <v>0.33742323598574264</v>
      </c>
      <c r="AC40" s="238"/>
      <c r="AD40" s="236">
        <v>156186.24062999999</v>
      </c>
      <c r="AE40" s="237">
        <f t="shared" si="3"/>
        <v>0.25592243122381347</v>
      </c>
      <c r="AF40" s="239">
        <f t="shared" si="4"/>
        <v>-6242.1806299999589</v>
      </c>
      <c r="AG40" s="236">
        <v>64489.29</v>
      </c>
      <c r="AH40" s="237">
        <f t="shared" si="5"/>
        <v>0.38726000829534607</v>
      </c>
      <c r="AI40" s="473">
        <f t="shared" si="6"/>
        <v>85454.770000000019</v>
      </c>
      <c r="AJ40" s="215">
        <f t="shared" si="7"/>
        <v>6.5094013457781648</v>
      </c>
      <c r="AK40" s="216">
        <f t="shared" si="8"/>
        <v>6.8319951283845848</v>
      </c>
      <c r="AL40" s="218">
        <f t="shared" si="9"/>
        <v>7.1472115704311205</v>
      </c>
      <c r="AM40" s="423" t="str">
        <f t="shared" si="10"/>
        <v>8.15 pts.</v>
      </c>
      <c r="AN40" s="474" t="str">
        <f t="shared" si="11"/>
        <v>-4.98 pts.</v>
      </c>
      <c r="AO40" s="11"/>
    </row>
    <row r="41" spans="1:41" x14ac:dyDescent="0.25">
      <c r="A41" s="11" t="s">
        <v>102</v>
      </c>
      <c r="B41" s="11"/>
      <c r="C41" s="102" t="s">
        <v>101</v>
      </c>
      <c r="D41" s="11" t="s">
        <v>106</v>
      </c>
      <c r="E41" s="11"/>
      <c r="F41" s="11" t="s">
        <v>98</v>
      </c>
      <c r="G41" s="11"/>
      <c r="H41" s="84" t="s">
        <v>266</v>
      </c>
      <c r="I41" s="184" t="str">
        <f>IF(_epmOfflineCondition_,"B1",_xll.EVPRO($B$1,$H41,"STYLE"))</f>
        <v>B1</v>
      </c>
      <c r="J41" s="184" t="str">
        <f>IF(_epmOfflineCondition_,"Y",_xll.EVPRO($B$1,$H41,"CALC"))</f>
        <v>Y</v>
      </c>
      <c r="K41" s="185" t="str">
        <f t="shared" si="0"/>
        <v/>
      </c>
      <c r="L41" s="186" t="str">
        <f>IF(_epmOfflineCondition_,"",_xll.EVPRO($B$1,H41,"JDEID"))</f>
        <v/>
      </c>
      <c r="M41" s="186" t="str">
        <f>IF(_epmOfflineCondition_,"",IF(AND(I41="N",J41="N"),_xll.EVPRO($B$1,H41,"PSFTID"),""))</f>
        <v/>
      </c>
      <c r="N41" s="186" t="str">
        <f>IF(_epmOfflineCondition_,"Beverage Revenue",IF(_xll.EVDES(H41,$B$1)="#NODATA","",_xll.EVDES(H41,$B$1)))</f>
        <v>Beverage Revenue</v>
      </c>
      <c r="O41" s="475"/>
      <c r="P41" s="241"/>
      <c r="Q41" s="241"/>
      <c r="R41" s="241"/>
      <c r="S41" s="241"/>
      <c r="T41" s="241"/>
      <c r="U41" s="241"/>
      <c r="V41" s="241"/>
      <c r="W41" s="241"/>
      <c r="X41" s="241"/>
      <c r="Y41" s="241"/>
      <c r="Z41" s="241"/>
      <c r="AA41" s="241" t="str">
        <f t="shared" si="1"/>
        <v/>
      </c>
      <c r="AB41" s="476" t="str">
        <f t="shared" si="2"/>
        <v/>
      </c>
      <c r="AC41" s="529"/>
      <c r="AD41" s="241"/>
      <c r="AE41" s="476" t="str">
        <f t="shared" si="3"/>
        <v/>
      </c>
      <c r="AF41" s="478" t="str">
        <f t="shared" si="4"/>
        <v/>
      </c>
      <c r="AG41" s="241"/>
      <c r="AH41" s="476" t="str">
        <f t="shared" si="5"/>
        <v/>
      </c>
      <c r="AI41" s="479" t="str">
        <f t="shared" si="6"/>
        <v/>
      </c>
      <c r="AJ41" s="244">
        <f t="shared" si="7"/>
        <v>0</v>
      </c>
      <c r="AK41" s="245">
        <f t="shared" si="8"/>
        <v>0</v>
      </c>
      <c r="AL41" s="247">
        <f t="shared" si="9"/>
        <v>0</v>
      </c>
      <c r="AM41" s="425">
        <f t="shared" si="10"/>
        <v>0</v>
      </c>
      <c r="AN41" s="480">
        <f t="shared" si="11"/>
        <v>0</v>
      </c>
      <c r="AO41" s="11"/>
    </row>
    <row r="42" spans="1:41" x14ac:dyDescent="0.25">
      <c r="A42" s="11" t="s">
        <v>102</v>
      </c>
      <c r="B42" s="11"/>
      <c r="C42" s="192" t="s">
        <v>101</v>
      </c>
      <c r="D42" s="11" t="s">
        <v>107</v>
      </c>
      <c r="E42" s="11"/>
      <c r="F42" s="11" t="s">
        <v>99</v>
      </c>
      <c r="G42" s="11"/>
      <c r="H42" s="84" t="s">
        <v>267</v>
      </c>
      <c r="I42" s="118" t="str">
        <f>IF(_epmOfflineCondition_,"T5",_xll.EVPRO($B$1,$H42,"STYLE"))</f>
        <v>T5</v>
      </c>
      <c r="J42" s="118" t="str">
        <f>IF(_epmOfflineCondition_,"Y",_xll.EVPRO($B$1,$H42,"CALC"))</f>
        <v>Y</v>
      </c>
      <c r="K42" s="175" t="str">
        <f t="shared" si="0"/>
        <v>&gt;</v>
      </c>
      <c r="L42" s="86" t="str">
        <f>IF(_epmOfflineCondition_,"",_xll.EVPRO($B$1,H42,"JDEID"))</f>
        <v/>
      </c>
      <c r="M42" s="86" t="str">
        <f>IF(_epmOfflineCondition_,"",IF(AND(I42="N",J42="N"),_xll.EVPRO($B$1,H42,"PSFTID"),""))</f>
        <v/>
      </c>
      <c r="N42" s="86" t="str">
        <f>IF(_epmOfflineCondition_,"Breakfast  Beverage Revenue",IF(_xll.EVDES(H42,$B$1)="#NODATA","",_xll.EVDES(H42,$B$1)))</f>
        <v>Breakfast  Beverage Revenue</v>
      </c>
      <c r="O42" s="453">
        <v>216</v>
      </c>
      <c r="P42" s="223">
        <v>390</v>
      </c>
      <c r="Q42" s="223">
        <v>409</v>
      </c>
      <c r="R42" s="223">
        <v>268</v>
      </c>
      <c r="S42" s="223">
        <v>464</v>
      </c>
      <c r="T42" s="223">
        <v>319</v>
      </c>
      <c r="U42" s="223">
        <v>349</v>
      </c>
      <c r="V42" s="223">
        <v>267</v>
      </c>
      <c r="W42" s="223">
        <v>176</v>
      </c>
      <c r="X42" s="223"/>
      <c r="Y42" s="223"/>
      <c r="Z42" s="223"/>
      <c r="AA42" s="223">
        <f t="shared" si="1"/>
        <v>2858</v>
      </c>
      <c r="AB42" s="454">
        <f t="shared" si="2"/>
        <v>6.4314358864716106E-3</v>
      </c>
      <c r="AC42" s="528"/>
      <c r="AD42" s="223"/>
      <c r="AE42" s="454" t="str">
        <f t="shared" si="3"/>
        <v/>
      </c>
      <c r="AF42" s="456">
        <f t="shared" si="4"/>
        <v>2858</v>
      </c>
      <c r="AG42" s="223">
        <v>411</v>
      </c>
      <c r="AH42" s="454">
        <f t="shared" si="5"/>
        <v>2.468066610895968E-3</v>
      </c>
      <c r="AI42" s="457">
        <f t="shared" si="6"/>
        <v>2447</v>
      </c>
      <c r="AJ42" s="458">
        <f t="shared" si="7"/>
        <v>0.12407206425005426</v>
      </c>
      <c r="AK42" s="459">
        <f t="shared" si="8"/>
        <v>0</v>
      </c>
      <c r="AL42" s="460">
        <f t="shared" si="9"/>
        <v>4.5550260445528096E-2</v>
      </c>
      <c r="AM42" s="461">
        <f t="shared" si="10"/>
        <v>0</v>
      </c>
      <c r="AN42" s="462" t="str">
        <f t="shared" si="11"/>
        <v>0.4 pts.</v>
      </c>
      <c r="AO42" s="11"/>
    </row>
    <row r="43" spans="1:41" x14ac:dyDescent="0.25">
      <c r="A43" s="11" t="s">
        <v>108</v>
      </c>
      <c r="B43" s="11"/>
      <c r="C43" s="102" t="s">
        <v>101</v>
      </c>
      <c r="D43" s="11" t="s">
        <v>106</v>
      </c>
      <c r="E43" s="11"/>
      <c r="F43" s="11" t="s">
        <v>98</v>
      </c>
      <c r="G43" s="11"/>
      <c r="H43" s="84" t="s">
        <v>268</v>
      </c>
      <c r="I43" s="118" t="str">
        <f>IF(_epmOfflineCondition_,"T5",_xll.EVPRO($B$1,$H43,"STYLE"))</f>
        <v>T5</v>
      </c>
      <c r="J43" s="118" t="str">
        <f>IF(_epmOfflineCondition_,"Y",_xll.EVPRO($B$1,$H43,"CALC"))</f>
        <v>Y</v>
      </c>
      <c r="K43" s="175" t="str">
        <f t="shared" si="0"/>
        <v>&gt;</v>
      </c>
      <c r="L43" s="86" t="str">
        <f>IF(_epmOfflineCondition_,"",_xll.EVPRO($B$1,H43,"JDEID"))</f>
        <v/>
      </c>
      <c r="M43" s="86" t="str">
        <f>IF(_epmOfflineCondition_,"",IF(AND(I43="N",J43="N"),_xll.EVPRO($B$1,H43,"PSFTID"),""))</f>
        <v/>
      </c>
      <c r="N43" s="86" t="str">
        <f>IF(_epmOfflineCondition_,"Lunch Beverage Revenue",IF(_xll.EVDES(H43,$B$1)="#NODATA","",_xll.EVDES(H43,$B$1)))</f>
        <v>Lunch Beverage Revenue</v>
      </c>
      <c r="O43" s="453"/>
      <c r="P43" s="223"/>
      <c r="Q43" s="223"/>
      <c r="R43" s="223"/>
      <c r="S43" s="223"/>
      <c r="T43" s="223"/>
      <c r="U43" s="223"/>
      <c r="V43" s="223"/>
      <c r="W43" s="223"/>
      <c r="X43" s="223"/>
      <c r="Y43" s="223"/>
      <c r="Z43" s="223"/>
      <c r="AA43" s="223">
        <f t="shared" si="1"/>
        <v>0</v>
      </c>
      <c r="AB43" s="454" t="str">
        <f t="shared" si="2"/>
        <v/>
      </c>
      <c r="AC43" s="528"/>
      <c r="AD43" s="223">
        <v>34018.598048</v>
      </c>
      <c r="AE43" s="454">
        <f t="shared" si="3"/>
        <v>5.5741928893047313E-2</v>
      </c>
      <c r="AF43" s="456">
        <f t="shared" si="4"/>
        <v>-34018.598048</v>
      </c>
      <c r="AG43" s="223"/>
      <c r="AH43" s="454" t="str">
        <f t="shared" si="5"/>
        <v/>
      </c>
      <c r="AI43" s="457">
        <f t="shared" si="6"/>
        <v>0</v>
      </c>
      <c r="AJ43" s="458">
        <f t="shared" si="7"/>
        <v>0</v>
      </c>
      <c r="AK43" s="459">
        <f t="shared" si="8"/>
        <v>1.4880625540440051</v>
      </c>
      <c r="AL43" s="460">
        <f t="shared" si="9"/>
        <v>0</v>
      </c>
      <c r="AM43" s="461">
        <f t="shared" si="10"/>
        <v>0</v>
      </c>
      <c r="AN43" s="462">
        <f t="shared" si="11"/>
        <v>0</v>
      </c>
      <c r="AO43" s="11"/>
    </row>
    <row r="44" spans="1:41" x14ac:dyDescent="0.25">
      <c r="A44" s="11" t="s">
        <v>108</v>
      </c>
      <c r="B44" s="11"/>
      <c r="C44" s="192" t="s">
        <v>101</v>
      </c>
      <c r="D44" s="11" t="s">
        <v>107</v>
      </c>
      <c r="E44" s="11"/>
      <c r="F44" s="11" t="s">
        <v>99</v>
      </c>
      <c r="G44" s="11"/>
      <c r="H44" s="84" t="s">
        <v>269</v>
      </c>
      <c r="I44" s="118" t="str">
        <f>IF(_epmOfflineCondition_,"T5",_xll.EVPRO($B$1,$H44,"STYLE"))</f>
        <v>T5</v>
      </c>
      <c r="J44" s="118" t="str">
        <f>IF(_epmOfflineCondition_,"Y",_xll.EVPRO($B$1,$H44,"CALC"))</f>
        <v>Y</v>
      </c>
      <c r="K44" s="175" t="str">
        <f t="shared" si="0"/>
        <v>&gt;</v>
      </c>
      <c r="L44" s="86" t="str">
        <f>IF(_epmOfflineCondition_,"",_xll.EVPRO($B$1,H44,"JDEID"))</f>
        <v/>
      </c>
      <c r="M44" s="86" t="str">
        <f>IF(_epmOfflineCondition_,"",IF(AND(I44="N",J44="N"),_xll.EVPRO($B$1,H44,"PSFTID"),""))</f>
        <v/>
      </c>
      <c r="N44" s="86" t="str">
        <f>IF(_epmOfflineCondition_,"Dinner Beverage Revenue",IF(_xll.EVDES(H44,$B$1)="#NODATA","",_xll.EVDES(H44,$B$1)))</f>
        <v>Dinner Beverage Revenue</v>
      </c>
      <c r="O44" s="453"/>
      <c r="P44" s="223"/>
      <c r="Q44" s="223"/>
      <c r="R44" s="223"/>
      <c r="S44" s="223"/>
      <c r="T44" s="223"/>
      <c r="U44" s="223"/>
      <c r="V44" s="223"/>
      <c r="W44" s="223"/>
      <c r="X44" s="223"/>
      <c r="Y44" s="223"/>
      <c r="Z44" s="223"/>
      <c r="AA44" s="223">
        <f t="shared" si="1"/>
        <v>0</v>
      </c>
      <c r="AB44" s="454" t="str">
        <f t="shared" si="2"/>
        <v/>
      </c>
      <c r="AC44" s="528"/>
      <c r="AD44" s="223"/>
      <c r="AE44" s="454" t="str">
        <f t="shared" si="3"/>
        <v/>
      </c>
      <c r="AF44" s="456">
        <f t="shared" si="4"/>
        <v>0</v>
      </c>
      <c r="AG44" s="223"/>
      <c r="AH44" s="454" t="str">
        <f t="shared" si="5"/>
        <v/>
      </c>
      <c r="AI44" s="457">
        <f t="shared" si="6"/>
        <v>0</v>
      </c>
      <c r="AJ44" s="458">
        <f t="shared" si="7"/>
        <v>0</v>
      </c>
      <c r="AK44" s="459">
        <f t="shared" si="8"/>
        <v>0</v>
      </c>
      <c r="AL44" s="460">
        <f t="shared" si="9"/>
        <v>0</v>
      </c>
      <c r="AM44" s="461">
        <f t="shared" si="10"/>
        <v>0</v>
      </c>
      <c r="AN44" s="462">
        <f t="shared" si="11"/>
        <v>0</v>
      </c>
      <c r="AO44" s="11"/>
    </row>
    <row r="45" spans="1:41" x14ac:dyDescent="0.25">
      <c r="A45" s="11"/>
      <c r="B45" s="11"/>
      <c r="C45" s="11"/>
      <c r="D45" s="11"/>
      <c r="E45" s="11"/>
      <c r="F45" s="11"/>
      <c r="G45" s="11"/>
      <c r="H45" s="84" t="s">
        <v>270</v>
      </c>
      <c r="I45" s="118" t="str">
        <f>IF(_epmOfflineCondition_,"T5",_xll.EVPRO($B$1,$H45,"STYLE"))</f>
        <v>T5</v>
      </c>
      <c r="J45" s="118" t="str">
        <f>IF(_epmOfflineCondition_,"Y",_xll.EVPRO($B$1,$H45,"CALC"))</f>
        <v>Y</v>
      </c>
      <c r="K45" s="175" t="str">
        <f t="shared" si="0"/>
        <v>&gt;</v>
      </c>
      <c r="L45" s="86" t="str">
        <f>IF(_epmOfflineCondition_,"",_xll.EVPRO($B$1,H45,"JDEID"))</f>
        <v/>
      </c>
      <c r="M45" s="86" t="str">
        <f>IF(_epmOfflineCondition_,"",IF(AND(I45="N",J45="N"),_xll.EVPRO($B$1,H45,"PSFTID"),""))</f>
        <v/>
      </c>
      <c r="N45" s="86" t="str">
        <f>IF(_epmOfflineCondition_,"Bar Beverage Revenue",IF(_xll.EVDES(H45,$B$1)="#NODATA","",_xll.EVDES(H45,$B$1)))</f>
        <v>Bar Beverage Revenue</v>
      </c>
      <c r="O45" s="453">
        <v>19200.91</v>
      </c>
      <c r="P45" s="223">
        <v>23776.400000000001</v>
      </c>
      <c r="Q45" s="223">
        <v>22733.55</v>
      </c>
      <c r="R45" s="223">
        <v>19358.05</v>
      </c>
      <c r="S45" s="223">
        <v>16860.05</v>
      </c>
      <c r="T45" s="223">
        <v>16725.96</v>
      </c>
      <c r="U45" s="223">
        <v>14619.9</v>
      </c>
      <c r="V45" s="223">
        <v>15416.01</v>
      </c>
      <c r="W45" s="223">
        <v>12355</v>
      </c>
      <c r="X45" s="223">
        <v>17298.7</v>
      </c>
      <c r="Y45" s="223">
        <v>18707.25</v>
      </c>
      <c r="Z45" s="223">
        <v>23954.400000000001</v>
      </c>
      <c r="AA45" s="223">
        <f t="shared" si="1"/>
        <v>221006.18000000002</v>
      </c>
      <c r="AB45" s="454">
        <f t="shared" si="2"/>
        <v>0.49733627613156206</v>
      </c>
      <c r="AC45" s="528"/>
      <c r="AD45" s="223">
        <v>326987.89132200001</v>
      </c>
      <c r="AE45" s="454">
        <f t="shared" si="3"/>
        <v>0.53579326700178331</v>
      </c>
      <c r="AF45" s="456">
        <f t="shared" si="4"/>
        <v>-105981.71132199999</v>
      </c>
      <c r="AG45" s="223">
        <v>75340.36</v>
      </c>
      <c r="AH45" s="454">
        <f t="shared" si="5"/>
        <v>0.45242099019192733</v>
      </c>
      <c r="AI45" s="457">
        <f t="shared" si="6"/>
        <v>145665.82</v>
      </c>
      <c r="AJ45" s="458">
        <f t="shared" si="7"/>
        <v>9.5943642283481676</v>
      </c>
      <c r="AK45" s="459">
        <f t="shared" si="8"/>
        <v>14.303306562355104</v>
      </c>
      <c r="AL45" s="460">
        <f t="shared" si="9"/>
        <v>8.3498127008755407</v>
      </c>
      <c r="AM45" s="461" t="str">
        <f t="shared" si="10"/>
        <v>-3.85 pts.</v>
      </c>
      <c r="AN45" s="462" t="str">
        <f t="shared" si="11"/>
        <v>4.49 pts.</v>
      </c>
      <c r="AO45" s="11"/>
    </row>
    <row r="46" spans="1:41" x14ac:dyDescent="0.25">
      <c r="A46" s="11"/>
      <c r="B46" s="11"/>
      <c r="C46" s="11"/>
      <c r="D46" s="11"/>
      <c r="E46" s="11"/>
      <c r="F46" s="11"/>
      <c r="G46" s="11"/>
      <c r="H46" s="84" t="s">
        <v>271</v>
      </c>
      <c r="I46" s="118" t="str">
        <f>IF(_epmOfflineCondition_,"T5",_xll.EVPRO($B$1,$H46,"STYLE"))</f>
        <v>T5</v>
      </c>
      <c r="J46" s="118" t="str">
        <f>IF(_epmOfflineCondition_,"Y",_xll.EVPRO($B$1,$H46,"CALC"))</f>
        <v>Y</v>
      </c>
      <c r="K46" s="175" t="str">
        <f t="shared" si="0"/>
        <v>&gt;</v>
      </c>
      <c r="L46" s="86" t="str">
        <f>IF(_epmOfflineCondition_,"",_xll.EVPRO($B$1,H46,"JDEID"))</f>
        <v/>
      </c>
      <c r="M46" s="86" t="str">
        <f>IF(_epmOfflineCondition_,"",IF(AND(I46="N",J46="N"),_xll.EVPRO($B$1,H46,"PSFTID"),""))</f>
        <v/>
      </c>
      <c r="N46" s="86" t="str">
        <f>IF(_epmOfflineCondition_,"Private Dining Beverage Revenue",IF(_xll.EVDES(H46,$B$1)="#NODATA","",_xll.EVDES(H46,$B$1)))</f>
        <v>Private Dining Beverage Revenue</v>
      </c>
      <c r="O46" s="463"/>
      <c r="P46" s="229"/>
      <c r="Q46" s="229"/>
      <c r="R46" s="229"/>
      <c r="S46" s="229"/>
      <c r="T46" s="229"/>
      <c r="U46" s="229"/>
      <c r="V46" s="229"/>
      <c r="W46" s="229"/>
      <c r="X46" s="229"/>
      <c r="Y46" s="229"/>
      <c r="Z46" s="229"/>
      <c r="AA46" s="229">
        <f t="shared" si="1"/>
        <v>0</v>
      </c>
      <c r="AB46" s="464" t="str">
        <f t="shared" si="2"/>
        <v/>
      </c>
      <c r="AC46" s="455"/>
      <c r="AD46" s="229"/>
      <c r="AE46" s="464" t="str">
        <f t="shared" si="3"/>
        <v/>
      </c>
      <c r="AF46" s="465">
        <f t="shared" si="4"/>
        <v>0</v>
      </c>
      <c r="AG46" s="229"/>
      <c r="AH46" s="464" t="str">
        <f t="shared" si="5"/>
        <v/>
      </c>
      <c r="AI46" s="466">
        <f t="shared" si="6"/>
        <v>0</v>
      </c>
      <c r="AJ46" s="467">
        <f t="shared" si="7"/>
        <v>0</v>
      </c>
      <c r="AK46" s="468">
        <f t="shared" si="8"/>
        <v>0</v>
      </c>
      <c r="AL46" s="469">
        <f t="shared" si="9"/>
        <v>0</v>
      </c>
      <c r="AM46" s="470">
        <f t="shared" si="10"/>
        <v>0</v>
      </c>
      <c r="AN46" s="471">
        <f t="shared" si="11"/>
        <v>0</v>
      </c>
      <c r="AO46" s="11"/>
    </row>
    <row r="47" spans="1:41" x14ac:dyDescent="0.25">
      <c r="A47" s="56" t="str">
        <f>IF(_epmOfflineCondition_,"Evdre:Ok",_xll.EVDRE($B$1,A50:B57,A60:B66))</f>
        <v>Evdre:Ok</v>
      </c>
      <c r="B47" s="11"/>
      <c r="C47" s="11"/>
      <c r="D47" s="11"/>
      <c r="E47" s="11"/>
      <c r="F47" s="11"/>
      <c r="G47" s="11"/>
      <c r="H47" s="84" t="s">
        <v>272</v>
      </c>
      <c r="I47" s="184" t="str">
        <f>IF(_epmOfflineCondition_,"T4",_xll.EVPRO($B$1,$H47,"STYLE"))</f>
        <v>T4</v>
      </c>
      <c r="J47" s="184" t="str">
        <f>IF(_epmOfflineCondition_,"Y",_xll.EVPRO($B$1,$H47,"CALC"))</f>
        <v>Y</v>
      </c>
      <c r="K47" s="185" t="str">
        <f t="shared" si="0"/>
        <v/>
      </c>
      <c r="L47" s="186" t="str">
        <f>IF(_epmOfflineCondition_,"",_xll.EVPRO($B$1,H47,"JDEID"))</f>
        <v/>
      </c>
      <c r="M47" s="186" t="str">
        <f>IF(_epmOfflineCondition_,"",IF(AND(I47="N",J47="N"),_xll.EVPRO($B$1,H47,"PSFTID"),""))</f>
        <v/>
      </c>
      <c r="N47" s="186" t="str">
        <f>IF(_epmOfflineCondition_,"Total Beverage Revenue",IF(_xll.EVDES(H47,$B$1)="#NODATA","",_xll.EVDES(H47,$B$1)))</f>
        <v>Total Beverage Revenue</v>
      </c>
      <c r="O47" s="472">
        <v>19416.91</v>
      </c>
      <c r="P47" s="236">
        <v>24166.400000000001</v>
      </c>
      <c r="Q47" s="236">
        <v>23142.55</v>
      </c>
      <c r="R47" s="236">
        <v>19626.05</v>
      </c>
      <c r="S47" s="236">
        <v>17324.05</v>
      </c>
      <c r="T47" s="236">
        <v>17044.96</v>
      </c>
      <c r="U47" s="236">
        <v>14968.9</v>
      </c>
      <c r="V47" s="236">
        <v>15683.01</v>
      </c>
      <c r="W47" s="236">
        <v>12531</v>
      </c>
      <c r="X47" s="236">
        <v>17298.7</v>
      </c>
      <c r="Y47" s="236">
        <v>18707.25</v>
      </c>
      <c r="Z47" s="236">
        <v>23954.400000000001</v>
      </c>
      <c r="AA47" s="236">
        <f t="shared" si="1"/>
        <v>223864.18000000002</v>
      </c>
      <c r="AB47" s="237">
        <f t="shared" si="2"/>
        <v>0.50376771201803372</v>
      </c>
      <c r="AC47" s="238"/>
      <c r="AD47" s="236">
        <v>361006.48937000002</v>
      </c>
      <c r="AE47" s="237">
        <f t="shared" si="3"/>
        <v>0.59153519589483061</v>
      </c>
      <c r="AF47" s="239">
        <f t="shared" si="4"/>
        <v>-137142.30937</v>
      </c>
      <c r="AG47" s="236">
        <v>75751.360000000001</v>
      </c>
      <c r="AH47" s="237">
        <f t="shared" si="5"/>
        <v>0.45488905680282332</v>
      </c>
      <c r="AI47" s="473">
        <f t="shared" si="6"/>
        <v>148112.82</v>
      </c>
      <c r="AJ47" s="215">
        <f t="shared" si="7"/>
        <v>9.7184362925982217</v>
      </c>
      <c r="AK47" s="216">
        <f t="shared" si="8"/>
        <v>15.791369116399109</v>
      </c>
      <c r="AL47" s="218">
        <f t="shared" si="9"/>
        <v>8.3953629613210676</v>
      </c>
      <c r="AM47" s="423" t="str">
        <f t="shared" si="10"/>
        <v>-8.78 pts.</v>
      </c>
      <c r="AN47" s="474" t="str">
        <f t="shared" si="11"/>
        <v>4.89 pts.</v>
      </c>
      <c r="AO47" s="11"/>
    </row>
    <row r="48" spans="1:41" x14ac:dyDescent="0.25">
      <c r="A48" s="11"/>
      <c r="B48" s="11"/>
      <c r="C48" s="11"/>
      <c r="D48" s="11"/>
      <c r="E48" s="11"/>
      <c r="F48" s="11"/>
      <c r="G48" s="11"/>
      <c r="H48" s="84" t="s">
        <v>486</v>
      </c>
      <c r="I48" s="118" t="str">
        <f>IF(_epmOfflineCondition_,"T5",_xll.EVPRO($B$1,$H48,"STYLE"))</f>
        <v>T5</v>
      </c>
      <c r="J48" s="118" t="str">
        <f>IF(_epmOfflineCondition_,"Y",_xll.EVPRO($B$1,$H48,"CALC"))</f>
        <v>Y</v>
      </c>
      <c r="K48" s="175" t="str">
        <f t="shared" si="0"/>
        <v>&gt;</v>
      </c>
      <c r="L48" s="86" t="str">
        <f>IF(_epmOfflineCondition_,"",_xll.EVPRO($B$1,H48,"JDEID"))</f>
        <v/>
      </c>
      <c r="M48" s="86" t="str">
        <f>IF(_epmOfflineCondition_,"",IF(AND(I48="N",J48="N"),_xll.EVPRO($B$1,H48,"PSFTID"),""))</f>
        <v/>
      </c>
      <c r="N48" s="86" t="str">
        <f>IF(_epmOfflineCondition_,"Food &amp; Beverage: Allowances",IF(_xll.EVDES(H48,$B$1)="#NODATA","",_xll.EVDES(H48,$B$1)))</f>
        <v>Food &amp; Beverage: Allowances</v>
      </c>
      <c r="O48" s="530"/>
      <c r="P48" s="248"/>
      <c r="Q48" s="248"/>
      <c r="R48" s="248">
        <v>-171.21</v>
      </c>
      <c r="S48" s="248">
        <v>-224.79</v>
      </c>
      <c r="T48" s="248">
        <v>-20.32</v>
      </c>
      <c r="U48" s="248"/>
      <c r="V48" s="248"/>
      <c r="W48" s="248">
        <v>54.61</v>
      </c>
      <c r="X48" s="248"/>
      <c r="Y48" s="248"/>
      <c r="Z48" s="248"/>
      <c r="AA48" s="248">
        <f t="shared" si="1"/>
        <v>-361.71</v>
      </c>
      <c r="AB48" s="249">
        <f t="shared" si="2"/>
        <v>-8.1396594628958927E-4</v>
      </c>
      <c r="AC48" s="477"/>
      <c r="AD48" s="248"/>
      <c r="AE48" s="249" t="str">
        <f t="shared" si="3"/>
        <v/>
      </c>
      <c r="AF48" s="250">
        <f t="shared" si="4"/>
        <v>-361.71</v>
      </c>
      <c r="AG48" s="248">
        <v>-379.07</v>
      </c>
      <c r="AH48" s="249">
        <f t="shared" si="5"/>
        <v>-2.2763260588621278E-3</v>
      </c>
      <c r="AI48" s="531">
        <f t="shared" si="6"/>
        <v>17.360000000000014</v>
      </c>
      <c r="AJ48" s="532">
        <f t="shared" si="7"/>
        <v>-1.5702626438029086E-2</v>
      </c>
      <c r="AK48" s="533">
        <f t="shared" si="8"/>
        <v>0</v>
      </c>
      <c r="AL48" s="534">
        <f t="shared" si="9"/>
        <v>-4.2011526099966751E-2</v>
      </c>
      <c r="AM48" s="535">
        <f t="shared" si="10"/>
        <v>0</v>
      </c>
      <c r="AN48" s="536" t="str">
        <f t="shared" si="11"/>
        <v>0.15 pts.</v>
      </c>
      <c r="AO48" s="11"/>
    </row>
    <row r="49" spans="1:41" x14ac:dyDescent="0.25">
      <c r="A49" s="57" t="s">
        <v>0</v>
      </c>
      <c r="B49" s="58" t="s">
        <v>1</v>
      </c>
      <c r="C49" s="11"/>
      <c r="D49" s="11"/>
      <c r="E49" s="11"/>
      <c r="F49" s="11"/>
      <c r="G49" s="11"/>
      <c r="H49" s="84" t="s">
        <v>273</v>
      </c>
      <c r="I49" s="184" t="str">
        <f>IF(_epmOfflineCondition_,"T4",_xll.EVPRO($B$1,$H49,"STYLE"))</f>
        <v>T4</v>
      </c>
      <c r="J49" s="184" t="str">
        <f>IF(_epmOfflineCondition_,"Y",_xll.EVPRO($B$1,$H49,"CALC"))</f>
        <v>Y</v>
      </c>
      <c r="K49" s="185" t="str">
        <f t="shared" si="0"/>
        <v/>
      </c>
      <c r="L49" s="186" t="str">
        <f>IF(_epmOfflineCondition_,"",_xll.EVPRO($B$1,H49,"JDEID"))</f>
        <v/>
      </c>
      <c r="M49" s="186" t="str">
        <f>IF(_epmOfflineCondition_,"",IF(AND(I49="N",J49="N"),_xll.EVPRO($B$1,H49,"PSFTID"),""))</f>
        <v/>
      </c>
      <c r="N49" s="186" t="str">
        <f>IF(_epmOfflineCondition_,"Total Food &amp; Beverage Revenue",IF(_xll.EVDES(H49,$B$1)="#NODATA","",_xll.EVDES(H49,$B$1)))</f>
        <v>Total Food &amp; Beverage Revenue</v>
      </c>
      <c r="O49" s="472">
        <v>33316.49</v>
      </c>
      <c r="P49" s="236">
        <v>41112.400000000001</v>
      </c>
      <c r="Q49" s="236">
        <v>42913.120000000003</v>
      </c>
      <c r="R49" s="236">
        <v>37674.11</v>
      </c>
      <c r="S49" s="236">
        <v>31787.05</v>
      </c>
      <c r="T49" s="236">
        <v>34357.83</v>
      </c>
      <c r="U49" s="236">
        <v>31109.45</v>
      </c>
      <c r="V49" s="236">
        <v>34813.32</v>
      </c>
      <c r="W49" s="236">
        <v>21151.71</v>
      </c>
      <c r="X49" s="236">
        <v>17828.2</v>
      </c>
      <c r="Y49" s="236">
        <v>20732.95</v>
      </c>
      <c r="Z49" s="236">
        <v>26649.9</v>
      </c>
      <c r="AA49" s="236">
        <f t="shared" si="1"/>
        <v>373446.53000000009</v>
      </c>
      <c r="AB49" s="237">
        <f t="shared" si="2"/>
        <v>0.84037698205748679</v>
      </c>
      <c r="AC49" s="238"/>
      <c r="AD49" s="236">
        <v>517192.73</v>
      </c>
      <c r="AE49" s="237">
        <f t="shared" si="3"/>
        <v>0.84745762711864403</v>
      </c>
      <c r="AF49" s="239">
        <f t="shared" si="4"/>
        <v>-143746.1999999999</v>
      </c>
      <c r="AG49" s="236">
        <v>139861.57999999999</v>
      </c>
      <c r="AH49" s="237">
        <f t="shared" si="5"/>
        <v>0.83987273903930715</v>
      </c>
      <c r="AI49" s="473">
        <f t="shared" si="6"/>
        <v>233584.9500000001</v>
      </c>
      <c r="AJ49" s="215">
        <f t="shared" si="7"/>
        <v>16.212135011938358</v>
      </c>
      <c r="AK49" s="216">
        <f t="shared" si="8"/>
        <v>22.623364244783691</v>
      </c>
      <c r="AL49" s="218">
        <f t="shared" si="9"/>
        <v>15.500563005652221</v>
      </c>
      <c r="AM49" s="423" t="str">
        <f t="shared" si="10"/>
        <v>-0.71 pts.</v>
      </c>
      <c r="AN49" s="474" t="str">
        <f t="shared" si="11"/>
        <v>0.05 pts.</v>
      </c>
      <c r="AO49" s="11"/>
    </row>
    <row r="50" spans="1:41" x14ac:dyDescent="0.25">
      <c r="A50" s="61" t="s">
        <v>2</v>
      </c>
      <c r="B50" s="62" t="str">
        <f>IF(_epmOfflineCondition_,"'VenueBar'!$B$2:$B$10",_xll.EVRNG($B$2:$B$10))</f>
        <v>'VenueBar'!$B$2:$B$10</v>
      </c>
      <c r="C50" s="11"/>
      <c r="D50" s="11"/>
      <c r="E50" s="11"/>
      <c r="F50" s="11"/>
      <c r="G50" s="11"/>
      <c r="H50" s="84" t="s">
        <v>279</v>
      </c>
      <c r="I50" s="184" t="str">
        <f>IF(_epmOfflineCondition_,"B1",_xll.EVPRO($B$1,$H50,"STYLE"))</f>
        <v>B1</v>
      </c>
      <c r="J50" s="184" t="str">
        <f>IF(_epmOfflineCondition_,"Y",_xll.EVPRO($B$1,$H50,"CALC"))</f>
        <v>Y</v>
      </c>
      <c r="K50" s="185" t="str">
        <f t="shared" si="0"/>
        <v/>
      </c>
      <c r="L50" s="186" t="str">
        <f>IF(_epmOfflineCondition_,"",_xll.EVPRO($B$1,H50,"JDEID"))</f>
        <v/>
      </c>
      <c r="M50" s="186" t="str">
        <f>IF(_epmOfflineCondition_,"",IF(AND(I50="N",J50="N"),_xll.EVPRO($B$1,H50,"PSFTID"),""))</f>
        <v/>
      </c>
      <c r="N50" s="186" t="str">
        <f>IF(_epmOfflineCondition_,"Other Revenue",IF(_xll.EVDES(H50,$B$1)="#NODATA","",_xll.EVDES(H50,$B$1)))</f>
        <v>Other Revenue</v>
      </c>
      <c r="O50" s="475"/>
      <c r="P50" s="241"/>
      <c r="Q50" s="241"/>
      <c r="R50" s="241"/>
      <c r="S50" s="241"/>
      <c r="T50" s="241"/>
      <c r="U50" s="241"/>
      <c r="V50" s="241"/>
      <c r="W50" s="241"/>
      <c r="X50" s="241"/>
      <c r="Y50" s="241"/>
      <c r="Z50" s="241"/>
      <c r="AA50" s="241" t="str">
        <f t="shared" si="1"/>
        <v/>
      </c>
      <c r="AB50" s="476" t="str">
        <f t="shared" si="2"/>
        <v/>
      </c>
      <c r="AC50" s="529"/>
      <c r="AD50" s="241"/>
      <c r="AE50" s="476" t="str">
        <f t="shared" si="3"/>
        <v/>
      </c>
      <c r="AF50" s="478" t="str">
        <f t="shared" si="4"/>
        <v/>
      </c>
      <c r="AG50" s="241"/>
      <c r="AH50" s="476" t="str">
        <f t="shared" si="5"/>
        <v/>
      </c>
      <c r="AI50" s="479" t="str">
        <f t="shared" si="6"/>
        <v/>
      </c>
      <c r="AJ50" s="244">
        <f t="shared" si="7"/>
        <v>0</v>
      </c>
      <c r="AK50" s="245">
        <f t="shared" si="8"/>
        <v>0</v>
      </c>
      <c r="AL50" s="247">
        <f t="shared" si="9"/>
        <v>0</v>
      </c>
      <c r="AM50" s="425">
        <f t="shared" si="10"/>
        <v>0</v>
      </c>
      <c r="AN50" s="480">
        <f t="shared" si="11"/>
        <v>0</v>
      </c>
      <c r="AO50" s="11"/>
    </row>
    <row r="51" spans="1:41" x14ac:dyDescent="0.25">
      <c r="A51" s="61" t="s">
        <v>3</v>
      </c>
      <c r="B51" s="62" t="str">
        <f>IF(_epmOfflineCondition_,"'VenueBar'!$O$16:$AN$18",_xll.EVRNG($O$16:$AN$18))</f>
        <v>'VenueBar'!$O$16:$AN$18</v>
      </c>
      <c r="C51" s="11"/>
      <c r="D51" s="11"/>
      <c r="E51" s="11"/>
      <c r="F51" s="11"/>
      <c r="G51" s="11"/>
      <c r="H51" s="84" t="s">
        <v>274</v>
      </c>
      <c r="I51" s="118" t="str">
        <f>IF(_epmOfflineCondition_,"T5",_xll.EVPRO($B$1,$H51,"STYLE"))</f>
        <v>T5</v>
      </c>
      <c r="J51" s="118" t="str">
        <f>IF(_epmOfflineCondition_,"Y",_xll.EVPRO($B$1,$H51,"CALC"))</f>
        <v>Y</v>
      </c>
      <c r="K51" s="175" t="str">
        <f t="shared" si="0"/>
        <v>&gt;</v>
      </c>
      <c r="L51" s="86" t="str">
        <f>IF(_epmOfflineCondition_,"468300",_xll.EVPRO($B$1,H51,"JDEID"))</f>
        <v>468300</v>
      </c>
      <c r="M51" s="86" t="str">
        <f>IF(_epmOfflineCondition_,"",IF(AND(I51="N",J51="N"),_xll.EVPRO($B$1,H51,"PSFTID"),""))</f>
        <v/>
      </c>
      <c r="N51" s="86" t="str">
        <f>IF(_epmOfflineCondition_,"Audio/Visual Rentals",IF(_xll.EVDES(H51,$B$1)="#NODATA","",_xll.EVDES(H51,$B$1)))</f>
        <v>Audio/Visual Rentals</v>
      </c>
      <c r="O51" s="453"/>
      <c r="P51" s="223"/>
      <c r="Q51" s="223"/>
      <c r="R51" s="223"/>
      <c r="S51" s="223"/>
      <c r="T51" s="223"/>
      <c r="U51" s="223"/>
      <c r="V51" s="223"/>
      <c r="W51" s="223"/>
      <c r="X51" s="223"/>
      <c r="Y51" s="223"/>
      <c r="Z51" s="223"/>
      <c r="AA51" s="223">
        <f t="shared" si="1"/>
        <v>0</v>
      </c>
      <c r="AB51" s="454" t="str">
        <f t="shared" si="2"/>
        <v/>
      </c>
      <c r="AC51" s="528"/>
      <c r="AD51" s="223"/>
      <c r="AE51" s="454" t="str">
        <f t="shared" si="3"/>
        <v/>
      </c>
      <c r="AF51" s="456">
        <f t="shared" si="4"/>
        <v>0</v>
      </c>
      <c r="AG51" s="223"/>
      <c r="AH51" s="454" t="str">
        <f t="shared" si="5"/>
        <v/>
      </c>
      <c r="AI51" s="457">
        <f t="shared" si="6"/>
        <v>0</v>
      </c>
      <c r="AJ51" s="458">
        <f t="shared" si="7"/>
        <v>0</v>
      </c>
      <c r="AK51" s="459">
        <f t="shared" si="8"/>
        <v>0</v>
      </c>
      <c r="AL51" s="460">
        <f t="shared" si="9"/>
        <v>0</v>
      </c>
      <c r="AM51" s="461">
        <f t="shared" si="10"/>
        <v>0</v>
      </c>
      <c r="AN51" s="462">
        <f t="shared" si="11"/>
        <v>0</v>
      </c>
      <c r="AO51" s="11"/>
    </row>
    <row r="52" spans="1:41" x14ac:dyDescent="0.25">
      <c r="A52" s="61" t="s">
        <v>4</v>
      </c>
      <c r="B52" s="62" t="str">
        <f>IF(_epmOfflineCondition_,"'VenueBar'!$H$62:$H$70",_xll.EVRNG(H62:H70))</f>
        <v>'VenueBar'!$H$62:$H$70</v>
      </c>
      <c r="C52" s="11"/>
      <c r="D52" s="11"/>
      <c r="E52" s="11"/>
      <c r="F52" s="11"/>
      <c r="G52" s="11"/>
      <c r="H52" s="84" t="s">
        <v>275</v>
      </c>
      <c r="I52" s="118" t="str">
        <f>IF(_epmOfflineCondition_,"T5",_xll.EVPRO($B$1,$H52,"STYLE"))</f>
        <v>T5</v>
      </c>
      <c r="J52" s="118" t="str">
        <f>IF(_epmOfflineCondition_,"Y",_xll.EVPRO($B$1,$H52,"CALC"))</f>
        <v>Y</v>
      </c>
      <c r="K52" s="175" t="str">
        <f t="shared" si="0"/>
        <v>&gt;</v>
      </c>
      <c r="L52" s="86" t="str">
        <f>IF(_epmOfflineCondition_,"468350",_xll.EVPRO($B$1,H52,"JDEID"))</f>
        <v>468350</v>
      </c>
      <c r="M52" s="86" t="str">
        <f>IF(_epmOfflineCondition_,"",IF(AND(I52="N",J52="N"),_xll.EVPRO($B$1,H52,"PSFTID"),""))</f>
        <v/>
      </c>
      <c r="N52" s="86" t="str">
        <f>IF(_epmOfflineCondition_,"Public Room Rental",IF(_xll.EVDES(H52,$B$1)="#NODATA","",_xll.EVDES(H52,$B$1)))</f>
        <v>Public Room Rental</v>
      </c>
      <c r="O52" s="453"/>
      <c r="P52" s="223"/>
      <c r="Q52" s="223"/>
      <c r="R52" s="223"/>
      <c r="S52" s="223"/>
      <c r="T52" s="223"/>
      <c r="U52" s="223"/>
      <c r="V52" s="223"/>
      <c r="W52" s="223"/>
      <c r="X52" s="223"/>
      <c r="Y52" s="223"/>
      <c r="Z52" s="223"/>
      <c r="AA52" s="223">
        <f t="shared" si="1"/>
        <v>0</v>
      </c>
      <c r="AB52" s="454" t="str">
        <f t="shared" si="2"/>
        <v/>
      </c>
      <c r="AC52" s="528"/>
      <c r="AD52" s="223"/>
      <c r="AE52" s="454" t="str">
        <f t="shared" si="3"/>
        <v/>
      </c>
      <c r="AF52" s="456">
        <f t="shared" si="4"/>
        <v>0</v>
      </c>
      <c r="AG52" s="223"/>
      <c r="AH52" s="454" t="str">
        <f t="shared" si="5"/>
        <v/>
      </c>
      <c r="AI52" s="457">
        <f t="shared" si="6"/>
        <v>0</v>
      </c>
      <c r="AJ52" s="458">
        <f t="shared" si="7"/>
        <v>0</v>
      </c>
      <c r="AK52" s="459">
        <f t="shared" si="8"/>
        <v>0</v>
      </c>
      <c r="AL52" s="460">
        <f t="shared" si="9"/>
        <v>0</v>
      </c>
      <c r="AM52" s="461">
        <f t="shared" si="10"/>
        <v>0</v>
      </c>
      <c r="AN52" s="462">
        <f t="shared" si="11"/>
        <v>0</v>
      </c>
      <c r="AO52" s="11"/>
    </row>
    <row r="53" spans="1:41" x14ac:dyDescent="0.25">
      <c r="A53" s="61" t="s">
        <v>5</v>
      </c>
      <c r="B53" s="62"/>
      <c r="C53" s="11"/>
      <c r="D53" s="11"/>
      <c r="E53" s="11"/>
      <c r="F53" s="380"/>
      <c r="G53" s="11"/>
      <c r="H53" s="84" t="s">
        <v>276</v>
      </c>
      <c r="I53" s="118" t="str">
        <f>IF(_epmOfflineCondition_,"T5",_xll.EVPRO($B$1,$H53,"STYLE"))</f>
        <v>T5</v>
      </c>
      <c r="J53" s="118" t="str">
        <f>IF(_epmOfflineCondition_,"Y",_xll.EVPRO($B$1,$H53,"CALC"))</f>
        <v>Y</v>
      </c>
      <c r="K53" s="175" t="str">
        <f t="shared" si="0"/>
        <v>&gt;</v>
      </c>
      <c r="L53" s="86" t="str">
        <f>IF(_epmOfflineCondition_,"468550",_xll.EVPRO($B$1,H53,"JDEID"))</f>
        <v>468550</v>
      </c>
      <c r="M53" s="86" t="str">
        <f>IF(_epmOfflineCondition_,"",IF(AND(I53="N",J53="N"),_xll.EVPRO($B$1,H53,"PSFTID"),""))</f>
        <v/>
      </c>
      <c r="N53" s="86" t="str">
        <f>IF(_epmOfflineCondition_,"Cover Charge",IF(_xll.EVDES(H53,$B$1)="#NODATA","",_xll.EVDES(H53,$B$1)))</f>
        <v>Cover Charge</v>
      </c>
      <c r="O53" s="453"/>
      <c r="P53" s="223"/>
      <c r="Q53" s="223"/>
      <c r="R53" s="223"/>
      <c r="S53" s="223"/>
      <c r="T53" s="223"/>
      <c r="U53" s="223"/>
      <c r="V53" s="223"/>
      <c r="W53" s="223"/>
      <c r="X53" s="223"/>
      <c r="Y53" s="223"/>
      <c r="Z53" s="223"/>
      <c r="AA53" s="223">
        <f t="shared" si="1"/>
        <v>0</v>
      </c>
      <c r="AB53" s="454" t="str">
        <f t="shared" si="2"/>
        <v/>
      </c>
      <c r="AC53" s="528"/>
      <c r="AD53" s="223"/>
      <c r="AE53" s="454" t="str">
        <f t="shared" si="3"/>
        <v/>
      </c>
      <c r="AF53" s="456">
        <f t="shared" si="4"/>
        <v>0</v>
      </c>
      <c r="AG53" s="223"/>
      <c r="AH53" s="454" t="str">
        <f t="shared" si="5"/>
        <v/>
      </c>
      <c r="AI53" s="457">
        <f t="shared" si="6"/>
        <v>0</v>
      </c>
      <c r="AJ53" s="458">
        <f t="shared" si="7"/>
        <v>0</v>
      </c>
      <c r="AK53" s="459">
        <f t="shared" si="8"/>
        <v>0</v>
      </c>
      <c r="AL53" s="460">
        <f t="shared" si="9"/>
        <v>0</v>
      </c>
      <c r="AM53" s="461">
        <f t="shared" si="10"/>
        <v>0</v>
      </c>
      <c r="AN53" s="462">
        <f t="shared" si="11"/>
        <v>0</v>
      </c>
      <c r="AO53" s="11"/>
    </row>
    <row r="54" spans="1:41" x14ac:dyDescent="0.25">
      <c r="A54" s="61" t="s">
        <v>6</v>
      </c>
      <c r="B54" s="62"/>
      <c r="C54" s="11"/>
      <c r="D54" s="11"/>
      <c r="E54" s="11"/>
      <c r="F54" s="380"/>
      <c r="G54" s="11"/>
      <c r="H54" s="84" t="s">
        <v>282</v>
      </c>
      <c r="I54" s="118" t="str">
        <f>IF(_epmOfflineCondition_,"T5",_xll.EVPRO($B$1,$H54,"STYLE"))</f>
        <v>T5</v>
      </c>
      <c r="J54" s="118" t="str">
        <f>IF(_epmOfflineCondition_,"Y",_xll.EVPRO($B$1,$H54,"CALC"))</f>
        <v>Y</v>
      </c>
      <c r="K54" s="175" t="str">
        <f t="shared" si="0"/>
        <v>&gt;</v>
      </c>
      <c r="L54" s="86" t="str">
        <f>IF(_epmOfflineCondition_,"",_xll.EVPRO($B$1,H54,"JDEID"))</f>
        <v/>
      </c>
      <c r="M54" s="86" t="str">
        <f>IF(_epmOfflineCondition_,"",IF(AND(I54="N",J54="N"),_xll.EVPRO($B$1,H54,"PSFTID"),""))</f>
        <v/>
      </c>
      <c r="N54" s="86" t="str">
        <f>IF(_epmOfflineCondition_,"Surcharges &amp; Services Charges",IF(_xll.EVDES(H54,$B$1)="#NODATA","",_xll.EVDES(H54,$B$1)))</f>
        <v>Surcharges &amp; Services Charges</v>
      </c>
      <c r="O54" s="453">
        <v>6113.06</v>
      </c>
      <c r="P54" s="223">
        <v>7660.71</v>
      </c>
      <c r="Q54" s="223">
        <v>8078.4</v>
      </c>
      <c r="R54" s="223">
        <v>7011.63</v>
      </c>
      <c r="S54" s="223">
        <v>5993.19</v>
      </c>
      <c r="T54" s="223">
        <v>6377.4</v>
      </c>
      <c r="U54" s="223">
        <v>5766.26</v>
      </c>
      <c r="V54" s="223">
        <v>6618.67</v>
      </c>
      <c r="W54" s="223">
        <v>4047.12</v>
      </c>
      <c r="X54" s="223">
        <v>3500.55</v>
      </c>
      <c r="Y54" s="223">
        <v>3943.8</v>
      </c>
      <c r="Z54" s="223">
        <v>5148.45</v>
      </c>
      <c r="AA54" s="223">
        <f t="shared" si="1"/>
        <v>70259.240000000005</v>
      </c>
      <c r="AB54" s="454">
        <f t="shared" si="2"/>
        <v>0.15810629723310765</v>
      </c>
      <c r="AC54" s="528"/>
      <c r="AD54" s="223">
        <v>93094.691399999996</v>
      </c>
      <c r="AE54" s="454">
        <f t="shared" si="3"/>
        <v>0.15254237288135591</v>
      </c>
      <c r="AF54" s="456">
        <f t="shared" si="4"/>
        <v>-22835.451399999991</v>
      </c>
      <c r="AG54" s="223">
        <v>26090.53</v>
      </c>
      <c r="AH54" s="454">
        <f t="shared" si="5"/>
        <v>0.15667436971673862</v>
      </c>
      <c r="AI54" s="457">
        <f t="shared" si="6"/>
        <v>44168.710000000006</v>
      </c>
      <c r="AJ54" s="458">
        <f t="shared" si="7"/>
        <v>3.0501080963750815</v>
      </c>
      <c r="AK54" s="459">
        <f t="shared" si="8"/>
        <v>4.0722055640610648</v>
      </c>
      <c r="AL54" s="460">
        <f t="shared" si="9"/>
        <v>2.8915582400531972</v>
      </c>
      <c r="AM54" s="461" t="str">
        <f t="shared" si="10"/>
        <v>0.56 pts.</v>
      </c>
      <c r="AN54" s="462" t="str">
        <f t="shared" si="11"/>
        <v>0.14 pts.</v>
      </c>
      <c r="AO54" s="11"/>
    </row>
    <row r="55" spans="1:41" x14ac:dyDescent="0.25">
      <c r="A55" s="61" t="s">
        <v>7</v>
      </c>
      <c r="B55" s="62" t="str">
        <f>IF(_epmOfflineCondition_,"'VenueBar'!$A$69:$F$77",_xll.EVRNG(A69:F77))</f>
        <v>'VenueBar'!$A$69:$F$77</v>
      </c>
      <c r="C55" s="11"/>
      <c r="D55" s="11"/>
      <c r="E55" s="11"/>
      <c r="F55" s="380"/>
      <c r="G55" s="11"/>
      <c r="H55" s="84" t="s">
        <v>283</v>
      </c>
      <c r="I55" s="118" t="str">
        <f>IF(_epmOfflineCondition_,"T5",_xll.EVPRO($B$1,$H55,"STYLE"))</f>
        <v>T5</v>
      </c>
      <c r="J55" s="118" t="str">
        <f>IF(_epmOfflineCondition_,"Y",_xll.EVPRO($B$1,$H55,"CALC"))</f>
        <v>Y</v>
      </c>
      <c r="K55" s="175" t="str">
        <f t="shared" si="0"/>
        <v>&gt;</v>
      </c>
      <c r="L55" s="86" t="str">
        <f>IF(_epmOfflineCondition_,"",_xll.EVPRO($B$1,H55,"JDEID"))</f>
        <v/>
      </c>
      <c r="M55" s="86" t="str">
        <f>IF(_epmOfflineCondition_,"",IF(AND(I55="N",J55="N"),_xll.EVPRO($B$1,H55,"PSFTID"),""))</f>
        <v/>
      </c>
      <c r="N55" s="86" t="str">
        <f>IF(_epmOfflineCondition_,"Miscellaneous Other Revenue",IF(_xll.EVDES(H55,$B$1)="#NODATA","",_xll.EVDES(H55,$B$1)))</f>
        <v>Miscellaneous Other Revenue</v>
      </c>
      <c r="O55" s="453"/>
      <c r="P55" s="223">
        <v>10</v>
      </c>
      <c r="Q55" s="223"/>
      <c r="R55" s="223"/>
      <c r="S55" s="223"/>
      <c r="T55" s="223"/>
      <c r="U55" s="223">
        <v>290</v>
      </c>
      <c r="V55" s="223"/>
      <c r="W55" s="223"/>
      <c r="X55" s="223"/>
      <c r="Y55" s="223"/>
      <c r="Z55" s="223">
        <v>374</v>
      </c>
      <c r="AA55" s="223">
        <f t="shared" si="1"/>
        <v>674</v>
      </c>
      <c r="AB55" s="454">
        <f t="shared" si="2"/>
        <v>1.516720709405831E-3</v>
      </c>
      <c r="AC55" s="528"/>
      <c r="AD55" s="223"/>
      <c r="AE55" s="454" t="str">
        <f t="shared" si="3"/>
        <v/>
      </c>
      <c r="AF55" s="456">
        <f t="shared" si="4"/>
        <v>674</v>
      </c>
      <c r="AG55" s="223">
        <v>575</v>
      </c>
      <c r="AH55" s="454">
        <f t="shared" si="5"/>
        <v>3.4528912439542128E-3</v>
      </c>
      <c r="AI55" s="457">
        <f t="shared" si="6"/>
        <v>99</v>
      </c>
      <c r="AJ55" s="458">
        <f t="shared" si="7"/>
        <v>2.9259822009984806E-2</v>
      </c>
      <c r="AK55" s="459">
        <f t="shared" si="8"/>
        <v>0</v>
      </c>
      <c r="AL55" s="460">
        <f t="shared" si="9"/>
        <v>6.3726033470021051E-2</v>
      </c>
      <c r="AM55" s="461">
        <f t="shared" si="10"/>
        <v>0</v>
      </c>
      <c r="AN55" s="462" t="str">
        <f t="shared" si="11"/>
        <v>-0.19 pts.</v>
      </c>
      <c r="AO55" s="11"/>
    </row>
    <row r="56" spans="1:41" x14ac:dyDescent="0.25">
      <c r="A56" s="61" t="s">
        <v>47</v>
      </c>
      <c r="B56" s="62" t="str">
        <f>IF(_epmOfflineCondition_,"'VenueBar'!$A$125:$B$146",_xll.EVRNG($A$125:$B$146))</f>
        <v>'VenueBar'!$A$125:$B$146</v>
      </c>
      <c r="C56" s="11"/>
      <c r="D56" s="11"/>
      <c r="E56" s="11"/>
      <c r="F56" s="11"/>
      <c r="G56" s="11"/>
      <c r="H56" s="84" t="s">
        <v>473</v>
      </c>
      <c r="I56" s="118" t="str">
        <f>IF(_epmOfflineCondition_,"N",_xll.EVPRO($B$1,$H56,"STYLE"))</f>
        <v>N</v>
      </c>
      <c r="J56" s="118" t="str">
        <f>IF(_epmOfflineCondition_,"N",_xll.EVPRO($B$1,$H56,"CALC"))</f>
        <v>N</v>
      </c>
      <c r="K56" s="175" t="str">
        <f t="shared" si="0"/>
        <v/>
      </c>
      <c r="L56" s="86" t="str">
        <f>IF(_epmOfflineCondition_,"468990",_xll.EVPRO($B$1,H56,"JDEID"))</f>
        <v>468990</v>
      </c>
      <c r="M56" s="86" t="str">
        <f>IF(_epmOfflineCondition_,"206022",IF(AND(I56="N",J56="N"),_xll.EVPRO($B$1,H56,"PSFTID"),""))</f>
        <v>206022</v>
      </c>
      <c r="N56" s="86" t="str">
        <f>IF(_epmOfflineCondition_,"Other Revenue: Allowances",IF(_xll.EVDES(H56,$B$1)="#NODATA","",_xll.EVDES(H56,$B$1)))</f>
        <v>Other Revenue: Allowances</v>
      </c>
      <c r="O56" s="463"/>
      <c r="P56" s="229"/>
      <c r="Q56" s="229"/>
      <c r="R56" s="229"/>
      <c r="S56" s="229"/>
      <c r="T56" s="229"/>
      <c r="U56" s="229"/>
      <c r="V56" s="229"/>
      <c r="W56" s="229"/>
      <c r="X56" s="229"/>
      <c r="Y56" s="229"/>
      <c r="Z56" s="229"/>
      <c r="AA56" s="229">
        <f t="shared" si="1"/>
        <v>0</v>
      </c>
      <c r="AB56" s="464" t="str">
        <f t="shared" si="2"/>
        <v/>
      </c>
      <c r="AC56" s="455"/>
      <c r="AD56" s="229"/>
      <c r="AE56" s="464" t="str">
        <f t="shared" si="3"/>
        <v/>
      </c>
      <c r="AF56" s="465">
        <f t="shared" si="4"/>
        <v>0</v>
      </c>
      <c r="AG56" s="229"/>
      <c r="AH56" s="464" t="str">
        <f t="shared" si="5"/>
        <v/>
      </c>
      <c r="AI56" s="466">
        <f t="shared" si="6"/>
        <v>0</v>
      </c>
      <c r="AJ56" s="467">
        <f t="shared" si="7"/>
        <v>0</v>
      </c>
      <c r="AK56" s="468">
        <f t="shared" si="8"/>
        <v>0</v>
      </c>
      <c r="AL56" s="469">
        <f t="shared" si="9"/>
        <v>0</v>
      </c>
      <c r="AM56" s="470">
        <f t="shared" si="10"/>
        <v>0</v>
      </c>
      <c r="AN56" s="471">
        <f t="shared" si="11"/>
        <v>0</v>
      </c>
      <c r="AO56" s="11"/>
    </row>
    <row r="57" spans="1:41" x14ac:dyDescent="0.25">
      <c r="A57" s="61" t="s">
        <v>8</v>
      </c>
      <c r="B57" s="62"/>
      <c r="C57" s="11"/>
      <c r="D57" s="11"/>
      <c r="E57" s="11"/>
      <c r="F57" s="11"/>
      <c r="G57" s="11"/>
      <c r="H57" s="84" t="s">
        <v>277</v>
      </c>
      <c r="I57" s="184" t="str">
        <f>IF(_epmOfflineCondition_,"T4",_xll.EVPRO($B$1,$H57,"STYLE"))</f>
        <v>T4</v>
      </c>
      <c r="J57" s="184" t="str">
        <f>IF(_epmOfflineCondition_,"Y",_xll.EVPRO($B$1,$H57,"CALC"))</f>
        <v>Y</v>
      </c>
      <c r="K57" s="185" t="str">
        <f t="shared" si="0"/>
        <v/>
      </c>
      <c r="L57" s="186" t="str">
        <f>IF(_epmOfflineCondition_,"",_xll.EVPRO($B$1,H57,"JDEID"))</f>
        <v/>
      </c>
      <c r="M57" s="186" t="str">
        <f>IF(_epmOfflineCondition_,"",IF(AND(I57="N",J57="N"),_xll.EVPRO($B$1,H57,"PSFTID"),""))</f>
        <v/>
      </c>
      <c r="N57" s="186" t="str">
        <f>IF(_epmOfflineCondition_,"Total Other Revenue",IF(_xll.EVDES(H57,$B$1)="#NODATA","",_xll.EVDES(H57,$B$1)))</f>
        <v>Total Other Revenue</v>
      </c>
      <c r="O57" s="481">
        <v>6113.06</v>
      </c>
      <c r="P57" s="210">
        <v>7670.71</v>
      </c>
      <c r="Q57" s="210">
        <v>8078.4</v>
      </c>
      <c r="R57" s="210">
        <v>7011.63</v>
      </c>
      <c r="S57" s="210">
        <v>5993.19</v>
      </c>
      <c r="T57" s="210">
        <v>6377.4</v>
      </c>
      <c r="U57" s="210">
        <v>6056.26</v>
      </c>
      <c r="V57" s="210">
        <v>6618.67</v>
      </c>
      <c r="W57" s="210">
        <v>4047.12</v>
      </c>
      <c r="X57" s="210">
        <v>3500.55</v>
      </c>
      <c r="Y57" s="210">
        <v>3943.8</v>
      </c>
      <c r="Z57" s="210">
        <v>5522.45</v>
      </c>
      <c r="AA57" s="210">
        <f t="shared" si="1"/>
        <v>70933.240000000005</v>
      </c>
      <c r="AB57" s="211">
        <f t="shared" si="2"/>
        <v>0.15962301794251346</v>
      </c>
      <c r="AC57" s="251"/>
      <c r="AD57" s="210">
        <v>93094.691399999996</v>
      </c>
      <c r="AE57" s="211">
        <f t="shared" si="3"/>
        <v>0.15254237288135591</v>
      </c>
      <c r="AF57" s="252">
        <f t="shared" si="4"/>
        <v>-22161.451399999991</v>
      </c>
      <c r="AG57" s="210">
        <v>26665.53</v>
      </c>
      <c r="AH57" s="211">
        <f t="shared" si="5"/>
        <v>0.16012726096069282</v>
      </c>
      <c r="AI57" s="482">
        <f t="shared" si="6"/>
        <v>44267.710000000006</v>
      </c>
      <c r="AJ57" s="253">
        <f t="shared" si="7"/>
        <v>3.0793679183850666</v>
      </c>
      <c r="AK57" s="254">
        <f t="shared" si="8"/>
        <v>4.0722055640610648</v>
      </c>
      <c r="AL57" s="256">
        <f t="shared" si="9"/>
        <v>2.9552842735232181</v>
      </c>
      <c r="AM57" s="427" t="str">
        <f t="shared" si="10"/>
        <v>0.71 pts.</v>
      </c>
      <c r="AN57" s="483" t="str">
        <f t="shared" si="11"/>
        <v>-0.05 pts.</v>
      </c>
      <c r="AO57" s="11"/>
    </row>
    <row r="58" spans="1:41" x14ac:dyDescent="0.25">
      <c r="A58" s="11"/>
      <c r="B58" s="11"/>
      <c r="C58" s="11"/>
      <c r="D58" s="11"/>
      <c r="E58" s="11"/>
      <c r="F58" s="11"/>
      <c r="G58" s="72"/>
      <c r="H58" s="84" t="s">
        <v>280</v>
      </c>
      <c r="I58" s="184" t="str">
        <f>IF(_epmOfflineCondition_,"T3",_xll.EVPRO($B$1,$H58,"STYLE"))</f>
        <v>T3</v>
      </c>
      <c r="J58" s="184" t="str">
        <f>IF(_epmOfflineCondition_,"Y",_xll.EVPRO($B$1,$H58,"CALC"))</f>
        <v>Y</v>
      </c>
      <c r="K58" s="185" t="str">
        <f t="shared" si="0"/>
        <v/>
      </c>
      <c r="L58" s="186" t="str">
        <f>IF(_epmOfflineCondition_,"400000",_xll.EVPRO($B$1,H58,"JDEID"))</f>
        <v>400000</v>
      </c>
      <c r="M58" s="186" t="str">
        <f>IF(_epmOfflineCondition_,"",IF(AND(I58="N",J58="N"),_xll.EVPRO($B$1,H58,"PSFTID"),""))</f>
        <v/>
      </c>
      <c r="N58" s="186" t="str">
        <f>IF(_epmOfflineCondition_,"Total Revenue",IF(_xll.EVDES(H58,$B$1)="#NODATA","",_xll.EVDES(H58,$B$1)))</f>
        <v>Total Revenue</v>
      </c>
      <c r="O58" s="472">
        <v>39429.550000000003</v>
      </c>
      <c r="P58" s="236">
        <v>48783.11</v>
      </c>
      <c r="Q58" s="236">
        <v>50991.519999999997</v>
      </c>
      <c r="R58" s="236">
        <v>44685.74</v>
      </c>
      <c r="S58" s="236">
        <v>37780.239999999998</v>
      </c>
      <c r="T58" s="236">
        <v>40735.230000000003</v>
      </c>
      <c r="U58" s="236">
        <v>37165.71</v>
      </c>
      <c r="V58" s="236">
        <v>41431.99</v>
      </c>
      <c r="W58" s="236">
        <v>25198.83</v>
      </c>
      <c r="X58" s="236">
        <v>21328.75</v>
      </c>
      <c r="Y58" s="236">
        <v>24676.75</v>
      </c>
      <c r="Z58" s="236">
        <v>32172.35</v>
      </c>
      <c r="AA58" s="236">
        <f t="shared" si="1"/>
        <v>444379.76999999996</v>
      </c>
      <c r="AB58" s="237">
        <f t="shared" si="2"/>
        <v>1</v>
      </c>
      <c r="AC58" s="238"/>
      <c r="AD58" s="236">
        <v>610287.42139999999</v>
      </c>
      <c r="AE58" s="237">
        <f t="shared" si="3"/>
        <v>1</v>
      </c>
      <c r="AF58" s="239">
        <f t="shared" si="4"/>
        <v>-165907.65140000003</v>
      </c>
      <c r="AG58" s="236">
        <v>166527.10999999999</v>
      </c>
      <c r="AH58" s="237">
        <f t="shared" si="5"/>
        <v>1</v>
      </c>
      <c r="AI58" s="473">
        <f t="shared" si="6"/>
        <v>277852.65999999997</v>
      </c>
      <c r="AJ58" s="215">
        <f t="shared" si="7"/>
        <v>19.291502930323418</v>
      </c>
      <c r="AK58" s="216">
        <f t="shared" si="8"/>
        <v>26.695569808844755</v>
      </c>
      <c r="AL58" s="218">
        <f t="shared" si="9"/>
        <v>18.45584727917544</v>
      </c>
      <c r="AM58" s="423" t="str">
        <f t="shared" si="10"/>
        <v>0 pts.</v>
      </c>
      <c r="AN58" s="474" t="str">
        <f t="shared" si="11"/>
        <v>0 pts.</v>
      </c>
      <c r="AO58" s="11"/>
    </row>
    <row r="59" spans="1:41" x14ac:dyDescent="0.25">
      <c r="A59" s="57" t="s">
        <v>9</v>
      </c>
      <c r="B59" s="58" t="s">
        <v>10</v>
      </c>
      <c r="C59" s="11"/>
      <c r="D59" s="11"/>
      <c r="E59" s="11"/>
      <c r="F59" s="11"/>
      <c r="G59" s="11"/>
      <c r="H59" s="11"/>
      <c r="I59" s="55"/>
      <c r="J59" s="55"/>
      <c r="K59" s="11"/>
      <c r="L59" s="11"/>
      <c r="M59" s="11"/>
      <c r="N59" s="11"/>
      <c r="O59" s="199"/>
      <c r="P59" s="200"/>
      <c r="Q59" s="200"/>
      <c r="R59" s="200"/>
      <c r="S59" s="200"/>
      <c r="T59" s="200"/>
      <c r="U59" s="200"/>
      <c r="V59" s="200"/>
      <c r="W59" s="200"/>
      <c r="X59" s="200"/>
      <c r="Y59" s="200"/>
      <c r="Z59" s="200"/>
      <c r="AA59" s="200"/>
      <c r="AB59" s="114"/>
      <c r="AC59" s="11"/>
      <c r="AD59" s="199"/>
      <c r="AE59" s="200"/>
      <c r="AF59" s="114"/>
      <c r="AG59" s="199"/>
      <c r="AH59" s="200"/>
      <c r="AI59" s="114"/>
      <c r="AJ59" s="11"/>
      <c r="AK59" s="11"/>
      <c r="AL59" s="11"/>
      <c r="AM59" s="11"/>
      <c r="AN59" s="11"/>
      <c r="AO59" s="11"/>
    </row>
    <row r="60" spans="1:41" x14ac:dyDescent="0.25">
      <c r="A60" s="61" t="s">
        <v>11</v>
      </c>
      <c r="B60" s="62" t="s">
        <v>21</v>
      </c>
      <c r="C60" s="11"/>
      <c r="D60" s="11"/>
      <c r="E60" s="11"/>
      <c r="F60" s="11"/>
      <c r="G60" s="11"/>
      <c r="H60" s="11" t="s">
        <v>281</v>
      </c>
      <c r="I60" s="55" t="str">
        <f>IF(_epmOfflineCondition_,"B1",_xll.EVPRO($B$1,$H60,"STYLE"))</f>
        <v>B1</v>
      </c>
      <c r="J60" s="55" t="str">
        <f>IF(_epmOfflineCondition_,"Y",_xll.EVPRO($B$1,$H60,"CALC"))</f>
        <v>Y</v>
      </c>
      <c r="K60" s="11"/>
      <c r="L60" s="11"/>
      <c r="M60" s="11"/>
      <c r="N60" s="101" t="str">
        <f>IF(_epmOfflineCondition_,"Cost of Sales",IF(_xll.EVDES(H60,$B$1)="#NODATA","",_xll.EVDES(H60,$B$1)))</f>
        <v>Cost of Sales</v>
      </c>
      <c r="O60" s="199"/>
      <c r="P60" s="200"/>
      <c r="Q60" s="200"/>
      <c r="R60" s="200"/>
      <c r="S60" s="200"/>
      <c r="T60" s="200"/>
      <c r="U60" s="200"/>
      <c r="V60" s="200"/>
      <c r="W60" s="200"/>
      <c r="X60" s="200"/>
      <c r="Y60" s="200"/>
      <c r="Z60" s="200"/>
      <c r="AA60" s="200"/>
      <c r="AB60" s="114"/>
      <c r="AC60" s="11"/>
      <c r="AD60" s="199"/>
      <c r="AE60" s="200"/>
      <c r="AF60" s="114"/>
      <c r="AG60" s="199"/>
      <c r="AH60" s="200"/>
      <c r="AI60" s="114"/>
      <c r="AJ60" s="11"/>
      <c r="AK60" s="11"/>
      <c r="AL60" s="11"/>
      <c r="AM60" s="11"/>
      <c r="AN60" s="11"/>
      <c r="AO60" s="11"/>
    </row>
    <row r="61" spans="1:41" x14ac:dyDescent="0.25">
      <c r="A61" s="61" t="s">
        <v>12</v>
      </c>
      <c r="B61" s="62" t="s">
        <v>22</v>
      </c>
      <c r="C61" s="11"/>
      <c r="D61" s="11"/>
      <c r="E61" s="11"/>
      <c r="F61" s="11"/>
      <c r="G61" s="11"/>
      <c r="H61" s="11" t="s">
        <v>284</v>
      </c>
      <c r="I61" s="55" t="str">
        <f>IF(_epmOfflineCondition_,"B1",_xll.EVPRO($B$1,$H61,"STYLE"))</f>
        <v>B1</v>
      </c>
      <c r="J61" s="55" t="str">
        <f>IF(_epmOfflineCondition_,"Y",_xll.EVPRO($B$1,$H61,"CALC"))</f>
        <v>Y</v>
      </c>
      <c r="K61" s="11"/>
      <c r="L61" s="11"/>
      <c r="M61" s="11"/>
      <c r="N61" s="49" t="str">
        <f>IF(_epmOfflineCondition_,"Cost of Food &amp; Beverage Sales",IF(_xll.EVDES(H61,$B$1)="#NODATA","",_xll.EVDES(H61,$B$1)))</f>
        <v>Cost of Food &amp; Beverage Sales</v>
      </c>
      <c r="O61" s="199"/>
      <c r="P61" s="200"/>
      <c r="Q61" s="200"/>
      <c r="R61" s="200"/>
      <c r="S61" s="200"/>
      <c r="T61" s="200"/>
      <c r="U61" s="200"/>
      <c r="V61" s="200"/>
      <c r="W61" s="200"/>
      <c r="X61" s="200"/>
      <c r="Y61" s="200"/>
      <c r="Z61" s="200"/>
      <c r="AA61" s="200"/>
      <c r="AB61" s="114"/>
      <c r="AC61" s="11"/>
      <c r="AD61" s="199"/>
      <c r="AE61" s="200"/>
      <c r="AF61" s="114"/>
      <c r="AG61" s="199"/>
      <c r="AH61" s="200"/>
      <c r="AI61" s="114"/>
      <c r="AJ61" s="11"/>
      <c r="AK61" s="11"/>
      <c r="AL61" s="11"/>
      <c r="AM61" s="11"/>
      <c r="AN61" s="11"/>
      <c r="AO61" s="11"/>
    </row>
    <row r="62" spans="1:41" x14ac:dyDescent="0.25">
      <c r="A62" s="61" t="s">
        <v>13</v>
      </c>
      <c r="B62" s="62" t="str">
        <f>"DEP(COS_FB) AND "&amp;$E$6&amp;"=Y,COS_FB,COSOTH,DEP(COS_OTHR) AND "&amp;$E$6&amp;"=Y,COS_OTHR,500001"</f>
        <v>DEP(COS_FB) AND D_VENUES=Y,COS_FB,COSOTH,DEP(COS_OTHR) AND D_VENUES=Y,COS_OTHR,500001</v>
      </c>
      <c r="C62" s="11"/>
      <c r="D62" s="11"/>
      <c r="E62" s="11"/>
      <c r="F62" s="11"/>
      <c r="G62" s="11"/>
      <c r="H62" s="84" t="s">
        <v>285</v>
      </c>
      <c r="I62" s="118" t="str">
        <f>IF(_epmOfflineCondition_,"T5",_xll.EVPRO($B$1,$H62,"STYLE"))</f>
        <v>T5</v>
      </c>
      <c r="J62" s="118" t="str">
        <f>IF(_epmOfflineCondition_,"Y",_xll.EVPRO($B$1,$H62,"CALC"))</f>
        <v>Y</v>
      </c>
      <c r="K62" s="175" t="str">
        <f t="shared" ref="K62:K72" si="12">IF(AND(I62&gt;="T5"),"&gt;","")</f>
        <v>&gt;</v>
      </c>
      <c r="L62" s="86" t="str">
        <f>IF(_epmOfflineCondition_,"561100",_xll.EVPRO($B$1,H62,"JDEID"))</f>
        <v>561100</v>
      </c>
      <c r="M62" s="86" t="str">
        <f>IF(_epmOfflineCondition_,"",IF(AND(I62="N",J62="N"),_xll.EVPRO($B$1,H62,"PSFTID"),""))</f>
        <v/>
      </c>
      <c r="N62" s="86" t="str">
        <f>IF(_epmOfflineCondition_,"Cost of Food Sales",IF(_xll.EVDES(H62,$B$1)="#NODATA","",_xll.EVDES(H62,$B$1)))</f>
        <v>Cost of Food Sales</v>
      </c>
      <c r="O62" s="453">
        <v>12976.59</v>
      </c>
      <c r="P62" s="223">
        <v>11165.75</v>
      </c>
      <c r="Q62" s="223">
        <v>15482.32</v>
      </c>
      <c r="R62" s="223">
        <v>9523</v>
      </c>
      <c r="S62" s="223">
        <v>10469.41</v>
      </c>
      <c r="T62" s="223">
        <v>12330.05</v>
      </c>
      <c r="U62" s="223">
        <v>7559.73</v>
      </c>
      <c r="V62" s="223">
        <v>9779.7900000000009</v>
      </c>
      <c r="W62" s="223">
        <v>8045.5</v>
      </c>
      <c r="X62" s="223">
        <v>159.34</v>
      </c>
      <c r="Y62" s="223">
        <v>563.07000000000005</v>
      </c>
      <c r="Z62" s="223">
        <v>-596.84</v>
      </c>
      <c r="AA62" s="223">
        <f t="shared" ref="AA62:AA70" si="13">IF($I62="B1","",SUM(O62:Z62))</f>
        <v>97457.710000000021</v>
      </c>
      <c r="AB62" s="454">
        <f>IF(_epmOfflineCondition_,0.649960458587023,IF(AA62=0,"",IFERROR(AA62/_xll.EVGTS($B$1,1,_xll.EVPRO($B$1,$H62,"COSBASIS"),$B$3,$B$5,$B$6,$B$7,$B$9,AA$16,AA$17,AA$11),"")))</f>
        <v>0.649960458587023</v>
      </c>
      <c r="AC62" s="528"/>
      <c r="AD62" s="223">
        <v>46509.51</v>
      </c>
      <c r="AE62" s="454">
        <f>IF(_epmOfflineCondition_,0.297782377067257,IF(AD62=0,"",IFERROR(AD62/_xll.EVGTS($B$1,1,_xll.EVPRO($B$1,$H62,"COSBASIS"),$B$3,$B$5,$B$6,$B$7,$B$9,AD$16,AD$17,AD$18),"")))</f>
        <v>0.29778237706725702</v>
      </c>
      <c r="AF62" s="456">
        <f t="shared" ref="AF62:AF72" si="14">IF(AND($AA62="",AD62=""),"",$AA62-AD62)</f>
        <v>50948.200000000019</v>
      </c>
      <c r="AG62" s="223">
        <v>51259.360000000001</v>
      </c>
      <c r="AH62" s="454">
        <f>IF(_epmOfflineCondition_,0.794850741882877,IF(AG62=0,"",IFERROR(AG62/_xll.EVGTS($B$1,1,_xll.EVPRO($B$1,$H62,"COSBASIS"),$B$3,$B$5,$B$6,$B$7,$B$9,AG$16,AG$17,AG$18),"")))</f>
        <v>0.79485074188287697</v>
      </c>
      <c r="AI62" s="457">
        <f t="shared" ref="AI62:AI72" si="15">IF(AND($AA62="",AG62=""),"",$AA62-AG62)</f>
        <v>46198.35000000002</v>
      </c>
      <c r="AJ62" s="458">
        <f t="shared" ref="AJ62:AJ72" si="16">IFERROR(AA62/AA$20,0)</f>
        <v>4.2308534838289571</v>
      </c>
      <c r="AK62" s="459">
        <f t="shared" ref="AK62:AK72" si="17">IFERROR(AD62/AD$20,0)</f>
        <v>2.0344477494422817</v>
      </c>
      <c r="AL62" s="460">
        <f t="shared" ref="AL62:AL72" si="18">IFERROR(AG62/AG$20,0)</f>
        <v>5.6809664191510585</v>
      </c>
      <c r="AM62" s="461" t="str">
        <f t="shared" ref="AM62:AM72" si="19">+IFERROR(ROUND(($AB62-AE62)*100,2)&amp;" pts.",0)</f>
        <v>35.22 pts.</v>
      </c>
      <c r="AN62" s="462" t="str">
        <f t="shared" ref="AN62:AN72" si="20">+IFERROR(ROUND(($AB62-AH62)*100,2)&amp;" pts.",0)</f>
        <v>-14.49 pts.</v>
      </c>
      <c r="AO62" s="11"/>
    </row>
    <row r="63" spans="1:41" x14ac:dyDescent="0.25">
      <c r="A63" s="61" t="s">
        <v>14</v>
      </c>
      <c r="B63" s="62"/>
      <c r="C63" s="11"/>
      <c r="D63" s="11"/>
      <c r="E63" s="11"/>
      <c r="F63" s="11"/>
      <c r="G63" s="11"/>
      <c r="H63" s="84" t="s">
        <v>637</v>
      </c>
      <c r="I63" s="118" t="str">
        <f>IF(_epmOfflineCondition_,"T5",_xll.EVPRO($B$1,$H63,"STYLE"))</f>
        <v>T5</v>
      </c>
      <c r="J63" s="118" t="str">
        <f>IF(_epmOfflineCondition_,"Y",_xll.EVPRO($B$1,$H63,"CALC"))</f>
        <v>Y</v>
      </c>
      <c r="K63" s="175" t="str">
        <f t="shared" si="12"/>
        <v>&gt;</v>
      </c>
      <c r="L63" s="86" t="str">
        <f>IF(_epmOfflineCondition_,"",_xll.EVPRO($B$1,H63,"JDEID"))</f>
        <v/>
      </c>
      <c r="M63" s="86" t="str">
        <f>IF(_epmOfflineCondition_,"",IF(AND(I63="N",J63="N"),_xll.EVPRO($B$1,H63,"PSFTID"),""))</f>
        <v/>
      </c>
      <c r="N63" s="86" t="str">
        <f>IF(_epmOfflineCondition_,"Cost of Beverage Sales",IF(_xll.EVDES(H63,$B$1)="#NODATA","",_xll.EVDES(H63,$B$1)))</f>
        <v>Cost of Beverage Sales</v>
      </c>
      <c r="O63" s="463">
        <v>4856.43</v>
      </c>
      <c r="P63" s="229">
        <v>4254.12</v>
      </c>
      <c r="Q63" s="229">
        <v>4061.14</v>
      </c>
      <c r="R63" s="229">
        <v>5250.56</v>
      </c>
      <c r="S63" s="229">
        <v>2456.96</v>
      </c>
      <c r="T63" s="229">
        <v>4084.51</v>
      </c>
      <c r="U63" s="229">
        <v>3978.29</v>
      </c>
      <c r="V63" s="229">
        <v>2928.13</v>
      </c>
      <c r="W63" s="229">
        <v>5208.1499999999996</v>
      </c>
      <c r="X63" s="229">
        <v>3551.82</v>
      </c>
      <c r="Y63" s="229">
        <v>3816.62</v>
      </c>
      <c r="Z63" s="229">
        <v>4685.0600000000004</v>
      </c>
      <c r="AA63" s="229">
        <f t="shared" si="13"/>
        <v>49131.79</v>
      </c>
      <c r="AB63" s="464">
        <f>IF(_epmOfflineCondition_,0.219471422359754,IF(AA63=0,"",IFERROR(AA63/_xll.EVGTS($B$1,1,_xll.EVPRO($B$1,$H63,"COSBASIS"),$B$3,$B$5,$B$6,$B$7,$B$9,AA$16,AA$17,AA$11),"")))</f>
        <v>0.219471422359754</v>
      </c>
      <c r="AC63" s="455"/>
      <c r="AD63" s="229">
        <v>79770.899999999994</v>
      </c>
      <c r="AE63" s="464">
        <f>IF(_epmOfflineCondition_,0.220968050018186,IF(AD63=0,"",IFERROR(AD63/_xll.EVGTS($B$1,1,_xll.EVPRO($B$1,$H63,"COSBASIS"),$B$3,$B$5,$B$6,$B$7,$B$9,AD$16,AD$17,AD$18),"")))</f>
        <v>0.22096805001818601</v>
      </c>
      <c r="AF63" s="465">
        <f t="shared" si="14"/>
        <v>-30639.109999999993</v>
      </c>
      <c r="AG63" s="229">
        <v>21684.68</v>
      </c>
      <c r="AH63" s="464">
        <f>IF(_epmOfflineCondition_,0.28626126316412,IF(AG63=0,"",IFERROR(AG63/_xll.EVGTS($B$1,1,_xll.EVPRO($B$1,$H63,"COSBASIS"),$B$3,$B$5,$B$6,$B$7,$B$9,AG$16,AG$17,AG$18),"")))</f>
        <v>0.28626126316411998</v>
      </c>
      <c r="AI63" s="466">
        <f t="shared" si="15"/>
        <v>27447.11</v>
      </c>
      <c r="AJ63" s="467">
        <f t="shared" si="16"/>
        <v>2.1329190362491861</v>
      </c>
      <c r="AK63" s="468">
        <f t="shared" si="17"/>
        <v>3.4893880407681199</v>
      </c>
      <c r="AL63" s="469">
        <f t="shared" si="18"/>
        <v>2.403267206029037</v>
      </c>
      <c r="AM63" s="470" t="str">
        <f t="shared" si="19"/>
        <v>-0.15 pts.</v>
      </c>
      <c r="AN63" s="471" t="str">
        <f t="shared" si="20"/>
        <v>-6.68 pts.</v>
      </c>
      <c r="AO63" s="11"/>
    </row>
    <row r="64" spans="1:41" x14ac:dyDescent="0.25">
      <c r="A64" s="61" t="s">
        <v>15</v>
      </c>
      <c r="B64" s="62"/>
      <c r="C64" s="11"/>
      <c r="D64" s="11"/>
      <c r="E64" s="11"/>
      <c r="F64" s="11"/>
      <c r="G64" s="11"/>
      <c r="H64" s="84" t="s">
        <v>286</v>
      </c>
      <c r="I64" s="184" t="str">
        <f>IF(_epmOfflineCondition_,"T4",_xll.EVPRO($B$1,$H64,"STYLE"))</f>
        <v>T4</v>
      </c>
      <c r="J64" s="184" t="str">
        <f>IF(_epmOfflineCondition_,"Y",_xll.EVPRO($B$1,$H64,"CALC"))</f>
        <v>Y</v>
      </c>
      <c r="K64" s="185" t="str">
        <f t="shared" si="12"/>
        <v/>
      </c>
      <c r="L64" s="186" t="str">
        <f>IF(_epmOfflineCondition_,"",_xll.EVPRO($B$1,H64,"JDEID"))</f>
        <v/>
      </c>
      <c r="M64" s="186" t="str">
        <f>IF(_epmOfflineCondition_,"",IF(AND(I64="N",J64="N"),_xll.EVPRO($B$1,H64,"PSFTID"),""))</f>
        <v/>
      </c>
      <c r="N64" s="186" t="str">
        <f>IF(_epmOfflineCondition_,"Total Cost of Food &amp; Beverage Sales",IF(_xll.EVDES(H64,$B$1)="#NODATA","",_xll.EVDES(H64,$B$1)))</f>
        <v>Total Cost of Food &amp; Beverage Sales</v>
      </c>
      <c r="O64" s="472">
        <v>17833.02</v>
      </c>
      <c r="P64" s="236">
        <v>15419.87</v>
      </c>
      <c r="Q64" s="236">
        <v>19543.46</v>
      </c>
      <c r="R64" s="236">
        <v>14773.56</v>
      </c>
      <c r="S64" s="236">
        <v>12926.37</v>
      </c>
      <c r="T64" s="236">
        <v>16414.560000000001</v>
      </c>
      <c r="U64" s="236">
        <v>11538.02</v>
      </c>
      <c r="V64" s="236">
        <v>12707.92</v>
      </c>
      <c r="W64" s="236">
        <v>13253.65</v>
      </c>
      <c r="X64" s="236">
        <v>3711.16</v>
      </c>
      <c r="Y64" s="236">
        <v>4379.6899999999996</v>
      </c>
      <c r="Z64" s="236">
        <v>4088.22</v>
      </c>
      <c r="AA64" s="236">
        <f t="shared" si="13"/>
        <v>146589.5</v>
      </c>
      <c r="AB64" s="237">
        <f>IF(_epmOfflineCondition_,0.392531428796513,IF(AA64=0,"",IFERROR(AA64/_xll.EVGTS($B$1,1,_xll.EVPRO($B$1,$H64,"COSBASIS"),$B$3,$B$5,$B$6,$B$7,$B$9,AA$16,AA$17,AA$11),"")))</f>
        <v>0.39253142879651298</v>
      </c>
      <c r="AC64" s="238"/>
      <c r="AD64" s="236">
        <v>126280.41</v>
      </c>
      <c r="AE64" s="237">
        <f>IF(_epmOfflineCondition_,0.244165091029025,IF(AD64=0,"",IFERROR(AD64/_xll.EVGTS($B$1,1,_xll.EVPRO($B$1,$H64,"COSBASIS"),$B$3,$B$5,$B$6,$B$7,$B$9,AD$16,AD$17,AD$18),"")))</f>
        <v>0.24416509102902501</v>
      </c>
      <c r="AF64" s="239">
        <f t="shared" si="14"/>
        <v>20309.089999999997</v>
      </c>
      <c r="AG64" s="236">
        <v>72944.039999999994</v>
      </c>
      <c r="AH64" s="237">
        <f>IF(_epmOfflineCondition_,0.521544515656122,IF(AG64=0,"",IFERROR(AG64/_xll.EVGTS($B$1,1,_xll.EVPRO($B$1,$H64,"COSBASIS"),$B$3,$B$5,$B$6,$B$7,$B$9,AG$16,AG$17,AG$18),"")))</f>
        <v>0.52154451565612203</v>
      </c>
      <c r="AI64" s="473">
        <f t="shared" si="15"/>
        <v>73645.460000000006</v>
      </c>
      <c r="AJ64" s="215">
        <f t="shared" si="16"/>
        <v>6.3637725200781423</v>
      </c>
      <c r="AK64" s="216">
        <f t="shared" si="17"/>
        <v>5.5238357902104021</v>
      </c>
      <c r="AL64" s="218">
        <f t="shared" si="18"/>
        <v>8.0842336251800955</v>
      </c>
      <c r="AM64" s="423" t="str">
        <f t="shared" si="19"/>
        <v>14.84 pts.</v>
      </c>
      <c r="AN64" s="474" t="str">
        <f t="shared" si="20"/>
        <v>-12.9 pts.</v>
      </c>
      <c r="AO64" s="11"/>
    </row>
    <row r="65" spans="1:41" x14ac:dyDescent="0.25">
      <c r="A65" s="61" t="s">
        <v>16</v>
      </c>
      <c r="B65" s="62"/>
      <c r="C65" s="11"/>
      <c r="D65" s="11"/>
      <c r="E65" s="11"/>
      <c r="F65" s="11"/>
      <c r="G65" s="11"/>
      <c r="H65" s="84" t="s">
        <v>287</v>
      </c>
      <c r="I65" s="184" t="str">
        <f>IF(_epmOfflineCondition_,"B1",_xll.EVPRO($B$1,$H65,"STYLE"))</f>
        <v>B1</v>
      </c>
      <c r="J65" s="184" t="str">
        <f>IF(_epmOfflineCondition_,"Y",_xll.EVPRO($B$1,$H65,"CALC"))</f>
        <v>Y</v>
      </c>
      <c r="K65" s="185" t="str">
        <f t="shared" si="12"/>
        <v/>
      </c>
      <c r="L65" s="186" t="str">
        <f>IF(_epmOfflineCondition_,"",_xll.EVPRO($B$1,H65,"JDEID"))</f>
        <v/>
      </c>
      <c r="M65" s="186" t="str">
        <f>IF(_epmOfflineCondition_,"",IF(AND(I65="N",J65="N"),_xll.EVPRO($B$1,H65,"PSFTID"),""))</f>
        <v/>
      </c>
      <c r="N65" s="186" t="str">
        <f>IF(_epmOfflineCondition_,"Cost of Other Revenue",IF(_xll.EVDES(H65,$B$1)="#NODATA","",_xll.EVDES(H65,$B$1)))</f>
        <v>Cost of Other Revenue</v>
      </c>
      <c r="O65" s="475"/>
      <c r="P65" s="241"/>
      <c r="Q65" s="241"/>
      <c r="R65" s="241"/>
      <c r="S65" s="241"/>
      <c r="T65" s="241"/>
      <c r="U65" s="241"/>
      <c r="V65" s="241"/>
      <c r="W65" s="241"/>
      <c r="X65" s="241"/>
      <c r="Y65" s="241"/>
      <c r="Z65" s="241"/>
      <c r="AA65" s="241" t="str">
        <f t="shared" si="13"/>
        <v/>
      </c>
      <c r="AB65" s="476" t="str">
        <f>IF(_epmOfflineCondition_,"",IF(AA65=0,"",IFERROR(AA65/_xll.EVGTS($B$1,1,_xll.EVPRO($B$1,$H65,"COSBASIS"),$B$3,$B$5,$B$6,$B$7,$B$9,AA$16,AA$17,AA$11),"")))</f>
        <v/>
      </c>
      <c r="AC65" s="529"/>
      <c r="AD65" s="241"/>
      <c r="AE65" s="476" t="str">
        <f>IF(_epmOfflineCondition_,"",IF(AD65=0,"",IFERROR(AD65/_xll.EVGTS($B$1,1,_xll.EVPRO($B$1,$H65,"COSBASIS"),$B$3,$B$5,$B$6,$B$7,$B$9,AD$16,AD$17,AD$18),"")))</f>
        <v/>
      </c>
      <c r="AF65" s="478" t="str">
        <f t="shared" si="14"/>
        <v/>
      </c>
      <c r="AG65" s="241"/>
      <c r="AH65" s="476" t="str">
        <f>IF(_epmOfflineCondition_,"",IF(AG65=0,"",IFERROR(AG65/_xll.EVGTS($B$1,1,_xll.EVPRO($B$1,$H65,"COSBASIS"),$B$3,$B$5,$B$6,$B$7,$B$9,AG$16,AG$17,AG$18),"")))</f>
        <v/>
      </c>
      <c r="AI65" s="479" t="str">
        <f t="shared" si="15"/>
        <v/>
      </c>
      <c r="AJ65" s="244">
        <f t="shared" si="16"/>
        <v>0</v>
      </c>
      <c r="AK65" s="245">
        <f t="shared" si="17"/>
        <v>0</v>
      </c>
      <c r="AL65" s="247">
        <f t="shared" si="18"/>
        <v>0</v>
      </c>
      <c r="AM65" s="425">
        <f t="shared" si="19"/>
        <v>0</v>
      </c>
      <c r="AN65" s="480">
        <f t="shared" si="20"/>
        <v>0</v>
      </c>
      <c r="AO65" s="11"/>
    </row>
    <row r="66" spans="1:41" x14ac:dyDescent="0.25">
      <c r="A66" s="61" t="s">
        <v>17</v>
      </c>
      <c r="B66" s="62"/>
      <c r="C66" s="11"/>
      <c r="D66" s="11"/>
      <c r="E66" s="11"/>
      <c r="F66" s="11"/>
      <c r="G66" s="11"/>
      <c r="H66" s="84" t="s">
        <v>638</v>
      </c>
      <c r="I66" s="118" t="str">
        <f>IF(_epmOfflineCondition_,"N",_xll.EVPRO($B$1,$H66,"STYLE"))</f>
        <v>N</v>
      </c>
      <c r="J66" s="118" t="str">
        <f>IF(_epmOfflineCondition_,"N",_xll.EVPRO($B$1,$H66,"CALC"))</f>
        <v>N</v>
      </c>
      <c r="K66" s="175" t="str">
        <f t="shared" si="12"/>
        <v/>
      </c>
      <c r="L66" s="86" t="str">
        <f>IF(_epmOfflineCondition_,"568300",_xll.EVPRO($B$1,H66,"JDEID"))</f>
        <v>568300</v>
      </c>
      <c r="M66" s="86" t="str">
        <f>IF(_epmOfflineCondition_,"306005",IF(AND(I66="N",J66="N"),_xll.EVPRO($B$1,H66,"PSFTID"),""))</f>
        <v>306005</v>
      </c>
      <c r="N66" s="86" t="str">
        <f>IF(_epmOfflineCondition_,"A/V Cost of Sales",IF(_xll.EVDES(H66,$B$1)="#NODATA","",_xll.EVDES(H66,$B$1)))</f>
        <v>A/V Cost of Sales</v>
      </c>
      <c r="O66" s="453"/>
      <c r="P66" s="223"/>
      <c r="Q66" s="223"/>
      <c r="R66" s="223"/>
      <c r="S66" s="223"/>
      <c r="T66" s="223"/>
      <c r="U66" s="223"/>
      <c r="V66" s="223"/>
      <c r="W66" s="223"/>
      <c r="X66" s="223"/>
      <c r="Y66" s="223"/>
      <c r="Z66" s="223"/>
      <c r="AA66" s="223">
        <f t="shared" si="13"/>
        <v>0</v>
      </c>
      <c r="AB66" s="454" t="str">
        <f>IF(_epmOfflineCondition_,"",IF(AA66=0,"",IFERROR(AA66/_xll.EVGTS($B$1,1,_xll.EVPRO($B$1,$H66,"COSBASIS"),$B$3,$B$5,$B$6,$B$7,$B$9,AA$16,AA$17,AA$11),"")))</f>
        <v/>
      </c>
      <c r="AC66" s="528"/>
      <c r="AD66" s="223"/>
      <c r="AE66" s="454" t="str">
        <f>IF(_epmOfflineCondition_,"",IF(AD66=0,"",IFERROR(AD66/_xll.EVGTS($B$1,1,_xll.EVPRO($B$1,$H66,"COSBASIS"),$B$3,$B$5,$B$6,$B$7,$B$9,AD$16,AD$17,AD$18),"")))</f>
        <v/>
      </c>
      <c r="AF66" s="456">
        <f t="shared" si="14"/>
        <v>0</v>
      </c>
      <c r="AG66" s="223"/>
      <c r="AH66" s="454" t="str">
        <f>IF(_epmOfflineCondition_,"",IF(AG66=0,"",IFERROR(AG66/_xll.EVGTS($B$1,1,_xll.EVPRO($B$1,$H66,"COSBASIS"),$B$3,$B$5,$B$6,$B$7,$B$9,AG$16,AG$17,AG$18),"")))</f>
        <v/>
      </c>
      <c r="AI66" s="457">
        <f t="shared" si="15"/>
        <v>0</v>
      </c>
      <c r="AJ66" s="458">
        <f t="shared" si="16"/>
        <v>0</v>
      </c>
      <c r="AK66" s="459">
        <f t="shared" si="17"/>
        <v>0</v>
      </c>
      <c r="AL66" s="460">
        <f t="shared" si="18"/>
        <v>0</v>
      </c>
      <c r="AM66" s="461">
        <f t="shared" si="19"/>
        <v>0</v>
      </c>
      <c r="AN66" s="462">
        <f t="shared" si="20"/>
        <v>0</v>
      </c>
      <c r="AO66" s="11"/>
    </row>
    <row r="67" spans="1:41" x14ac:dyDescent="0.25">
      <c r="A67" s="11"/>
      <c r="B67" s="11"/>
      <c r="C67" s="11"/>
      <c r="D67" s="11"/>
      <c r="E67" s="11"/>
      <c r="F67" s="11"/>
      <c r="G67" s="11"/>
      <c r="H67" s="84" t="s">
        <v>639</v>
      </c>
      <c r="I67" s="118" t="str">
        <f>IF(_epmOfflineCondition_,"N",_xll.EVPRO($B$1,$H67,"STYLE"))</f>
        <v>N</v>
      </c>
      <c r="J67" s="118" t="str">
        <f>IF(_epmOfflineCondition_,"N",_xll.EVPRO($B$1,$H67,"CALC"))</f>
        <v>N</v>
      </c>
      <c r="K67" s="175" t="str">
        <f t="shared" si="12"/>
        <v/>
      </c>
      <c r="L67" s="86" t="str">
        <f>IF(_epmOfflineCondition_,"568350",_xll.EVPRO($B$1,H67,"JDEID"))</f>
        <v>568350</v>
      </c>
      <c r="M67" s="86" t="str">
        <f>IF(_epmOfflineCondition_,"306099",IF(AND(I67="N",J67="N"),_xll.EVPRO($B$1,H67,"PSFTID"),""))</f>
        <v>306099</v>
      </c>
      <c r="N67" s="86" t="str">
        <f>IF(_epmOfflineCondition_,"Public Room Rental",IF(_xll.EVDES(H67,$B$1)="#NODATA","",_xll.EVDES(H67,$B$1)))</f>
        <v>Public Room Rental</v>
      </c>
      <c r="O67" s="453"/>
      <c r="P67" s="223"/>
      <c r="Q67" s="223"/>
      <c r="R67" s="223"/>
      <c r="S67" s="223"/>
      <c r="T67" s="223"/>
      <c r="U67" s="223"/>
      <c r="V67" s="223"/>
      <c r="W67" s="223"/>
      <c r="X67" s="223"/>
      <c r="Y67" s="223"/>
      <c r="Z67" s="223"/>
      <c r="AA67" s="223">
        <f t="shared" si="13"/>
        <v>0</v>
      </c>
      <c r="AB67" s="454" t="str">
        <f>IF(_epmOfflineCondition_,"",IF(AA67=0,"",IFERROR(AA67/_xll.EVGTS($B$1,1,_xll.EVPRO($B$1,$H67,"COSBASIS"),$B$3,$B$5,$B$6,$B$7,$B$9,AA$16,AA$17,AA$11),"")))</f>
        <v/>
      </c>
      <c r="AC67" s="528"/>
      <c r="AD67" s="223"/>
      <c r="AE67" s="454" t="str">
        <f>IF(_epmOfflineCondition_,"",IF(AD67=0,"",IFERROR(AD67/_xll.EVGTS($B$1,1,_xll.EVPRO($B$1,$H67,"COSBASIS"),$B$3,$B$5,$B$6,$B$7,$B$9,AD$16,AD$17,AD$18),"")))</f>
        <v/>
      </c>
      <c r="AF67" s="456">
        <f t="shared" si="14"/>
        <v>0</v>
      </c>
      <c r="AG67" s="223"/>
      <c r="AH67" s="454" t="str">
        <f>IF(_epmOfflineCondition_,"",IF(AG67=0,"",IFERROR(AG67/_xll.EVGTS($B$1,1,_xll.EVPRO($B$1,$H67,"COSBASIS"),$B$3,$B$5,$B$6,$B$7,$B$9,AG$16,AG$17,AG$18),"")))</f>
        <v/>
      </c>
      <c r="AI67" s="457">
        <f t="shared" si="15"/>
        <v>0</v>
      </c>
      <c r="AJ67" s="458">
        <f t="shared" si="16"/>
        <v>0</v>
      </c>
      <c r="AK67" s="459">
        <f t="shared" si="17"/>
        <v>0</v>
      </c>
      <c r="AL67" s="460">
        <f t="shared" si="18"/>
        <v>0</v>
      </c>
      <c r="AM67" s="461">
        <f t="shared" si="19"/>
        <v>0</v>
      </c>
      <c r="AN67" s="462">
        <f t="shared" si="20"/>
        <v>0</v>
      </c>
      <c r="AO67" s="11"/>
    </row>
    <row r="68" spans="1:41" x14ac:dyDescent="0.25">
      <c r="A68" s="93" t="s">
        <v>92</v>
      </c>
      <c r="B68" s="94" t="s">
        <v>93</v>
      </c>
      <c r="C68" s="94" t="s">
        <v>94</v>
      </c>
      <c r="D68" s="94" t="s">
        <v>95</v>
      </c>
      <c r="E68" s="94" t="s">
        <v>96</v>
      </c>
      <c r="F68" s="95" t="s">
        <v>97</v>
      </c>
      <c r="G68" s="11"/>
      <c r="H68" s="84" t="s">
        <v>640</v>
      </c>
      <c r="I68" s="118" t="str">
        <f>IF(_epmOfflineCondition_,"T5",_xll.EVPRO($B$1,$H68,"STYLE"))</f>
        <v>T5</v>
      </c>
      <c r="J68" s="118" t="str">
        <f>IF(_epmOfflineCondition_,"Y",_xll.EVPRO($B$1,$H68,"CALC"))</f>
        <v>Y</v>
      </c>
      <c r="K68" s="175" t="str">
        <f t="shared" si="12"/>
        <v>&gt;</v>
      </c>
      <c r="L68" s="86" t="str">
        <f>IF(_epmOfflineCondition_,"",_xll.EVPRO($B$1,H68,"JDEID"))</f>
        <v/>
      </c>
      <c r="M68" s="86" t="str">
        <f>IF(_epmOfflineCondition_,"",IF(AND(I68="N",J68="N"),_xll.EVPRO($B$1,H68,"PSFTID"),""))</f>
        <v/>
      </c>
      <c r="N68" s="86" t="str">
        <f>IF(_epmOfflineCondition_,"Miscellaneous Cost",IF(_xll.EVDES(H68,$B$1)="#NODATA","",_xll.EVDES(H68,$B$1)))</f>
        <v>Miscellaneous Cost</v>
      </c>
      <c r="O68" s="463"/>
      <c r="P68" s="229"/>
      <c r="Q68" s="229"/>
      <c r="R68" s="229"/>
      <c r="S68" s="229"/>
      <c r="T68" s="229"/>
      <c r="U68" s="229"/>
      <c r="V68" s="229"/>
      <c r="W68" s="229"/>
      <c r="X68" s="229"/>
      <c r="Y68" s="229"/>
      <c r="Z68" s="229"/>
      <c r="AA68" s="229">
        <f t="shared" si="13"/>
        <v>0</v>
      </c>
      <c r="AB68" s="464" t="str">
        <f>IF(_epmOfflineCondition_,"",IF(AA68=0,"",IFERROR(AA68/_xll.EVGTS($B$1,1,_xll.EVPRO($B$1,$H68,"COSBASIS"),$B$3,$B$5,$B$6,$B$7,$B$9,AA$16,AA$17,AA$11),"")))</f>
        <v/>
      </c>
      <c r="AC68" s="455"/>
      <c r="AD68" s="229"/>
      <c r="AE68" s="464" t="str">
        <f>IF(_epmOfflineCondition_,"",IF(AD68=0,"",IFERROR(AD68/_xll.EVGTS($B$1,1,_xll.EVPRO($B$1,$H68,"COSBASIS"),$B$3,$B$5,$B$6,$B$7,$B$9,AD$16,AD$17,AD$18),"")))</f>
        <v/>
      </c>
      <c r="AF68" s="465">
        <f t="shared" si="14"/>
        <v>0</v>
      </c>
      <c r="AG68" s="229"/>
      <c r="AH68" s="464" t="str">
        <f>IF(_epmOfflineCondition_,"",IF(AG68=0,"",IFERROR(AG68/_xll.EVGTS($B$1,1,_xll.EVPRO($B$1,$H68,"COSBASIS"),$B$3,$B$5,$B$6,$B$7,$B$9,AG$16,AG$17,AG$18),"")))</f>
        <v/>
      </c>
      <c r="AI68" s="466">
        <f t="shared" si="15"/>
        <v>0</v>
      </c>
      <c r="AJ68" s="467">
        <f t="shared" si="16"/>
        <v>0</v>
      </c>
      <c r="AK68" s="468">
        <f t="shared" si="17"/>
        <v>0</v>
      </c>
      <c r="AL68" s="469">
        <f t="shared" si="18"/>
        <v>0</v>
      </c>
      <c r="AM68" s="470">
        <f t="shared" si="19"/>
        <v>0</v>
      </c>
      <c r="AN68" s="471">
        <f t="shared" si="20"/>
        <v>0</v>
      </c>
      <c r="AO68" s="11"/>
    </row>
    <row r="69" spans="1:41" x14ac:dyDescent="0.25">
      <c r="A69" s="11"/>
      <c r="B69" s="11"/>
      <c r="C69" s="11"/>
      <c r="D69" s="11"/>
      <c r="E69" s="11"/>
      <c r="F69" s="11"/>
      <c r="G69" s="11"/>
      <c r="H69" s="84" t="s">
        <v>288</v>
      </c>
      <c r="I69" s="184" t="str">
        <f>IF(_epmOfflineCondition_,"T4",_xll.EVPRO($B$1,$H69,"STYLE"))</f>
        <v>T4</v>
      </c>
      <c r="J69" s="184" t="str">
        <f>IF(_epmOfflineCondition_,"Y",_xll.EVPRO($B$1,$H69,"CALC"))</f>
        <v>Y</v>
      </c>
      <c r="K69" s="185" t="str">
        <f t="shared" si="12"/>
        <v/>
      </c>
      <c r="L69" s="186" t="str">
        <f>IF(_epmOfflineCondition_,"",_xll.EVPRO($B$1,H69,"JDEID"))</f>
        <v/>
      </c>
      <c r="M69" s="186" t="str">
        <f>IF(_epmOfflineCondition_,"",IF(AND(I69="N",J69="N"),_xll.EVPRO($B$1,H69,"PSFTID"),""))</f>
        <v/>
      </c>
      <c r="N69" s="186" t="str">
        <f>IF(_epmOfflineCondition_,"Total Cost of Other Revenue",IF(_xll.EVDES(H69,$B$1)="#NODATA","",_xll.EVDES(H69,$B$1)))</f>
        <v>Total Cost of Other Revenue</v>
      </c>
      <c r="O69" s="481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>
        <f t="shared" si="13"/>
        <v>0</v>
      </c>
      <c r="AB69" s="211" t="str">
        <f>IF(_epmOfflineCondition_,"",IF(AA69=0,"",IFERROR(AA69/_xll.EVGTS($B$1,1,_xll.EVPRO($B$1,$H69,"COSBASIS"),$B$3,$B$5,$B$6,$B$7,$B$9,AA$16,AA$17,AA$11),"")))</f>
        <v/>
      </c>
      <c r="AC69" s="251"/>
      <c r="AD69" s="210"/>
      <c r="AE69" s="211" t="str">
        <f>IF(_epmOfflineCondition_,"",IF(AD69=0,"",IFERROR(AD69/_xll.EVGTS($B$1,1,_xll.EVPRO($B$1,$H69,"COSBASIS"),$B$3,$B$5,$B$6,$B$7,$B$9,AD$16,AD$17,AD$18),"")))</f>
        <v/>
      </c>
      <c r="AF69" s="252">
        <f t="shared" si="14"/>
        <v>0</v>
      </c>
      <c r="AG69" s="210"/>
      <c r="AH69" s="211" t="str">
        <f>IF(_epmOfflineCondition_,"",IF(AG69=0,"",IFERROR(AG69/_xll.EVGTS($B$1,1,_xll.EVPRO($B$1,$H69,"COSBASIS"),$B$3,$B$5,$B$6,$B$7,$B$9,AG$16,AG$17,AG$18),"")))</f>
        <v/>
      </c>
      <c r="AI69" s="482">
        <f t="shared" si="15"/>
        <v>0</v>
      </c>
      <c r="AJ69" s="253">
        <f t="shared" si="16"/>
        <v>0</v>
      </c>
      <c r="AK69" s="254">
        <f t="shared" si="17"/>
        <v>0</v>
      </c>
      <c r="AL69" s="256">
        <f t="shared" si="18"/>
        <v>0</v>
      </c>
      <c r="AM69" s="427">
        <f t="shared" si="19"/>
        <v>0</v>
      </c>
      <c r="AN69" s="483">
        <f t="shared" si="20"/>
        <v>0</v>
      </c>
      <c r="AO69" s="11"/>
    </row>
    <row r="70" spans="1:41" x14ac:dyDescent="0.25">
      <c r="A70" s="11" t="s">
        <v>209</v>
      </c>
      <c r="B70" s="11" t="s">
        <v>21</v>
      </c>
      <c r="C70" s="391"/>
      <c r="D70" s="11" t="s">
        <v>590</v>
      </c>
      <c r="E70" s="11"/>
      <c r="F70" s="11" t="s">
        <v>99</v>
      </c>
      <c r="G70" s="11"/>
      <c r="H70" s="84" t="s">
        <v>289</v>
      </c>
      <c r="I70" s="184" t="str">
        <f>IF(_epmOfflineCondition_,"T3",_xll.EVPRO($B$1,$H70,"STYLE"))</f>
        <v>T3</v>
      </c>
      <c r="J70" s="184" t="str">
        <f>IF(_epmOfflineCondition_,"Y",_xll.EVPRO($B$1,$H70,"CALC"))</f>
        <v>Y</v>
      </c>
      <c r="K70" s="185" t="str">
        <f t="shared" si="12"/>
        <v/>
      </c>
      <c r="L70" s="186" t="str">
        <f>IF(_epmOfflineCondition_,"500001",_xll.EVPRO($B$1,H70,"JDEID"))</f>
        <v>500001</v>
      </c>
      <c r="M70" s="186" t="str">
        <f>IF(_epmOfflineCondition_,"",IF(AND(I70="N",J70="N"),_xll.EVPRO($B$1,H70,"PSFTID"),""))</f>
        <v/>
      </c>
      <c r="N70" s="186" t="str">
        <f>IF(_epmOfflineCondition_,"Total Cost of Sales",IF(_xll.EVDES(H70,$B$1)="#NODATA","",_xll.EVDES(H70,$B$1)))</f>
        <v>Total Cost of Sales</v>
      </c>
      <c r="O70" s="472">
        <v>17833.02</v>
      </c>
      <c r="P70" s="236">
        <v>15419.87</v>
      </c>
      <c r="Q70" s="236">
        <v>19543.46</v>
      </c>
      <c r="R70" s="236">
        <v>14773.56</v>
      </c>
      <c r="S70" s="236">
        <v>12926.37</v>
      </c>
      <c r="T70" s="236">
        <v>16414.560000000001</v>
      </c>
      <c r="U70" s="236">
        <v>11538.02</v>
      </c>
      <c r="V70" s="236">
        <v>12707.92</v>
      </c>
      <c r="W70" s="236">
        <v>13253.65</v>
      </c>
      <c r="X70" s="236">
        <v>3711.16</v>
      </c>
      <c r="Y70" s="236">
        <v>4379.6899999999996</v>
      </c>
      <c r="Z70" s="236">
        <v>4088.22</v>
      </c>
      <c r="AA70" s="236">
        <f t="shared" si="13"/>
        <v>146589.5</v>
      </c>
      <c r="AB70" s="237">
        <f>IF(_epmOfflineCondition_,0.329874377494727,IF(AA70=0,"",IFERROR(AA70/_xll.EVGTS($B$1,1,_xll.EVPRO($B$1,$H70,"COSBASIS"),$B$3,$B$5,$B$6,$B$7,$B$9,AA$16,AA$17,AA$11),"")))</f>
        <v>0.32987437749472698</v>
      </c>
      <c r="AC70" s="238"/>
      <c r="AD70" s="236">
        <v>126280.41</v>
      </c>
      <c r="AE70" s="237">
        <f>IF(_epmOfflineCondition_,0.206919568668665,IF(AD70=0,"",IFERROR(AD70/_xll.EVGTS($B$1,1,_xll.EVPRO($B$1,$H70,"COSBASIS"),$B$3,$B$5,$B$6,$B$7,$B$9,AD$16,AD$17,AD$18),"")))</f>
        <v>0.20691956866866501</v>
      </c>
      <c r="AF70" s="239">
        <f t="shared" si="14"/>
        <v>20309.089999999997</v>
      </c>
      <c r="AG70" s="236">
        <v>72944.039999999994</v>
      </c>
      <c r="AH70" s="237">
        <f>IF(_epmOfflineCondition_,0.438031020895036,IF(AG70=0,"",IFERROR(AG70/_xll.EVGTS($B$1,1,_xll.EVPRO($B$1,$H70,"COSBASIS"),$B$3,$B$5,$B$6,$B$7,$B$9,AG$16,AG$17,AG$18),"")))</f>
        <v>0.43803102089503598</v>
      </c>
      <c r="AI70" s="473">
        <f t="shared" si="15"/>
        <v>73645.460000000006</v>
      </c>
      <c r="AJ70" s="215">
        <f t="shared" si="16"/>
        <v>6.3637725200781423</v>
      </c>
      <c r="AK70" s="216">
        <f t="shared" si="17"/>
        <v>5.5238357902104021</v>
      </c>
      <c r="AL70" s="218">
        <f t="shared" si="18"/>
        <v>8.0842336251800955</v>
      </c>
      <c r="AM70" s="423" t="str">
        <f t="shared" si="19"/>
        <v>12.3 pts.</v>
      </c>
      <c r="AN70" s="474" t="str">
        <f t="shared" si="20"/>
        <v>-10.82 pts.</v>
      </c>
      <c r="AO70" s="11"/>
    </row>
    <row r="71" spans="1:41" x14ac:dyDescent="0.25">
      <c r="A71" s="11" t="s">
        <v>105</v>
      </c>
      <c r="B71" s="11"/>
      <c r="C71" s="100" t="s">
        <v>101</v>
      </c>
      <c r="D71" s="11" t="s">
        <v>106</v>
      </c>
      <c r="E71" s="11"/>
      <c r="F71" s="11" t="s">
        <v>98</v>
      </c>
      <c r="G71" s="11"/>
      <c r="H71" s="181" t="s">
        <v>175</v>
      </c>
      <c r="I71" s="85" t="str">
        <f>IF(_epmOfflineCondition_,"B1",_xll.EVPRO($B$1,$H71,"STYLE"))</f>
        <v>B1</v>
      </c>
      <c r="J71" s="85" t="str">
        <f>IF(_epmOfflineCondition_,"Y",_xll.EVPRO($B$1,$H71,"CALC"))</f>
        <v>Y</v>
      </c>
      <c r="K71" s="261" t="str">
        <f t="shared" si="12"/>
        <v/>
      </c>
      <c r="L71" s="261"/>
      <c r="M71" s="261"/>
      <c r="N71" s="102" t="str">
        <f>IF(_epmOfflineCondition_,"BLANKROW",IF(_xll.EVDES(H71,$B$1)="#NODATA","",_xll.EVDES(H71,$B$1)))</f>
        <v>BLANKROW</v>
      </c>
      <c r="O71" s="201"/>
      <c r="P71" s="201"/>
      <c r="Q71" s="201"/>
      <c r="R71" s="201"/>
      <c r="S71" s="201"/>
      <c r="T71" s="201"/>
      <c r="U71" s="201"/>
      <c r="V71" s="201"/>
      <c r="W71" s="201"/>
      <c r="X71" s="201"/>
      <c r="Y71" s="201"/>
      <c r="Z71" s="201"/>
      <c r="AA71" s="201"/>
      <c r="AB71" s="202" t="str">
        <f>IF(_epmOfflineCondition_,"",IF(O71=0,"",IFERROR(O71/_xll.EVGTS($B$1,1,INDEX($C$152:$C$175,MATCH($H71,$A$152:$A$175,0)),$B$3,$B$5,$B$6,$B$7,$B$9,O$16,O$17,O$18),"")))</f>
        <v/>
      </c>
      <c r="AC71" s="11"/>
      <c r="AD71" s="201"/>
      <c r="AE71" s="202" t="str">
        <f>IF(_epmOfflineCondition_,"",IF(AD71=0,"",IFERROR(AD71/_xll.EVGTS($B$1,1,INDEX($C$152:$C$175,MATCH($H71,$A$152:$A$175,0)),$B$3,$B$5,$B$6,$B$7,$B$9,AD$16,AD$17,AD$18),"")))</f>
        <v/>
      </c>
      <c r="AF71" s="203" t="str">
        <f t="shared" si="14"/>
        <v/>
      </c>
      <c r="AG71" s="201"/>
      <c r="AH71" s="202" t="str">
        <f>IF(_epmOfflineCondition_,"",IF(AG71=0,"",IFERROR(AG71/_xll.EVGTS($B$1,1,INDEX($C$152:$C$175,MATCH($H71,$A$152:$A$175,0)),$B$3,$B$5,$B$6,$B$7,$B$9,AG$16,AG$17,AG$18),"")))</f>
        <v/>
      </c>
      <c r="AI71" s="203" t="str">
        <f t="shared" si="15"/>
        <v/>
      </c>
      <c r="AJ71" s="518">
        <f t="shared" si="16"/>
        <v>0</v>
      </c>
      <c r="AK71" s="519">
        <f t="shared" si="17"/>
        <v>0</v>
      </c>
      <c r="AL71" s="520">
        <f t="shared" si="18"/>
        <v>0</v>
      </c>
      <c r="AM71" s="521">
        <f t="shared" si="19"/>
        <v>0</v>
      </c>
      <c r="AN71" s="522">
        <f t="shared" si="20"/>
        <v>0</v>
      </c>
      <c r="AO71" s="11"/>
    </row>
    <row r="72" spans="1:41" x14ac:dyDescent="0.25">
      <c r="A72" s="11" t="s">
        <v>104</v>
      </c>
      <c r="B72" s="11"/>
      <c r="C72" s="100" t="s">
        <v>101</v>
      </c>
      <c r="D72" s="11" t="s">
        <v>106</v>
      </c>
      <c r="E72" s="11"/>
      <c r="F72" s="11" t="s">
        <v>98</v>
      </c>
      <c r="G72" s="11"/>
      <c r="H72" s="181" t="s">
        <v>292</v>
      </c>
      <c r="I72" s="85" t="str">
        <f>IF(_epmOfflineCondition_,"T3",_xll.EVPRO($B$1,$H72,"STYLE"))</f>
        <v>T3</v>
      </c>
      <c r="J72" s="85" t="str">
        <f>IF(_epmOfflineCondition_,"Y",_xll.EVPRO($B$1,$H72,"CALC"))</f>
        <v>Y</v>
      </c>
      <c r="K72" s="261" t="str">
        <f t="shared" si="12"/>
        <v/>
      </c>
      <c r="L72" s="261"/>
      <c r="M72" s="261"/>
      <c r="N72" s="102" t="str">
        <f>IF(_epmOfflineCondition_,"Gross Profit",IF(_xll.EVDES(H72,$B$1)="#NODATA","",_xll.EVDES(H72,$B$1)))</f>
        <v>Gross Profit</v>
      </c>
      <c r="O72" s="119">
        <f t="shared" ref="O72:Z72" si="21">SUMIF($H$35:$H$70,"400000",O35:O70)-SUMIF($H$35:$H$70,"500001",O35:O70)</f>
        <v>21596.530000000002</v>
      </c>
      <c r="P72" s="119">
        <f t="shared" si="21"/>
        <v>33363.24</v>
      </c>
      <c r="Q72" s="119">
        <f t="shared" si="21"/>
        <v>31448.059999999998</v>
      </c>
      <c r="R72" s="119">
        <f t="shared" si="21"/>
        <v>29912.18</v>
      </c>
      <c r="S72" s="119">
        <f t="shared" si="21"/>
        <v>24853.869999999995</v>
      </c>
      <c r="T72" s="119">
        <f t="shared" si="21"/>
        <v>24320.670000000002</v>
      </c>
      <c r="U72" s="119">
        <f t="shared" si="21"/>
        <v>25627.69</v>
      </c>
      <c r="V72" s="119">
        <f t="shared" si="21"/>
        <v>28724.07</v>
      </c>
      <c r="W72" s="119">
        <f t="shared" si="21"/>
        <v>11945.180000000002</v>
      </c>
      <c r="X72" s="119">
        <f t="shared" si="21"/>
        <v>17617.59</v>
      </c>
      <c r="Y72" s="119">
        <f t="shared" si="21"/>
        <v>20297.060000000001</v>
      </c>
      <c r="Z72" s="119">
        <f t="shared" si="21"/>
        <v>28084.129999999997</v>
      </c>
      <c r="AA72" s="187">
        <f>IF($I72="B1","",SUM(O72:Z72))</f>
        <v>297790.27</v>
      </c>
      <c r="AB72" s="188">
        <f>IF(AA72=0,"",IFERROR(AA72/AA$19,""))</f>
        <v>0.67012562250527297</v>
      </c>
      <c r="AC72" s="11"/>
      <c r="AD72" s="119">
        <f>SUMIF($H$35:$H$70,"400000",AD35:AD70)-SUMIF($H$35:$H$70,"500001",AD35:AD70)</f>
        <v>484007.01139999996</v>
      </c>
      <c r="AE72" s="188">
        <f>IF(AD72=0,"",IFERROR(AD72/AD$19,""))</f>
        <v>0.79308043133133466</v>
      </c>
      <c r="AF72" s="121">
        <f t="shared" si="14"/>
        <v>-186216.74139999994</v>
      </c>
      <c r="AG72" s="119">
        <f>SUMIF($H$35:$H$70,"400000",AG35:AG70)-SUMIF($H$35:$H$70,"500001",AG35:AG70)</f>
        <v>93583.069999999992</v>
      </c>
      <c r="AH72" s="188">
        <f>IF(AG72=0,"",IFERROR(AG72/AG$19,""))</f>
        <v>0.5619689791049638</v>
      </c>
      <c r="AI72" s="121">
        <f t="shared" si="15"/>
        <v>204207.2</v>
      </c>
      <c r="AJ72" s="384">
        <f t="shared" si="16"/>
        <v>12.92773041024528</v>
      </c>
      <c r="AK72" s="385">
        <f t="shared" si="17"/>
        <v>21.171734018634353</v>
      </c>
      <c r="AL72" s="386">
        <f t="shared" si="18"/>
        <v>10.371613653995345</v>
      </c>
      <c r="AM72" s="387" t="str">
        <f t="shared" si="19"/>
        <v>-12.3 pts.</v>
      </c>
      <c r="AN72" s="539" t="str">
        <f t="shared" si="20"/>
        <v>10.82 pts.</v>
      </c>
      <c r="AO72" s="11"/>
    </row>
    <row r="73" spans="1:41" x14ac:dyDescent="0.25">
      <c r="A73" s="11" t="s">
        <v>100</v>
      </c>
      <c r="B73" s="11"/>
      <c r="C73" s="49" t="s">
        <v>101</v>
      </c>
      <c r="D73" s="11" t="s">
        <v>106</v>
      </c>
      <c r="E73" s="11"/>
      <c r="F73" s="11" t="s">
        <v>98</v>
      </c>
      <c r="G73" s="11"/>
      <c r="H73" s="11"/>
      <c r="I73" s="55"/>
      <c r="J73" s="55"/>
      <c r="K73" s="11"/>
      <c r="L73" s="11"/>
      <c r="M73" s="11"/>
      <c r="N73" s="11"/>
      <c r="O73" s="389"/>
      <c r="P73" s="390"/>
      <c r="Q73" s="390"/>
      <c r="R73" s="390"/>
      <c r="S73" s="390"/>
      <c r="T73" s="390"/>
      <c r="U73" s="390"/>
      <c r="V73" s="390"/>
      <c r="W73" s="390"/>
      <c r="X73" s="390"/>
      <c r="Y73" s="390"/>
      <c r="Z73" s="390"/>
      <c r="AA73" s="390"/>
      <c r="AB73" s="114"/>
      <c r="AC73" s="11"/>
      <c r="AD73" s="199"/>
      <c r="AE73" s="200"/>
      <c r="AF73" s="114"/>
      <c r="AG73" s="200"/>
      <c r="AH73" s="200"/>
      <c r="AI73" s="114"/>
      <c r="AJ73" s="11"/>
      <c r="AK73" s="11"/>
      <c r="AL73" s="11"/>
      <c r="AM73" s="11"/>
      <c r="AN73" s="11"/>
      <c r="AO73" s="11"/>
    </row>
    <row r="74" spans="1:41" x14ac:dyDescent="0.25">
      <c r="A74" s="11" t="s">
        <v>102</v>
      </c>
      <c r="B74" s="11"/>
      <c r="C74" s="102" t="s">
        <v>101</v>
      </c>
      <c r="D74" s="11" t="s">
        <v>106</v>
      </c>
      <c r="E74" s="11"/>
      <c r="F74" s="11" t="s">
        <v>98</v>
      </c>
      <c r="G74" s="11"/>
      <c r="H74" s="11" t="s">
        <v>73</v>
      </c>
      <c r="I74" s="55" t="str">
        <f>IF(_epmOfflineCondition_,"B1",_xll.EVPRO($B$1,$H74,"STYLE"))</f>
        <v>B1</v>
      </c>
      <c r="J74" s="55" t="str">
        <f>IF(_epmOfflineCondition_,"Y",_xll.EVPRO($B$1,$H74,"CALC"))</f>
        <v>Y</v>
      </c>
      <c r="K74" s="11"/>
      <c r="L74" s="11"/>
      <c r="M74" s="11"/>
      <c r="N74" s="101" t="str">
        <f>IF(_epmOfflineCondition_,"Labor &amp; Related Expenses",IF(_xll.EVDES(H74,$B$1)="#NODATA","",_xll.EVDES(H74,$B$1)))</f>
        <v>Labor &amp; Related Expenses</v>
      </c>
      <c r="O74" s="199"/>
      <c r="P74" s="200"/>
      <c r="Q74" s="200"/>
      <c r="R74" s="200"/>
      <c r="S74" s="200"/>
      <c r="T74" s="200"/>
      <c r="U74" s="200"/>
      <c r="V74" s="200"/>
      <c r="W74" s="200"/>
      <c r="X74" s="200"/>
      <c r="Y74" s="200"/>
      <c r="Z74" s="200"/>
      <c r="AA74" s="200"/>
      <c r="AB74" s="406"/>
      <c r="AC74" s="11"/>
      <c r="AD74" s="407"/>
      <c r="AE74" s="408"/>
      <c r="AF74" s="114"/>
      <c r="AG74" s="200"/>
      <c r="AH74" s="408"/>
      <c r="AI74" s="114"/>
      <c r="AJ74" s="11"/>
      <c r="AK74" s="11"/>
      <c r="AL74" s="11"/>
      <c r="AM74" s="11"/>
      <c r="AN74" s="11"/>
      <c r="AO74" s="11"/>
    </row>
    <row r="75" spans="1:41" x14ac:dyDescent="0.25">
      <c r="A75" s="11" t="s">
        <v>102</v>
      </c>
      <c r="B75" s="11"/>
      <c r="C75" s="192" t="s">
        <v>101</v>
      </c>
      <c r="D75" s="11" t="s">
        <v>107</v>
      </c>
      <c r="E75" s="11"/>
      <c r="F75" s="11" t="s">
        <v>99</v>
      </c>
      <c r="G75" s="11"/>
      <c r="H75" s="11" t="s">
        <v>74</v>
      </c>
      <c r="I75" s="55" t="str">
        <f>IF(_epmOfflineCondition_,"B1",_xll.EVPRO($B$1,$H75,"STYLE"))</f>
        <v>B1</v>
      </c>
      <c r="J75" s="55" t="str">
        <f>IF(_epmOfflineCondition_,"Y",_xll.EVPRO($B$1,$H75,"CALC"))</f>
        <v>Y</v>
      </c>
      <c r="K75" s="11"/>
      <c r="L75" s="11"/>
      <c r="M75" s="11"/>
      <c r="N75" s="49" t="str">
        <f>IF(_epmOfflineCondition_,"Salaries &amp; Wages",IF(_xll.EVDES(H75,$B$1)="#NODATA","",_xll.EVDES(H75,$B$1)))</f>
        <v>Salaries &amp; Wages</v>
      </c>
      <c r="O75" s="115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7"/>
      <c r="AC75" s="11"/>
      <c r="AD75" s="115"/>
      <c r="AE75" s="116"/>
      <c r="AF75" s="117"/>
      <c r="AG75" s="116"/>
      <c r="AH75" s="116"/>
      <c r="AI75" s="117"/>
      <c r="AJ75" s="11"/>
      <c r="AK75" s="11"/>
      <c r="AL75" s="11"/>
      <c r="AM75" s="11"/>
      <c r="AN75" s="11"/>
      <c r="AO75" s="11"/>
    </row>
    <row r="76" spans="1:41" hidden="1" x14ac:dyDescent="0.25">
      <c r="A76" s="11" t="s">
        <v>108</v>
      </c>
      <c r="B76" s="11"/>
      <c r="C76" s="102" t="s">
        <v>101</v>
      </c>
      <c r="D76" s="11" t="s">
        <v>106</v>
      </c>
      <c r="E76" s="11"/>
      <c r="F76" s="11" t="s">
        <v>98</v>
      </c>
      <c r="G76" s="11"/>
      <c r="H76" s="84" t="s">
        <v>668</v>
      </c>
      <c r="I76" s="118" t="str">
        <f>IF(_epmOfflineCondition_,"",_xll.EVPRO($B$1,$H76,"STYLE"))</f>
        <v/>
      </c>
      <c r="J76" s="118" t="str">
        <f>IF(_epmOfflineCondition_,"",_xll.EVPRO($B$1,$H76,"CALC"))</f>
        <v/>
      </c>
      <c r="K76" s="175" t="str">
        <f t="shared" ref="K76:K89" si="22">IF(AND(I76&gt;="T3"),"&gt;","")</f>
        <v/>
      </c>
      <c r="L76" s="86" t="str">
        <f>IF(_epmOfflineCondition_,"",_xll.EVPRO($B$1,H76,"JDEID"))</f>
        <v/>
      </c>
      <c r="M76" s="86" t="str">
        <f>IF(_epmOfflineCondition_,"",IF(AND(I76="N",J76="N"),_xll.EVPRO($B$1,H76,"PSFTID"),""))</f>
        <v/>
      </c>
      <c r="N76" s="86" t="str">
        <f>IF(_epmOfflineCondition_,"",IF(_xll.EVDES(H76,$B$1)="#NODATA","",_xll.EVDES(H76,$B$1)))</f>
        <v/>
      </c>
      <c r="O76" s="240"/>
      <c r="P76" s="240"/>
      <c r="Q76" s="240"/>
      <c r="R76" s="240"/>
      <c r="S76" s="240"/>
      <c r="T76" s="240"/>
      <c r="U76" s="240"/>
      <c r="V76" s="240"/>
      <c r="W76" s="240"/>
      <c r="X76" s="240"/>
      <c r="Y76" s="240"/>
      <c r="Z76" s="240"/>
      <c r="AA76" s="223">
        <f t="shared" ref="AA76:AA89" si="23">IF($I76="B1","",SUM(O76:Z76))</f>
        <v>0</v>
      </c>
      <c r="AB76" s="242" t="str">
        <f t="shared" ref="AB76:AB89" si="24">IF(AA76=0,"",IFERROR(AA76/AA$19,""))</f>
        <v/>
      </c>
      <c r="AC76" s="136"/>
      <c r="AD76" s="240"/>
      <c r="AE76" s="242" t="str">
        <f t="shared" ref="AE76:AE89" si="25">IF(AD76=0,"",IFERROR(AD76/AD$19,""))</f>
        <v/>
      </c>
      <c r="AF76" s="243">
        <f t="shared" ref="AF76:AF89" si="26">IF(AND($AA76="",AD76=""),"",$AA76-AD76)</f>
        <v>0</v>
      </c>
      <c r="AG76" s="240"/>
      <c r="AH76" s="242" t="str">
        <f t="shared" ref="AH76:AH89" si="27">IF(AG76=0,"",IFERROR(AG76/AG$19,""))</f>
        <v/>
      </c>
      <c r="AI76" s="243">
        <f t="shared" ref="AI76:AI89" si="28">IF(AND($AA76="",AG76=""),"",$AA76-AG76)</f>
        <v>0</v>
      </c>
      <c r="AJ76" s="458">
        <f t="shared" ref="AJ76:AJ89" si="29">IFERROR(AA76/AA$20,0)</f>
        <v>0</v>
      </c>
      <c r="AK76" s="459">
        <f t="shared" ref="AK76:AK89" si="30">IFERROR(AD76/AD$20,0)</f>
        <v>0</v>
      </c>
      <c r="AL76" s="460">
        <f t="shared" ref="AL76:AL89" si="31">IFERROR(AG76/AG$20,0)</f>
        <v>0</v>
      </c>
      <c r="AM76" s="461">
        <f t="shared" ref="AM76:AM89" si="32">+IFERROR(ROUND(($AB76-AE76)*100,2)&amp;" pts.",0)</f>
        <v>0</v>
      </c>
      <c r="AN76" s="462">
        <f t="shared" ref="AN76:AN89" si="33">+IFERROR(ROUND(($AB76-AH76)*100,2)&amp;" pts.",0)</f>
        <v>0</v>
      </c>
      <c r="AO76" s="11"/>
    </row>
    <row r="77" spans="1:41" hidden="1" x14ac:dyDescent="0.25">
      <c r="A77" s="11" t="s">
        <v>108</v>
      </c>
      <c r="B77" s="11"/>
      <c r="C77" s="192" t="s">
        <v>101</v>
      </c>
      <c r="D77" s="11" t="s">
        <v>107</v>
      </c>
      <c r="E77" s="11"/>
      <c r="F77" s="11" t="s">
        <v>99</v>
      </c>
      <c r="G77" s="11"/>
      <c r="H77" s="181"/>
      <c r="I77" s="118" t="str">
        <f>IF(_epmOfflineCondition_,"",_xll.EVPRO($B$1,$H77,"STYLE"))</f>
        <v/>
      </c>
      <c r="J77" s="118" t="str">
        <f>IF(_epmOfflineCondition_,"",_xll.EVPRO($B$1,$H77,"CALC"))</f>
        <v/>
      </c>
      <c r="K77" s="175" t="str">
        <f t="shared" si="22"/>
        <v/>
      </c>
      <c r="L77" s="86" t="str">
        <f>IF(_epmOfflineCondition_,"",_xll.EVPRO($B$1,H77,"JDEID"))</f>
        <v/>
      </c>
      <c r="M77" s="86" t="str">
        <f>IF(_epmOfflineCondition_,"",IF(AND(I77="N",J77="N"),_xll.EVPRO($B$1,H77,"PSFTID"),""))</f>
        <v/>
      </c>
      <c r="N77" s="86" t="str">
        <f>IF(_epmOfflineCondition_,"",IF(_xll.EVDES(H77,$B$1)="#NODATA","",_xll.EVDES(H77,$B$1)))</f>
        <v/>
      </c>
      <c r="O77" s="240"/>
      <c r="P77" s="240"/>
      <c r="Q77" s="240"/>
      <c r="R77" s="240"/>
      <c r="S77" s="240"/>
      <c r="T77" s="240"/>
      <c r="U77" s="240"/>
      <c r="V77" s="240"/>
      <c r="W77" s="240"/>
      <c r="X77" s="240"/>
      <c r="Y77" s="240"/>
      <c r="Z77" s="240"/>
      <c r="AA77" s="223">
        <f t="shared" si="23"/>
        <v>0</v>
      </c>
      <c r="AB77" s="242" t="str">
        <f t="shared" si="24"/>
        <v/>
      </c>
      <c r="AC77" s="136"/>
      <c r="AD77" s="240"/>
      <c r="AE77" s="242" t="str">
        <f t="shared" si="25"/>
        <v/>
      </c>
      <c r="AF77" s="243">
        <f t="shared" si="26"/>
        <v>0</v>
      </c>
      <c r="AG77" s="240"/>
      <c r="AH77" s="242" t="str">
        <f t="shared" si="27"/>
        <v/>
      </c>
      <c r="AI77" s="243">
        <f t="shared" si="28"/>
        <v>0</v>
      </c>
      <c r="AJ77" s="458">
        <f t="shared" si="29"/>
        <v>0</v>
      </c>
      <c r="AK77" s="459">
        <f t="shared" si="30"/>
        <v>0</v>
      </c>
      <c r="AL77" s="460">
        <f t="shared" si="31"/>
        <v>0</v>
      </c>
      <c r="AM77" s="461">
        <f t="shared" si="32"/>
        <v>0</v>
      </c>
      <c r="AN77" s="462">
        <f t="shared" si="33"/>
        <v>0</v>
      </c>
      <c r="AO77" s="11"/>
    </row>
    <row r="78" spans="1:41" x14ac:dyDescent="0.25">
      <c r="A78" s="11"/>
      <c r="B78" s="11"/>
      <c r="C78" s="11"/>
      <c r="D78" s="11"/>
      <c r="E78" s="11"/>
      <c r="F78" s="11"/>
      <c r="G78" s="11"/>
      <c r="H78" s="84" t="s">
        <v>75</v>
      </c>
      <c r="I78" s="85" t="str">
        <f>IF(_epmOfflineCondition_,"B1",_xll.EVPRO($B$1,$H78,"STYLE"))</f>
        <v>B1</v>
      </c>
      <c r="J78" s="85" t="str">
        <f>IF(_epmOfflineCondition_,"Y",_xll.EVPRO($B$1,$H78,"CALC"))</f>
        <v>Y</v>
      </c>
      <c r="K78" s="261" t="str">
        <f t="shared" si="22"/>
        <v/>
      </c>
      <c r="L78" s="102" t="str">
        <f>IF(_epmOfflineCondition_,"",_xll.EVPRO($B$1,H78,"JDEID"))</f>
        <v/>
      </c>
      <c r="M78" s="86" t="str">
        <f>IF(_epmOfflineCondition_,"",IF(AND(I78="N",J78="N"),_xll.EVPRO($B$1,H78,"PSFTID"),""))</f>
        <v/>
      </c>
      <c r="N78" s="102" t="str">
        <f>IF(_epmOfflineCondition_,"Non-Management",IF(_xll.EVDES(H78,$B$1)="#NODATA","",_xll.EVDES(H78,$B$1)))</f>
        <v>Non-Management</v>
      </c>
      <c r="O78" s="193"/>
      <c r="P78" s="193"/>
      <c r="Q78" s="193"/>
      <c r="R78" s="193"/>
      <c r="S78" s="193"/>
      <c r="T78" s="193"/>
      <c r="U78" s="193"/>
      <c r="V78" s="193"/>
      <c r="W78" s="193"/>
      <c r="X78" s="193"/>
      <c r="Y78" s="193"/>
      <c r="Z78" s="193"/>
      <c r="AA78" s="176" t="str">
        <f t="shared" si="23"/>
        <v/>
      </c>
      <c r="AB78" s="194" t="str">
        <f t="shared" si="24"/>
        <v/>
      </c>
      <c r="AC78" s="11"/>
      <c r="AD78" s="193"/>
      <c r="AE78" s="194" t="str">
        <f t="shared" si="25"/>
        <v/>
      </c>
      <c r="AF78" s="195" t="str">
        <f t="shared" si="26"/>
        <v/>
      </c>
      <c r="AG78" s="193"/>
      <c r="AH78" s="194" t="str">
        <f t="shared" si="27"/>
        <v/>
      </c>
      <c r="AI78" s="195" t="str">
        <f t="shared" si="28"/>
        <v/>
      </c>
      <c r="AJ78" s="393">
        <f t="shared" si="29"/>
        <v>0</v>
      </c>
      <c r="AK78" s="394">
        <f t="shared" si="30"/>
        <v>0</v>
      </c>
      <c r="AL78" s="395">
        <f t="shared" si="31"/>
        <v>0</v>
      </c>
      <c r="AM78" s="396">
        <f t="shared" si="32"/>
        <v>0</v>
      </c>
      <c r="AN78" s="397">
        <f t="shared" si="33"/>
        <v>0</v>
      </c>
      <c r="AO78" s="11"/>
    </row>
    <row r="79" spans="1:41" x14ac:dyDescent="0.25">
      <c r="A79" s="11"/>
      <c r="B79" s="11"/>
      <c r="C79" s="204"/>
      <c r="D79" s="11"/>
      <c r="E79" s="11"/>
      <c r="F79" s="11"/>
      <c r="G79" s="11"/>
      <c r="H79" s="84" t="s">
        <v>834</v>
      </c>
      <c r="I79" s="118" t="str">
        <f>IF(_epmOfflineCondition_,"T3",_xll.EVPRO($B$1,$H79,"STYLE"))</f>
        <v>T3</v>
      </c>
      <c r="J79" s="118" t="str">
        <f>IF(_epmOfflineCondition_,"Y",_xll.EVPRO($B$1,$H79,"CALC"))</f>
        <v>Y</v>
      </c>
      <c r="K79" s="175" t="str">
        <f t="shared" si="22"/>
        <v>&gt;</v>
      </c>
      <c r="L79" s="86" t="str">
        <f>IF(_epmOfflineCondition_,"",_xll.EVPRO($B$1,H79,"JDEID"))</f>
        <v/>
      </c>
      <c r="M79" s="86" t="str">
        <f>IF(_epmOfflineCondition_,"",IF(AND(I79="N",J79="N"),_xll.EVPRO($B$1,H79,"PSFTID"),""))</f>
        <v/>
      </c>
      <c r="N79" s="86" t="str">
        <f>IF(_epmOfflineCondition_,"F&amp;B Kitchen",IF(_xll.EVDES(H79,$B$1)="#NODATA","",_xll.EVDES(H79,$B$1)))</f>
        <v>F&amp;B Kitchen</v>
      </c>
      <c r="O79" s="248">
        <v>5491.95</v>
      </c>
      <c r="P79" s="248">
        <v>5930.38</v>
      </c>
      <c r="Q79" s="248">
        <v>7853.75</v>
      </c>
      <c r="R79" s="248">
        <v>7183.35</v>
      </c>
      <c r="S79" s="248">
        <v>8395.52</v>
      </c>
      <c r="T79" s="248">
        <v>9319.89</v>
      </c>
      <c r="U79" s="248">
        <v>8283.2900000000009</v>
      </c>
      <c r="V79" s="248">
        <v>8970.3700000000008</v>
      </c>
      <c r="W79" s="248">
        <v>6246.23</v>
      </c>
      <c r="X79" s="248">
        <v>101.8</v>
      </c>
      <c r="Y79" s="248">
        <v>828.92</v>
      </c>
      <c r="Z79" s="248"/>
      <c r="AA79" s="229">
        <f t="shared" si="23"/>
        <v>68605.45</v>
      </c>
      <c r="AB79" s="249">
        <f t="shared" si="24"/>
        <v>0.15438472817968291</v>
      </c>
      <c r="AC79" s="136"/>
      <c r="AD79" s="248">
        <v>12342.8571428572</v>
      </c>
      <c r="AE79" s="249">
        <f t="shared" si="25"/>
        <v>2.0224662527932612E-2</v>
      </c>
      <c r="AF79" s="250">
        <f t="shared" si="26"/>
        <v>56262.592857142794</v>
      </c>
      <c r="AG79" s="248">
        <v>36623.18</v>
      </c>
      <c r="AH79" s="249">
        <f t="shared" si="27"/>
        <v>0.21992323051784182</v>
      </c>
      <c r="AI79" s="250">
        <f t="shared" si="28"/>
        <v>31982.269999999997</v>
      </c>
      <c r="AJ79" s="467">
        <f t="shared" si="29"/>
        <v>2.978313436075537</v>
      </c>
      <c r="AK79" s="468">
        <f t="shared" si="30"/>
        <v>0.53990889037475176</v>
      </c>
      <c r="AL79" s="469">
        <f t="shared" si="31"/>
        <v>4.0588695555801841</v>
      </c>
      <c r="AM79" s="470" t="str">
        <f t="shared" si="32"/>
        <v>13.42 pts.</v>
      </c>
      <c r="AN79" s="471" t="str">
        <f t="shared" si="33"/>
        <v>-6.55 pts.</v>
      </c>
      <c r="AO79" s="11"/>
    </row>
    <row r="80" spans="1:41" x14ac:dyDescent="0.25">
      <c r="A80" s="56" t="str">
        <f>IF(_epmOfflineCondition_,"Evdre:Ok",_xll.EVDRE($B$1,A83:B90,A93:B99))</f>
        <v>Evdre:Ok</v>
      </c>
      <c r="B80" s="11"/>
      <c r="C80" s="11"/>
      <c r="D80" s="11"/>
      <c r="E80" s="11"/>
      <c r="F80" s="11"/>
      <c r="G80" s="11"/>
      <c r="H80" s="84" t="s">
        <v>835</v>
      </c>
      <c r="I80" s="118" t="str">
        <f>IF(_epmOfflineCondition_,"T3",_xll.EVPRO($B$1,$H80,"STYLE"))</f>
        <v>T3</v>
      </c>
      <c r="J80" s="118" t="str">
        <f>IF(_epmOfflineCondition_,"Y",_xll.EVPRO($B$1,$H80,"CALC"))</f>
        <v>Y</v>
      </c>
      <c r="K80" s="175" t="str">
        <f t="shared" si="22"/>
        <v>&gt;</v>
      </c>
      <c r="L80" s="86" t="str">
        <f>IF(_epmOfflineCondition_,"",_xll.EVPRO($B$1,H80,"JDEID"))</f>
        <v/>
      </c>
      <c r="M80" s="86" t="str">
        <f>IF(_epmOfflineCondition_,"",IF(AND(I80="N",J80="N"),_xll.EVPRO($B$1,H80,"PSFTID"),""))</f>
        <v/>
      </c>
      <c r="N80" s="86" t="str">
        <f>IF(_epmOfflineCondition_,"F&amp;B Venues",IF(_xll.EVDES(H80,$B$1)="#NODATA","",_xll.EVDES(H80,$B$1)))</f>
        <v>F&amp;B Venues</v>
      </c>
      <c r="O80" s="248">
        <v>7191.68</v>
      </c>
      <c r="P80" s="248">
        <v>8056.38</v>
      </c>
      <c r="Q80" s="248">
        <v>10147.82</v>
      </c>
      <c r="R80" s="248">
        <v>6153.41</v>
      </c>
      <c r="S80" s="248">
        <v>6996.19</v>
      </c>
      <c r="T80" s="248">
        <v>9459.7900000000009</v>
      </c>
      <c r="U80" s="248">
        <v>8451.48</v>
      </c>
      <c r="V80" s="248">
        <v>10650.74</v>
      </c>
      <c r="W80" s="248">
        <v>10976.96</v>
      </c>
      <c r="X80" s="248">
        <v>3987.32</v>
      </c>
      <c r="Y80" s="248">
        <v>5457.88</v>
      </c>
      <c r="Z80" s="248">
        <v>2925.4</v>
      </c>
      <c r="AA80" s="229">
        <f t="shared" si="23"/>
        <v>90455.050000000017</v>
      </c>
      <c r="AB80" s="249">
        <f t="shared" si="24"/>
        <v>0.2035534830939762</v>
      </c>
      <c r="AC80" s="136"/>
      <c r="AD80" s="248">
        <v>33409.699999999997</v>
      </c>
      <c r="AE80" s="249">
        <f t="shared" si="25"/>
        <v>5.4744205481669785E-2</v>
      </c>
      <c r="AF80" s="250">
        <f t="shared" si="26"/>
        <v>57045.35000000002</v>
      </c>
      <c r="AG80" s="248">
        <v>56571.89</v>
      </c>
      <c r="AH80" s="249">
        <f t="shared" si="27"/>
        <v>0.33971579762598414</v>
      </c>
      <c r="AI80" s="250">
        <f t="shared" si="28"/>
        <v>33883.160000000018</v>
      </c>
      <c r="AJ80" s="467">
        <f t="shared" si="29"/>
        <v>3.9268526155849801</v>
      </c>
      <c r="AK80" s="468">
        <f t="shared" si="30"/>
        <v>1.4614277590656575</v>
      </c>
      <c r="AL80" s="469">
        <f t="shared" si="31"/>
        <v>6.269742879308434</v>
      </c>
      <c r="AM80" s="470" t="str">
        <f t="shared" si="32"/>
        <v>14.88 pts.</v>
      </c>
      <c r="AN80" s="471" t="str">
        <f t="shared" si="33"/>
        <v>-13.62 pts.</v>
      </c>
      <c r="AO80" s="11"/>
    </row>
    <row r="81" spans="1:41" x14ac:dyDescent="0.25">
      <c r="A81" s="11"/>
      <c r="B81" s="11"/>
      <c r="C81" s="11"/>
      <c r="D81" s="11"/>
      <c r="E81" s="11"/>
      <c r="F81" s="11"/>
      <c r="G81" s="11"/>
      <c r="H81" s="84" t="s">
        <v>812</v>
      </c>
      <c r="I81" s="184" t="str">
        <f>IF(_epmOfflineCondition_,"T2",_xll.EVPRO($B$1,$H81,"STYLE"))</f>
        <v>T2</v>
      </c>
      <c r="J81" s="184" t="str">
        <f>IF(_epmOfflineCondition_,"Y",_xll.EVPRO($B$1,$H81,"CALC"))</f>
        <v>Y</v>
      </c>
      <c r="K81" s="185" t="str">
        <f t="shared" si="22"/>
        <v/>
      </c>
      <c r="L81" s="186" t="str">
        <f>IF(_epmOfflineCondition_,"",_xll.EVPRO($B$1,H81,"JDEID"))</f>
        <v/>
      </c>
      <c r="M81" s="186" t="str">
        <f>IF(_epmOfflineCondition_,"",IF(AND(I81="N",J81="N"),_xll.EVPRO($B$1,H81,"PSFTID"),""))</f>
        <v/>
      </c>
      <c r="N81" s="186" t="str">
        <f>IF(_epmOfflineCondition_,"Total Salaries and Wages",IF(_xll.EVDES(H81,$B$1)="#NODATA","",_xll.EVDES(H81,$B$1)))</f>
        <v>Total Salaries and Wages</v>
      </c>
      <c r="O81" s="236">
        <v>12683.63</v>
      </c>
      <c r="P81" s="236">
        <v>13986.76</v>
      </c>
      <c r="Q81" s="236">
        <v>18001.57</v>
      </c>
      <c r="R81" s="236">
        <v>13336.76</v>
      </c>
      <c r="S81" s="236">
        <v>15391.71</v>
      </c>
      <c r="T81" s="236">
        <v>18779.68</v>
      </c>
      <c r="U81" s="236">
        <v>16734.77</v>
      </c>
      <c r="V81" s="236">
        <v>19621.11</v>
      </c>
      <c r="W81" s="236">
        <v>17223.189999999999</v>
      </c>
      <c r="X81" s="236">
        <v>4089.12</v>
      </c>
      <c r="Y81" s="236">
        <v>6286.8</v>
      </c>
      <c r="Z81" s="236">
        <v>2925.4</v>
      </c>
      <c r="AA81" s="236">
        <f t="shared" si="23"/>
        <v>159060.49999999997</v>
      </c>
      <c r="AB81" s="237">
        <f t="shared" si="24"/>
        <v>0.35793821127365899</v>
      </c>
      <c r="AC81" s="238"/>
      <c r="AD81" s="236">
        <v>45752.5571428572</v>
      </c>
      <c r="AE81" s="237">
        <f t="shared" si="25"/>
        <v>7.4968868009602396E-2</v>
      </c>
      <c r="AF81" s="239">
        <f t="shared" si="26"/>
        <v>113307.94285714277</v>
      </c>
      <c r="AG81" s="236">
        <v>93195.07</v>
      </c>
      <c r="AH81" s="237">
        <f t="shared" si="27"/>
        <v>0.55963902814382605</v>
      </c>
      <c r="AI81" s="239">
        <f t="shared" si="28"/>
        <v>65865.429999999964</v>
      </c>
      <c r="AJ81" s="215">
        <f t="shared" si="29"/>
        <v>6.9051660516605153</v>
      </c>
      <c r="AK81" s="216">
        <f t="shared" si="30"/>
        <v>2.0013366494404092</v>
      </c>
      <c r="AL81" s="218">
        <f t="shared" si="31"/>
        <v>10.328612434888619</v>
      </c>
      <c r="AM81" s="423" t="str">
        <f t="shared" si="32"/>
        <v>28.3 pts.</v>
      </c>
      <c r="AN81" s="474" t="str">
        <f t="shared" si="33"/>
        <v>-20.17 pts.</v>
      </c>
      <c r="AO81" s="11"/>
    </row>
    <row r="82" spans="1:41" x14ac:dyDescent="0.25">
      <c r="A82" s="57" t="s">
        <v>0</v>
      </c>
      <c r="B82" s="58" t="s">
        <v>1</v>
      </c>
      <c r="C82" s="11"/>
      <c r="D82" s="11"/>
      <c r="E82" s="11"/>
      <c r="F82" s="11"/>
      <c r="G82" s="11"/>
      <c r="H82" s="84" t="s">
        <v>836</v>
      </c>
      <c r="I82" s="118" t="str">
        <f>IF(_epmOfflineCondition_,"T3",_xll.EVPRO($B$1,$H82,"STYLE"))</f>
        <v>T3</v>
      </c>
      <c r="J82" s="118" t="str">
        <f>IF(_epmOfflineCondition_,"Y",_xll.EVPRO($B$1,$H82,"CALC"))</f>
        <v>Y</v>
      </c>
      <c r="K82" s="175" t="str">
        <f t="shared" si="22"/>
        <v>&gt;</v>
      </c>
      <c r="L82" s="86" t="str">
        <f>IF(_epmOfflineCondition_,"",_xll.EVPRO($B$1,H82,"JDEID"))</f>
        <v/>
      </c>
      <c r="M82" s="86" t="str">
        <f>IF(_epmOfflineCondition_,"",IF(AND(I82="N",J82="N"),_xll.EVPRO($B$1,H82,"PSFTID"),""))</f>
        <v/>
      </c>
      <c r="N82" s="86" t="str">
        <f>IF(_epmOfflineCondition_,"Service Charge Distribution",IF(_xll.EVDES(H82,$B$1)="#NODATA","",_xll.EVDES(H82,$B$1)))</f>
        <v>Service Charge Distribution</v>
      </c>
      <c r="O82" s="248">
        <v>6148.97</v>
      </c>
      <c r="P82" s="248">
        <v>7631.08</v>
      </c>
      <c r="Q82" s="248">
        <v>8090.64</v>
      </c>
      <c r="R82" s="248">
        <v>7028.37</v>
      </c>
      <c r="S82" s="248">
        <v>5987.85</v>
      </c>
      <c r="T82" s="248">
        <v>6369.4</v>
      </c>
      <c r="U82" s="248">
        <v>5766.26</v>
      </c>
      <c r="V82" s="248">
        <v>6607.89</v>
      </c>
      <c r="W82" s="248">
        <v>4047.12</v>
      </c>
      <c r="X82" s="248">
        <v>3500.55</v>
      </c>
      <c r="Y82" s="248">
        <v>3943.8</v>
      </c>
      <c r="Z82" s="248">
        <v>5148.45</v>
      </c>
      <c r="AA82" s="248">
        <f t="shared" si="23"/>
        <v>70270.38</v>
      </c>
      <c r="AB82" s="249">
        <f t="shared" si="24"/>
        <v>0.15813136588103463</v>
      </c>
      <c r="AC82" s="136"/>
      <c r="AD82" s="248">
        <v>93094.691399999996</v>
      </c>
      <c r="AE82" s="249">
        <f t="shared" si="25"/>
        <v>0.15254237288135591</v>
      </c>
      <c r="AF82" s="250">
        <f t="shared" si="26"/>
        <v>-22824.311399999991</v>
      </c>
      <c r="AG82" s="248">
        <v>25552.880000000001</v>
      </c>
      <c r="AH82" s="249">
        <f t="shared" si="27"/>
        <v>0.15344576627793519</v>
      </c>
      <c r="AI82" s="250">
        <f t="shared" si="28"/>
        <v>44717.5</v>
      </c>
      <c r="AJ82" s="532">
        <f t="shared" si="29"/>
        <v>3.0505917082700242</v>
      </c>
      <c r="AK82" s="533">
        <f t="shared" si="30"/>
        <v>4.0722055640610648</v>
      </c>
      <c r="AL82" s="534">
        <f t="shared" si="31"/>
        <v>2.8319716280616203</v>
      </c>
      <c r="AM82" s="535" t="str">
        <f t="shared" si="32"/>
        <v>0.56 pts.</v>
      </c>
      <c r="AN82" s="536" t="str">
        <f t="shared" si="33"/>
        <v>0.47 pts.</v>
      </c>
      <c r="AO82" s="11"/>
    </row>
    <row r="83" spans="1:41" x14ac:dyDescent="0.25">
      <c r="A83" s="61" t="s">
        <v>2</v>
      </c>
      <c r="B83" s="62" t="str">
        <f>IF(_epmOfflineCondition_,"'VenueBar'!$B$2:$B$10",_xll.EVRNG($B$2:$B$10))</f>
        <v>'VenueBar'!$B$2:$B$10</v>
      </c>
      <c r="C83" s="11"/>
      <c r="D83" s="11"/>
      <c r="E83" s="11"/>
      <c r="F83" s="11"/>
      <c r="G83" s="11"/>
      <c r="H83" s="84" t="s">
        <v>813</v>
      </c>
      <c r="I83" s="118" t="str">
        <f>IF(_epmOfflineCondition_,"T3",_xll.EVPRO($B$1,$H83,"STYLE"))</f>
        <v>T3</v>
      </c>
      <c r="J83" s="118" t="str">
        <f>IF(_epmOfflineCondition_,"Y",_xll.EVPRO($B$1,$H83,"CALC"))</f>
        <v>Y</v>
      </c>
      <c r="K83" s="175" t="str">
        <f t="shared" si="22"/>
        <v>&gt;</v>
      </c>
      <c r="L83" s="86" t="str">
        <f>IF(_epmOfflineCondition_,"",_xll.EVPRO($B$1,H83,"JDEID"))</f>
        <v/>
      </c>
      <c r="M83" s="86" t="str">
        <f>IF(_epmOfflineCondition_,"",IF(AND(I83="N",J83="N"),_xll.EVPRO($B$1,H83,"PSFTID"),""))</f>
        <v/>
      </c>
      <c r="N83" s="86" t="str">
        <f>IF(_epmOfflineCondition_,"Bonuses &amp; Incentives",IF(_xll.EVDES(H83,$B$1)="#NODATA","",_xll.EVDES(H83,$B$1)))</f>
        <v>Bonuses &amp; Incentives</v>
      </c>
      <c r="O83" s="248"/>
      <c r="P83" s="248"/>
      <c r="Q83" s="248">
        <v>284.37</v>
      </c>
      <c r="R83" s="248"/>
      <c r="S83" s="248"/>
      <c r="T83" s="248"/>
      <c r="U83" s="248"/>
      <c r="V83" s="248"/>
      <c r="W83" s="248"/>
      <c r="X83" s="248"/>
      <c r="Y83" s="248"/>
      <c r="Z83" s="248"/>
      <c r="AA83" s="229">
        <f t="shared" si="23"/>
        <v>284.37</v>
      </c>
      <c r="AB83" s="249">
        <f t="shared" si="24"/>
        <v>6.3992562037646316E-4</v>
      </c>
      <c r="AC83" s="136"/>
      <c r="AD83" s="248"/>
      <c r="AE83" s="249" t="str">
        <f t="shared" si="25"/>
        <v/>
      </c>
      <c r="AF83" s="250">
        <f t="shared" si="26"/>
        <v>284.37</v>
      </c>
      <c r="AG83" s="248">
        <v>319.01</v>
      </c>
      <c r="AH83" s="249">
        <f t="shared" si="27"/>
        <v>1.9156640621457973E-3</v>
      </c>
      <c r="AI83" s="250">
        <f t="shared" si="28"/>
        <v>-34.639999999999986</v>
      </c>
      <c r="AJ83" s="467">
        <f t="shared" si="29"/>
        <v>1.2345126980681572E-2</v>
      </c>
      <c r="AK83" s="468">
        <f t="shared" si="30"/>
        <v>0</v>
      </c>
      <c r="AL83" s="469">
        <f t="shared" si="31"/>
        <v>3.5355203369167684E-2</v>
      </c>
      <c r="AM83" s="470">
        <f t="shared" si="32"/>
        <v>0</v>
      </c>
      <c r="AN83" s="471" t="str">
        <f t="shared" si="33"/>
        <v>-0.13 pts.</v>
      </c>
      <c r="AO83" s="11"/>
    </row>
    <row r="84" spans="1:41" x14ac:dyDescent="0.25">
      <c r="A84" s="61" t="s">
        <v>3</v>
      </c>
      <c r="B84" s="62" t="str">
        <f>IF(_epmOfflineCondition_,"'VenueBar'!$O$16:$AN$18",_xll.EVRNG($O$16:$AN$18))</f>
        <v>'VenueBar'!$O$16:$AN$18</v>
      </c>
      <c r="C84" s="11"/>
      <c r="D84" s="11"/>
      <c r="E84" s="11"/>
      <c r="F84" s="11"/>
      <c r="G84" s="11"/>
      <c r="H84" s="84" t="s">
        <v>814</v>
      </c>
      <c r="I84" s="184" t="str">
        <f>IF(_epmOfflineCondition_,"T2",_xll.EVPRO($B$1,$H84,"STYLE"))</f>
        <v>T2</v>
      </c>
      <c r="J84" s="184" t="str">
        <f>IF(_epmOfflineCondition_,"Y",_xll.EVPRO($B$1,$H84,"CALC"))</f>
        <v>Y</v>
      </c>
      <c r="K84" s="185" t="str">
        <f t="shared" si="22"/>
        <v/>
      </c>
      <c r="L84" s="186" t="str">
        <f>IF(_epmOfflineCondition_,"",_xll.EVPRO($B$1,H84,"JDEID"))</f>
        <v/>
      </c>
      <c r="M84" s="186" t="str">
        <f>IF(_epmOfflineCondition_,"",IF(AND(I84="N",J84="N"),_xll.EVPRO($B$1,H84,"PSFTID"),""))</f>
        <v/>
      </c>
      <c r="N84" s="186" t="str">
        <f>IF(_epmOfflineCondition_,"Total Labor Expense",IF(_xll.EVDES(H84,$B$1)="#NODATA","",_xll.EVDES(H84,$B$1)))</f>
        <v>Total Labor Expense</v>
      </c>
      <c r="O84" s="236">
        <v>18832.599999999999</v>
      </c>
      <c r="P84" s="236">
        <v>21617.84</v>
      </c>
      <c r="Q84" s="236">
        <v>26376.58</v>
      </c>
      <c r="R84" s="236">
        <v>20365.13</v>
      </c>
      <c r="S84" s="236">
        <v>21379.56</v>
      </c>
      <c r="T84" s="236">
        <v>25149.08</v>
      </c>
      <c r="U84" s="236">
        <v>22501.03</v>
      </c>
      <c r="V84" s="236">
        <v>26229</v>
      </c>
      <c r="W84" s="236">
        <v>21270.31</v>
      </c>
      <c r="X84" s="236">
        <v>7589.67</v>
      </c>
      <c r="Y84" s="236">
        <v>10230.6</v>
      </c>
      <c r="Z84" s="236">
        <v>8073.85</v>
      </c>
      <c r="AA84" s="236">
        <f t="shared" si="23"/>
        <v>229615.25000000003</v>
      </c>
      <c r="AB84" s="237">
        <f t="shared" si="24"/>
        <v>0.51670950277507022</v>
      </c>
      <c r="AC84" s="238"/>
      <c r="AD84" s="236">
        <v>138847.24854285701</v>
      </c>
      <c r="AE84" s="237">
        <f t="shared" si="25"/>
        <v>0.22751124089095803</v>
      </c>
      <c r="AF84" s="239">
        <f t="shared" si="26"/>
        <v>90768.001457143022</v>
      </c>
      <c r="AG84" s="236">
        <v>119066.96</v>
      </c>
      <c r="AH84" s="237">
        <f t="shared" si="27"/>
        <v>0.71500045848390703</v>
      </c>
      <c r="AI84" s="239">
        <f t="shared" si="28"/>
        <v>110548.29000000002</v>
      </c>
      <c r="AJ84" s="215">
        <f t="shared" si="29"/>
        <v>9.9681028869112236</v>
      </c>
      <c r="AK84" s="216">
        <f t="shared" si="30"/>
        <v>6.0735422135014661</v>
      </c>
      <c r="AL84" s="218">
        <f t="shared" si="31"/>
        <v>13.195939266319407</v>
      </c>
      <c r="AM84" s="423" t="str">
        <f t="shared" si="32"/>
        <v>28.92 pts.</v>
      </c>
      <c r="AN84" s="474" t="str">
        <f t="shared" si="33"/>
        <v>-19.83 pts.</v>
      </c>
      <c r="AO84" s="11"/>
    </row>
    <row r="85" spans="1:41" x14ac:dyDescent="0.25">
      <c r="A85" s="61" t="s">
        <v>4</v>
      </c>
      <c r="B85" s="62" t="str">
        <f>IF(_epmOfflineCondition_,"'VenueBar'!$H$76:$H$77,'VenueBar'!$H$79:$H$89,'VenueBar'!$H$92:$H$117",_xll.EVRNG(H76:H77,H79:H89,H92:H117))</f>
        <v>'VenueBar'!$H$76:$H$77,'VenueBar'!$H$79:$H$89,'VenueBar'!$H$92:$H$117</v>
      </c>
      <c r="C85" s="11"/>
      <c r="D85" s="11"/>
      <c r="E85" s="11"/>
      <c r="F85" s="11"/>
      <c r="G85" s="11"/>
      <c r="H85" s="84" t="s">
        <v>815</v>
      </c>
      <c r="I85" s="118" t="str">
        <f>IF(_epmOfflineCondition_,"T3",_xll.EVPRO($B$1,$H85,"STYLE"))</f>
        <v>T3</v>
      </c>
      <c r="J85" s="118" t="str">
        <f>IF(_epmOfflineCondition_,"Y",_xll.EVPRO($B$1,$H85,"CALC"))</f>
        <v>Y</v>
      </c>
      <c r="K85" s="175" t="str">
        <f t="shared" si="22"/>
        <v>&gt;</v>
      </c>
      <c r="L85" s="86" t="str">
        <f>IF(_epmOfflineCondition_,"",_xll.EVPRO($B$1,H85,"JDEID"))</f>
        <v/>
      </c>
      <c r="M85" s="86" t="str">
        <f>IF(_epmOfflineCondition_,"",IF(AND(I85="N",J85="N"),_xll.EVPRO($B$1,H85,"PSFTID"),""))</f>
        <v/>
      </c>
      <c r="N85" s="86" t="str">
        <f>IF(_epmOfflineCondition_,"Payroll Taxes",IF(_xll.EVDES(H85,$B$1)="#NODATA","",_xll.EVDES(H85,$B$1)))</f>
        <v>Payroll Taxes</v>
      </c>
      <c r="O85" s="248">
        <v>1571.21</v>
      </c>
      <c r="P85" s="248">
        <v>1425.21</v>
      </c>
      <c r="Q85" s="248">
        <v>1656.24</v>
      </c>
      <c r="R85" s="248">
        <v>1013.81</v>
      </c>
      <c r="S85" s="248">
        <v>1195.69</v>
      </c>
      <c r="T85" s="248">
        <v>1202.47</v>
      </c>
      <c r="U85" s="248">
        <v>1446.67</v>
      </c>
      <c r="V85" s="248">
        <v>1558.51</v>
      </c>
      <c r="W85" s="248">
        <v>1387.95</v>
      </c>
      <c r="X85" s="248">
        <v>654.24</v>
      </c>
      <c r="Y85" s="248">
        <v>691.15</v>
      </c>
      <c r="Z85" s="248">
        <v>246.18</v>
      </c>
      <c r="AA85" s="248">
        <f t="shared" si="23"/>
        <v>14049.33</v>
      </c>
      <c r="AB85" s="249">
        <f t="shared" si="24"/>
        <v>3.1615593122072141E-2</v>
      </c>
      <c r="AC85" s="136"/>
      <c r="AD85" s="248">
        <v>18062.6363845011</v>
      </c>
      <c r="AE85" s="249">
        <f t="shared" si="25"/>
        <v>2.959693375797488E-2</v>
      </c>
      <c r="AF85" s="250">
        <f t="shared" si="26"/>
        <v>-4013.3063845011002</v>
      </c>
      <c r="AG85" s="248">
        <v>7211.5</v>
      </c>
      <c r="AH85" s="249">
        <f t="shared" si="27"/>
        <v>4.3305261227436186E-2</v>
      </c>
      <c r="AI85" s="250">
        <f t="shared" si="28"/>
        <v>6837.83</v>
      </c>
      <c r="AJ85" s="532">
        <f t="shared" si="29"/>
        <v>0.60991230735836766</v>
      </c>
      <c r="AK85" s="533">
        <f t="shared" si="30"/>
        <v>0.79010701126377236</v>
      </c>
      <c r="AL85" s="534">
        <f t="shared" si="31"/>
        <v>0.79923528759835971</v>
      </c>
      <c r="AM85" s="535" t="str">
        <f t="shared" si="32"/>
        <v>0.2 pts.</v>
      </c>
      <c r="AN85" s="536" t="str">
        <f t="shared" si="33"/>
        <v>-1.17 pts.</v>
      </c>
      <c r="AO85" s="11"/>
    </row>
    <row r="86" spans="1:41" x14ac:dyDescent="0.25">
      <c r="A86" s="61" t="s">
        <v>5</v>
      </c>
      <c r="B86" s="62"/>
      <c r="C86" s="11"/>
      <c r="D86" s="11"/>
      <c r="E86" s="11"/>
      <c r="F86" s="11"/>
      <c r="G86" s="11"/>
      <c r="H86" s="84" t="s">
        <v>816</v>
      </c>
      <c r="I86" s="118" t="str">
        <f>IF(_epmOfflineCondition_,"T3",_xll.EVPRO($B$1,$H86,"STYLE"))</f>
        <v>T3</v>
      </c>
      <c r="J86" s="118" t="str">
        <f>IF(_epmOfflineCondition_,"Y",_xll.EVPRO($B$1,$H86,"CALC"))</f>
        <v>Y</v>
      </c>
      <c r="K86" s="175" t="str">
        <f t="shared" si="22"/>
        <v>&gt;</v>
      </c>
      <c r="L86" s="86" t="str">
        <f>IF(_epmOfflineCondition_,"",_xll.EVPRO($B$1,H86,"JDEID"))</f>
        <v/>
      </c>
      <c r="M86" s="86" t="str">
        <f>IF(_epmOfflineCondition_,"",IF(AND(I86="N",J86="N"),_xll.EVPRO($B$1,H86,"PSFTID"),""))</f>
        <v/>
      </c>
      <c r="N86" s="86" t="str">
        <f>IF(_epmOfflineCondition_,"Supplemental Pay",IF(_xll.EVDES(H86,$B$1)="#NODATA","",_xll.EVDES(H86,$B$1)))</f>
        <v>Supplemental Pay</v>
      </c>
      <c r="O86" s="248">
        <v>193.58</v>
      </c>
      <c r="P86" s="248">
        <v>292.69</v>
      </c>
      <c r="Q86" s="248">
        <v>200.37</v>
      </c>
      <c r="R86" s="248">
        <v>-640.34</v>
      </c>
      <c r="S86" s="248">
        <v>995.38</v>
      </c>
      <c r="T86" s="248"/>
      <c r="U86" s="248">
        <v>305.66000000000003</v>
      </c>
      <c r="V86" s="248">
        <v>79.430000000000007</v>
      </c>
      <c r="W86" s="248">
        <v>344.26</v>
      </c>
      <c r="X86" s="248">
        <v>130.32</v>
      </c>
      <c r="Y86" s="248">
        <v>190.25</v>
      </c>
      <c r="Z86" s="248"/>
      <c r="AA86" s="229">
        <f t="shared" si="23"/>
        <v>2091.6</v>
      </c>
      <c r="AB86" s="249">
        <f t="shared" si="24"/>
        <v>4.706784919574534E-3</v>
      </c>
      <c r="AC86" s="136"/>
      <c r="AD86" s="248">
        <v>1458.1533778802</v>
      </c>
      <c r="AE86" s="249">
        <f t="shared" si="25"/>
        <v>2.3892895818419368E-3</v>
      </c>
      <c r="AF86" s="250">
        <f t="shared" si="26"/>
        <v>633.44662211979994</v>
      </c>
      <c r="AG86" s="248">
        <v>1372.13</v>
      </c>
      <c r="AH86" s="249">
        <f t="shared" si="27"/>
        <v>8.2396794131598169E-3</v>
      </c>
      <c r="AI86" s="250">
        <f t="shared" si="28"/>
        <v>719.4699999999998</v>
      </c>
      <c r="AJ86" s="467">
        <f t="shared" si="29"/>
        <v>9.0800955068374212E-2</v>
      </c>
      <c r="AK86" s="468">
        <f t="shared" si="30"/>
        <v>6.3783446825606924E-2</v>
      </c>
      <c r="AL86" s="469">
        <f t="shared" si="31"/>
        <v>0.15207026487864347</v>
      </c>
      <c r="AM86" s="470" t="str">
        <f t="shared" si="32"/>
        <v>0.23 pts.</v>
      </c>
      <c r="AN86" s="471" t="str">
        <f t="shared" si="33"/>
        <v>-0.35 pts.</v>
      </c>
      <c r="AO86" s="11"/>
    </row>
    <row r="87" spans="1:41" x14ac:dyDescent="0.25">
      <c r="A87" s="61" t="s">
        <v>6</v>
      </c>
      <c r="B87" s="62"/>
      <c r="C87" s="11"/>
      <c r="D87" s="11"/>
      <c r="E87" s="11"/>
      <c r="F87" s="11"/>
      <c r="G87" s="11"/>
      <c r="H87" s="84" t="s">
        <v>817</v>
      </c>
      <c r="I87" s="118" t="str">
        <f>IF(_epmOfflineCondition_,"T3",_xll.EVPRO($B$1,$H87,"STYLE"))</f>
        <v>T3</v>
      </c>
      <c r="J87" s="118" t="str">
        <f>IF(_epmOfflineCondition_,"Y",_xll.EVPRO($B$1,$H87,"CALC"))</f>
        <v>Y</v>
      </c>
      <c r="K87" s="175" t="str">
        <f t="shared" si="22"/>
        <v>&gt;</v>
      </c>
      <c r="L87" s="86" t="str">
        <f>IF(_epmOfflineCondition_,"",_xll.EVPRO($B$1,H87,"JDEID"))</f>
        <v/>
      </c>
      <c r="M87" s="86" t="str">
        <f>IF(_epmOfflineCondition_,"",IF(AND(I87="N",J87="N"),_xll.EVPRO($B$1,H87,"PSFTID"),""))</f>
        <v/>
      </c>
      <c r="N87" s="86" t="str">
        <f>IF(_epmOfflineCondition_,"Employee Benefits",IF(_xll.EVDES(H87,$B$1)="#NODATA","",_xll.EVDES(H87,$B$1)))</f>
        <v>Employee Benefits</v>
      </c>
      <c r="O87" s="248">
        <v>795.91</v>
      </c>
      <c r="P87" s="248">
        <v>771.16</v>
      </c>
      <c r="Q87" s="248">
        <v>1771.49</v>
      </c>
      <c r="R87" s="248">
        <v>680.41</v>
      </c>
      <c r="S87" s="248">
        <v>617.29999999999995</v>
      </c>
      <c r="T87" s="248">
        <v>1391.44</v>
      </c>
      <c r="U87" s="248">
        <v>1344.93</v>
      </c>
      <c r="V87" s="248">
        <v>1284.27</v>
      </c>
      <c r="W87" s="248">
        <v>1418.25</v>
      </c>
      <c r="X87" s="248">
        <v>660.78</v>
      </c>
      <c r="Y87" s="248">
        <v>1416.78</v>
      </c>
      <c r="Z87" s="248">
        <v>783.05</v>
      </c>
      <c r="AA87" s="229">
        <f t="shared" si="23"/>
        <v>12935.77</v>
      </c>
      <c r="AB87" s="249">
        <f t="shared" si="24"/>
        <v>2.9109718473457964E-2</v>
      </c>
      <c r="AC87" s="136"/>
      <c r="AD87" s="248">
        <v>2468.3616741341002</v>
      </c>
      <c r="AE87" s="249">
        <f t="shared" si="25"/>
        <v>4.0445888077976049E-3</v>
      </c>
      <c r="AF87" s="250">
        <f t="shared" si="26"/>
        <v>10467.408325865901</v>
      </c>
      <c r="AG87" s="248">
        <v>5176.97</v>
      </c>
      <c r="AH87" s="249">
        <f t="shared" si="27"/>
        <v>3.1087851101241116E-2</v>
      </c>
      <c r="AI87" s="250">
        <f t="shared" si="28"/>
        <v>7758.8</v>
      </c>
      <c r="AJ87" s="467">
        <f t="shared" si="29"/>
        <v>0.56157021923160411</v>
      </c>
      <c r="AK87" s="468">
        <f t="shared" si="30"/>
        <v>0.10797260286663314</v>
      </c>
      <c r="AL87" s="469">
        <f t="shared" si="31"/>
        <v>0.57375263216225203</v>
      </c>
      <c r="AM87" s="470" t="str">
        <f t="shared" si="32"/>
        <v>2.51 pts.</v>
      </c>
      <c r="AN87" s="471" t="str">
        <f t="shared" si="33"/>
        <v>-0.2 pts.</v>
      </c>
      <c r="AO87" s="11"/>
    </row>
    <row r="88" spans="1:41" x14ac:dyDescent="0.25">
      <c r="A88" s="61" t="s">
        <v>7</v>
      </c>
      <c r="B88" s="62" t="str">
        <f>IF(_epmOfflineCondition_,"'VenueBar'!$A$102:$F$108",_xll.EVRNG(A102:F108))</f>
        <v>'VenueBar'!$A$102:$F$108</v>
      </c>
      <c r="C88" s="11"/>
      <c r="D88" s="11"/>
      <c r="E88" s="11"/>
      <c r="F88" s="11"/>
      <c r="G88" s="11"/>
      <c r="H88" s="84" t="s">
        <v>818</v>
      </c>
      <c r="I88" s="184" t="str">
        <f>IF(_epmOfflineCondition_,"T2",_xll.EVPRO($B$1,$H88,"STYLE"))</f>
        <v>T2</v>
      </c>
      <c r="J88" s="184" t="str">
        <f>IF(_epmOfflineCondition_,"Y",_xll.EVPRO($B$1,$H88,"CALC"))</f>
        <v>Y</v>
      </c>
      <c r="K88" s="185" t="str">
        <f t="shared" si="22"/>
        <v/>
      </c>
      <c r="L88" s="186" t="str">
        <f>IF(_epmOfflineCondition_,"",_xll.EVPRO($B$1,H88,"JDEID"))</f>
        <v/>
      </c>
      <c r="M88" s="186" t="str">
        <f>IF(_epmOfflineCondition_,"",IF(AND(I88="N",J88="N"),_xll.EVPRO($B$1,H88,"PSFTID"),""))</f>
        <v/>
      </c>
      <c r="N88" s="186" t="str">
        <f>IF(_epmOfflineCondition_,"Total Payroll Related",IF(_xll.EVDES(H88,$B$1)="#NODATA","",_xll.EVDES(H88,$B$1)))</f>
        <v>Total Payroll Related</v>
      </c>
      <c r="O88" s="210">
        <v>2560.6999999999998</v>
      </c>
      <c r="P88" s="210">
        <v>2489.06</v>
      </c>
      <c r="Q88" s="210">
        <v>3628.1</v>
      </c>
      <c r="R88" s="210">
        <v>1053.8800000000001</v>
      </c>
      <c r="S88" s="210">
        <v>2808.37</v>
      </c>
      <c r="T88" s="210">
        <v>2593.91</v>
      </c>
      <c r="U88" s="210">
        <v>3097.26</v>
      </c>
      <c r="V88" s="210">
        <v>2922.21</v>
      </c>
      <c r="W88" s="210">
        <v>3150.46</v>
      </c>
      <c r="X88" s="210">
        <v>1445.34</v>
      </c>
      <c r="Y88" s="210">
        <v>2298.1799999999998</v>
      </c>
      <c r="Z88" s="210">
        <v>1029.23</v>
      </c>
      <c r="AA88" s="210">
        <f t="shared" si="23"/>
        <v>29076.699999999997</v>
      </c>
      <c r="AB88" s="211">
        <f t="shared" si="24"/>
        <v>6.5432096515104635E-2</v>
      </c>
      <c r="AC88" s="251"/>
      <c r="AD88" s="210">
        <v>21989.1514365154</v>
      </c>
      <c r="AE88" s="211">
        <f t="shared" si="25"/>
        <v>3.6030812147614416E-2</v>
      </c>
      <c r="AF88" s="252">
        <f t="shared" si="26"/>
        <v>7087.5485634845973</v>
      </c>
      <c r="AG88" s="210">
        <v>13760.6</v>
      </c>
      <c r="AH88" s="211">
        <f t="shared" si="27"/>
        <v>8.2632791741837117E-2</v>
      </c>
      <c r="AI88" s="252">
        <f t="shared" si="28"/>
        <v>15316.099999999997</v>
      </c>
      <c r="AJ88" s="253">
        <f t="shared" si="29"/>
        <v>1.2622834816583459</v>
      </c>
      <c r="AK88" s="254">
        <f t="shared" si="30"/>
        <v>0.96186306095601237</v>
      </c>
      <c r="AL88" s="256">
        <f t="shared" si="31"/>
        <v>1.5250581846392552</v>
      </c>
      <c r="AM88" s="427" t="str">
        <f t="shared" si="32"/>
        <v>2.94 pts.</v>
      </c>
      <c r="AN88" s="483" t="str">
        <f t="shared" si="33"/>
        <v>-1.72 pts.</v>
      </c>
      <c r="AO88" s="11"/>
    </row>
    <row r="89" spans="1:41" x14ac:dyDescent="0.25">
      <c r="A89" s="61" t="s">
        <v>47</v>
      </c>
      <c r="B89" s="62" t="str">
        <f>IF(_epmOfflineCondition_,"'VenueBar'!$A$125:$B$146",_xll.EVRNG($A$125:$B$146))</f>
        <v>'VenueBar'!$A$125:$B$146</v>
      </c>
      <c r="C89" s="11"/>
      <c r="D89" s="11"/>
      <c r="E89" s="11"/>
      <c r="F89" s="11"/>
      <c r="G89" s="11"/>
      <c r="H89" s="84" t="s">
        <v>76</v>
      </c>
      <c r="I89" s="184" t="str">
        <f>IF(_epmOfflineCondition_,"T1",_xll.EVPRO($B$1,$H89,"STYLE"))</f>
        <v>T1</v>
      </c>
      <c r="J89" s="184" t="str">
        <f>IF(_epmOfflineCondition_,"Y",_xll.EVPRO($B$1,$H89,"CALC"))</f>
        <v>Y</v>
      </c>
      <c r="K89" s="185" t="str">
        <f t="shared" si="22"/>
        <v/>
      </c>
      <c r="L89" s="186" t="str">
        <f>IF(_epmOfflineCondition_,"600000",_xll.EVPRO($B$1,H89,"JDEID"))</f>
        <v>600000</v>
      </c>
      <c r="M89" s="186" t="str">
        <f>IF(_epmOfflineCondition_,"",IF(AND(I89="N",J89="N"),_xll.EVPRO($B$1,H89,"PSFTID"),""))</f>
        <v/>
      </c>
      <c r="N89" s="186" t="str">
        <f>IF(_epmOfflineCondition_,"Total Labor &amp; Related Exp",IF(_xll.EVDES(H89,$B$1)="#NODATA","",_xll.EVDES(H89,$B$1)))</f>
        <v>Total Labor &amp; Related Exp</v>
      </c>
      <c r="O89" s="210">
        <v>21393.3</v>
      </c>
      <c r="P89" s="210">
        <v>24106.9</v>
      </c>
      <c r="Q89" s="210">
        <v>30004.68</v>
      </c>
      <c r="R89" s="210">
        <v>21419.01</v>
      </c>
      <c r="S89" s="210">
        <v>24187.93</v>
      </c>
      <c r="T89" s="210">
        <v>27742.99</v>
      </c>
      <c r="U89" s="210">
        <v>25598.29</v>
      </c>
      <c r="V89" s="210">
        <v>29151.21</v>
      </c>
      <c r="W89" s="210">
        <v>24420.77</v>
      </c>
      <c r="X89" s="210">
        <v>9035.01</v>
      </c>
      <c r="Y89" s="210">
        <v>12528.78</v>
      </c>
      <c r="Z89" s="210">
        <v>9103.08</v>
      </c>
      <c r="AA89" s="210">
        <f t="shared" si="23"/>
        <v>258691.94999999998</v>
      </c>
      <c r="AB89" s="211">
        <f t="shared" si="24"/>
        <v>0.58214159929017473</v>
      </c>
      <c r="AC89" s="251"/>
      <c r="AD89" s="210">
        <v>160836.399979373</v>
      </c>
      <c r="AE89" s="211">
        <f t="shared" si="25"/>
        <v>0.26354205303857342</v>
      </c>
      <c r="AF89" s="252">
        <f t="shared" si="26"/>
        <v>97855.550020626979</v>
      </c>
      <c r="AG89" s="210">
        <v>132827.56</v>
      </c>
      <c r="AH89" s="211">
        <f t="shared" si="27"/>
        <v>0.79763325022574405</v>
      </c>
      <c r="AI89" s="252">
        <f t="shared" si="28"/>
        <v>125864.38999999998</v>
      </c>
      <c r="AJ89" s="253">
        <f t="shared" si="29"/>
        <v>11.230386368569567</v>
      </c>
      <c r="AK89" s="254">
        <f t="shared" si="30"/>
        <v>7.0354052744575046</v>
      </c>
      <c r="AL89" s="256">
        <f t="shared" si="31"/>
        <v>14.720997450958661</v>
      </c>
      <c r="AM89" s="427" t="str">
        <f t="shared" si="32"/>
        <v>31.86 pts.</v>
      </c>
      <c r="AN89" s="483" t="str">
        <f t="shared" si="33"/>
        <v>-21.55 pts.</v>
      </c>
      <c r="AO89" s="11"/>
    </row>
    <row r="90" spans="1:41" x14ac:dyDescent="0.25">
      <c r="A90" s="61" t="s">
        <v>8</v>
      </c>
      <c r="B90" s="62"/>
      <c r="C90" s="11"/>
      <c r="D90" s="11"/>
      <c r="E90" s="11"/>
      <c r="F90" s="11"/>
      <c r="G90" s="11"/>
      <c r="H90" s="11"/>
      <c r="I90" s="55"/>
      <c r="J90" s="55"/>
      <c r="K90" s="11"/>
      <c r="L90" s="11"/>
      <c r="M90" s="11"/>
      <c r="N90" s="11"/>
      <c r="O90" s="125"/>
      <c r="P90" s="126"/>
      <c r="Q90" s="126"/>
      <c r="R90" s="126"/>
      <c r="S90" s="126"/>
      <c r="T90" s="126"/>
      <c r="U90" s="126"/>
      <c r="V90" s="126"/>
      <c r="W90" s="126"/>
      <c r="X90" s="126"/>
      <c r="Y90" s="126"/>
      <c r="Z90" s="126"/>
      <c r="AA90" s="126"/>
      <c r="AB90" s="127"/>
      <c r="AC90" s="11"/>
      <c r="AD90" s="125"/>
      <c r="AE90" s="126"/>
      <c r="AF90" s="127"/>
      <c r="AG90" s="125"/>
      <c r="AH90" s="126"/>
      <c r="AI90" s="127"/>
      <c r="AJ90" s="11"/>
      <c r="AK90" s="11"/>
      <c r="AL90" s="11"/>
      <c r="AM90" s="11"/>
      <c r="AN90" s="11"/>
      <c r="AO90" s="11"/>
    </row>
    <row r="91" spans="1:41" x14ac:dyDescent="0.25">
      <c r="A91" s="11"/>
      <c r="B91" s="11"/>
      <c r="C91" s="11"/>
      <c r="D91" s="11"/>
      <c r="E91" s="11"/>
      <c r="F91" s="11"/>
      <c r="G91" s="72"/>
      <c r="H91" s="11" t="s">
        <v>82</v>
      </c>
      <c r="I91" s="55" t="str">
        <f>IF(_epmOfflineCondition_,"B1",_xll.EVPRO($B$1,$H91,"STYLE"))</f>
        <v>B1</v>
      </c>
      <c r="J91" s="55" t="str">
        <f>IF(_epmOfflineCondition_,"Y",_xll.EVPRO($B$1,$H91,"CALC"))</f>
        <v>Y</v>
      </c>
      <c r="K91" s="11"/>
      <c r="L91" s="11"/>
      <c r="M91" s="11"/>
      <c r="N91" s="101" t="str">
        <f>IF(_epmOfflineCondition_,"Other Expenses",IF(_xll.EVDES(H91,$B$1)="#NODATA","",_xll.EVDES(H91,$B$1)))</f>
        <v>Other Expenses</v>
      </c>
      <c r="O91" s="115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7"/>
      <c r="AC91" s="11"/>
      <c r="AD91" s="115"/>
      <c r="AE91" s="116"/>
      <c r="AF91" s="117"/>
      <c r="AG91" s="115"/>
      <c r="AH91" s="116"/>
      <c r="AI91" s="117"/>
      <c r="AJ91" s="11"/>
      <c r="AK91" s="11"/>
      <c r="AL91" s="11"/>
      <c r="AM91" s="11"/>
      <c r="AN91" s="11"/>
      <c r="AO91" s="11"/>
    </row>
    <row r="92" spans="1:41" x14ac:dyDescent="0.25">
      <c r="A92" s="57" t="s">
        <v>9</v>
      </c>
      <c r="B92" s="58" t="s">
        <v>10</v>
      </c>
      <c r="C92" s="11"/>
      <c r="D92" s="11"/>
      <c r="E92" s="11"/>
      <c r="F92" s="11"/>
      <c r="G92" s="11"/>
      <c r="H92" s="84" t="s">
        <v>789</v>
      </c>
      <c r="I92" s="118" t="str">
        <f>IF(_epmOfflineCondition_,"N",_xll.EVPRO($B$1,$H92,"STYLE"))</f>
        <v>N</v>
      </c>
      <c r="J92" s="118" t="str">
        <f>IF(_epmOfflineCondition_,"N",_xll.EVPRO($B$1,$H92,"CALC"))</f>
        <v>N</v>
      </c>
      <c r="K92" s="175" t="str">
        <f t="shared" ref="K92:K117" si="34">IF(AND(I92&lt;&gt;"B1",J92="Y"),"&gt;","")</f>
        <v/>
      </c>
      <c r="L92" s="86" t="str">
        <f>IF(_epmOfflineCondition_,"701100",_xll.EVPRO($B$1,H92,"JDEID"))</f>
        <v>701100</v>
      </c>
      <c r="M92" s="86" t="str">
        <f>IF(_epmOfflineCondition_,"690015",IF(AND(I92="N",J92="N"),_xll.EVPRO($B$1,H92,"PSFTID"),""))</f>
        <v>690015</v>
      </c>
      <c r="N92" s="86" t="str">
        <f>IF(_epmOfflineCondition_,"Dues and Subscriptions",IF(_xll.EVDES(H92,$B$1)="#NODATA","",_xll.EVDES(H92,$B$1)))</f>
        <v>Dues and Subscriptions</v>
      </c>
      <c r="O92" s="134"/>
      <c r="P92" s="134"/>
      <c r="Q92" s="134"/>
      <c r="R92" s="134"/>
      <c r="S92" s="134"/>
      <c r="T92" s="134">
        <v>40</v>
      </c>
      <c r="U92" s="134">
        <v>40</v>
      </c>
      <c r="V92" s="134">
        <v>40</v>
      </c>
      <c r="W92" s="134">
        <v>30</v>
      </c>
      <c r="X92" s="134">
        <v>30</v>
      </c>
      <c r="Y92" s="134"/>
      <c r="Z92" s="134"/>
      <c r="AA92" s="223">
        <f t="shared" ref="AA92:AA118" si="35">IF($I92="B1","",SUM(O92:Z92))</f>
        <v>180</v>
      </c>
      <c r="AB92" s="138">
        <f t="shared" ref="AB92:AB118" si="36">IF(AA92=0,"",IFERROR(AA92/AA$19,""))</f>
        <v>4.0505894316476203E-4</v>
      </c>
      <c r="AC92" s="136"/>
      <c r="AD92" s="134"/>
      <c r="AE92" s="138" t="str">
        <f t="shared" ref="AE92:AE118" si="37">IF(AD92=0,"",IFERROR(AD92/AD$19,""))</f>
        <v/>
      </c>
      <c r="AF92" s="137">
        <f t="shared" ref="AF92:AF118" si="38">IF(AND($AA92="",AD92=""),"",$AA92-AD92)</f>
        <v>180</v>
      </c>
      <c r="AG92" s="134">
        <v>42.23</v>
      </c>
      <c r="AH92" s="138">
        <f t="shared" ref="AH92:AH118" si="39">IF(AG92=0,"",IFERROR(AG92/AG$19,""))</f>
        <v>2.5359234301249809E-4</v>
      </c>
      <c r="AI92" s="137">
        <f t="shared" ref="AI92:AI118" si="40">IF(AND($AA92="",AG92=""),"",$AA92-AG92)</f>
        <v>137.77000000000001</v>
      </c>
      <c r="AJ92" s="458">
        <f t="shared" ref="AJ92:AJ118" si="41">IFERROR(AA92/AA$20,0)</f>
        <v>7.8141957890167143E-3</v>
      </c>
      <c r="AK92" s="459">
        <f t="shared" ref="AK92:AK118" si="42">IFERROR(AD92/AD$20,0)</f>
        <v>0</v>
      </c>
      <c r="AL92" s="460">
        <f t="shared" ref="AL92:AL118" si="43">IFERROR(AG92/AG$20,0)</f>
        <v>4.6802615538069376E-3</v>
      </c>
      <c r="AM92" s="461">
        <f t="shared" ref="AM92:AM118" si="44">+IFERROR(ROUND(($AB92-AE92)*100,2)&amp;" pts.",0)</f>
        <v>0</v>
      </c>
      <c r="AN92" s="462" t="str">
        <f t="shared" ref="AN92:AN118" si="45">+IFERROR(ROUND(($AB92-AH92)*100,2)&amp;" pts.",0)</f>
        <v>0.02 pts.</v>
      </c>
      <c r="AO92" s="11"/>
    </row>
    <row r="93" spans="1:41" x14ac:dyDescent="0.25">
      <c r="A93" s="61" t="s">
        <v>11</v>
      </c>
      <c r="B93" s="62" t="s">
        <v>21</v>
      </c>
      <c r="C93" s="11"/>
      <c r="D93" s="11"/>
      <c r="E93" s="11"/>
      <c r="F93" s="11"/>
      <c r="G93" s="11"/>
      <c r="H93" s="84" t="s">
        <v>823</v>
      </c>
      <c r="I93" s="118" t="str">
        <f>IF(_epmOfflineCondition_,"N",_xll.EVPRO($B$1,$H93,"STYLE"))</f>
        <v>N</v>
      </c>
      <c r="J93" s="118" t="str">
        <f>IF(_epmOfflineCondition_,"N",_xll.EVPRO($B$1,$H93,"CALC"))</f>
        <v>N</v>
      </c>
      <c r="K93" s="175" t="str">
        <f t="shared" si="34"/>
        <v/>
      </c>
      <c r="L93" s="86" t="str">
        <f>IF(_epmOfflineCondition_,"701300",_xll.EVPRO($B$1,H93,"JDEID"))</f>
        <v>701300</v>
      </c>
      <c r="M93" s="86" t="str">
        <f>IF(_epmOfflineCondition_,"690205",IF(AND(I93="N",J93="N"),_xll.EVPRO($B$1,H93,"PSFTID"),""))</f>
        <v>690205</v>
      </c>
      <c r="N93" s="86" t="str">
        <f>IF(_epmOfflineCondition_,"Printing &amp; Stationery",IF(_xll.EVDES(H93,$B$1)="#NODATA","",_xll.EVDES(H93,$B$1)))</f>
        <v>Printing &amp; Stationery</v>
      </c>
      <c r="O93" s="134">
        <v>289.95999999999998</v>
      </c>
      <c r="P93" s="134">
        <v>53.5</v>
      </c>
      <c r="Q93" s="134">
        <v>304.95</v>
      </c>
      <c r="R93" s="134"/>
      <c r="S93" s="134"/>
      <c r="T93" s="134">
        <v>117.7</v>
      </c>
      <c r="U93" s="134">
        <v>59.92</v>
      </c>
      <c r="V93" s="134"/>
      <c r="W93" s="134">
        <v>155.15</v>
      </c>
      <c r="X93" s="134"/>
      <c r="Y93" s="134"/>
      <c r="Z93" s="134"/>
      <c r="AA93" s="223">
        <f t="shared" si="35"/>
        <v>981.18</v>
      </c>
      <c r="AB93" s="138">
        <f t="shared" si="36"/>
        <v>2.2079762991911176E-3</v>
      </c>
      <c r="AC93" s="136"/>
      <c r="AD93" s="134">
        <v>457.22</v>
      </c>
      <c r="AE93" s="138">
        <f t="shared" si="37"/>
        <v>7.4918797924941149E-4</v>
      </c>
      <c r="AF93" s="137">
        <f t="shared" si="38"/>
        <v>523.95999999999992</v>
      </c>
      <c r="AG93" s="134">
        <v>773.44</v>
      </c>
      <c r="AH93" s="138">
        <f t="shared" si="39"/>
        <v>4.6445290499546894E-3</v>
      </c>
      <c r="AI93" s="137">
        <f t="shared" si="40"/>
        <v>207.7399999999999</v>
      </c>
      <c r="AJ93" s="458">
        <f t="shared" si="41"/>
        <v>4.2595181245930105E-2</v>
      </c>
      <c r="AK93" s="459">
        <f t="shared" si="42"/>
        <v>0.02</v>
      </c>
      <c r="AL93" s="460">
        <f t="shared" si="43"/>
        <v>8.571871882965755E-2</v>
      </c>
      <c r="AM93" s="461" t="str">
        <f t="shared" si="44"/>
        <v>0.15 pts.</v>
      </c>
      <c r="AN93" s="462" t="str">
        <f t="shared" si="45"/>
        <v>-0.24 pts.</v>
      </c>
      <c r="AO93" s="11"/>
    </row>
    <row r="94" spans="1:41" x14ac:dyDescent="0.25">
      <c r="A94" s="61" t="s">
        <v>12</v>
      </c>
      <c r="B94" s="62" t="s">
        <v>22</v>
      </c>
      <c r="C94" s="11"/>
      <c r="D94" s="11"/>
      <c r="E94" s="11"/>
      <c r="F94" s="11"/>
      <c r="G94" s="11"/>
      <c r="H94" s="84" t="s">
        <v>792</v>
      </c>
      <c r="I94" s="118" t="str">
        <f>IF(_epmOfflineCondition_,"T4",_xll.EVPRO($B$1,$H94,"STYLE"))</f>
        <v>T4</v>
      </c>
      <c r="J94" s="118" t="str">
        <f>IF(_epmOfflineCondition_,"Y",_xll.EVPRO($B$1,$H94,"CALC"))</f>
        <v>Y</v>
      </c>
      <c r="K94" s="175" t="str">
        <f t="shared" si="34"/>
        <v>&gt;</v>
      </c>
      <c r="L94" s="86" t="str">
        <f>IF(_epmOfflineCondition_,"701500",_xll.EVPRO($B$1,H94,"JDEID"))</f>
        <v>701500</v>
      </c>
      <c r="M94" s="86" t="str">
        <f>IF(_epmOfflineCondition_,"",IF(AND(I94="N",J94="N"),_xll.EVPRO($B$1,H94,"PSFTID"),""))</f>
        <v/>
      </c>
      <c r="N94" s="86" t="str">
        <f>IF(_epmOfflineCondition_,"Operating Supplies",IF(_xll.EVDES(H94,$B$1)="#NODATA","",_xll.EVDES(H94,$B$1)))</f>
        <v>Operating Supplies</v>
      </c>
      <c r="O94" s="134">
        <v>1916.34</v>
      </c>
      <c r="P94" s="134">
        <v>1394.79</v>
      </c>
      <c r="Q94" s="134">
        <v>1281.32</v>
      </c>
      <c r="R94" s="134">
        <v>368.55</v>
      </c>
      <c r="S94" s="134">
        <v>358.69</v>
      </c>
      <c r="T94" s="134">
        <v>1084.3499999999999</v>
      </c>
      <c r="U94" s="134">
        <v>662.22</v>
      </c>
      <c r="V94" s="134">
        <v>773.17</v>
      </c>
      <c r="W94" s="134">
        <v>878.65</v>
      </c>
      <c r="X94" s="134">
        <v>-151.13</v>
      </c>
      <c r="Y94" s="134">
        <v>-93.04</v>
      </c>
      <c r="Z94" s="134">
        <v>12.81</v>
      </c>
      <c r="AA94" s="223">
        <f t="shared" si="35"/>
        <v>8486.7199999999993</v>
      </c>
      <c r="AB94" s="138">
        <f t="shared" si="36"/>
        <v>1.909789907852916E-2</v>
      </c>
      <c r="AC94" s="136"/>
      <c r="AD94" s="134">
        <v>1828.88</v>
      </c>
      <c r="AE94" s="138">
        <f t="shared" si="37"/>
        <v>2.996751916997646E-3</v>
      </c>
      <c r="AF94" s="137">
        <f t="shared" si="38"/>
        <v>6657.8399999999992</v>
      </c>
      <c r="AG94" s="134">
        <v>6498.71</v>
      </c>
      <c r="AH94" s="138">
        <f t="shared" si="39"/>
        <v>3.9024937140865537E-2</v>
      </c>
      <c r="AI94" s="137">
        <f t="shared" si="40"/>
        <v>1988.0099999999993</v>
      </c>
      <c r="AJ94" s="458">
        <f t="shared" si="41"/>
        <v>0.36842717603646624</v>
      </c>
      <c r="AK94" s="459">
        <f t="shared" si="42"/>
        <v>0.08</v>
      </c>
      <c r="AL94" s="460">
        <f t="shared" si="43"/>
        <v>0.72023827995123568</v>
      </c>
      <c r="AM94" s="461" t="str">
        <f t="shared" si="44"/>
        <v>1.61 pts.</v>
      </c>
      <c r="AN94" s="462" t="str">
        <f t="shared" si="45"/>
        <v>-1.99 pts.</v>
      </c>
      <c r="AO94" s="11"/>
    </row>
    <row r="95" spans="1:41" x14ac:dyDescent="0.25">
      <c r="A95" s="61" t="s">
        <v>13</v>
      </c>
      <c r="B95" s="62" t="s">
        <v>738</v>
      </c>
      <c r="C95" s="11"/>
      <c r="D95" s="11"/>
      <c r="E95" s="11"/>
      <c r="F95" s="11"/>
      <c r="G95" s="11"/>
      <c r="H95" s="84" t="s">
        <v>824</v>
      </c>
      <c r="I95" s="118" t="str">
        <f>IF(_epmOfflineCondition_,"N",_xll.EVPRO($B$1,$H95,"STYLE"))</f>
        <v>N</v>
      </c>
      <c r="J95" s="118" t="str">
        <f>IF(_epmOfflineCondition_,"N",_xll.EVPRO($B$1,$H95,"CALC"))</f>
        <v>N</v>
      </c>
      <c r="K95" s="175" t="str">
        <f t="shared" si="34"/>
        <v/>
      </c>
      <c r="L95" s="86" t="str">
        <f>IF(_epmOfflineCondition_,"701600",_xll.EVPRO($B$1,H95,"JDEID"))</f>
        <v>701600</v>
      </c>
      <c r="M95" s="86" t="str">
        <f>IF(_epmOfflineCondition_,"590015",IF(AND(I95="N",J95="N"),_xll.EVPRO($B$1,H95,"PSFTID"),""))</f>
        <v>590015</v>
      </c>
      <c r="N95" s="86" t="str">
        <f>IF(_epmOfflineCondition_,"Cleaning Supplies",IF(_xll.EVDES(H95,$B$1)="#NODATA","",_xll.EVDES(H95,$B$1)))</f>
        <v>Cleaning Supplies</v>
      </c>
      <c r="O95" s="134">
        <v>222.39</v>
      </c>
      <c r="P95" s="134">
        <v>132.53</v>
      </c>
      <c r="Q95" s="134">
        <v>59.36</v>
      </c>
      <c r="R95" s="134">
        <v>466.12</v>
      </c>
      <c r="S95" s="134">
        <v>289.93</v>
      </c>
      <c r="T95" s="134">
        <v>421.46</v>
      </c>
      <c r="U95" s="134">
        <v>235.65</v>
      </c>
      <c r="V95" s="134">
        <v>741.9</v>
      </c>
      <c r="W95" s="134">
        <v>14.2</v>
      </c>
      <c r="X95" s="134">
        <v>295.61</v>
      </c>
      <c r="Y95" s="134"/>
      <c r="Z95" s="134"/>
      <c r="AA95" s="223">
        <f t="shared" si="35"/>
        <v>2879.15</v>
      </c>
      <c r="AB95" s="138">
        <f t="shared" si="36"/>
        <v>6.4790303122934699E-3</v>
      </c>
      <c r="AC95" s="136"/>
      <c r="AD95" s="134">
        <v>1371.66</v>
      </c>
      <c r="AE95" s="138">
        <f t="shared" si="37"/>
        <v>2.2475639377482343E-3</v>
      </c>
      <c r="AF95" s="137">
        <f t="shared" si="38"/>
        <v>1507.49</v>
      </c>
      <c r="AG95" s="134">
        <v>1005.24</v>
      </c>
      <c r="AH95" s="138">
        <f t="shared" si="39"/>
        <v>6.0364945983870143E-3</v>
      </c>
      <c r="AI95" s="137">
        <f t="shared" si="40"/>
        <v>1873.91</v>
      </c>
      <c r="AJ95" s="458">
        <f t="shared" si="41"/>
        <v>0.12499023225526373</v>
      </c>
      <c r="AK95" s="459">
        <f t="shared" si="42"/>
        <v>6.0000000000000005E-2</v>
      </c>
      <c r="AL95" s="460">
        <f t="shared" si="43"/>
        <v>0.11140862240939821</v>
      </c>
      <c r="AM95" s="461" t="str">
        <f t="shared" si="44"/>
        <v>0.42 pts.</v>
      </c>
      <c r="AN95" s="462" t="str">
        <f t="shared" si="45"/>
        <v>0.04 pts.</v>
      </c>
      <c r="AO95" s="11"/>
    </row>
    <row r="96" spans="1:41" x14ac:dyDescent="0.25">
      <c r="A96" s="61" t="s">
        <v>14</v>
      </c>
      <c r="B96" s="62"/>
      <c r="C96" s="11"/>
      <c r="D96" s="11"/>
      <c r="E96" s="11"/>
      <c r="F96" s="11"/>
      <c r="G96" s="11"/>
      <c r="H96" s="84" t="s">
        <v>825</v>
      </c>
      <c r="I96" s="118" t="str">
        <f>IF(_epmOfflineCondition_,"N",_xll.EVPRO($B$1,$H96,"STYLE"))</f>
        <v>N</v>
      </c>
      <c r="J96" s="118" t="str">
        <f>IF(_epmOfflineCondition_,"N",_xll.EVPRO($B$1,$H96,"CALC"))</f>
        <v>N</v>
      </c>
      <c r="K96" s="175" t="str">
        <f t="shared" si="34"/>
        <v/>
      </c>
      <c r="L96" s="86" t="str">
        <f>IF(_epmOfflineCondition_,"701700",_xll.EVPRO($B$1,H96,"JDEID"))</f>
        <v>701700</v>
      </c>
      <c r="M96" s="86" t="str">
        <f>IF(_epmOfflineCondition_,"590026",IF(AND(I96="N",J96="N"),_xll.EVPRO($B$1,H96,"PSFTID"),""))</f>
        <v>590026</v>
      </c>
      <c r="N96" s="86" t="str">
        <f>IF(_epmOfflineCondition_,"Dishwashing Supplies",IF(_xll.EVDES(H96,$B$1)="#NODATA","",_xll.EVDES(H96,$B$1)))</f>
        <v>Dishwashing Supplies</v>
      </c>
      <c r="O96" s="134"/>
      <c r="P96" s="134"/>
      <c r="Q96" s="134"/>
      <c r="R96" s="134"/>
      <c r="S96" s="134"/>
      <c r="T96" s="134"/>
      <c r="U96" s="134"/>
      <c r="V96" s="134">
        <v>239.68</v>
      </c>
      <c r="W96" s="134"/>
      <c r="X96" s="134"/>
      <c r="Y96" s="134"/>
      <c r="Z96" s="134"/>
      <c r="AA96" s="223">
        <f t="shared" si="35"/>
        <v>239.68</v>
      </c>
      <c r="AB96" s="138">
        <f t="shared" si="36"/>
        <v>5.3935848609850095E-4</v>
      </c>
      <c r="AC96" s="136"/>
      <c r="AD96" s="134">
        <v>1371.66</v>
      </c>
      <c r="AE96" s="138">
        <f t="shared" si="37"/>
        <v>2.2475639377482343E-3</v>
      </c>
      <c r="AF96" s="137">
        <f t="shared" si="38"/>
        <v>-1131.98</v>
      </c>
      <c r="AG96" s="134">
        <v>385.07</v>
      </c>
      <c r="AH96" s="138">
        <f t="shared" si="39"/>
        <v>2.3123562283642587E-3</v>
      </c>
      <c r="AI96" s="137">
        <f t="shared" si="40"/>
        <v>-145.38999999999999</v>
      </c>
      <c r="AJ96" s="458">
        <f t="shared" si="41"/>
        <v>1.0405035815064034E-2</v>
      </c>
      <c r="AK96" s="459">
        <f t="shared" si="42"/>
        <v>6.0000000000000005E-2</v>
      </c>
      <c r="AL96" s="460">
        <f t="shared" si="43"/>
        <v>4.2676493405740881E-2</v>
      </c>
      <c r="AM96" s="461" t="str">
        <f t="shared" si="44"/>
        <v>-0.17 pts.</v>
      </c>
      <c r="AN96" s="462" t="str">
        <f t="shared" si="45"/>
        <v>-0.18 pts.</v>
      </c>
      <c r="AO96" s="11"/>
    </row>
    <row r="97" spans="1:41" x14ac:dyDescent="0.25">
      <c r="A97" s="61" t="s">
        <v>15</v>
      </c>
      <c r="B97" s="62"/>
      <c r="C97" s="11"/>
      <c r="D97" s="11"/>
      <c r="E97" s="11"/>
      <c r="F97" s="11"/>
      <c r="G97" s="11"/>
      <c r="H97" s="84" t="s">
        <v>919</v>
      </c>
      <c r="I97" s="118" t="str">
        <f>IF(_epmOfflineCondition_,"N",_xll.EVPRO($B$1,$H97,"STYLE"))</f>
        <v>N</v>
      </c>
      <c r="J97" s="118" t="str">
        <f>IF(_epmOfflineCondition_,"N",_xll.EVPRO($B$1,$H97,"CALC"))</f>
        <v>N</v>
      </c>
      <c r="K97" s="175" t="str">
        <f t="shared" si="34"/>
        <v/>
      </c>
      <c r="L97" s="86" t="str">
        <f>IF(_epmOfflineCondition_,"701780",_xll.EVPRO($B$1,H97,"JDEID"))</f>
        <v>701780</v>
      </c>
      <c r="M97" s="86" t="str">
        <f>IF(_epmOfflineCondition_,"691070",IF(AND(I97="N",J97="N"),_xll.EVPRO($B$1,H97,"PSFTID"),""))</f>
        <v>691070</v>
      </c>
      <c r="N97" s="86" t="str">
        <f>IF(_epmOfflineCondition_,"Kitchen Smallwares",IF(_xll.EVDES(H97,$B$1)="#NODATA","",_xll.EVDES(H97,$B$1)))</f>
        <v>Kitchen Smallwares</v>
      </c>
      <c r="O97" s="134"/>
      <c r="P97" s="134"/>
      <c r="Q97" s="134"/>
      <c r="R97" s="134"/>
      <c r="S97" s="134"/>
      <c r="T97" s="134"/>
      <c r="U97" s="134"/>
      <c r="V97" s="134"/>
      <c r="W97" s="134"/>
      <c r="X97" s="134"/>
      <c r="Y97" s="134"/>
      <c r="Z97" s="134"/>
      <c r="AA97" s="223">
        <f t="shared" si="35"/>
        <v>0</v>
      </c>
      <c r="AB97" s="138" t="str">
        <f t="shared" si="36"/>
        <v/>
      </c>
      <c r="AC97" s="136"/>
      <c r="AD97" s="134"/>
      <c r="AE97" s="138" t="str">
        <f t="shared" si="37"/>
        <v/>
      </c>
      <c r="AF97" s="137">
        <f t="shared" si="38"/>
        <v>0</v>
      </c>
      <c r="AG97" s="134">
        <v>0.34</v>
      </c>
      <c r="AH97" s="138">
        <f t="shared" si="39"/>
        <v>2.041709605120752E-6</v>
      </c>
      <c r="AI97" s="137">
        <f t="shared" si="40"/>
        <v>-0.34</v>
      </c>
      <c r="AJ97" s="458">
        <f t="shared" si="41"/>
        <v>0</v>
      </c>
      <c r="AK97" s="459">
        <f t="shared" si="42"/>
        <v>0</v>
      </c>
      <c r="AL97" s="460">
        <f t="shared" si="43"/>
        <v>3.7681480660534195E-5</v>
      </c>
      <c r="AM97" s="461">
        <f t="shared" si="44"/>
        <v>0</v>
      </c>
      <c r="AN97" s="462">
        <f t="shared" si="45"/>
        <v>0</v>
      </c>
      <c r="AO97" s="11"/>
    </row>
    <row r="98" spans="1:41" x14ac:dyDescent="0.25">
      <c r="A98" s="61" t="s">
        <v>16</v>
      </c>
      <c r="B98" s="62" t="s">
        <v>78</v>
      </c>
      <c r="C98" s="11"/>
      <c r="D98" s="11"/>
      <c r="E98" s="11"/>
      <c r="F98" s="11"/>
      <c r="G98" s="11"/>
      <c r="H98" s="84" t="s">
        <v>826</v>
      </c>
      <c r="I98" s="118" t="str">
        <f>IF(_epmOfflineCondition_,"N",_xll.EVPRO($B$1,$H98,"STYLE"))</f>
        <v>N</v>
      </c>
      <c r="J98" s="118" t="str">
        <f>IF(_epmOfflineCondition_,"N",_xll.EVPRO($B$1,$H98,"CALC"))</f>
        <v>N</v>
      </c>
      <c r="K98" s="175" t="str">
        <f t="shared" si="34"/>
        <v/>
      </c>
      <c r="L98" s="86" t="str">
        <f>IF(_epmOfflineCondition_,"702000",_xll.EVPRO($B$1,H98,"JDEID"))</f>
        <v>702000</v>
      </c>
      <c r="M98" s="86" t="str">
        <f>IF(_epmOfflineCondition_,"590031",IF(AND(I98="N",J98="N"),_xll.EVPRO($B$1,H98,"PSFTID"),""))</f>
        <v>590031</v>
      </c>
      <c r="N98" s="86" t="str">
        <f>IF(_epmOfflineCondition_,"Paper and Plastics",IF(_xll.EVDES(H98,$B$1)="#NODATA","",_xll.EVDES(H98,$B$1)))</f>
        <v>Paper and Plastics</v>
      </c>
      <c r="O98" s="134">
        <v>425.51</v>
      </c>
      <c r="P98" s="134">
        <v>-36.31</v>
      </c>
      <c r="Q98" s="134">
        <v>116.6</v>
      </c>
      <c r="R98" s="134">
        <v>21.38</v>
      </c>
      <c r="S98" s="134">
        <v>156.69</v>
      </c>
      <c r="T98" s="134">
        <v>219.79</v>
      </c>
      <c r="U98" s="134">
        <v>255.22</v>
      </c>
      <c r="V98" s="134">
        <v>74.89</v>
      </c>
      <c r="W98" s="134">
        <v>89.02</v>
      </c>
      <c r="X98" s="134"/>
      <c r="Y98" s="134"/>
      <c r="Z98" s="134">
        <v>884.55</v>
      </c>
      <c r="AA98" s="223">
        <f t="shared" si="35"/>
        <v>2207.34</v>
      </c>
      <c r="AB98" s="138">
        <f t="shared" si="36"/>
        <v>4.9672378200294768E-3</v>
      </c>
      <c r="AC98" s="136"/>
      <c r="AD98" s="134">
        <v>1371.66</v>
      </c>
      <c r="AE98" s="138">
        <f t="shared" si="37"/>
        <v>2.2475639377482343E-3</v>
      </c>
      <c r="AF98" s="137">
        <f t="shared" si="38"/>
        <v>835.68000000000006</v>
      </c>
      <c r="AG98" s="134">
        <v>8553.7800000000007</v>
      </c>
      <c r="AH98" s="138">
        <f t="shared" si="39"/>
        <v>5.1365690547322901E-2</v>
      </c>
      <c r="AI98" s="137">
        <f t="shared" si="40"/>
        <v>-6346.4400000000005</v>
      </c>
      <c r="AJ98" s="458">
        <f t="shared" si="41"/>
        <v>9.5825482960711972E-2</v>
      </c>
      <c r="AK98" s="459">
        <f t="shared" si="42"/>
        <v>6.0000000000000005E-2</v>
      </c>
      <c r="AL98" s="460">
        <f t="shared" si="43"/>
        <v>0.94799734013077697</v>
      </c>
      <c r="AM98" s="461" t="str">
        <f t="shared" si="44"/>
        <v>0.27 pts.</v>
      </c>
      <c r="AN98" s="462" t="str">
        <f t="shared" si="45"/>
        <v>-4.64 pts.</v>
      </c>
      <c r="AO98" s="11"/>
    </row>
    <row r="99" spans="1:41" x14ac:dyDescent="0.25">
      <c r="A99" s="61" t="s">
        <v>17</v>
      </c>
      <c r="B99" s="62"/>
      <c r="C99" s="11"/>
      <c r="D99" s="11"/>
      <c r="E99" s="11"/>
      <c r="F99" s="11"/>
      <c r="G99" s="11"/>
      <c r="H99" s="84" t="s">
        <v>793</v>
      </c>
      <c r="I99" s="118" t="str">
        <f>IF(_epmOfflineCondition_,"N",_xll.EVPRO($B$1,$H99,"STYLE"))</f>
        <v>N</v>
      </c>
      <c r="J99" s="118" t="str">
        <f>IF(_epmOfflineCondition_,"N",_xll.EVPRO($B$1,$H99,"CALC"))</f>
        <v>N</v>
      </c>
      <c r="K99" s="175" t="str">
        <f t="shared" si="34"/>
        <v/>
      </c>
      <c r="L99" s="86" t="str">
        <f>IF(_epmOfflineCondition_,"702300",_xll.EVPRO($B$1,H99,"JDEID"))</f>
        <v>702300</v>
      </c>
      <c r="M99" s="86" t="str">
        <f>IF(_epmOfflineCondition_,"590040",IF(AND(I99="N",J99="N"),_xll.EVPRO($B$1,H99,"PSFTID"),""))</f>
        <v>590040</v>
      </c>
      <c r="N99" s="86" t="str">
        <f>IF(_epmOfflineCondition_,"Decorations",IF(_xll.EVDES(H99,$B$1)="#NODATA","",_xll.EVDES(H99,$B$1)))</f>
        <v>Decorations</v>
      </c>
      <c r="O99" s="134">
        <v>375.01</v>
      </c>
      <c r="P99" s="134">
        <v>152.55000000000001</v>
      </c>
      <c r="Q99" s="134">
        <v>228.81</v>
      </c>
      <c r="R99" s="134">
        <v>152.80000000000001</v>
      </c>
      <c r="S99" s="134">
        <v>201.64</v>
      </c>
      <c r="T99" s="134">
        <v>371.46</v>
      </c>
      <c r="U99" s="134">
        <v>217.51</v>
      </c>
      <c r="V99" s="134">
        <v>821.36</v>
      </c>
      <c r="W99" s="134">
        <v>93.33</v>
      </c>
      <c r="X99" s="134">
        <v>73.849999999999994</v>
      </c>
      <c r="Y99" s="134">
        <v>1553.02</v>
      </c>
      <c r="Z99" s="134">
        <v>316.49</v>
      </c>
      <c r="AA99" s="223">
        <f t="shared" si="35"/>
        <v>4557.83</v>
      </c>
      <c r="AB99" s="138">
        <f t="shared" si="36"/>
        <v>1.025661001624804E-2</v>
      </c>
      <c r="AC99" s="136"/>
      <c r="AD99" s="134">
        <v>2400</v>
      </c>
      <c r="AE99" s="138">
        <f t="shared" si="37"/>
        <v>3.9325732693202119E-3</v>
      </c>
      <c r="AF99" s="137">
        <f t="shared" si="38"/>
        <v>2157.83</v>
      </c>
      <c r="AG99" s="134">
        <v>1011.32</v>
      </c>
      <c r="AH99" s="138">
        <f t="shared" si="39"/>
        <v>6.0730051701491736E-3</v>
      </c>
      <c r="AI99" s="137">
        <f t="shared" si="40"/>
        <v>3546.5099999999998</v>
      </c>
      <c r="AJ99" s="458">
        <f t="shared" si="41"/>
        <v>0.19786542218363359</v>
      </c>
      <c r="AK99" s="459">
        <f t="shared" si="42"/>
        <v>0.10498228423953458</v>
      </c>
      <c r="AL99" s="460">
        <f t="shared" si="43"/>
        <v>0.112082455945916</v>
      </c>
      <c r="AM99" s="461" t="str">
        <f t="shared" si="44"/>
        <v>0.63 pts.</v>
      </c>
      <c r="AN99" s="462" t="str">
        <f t="shared" si="45"/>
        <v>0.42 pts.</v>
      </c>
      <c r="AO99" s="11"/>
    </row>
    <row r="100" spans="1:41" x14ac:dyDescent="0.25">
      <c r="A100" s="11"/>
      <c r="B100" s="11"/>
      <c r="C100" s="11"/>
      <c r="D100" s="11"/>
      <c r="E100" s="11"/>
      <c r="F100" s="11"/>
      <c r="G100" s="11"/>
      <c r="H100" s="84" t="s">
        <v>893</v>
      </c>
      <c r="I100" s="118" t="str">
        <f>IF(_epmOfflineCondition_,"T4",_xll.EVPRO($B$1,$H100,"STYLE"))</f>
        <v>T4</v>
      </c>
      <c r="J100" s="118" t="str">
        <f>IF(_epmOfflineCondition_,"Y",_xll.EVPRO($B$1,$H100,"CALC"))</f>
        <v>Y</v>
      </c>
      <c r="K100" s="175" t="str">
        <f t="shared" si="34"/>
        <v>&gt;</v>
      </c>
      <c r="L100" s="86" t="str">
        <f>IF(_epmOfflineCondition_,"702500",_xll.EVPRO($B$1,H100,"JDEID"))</f>
        <v>702500</v>
      </c>
      <c r="M100" s="86" t="str">
        <f>IF(_epmOfflineCondition_,"",IF(AND(I100="N",J100="N"),_xll.EVPRO($B$1,H100,"PSFTID"),""))</f>
        <v/>
      </c>
      <c r="N100" s="86" t="str">
        <f>IF(_epmOfflineCondition_,"Laundry &amp; Dry Cleaning",IF(_xll.EVDES(H100,$B$1)="#NODATA","",_xll.EVDES(H100,$B$1)))</f>
        <v>Laundry &amp; Dry Cleaning</v>
      </c>
      <c r="O100" s="134"/>
      <c r="P100" s="134"/>
      <c r="Q100" s="134"/>
      <c r="R100" s="134"/>
      <c r="S100" s="134"/>
      <c r="T100" s="134"/>
      <c r="U100" s="134"/>
      <c r="V100" s="134"/>
      <c r="W100" s="134"/>
      <c r="X100" s="134"/>
      <c r="Y100" s="134"/>
      <c r="Z100" s="134"/>
      <c r="AA100" s="223">
        <f t="shared" si="35"/>
        <v>0</v>
      </c>
      <c r="AB100" s="138" t="str">
        <f t="shared" si="36"/>
        <v/>
      </c>
      <c r="AC100" s="136"/>
      <c r="AD100" s="134"/>
      <c r="AE100" s="138" t="str">
        <f t="shared" si="37"/>
        <v/>
      </c>
      <c r="AF100" s="137">
        <f t="shared" si="38"/>
        <v>0</v>
      </c>
      <c r="AG100" s="134">
        <v>317.33</v>
      </c>
      <c r="AH100" s="138">
        <f t="shared" si="39"/>
        <v>1.9055756146852006E-3</v>
      </c>
      <c r="AI100" s="137">
        <f t="shared" si="40"/>
        <v>-317.33</v>
      </c>
      <c r="AJ100" s="458">
        <f t="shared" si="41"/>
        <v>0</v>
      </c>
      <c r="AK100" s="459">
        <f t="shared" si="42"/>
        <v>0</v>
      </c>
      <c r="AL100" s="460">
        <f t="shared" si="43"/>
        <v>3.5169012523550924E-2</v>
      </c>
      <c r="AM100" s="461">
        <f t="shared" si="44"/>
        <v>0</v>
      </c>
      <c r="AN100" s="462">
        <f t="shared" si="45"/>
        <v>0</v>
      </c>
      <c r="AO100" s="11"/>
    </row>
    <row r="101" spans="1:41" x14ac:dyDescent="0.25">
      <c r="A101" s="93" t="s">
        <v>92</v>
      </c>
      <c r="B101" s="94" t="s">
        <v>93</v>
      </c>
      <c r="C101" s="94" t="s">
        <v>94</v>
      </c>
      <c r="D101" s="94" t="s">
        <v>95</v>
      </c>
      <c r="E101" s="94" t="s">
        <v>96</v>
      </c>
      <c r="F101" s="95" t="s">
        <v>97</v>
      </c>
      <c r="G101" s="11"/>
      <c r="H101" s="84" t="s">
        <v>794</v>
      </c>
      <c r="I101" s="118" t="str">
        <f>IF(_epmOfflineCondition_,"T4",_xll.EVPRO($B$1,$H101,"STYLE"))</f>
        <v>T4</v>
      </c>
      <c r="J101" s="118" t="str">
        <f>IF(_epmOfflineCondition_,"Y",_xll.EVPRO($B$1,$H101,"CALC"))</f>
        <v>Y</v>
      </c>
      <c r="K101" s="175" t="str">
        <f t="shared" si="34"/>
        <v>&gt;</v>
      </c>
      <c r="L101" s="86" t="str">
        <f>IF(_epmOfflineCondition_,"",_xll.EVPRO($B$1,H101,"JDEID"))</f>
        <v/>
      </c>
      <c r="M101" s="86" t="str">
        <f>IF(_epmOfflineCondition_,"",IF(AND(I101="N",J101="N"),_xll.EVPRO($B$1,H101,"PSFTID"),""))</f>
        <v/>
      </c>
      <c r="N101" s="86" t="str">
        <f>IF(_epmOfflineCondition_,"Contract Services",IF(_xll.EVDES(H101,$B$1)="#NODATA","",_xll.EVDES(H101,$B$1)))</f>
        <v>Contract Services</v>
      </c>
      <c r="O101" s="134">
        <v>1346.99</v>
      </c>
      <c r="P101" s="134">
        <v>1612.49</v>
      </c>
      <c r="Q101" s="134">
        <v>1527.72</v>
      </c>
      <c r="R101" s="134">
        <v>1477</v>
      </c>
      <c r="S101" s="134">
        <v>1496.45</v>
      </c>
      <c r="T101" s="134">
        <v>2773.51</v>
      </c>
      <c r="U101" s="134">
        <v>-1027</v>
      </c>
      <c r="V101" s="134">
        <v>2634</v>
      </c>
      <c r="W101" s="134">
        <v>1514.23</v>
      </c>
      <c r="X101" s="134">
        <v>1177</v>
      </c>
      <c r="Y101" s="134">
        <v>674.77</v>
      </c>
      <c r="Z101" s="134">
        <v>210</v>
      </c>
      <c r="AA101" s="223">
        <f t="shared" si="35"/>
        <v>15417.16</v>
      </c>
      <c r="AB101" s="138">
        <f t="shared" si="36"/>
        <v>3.4693658534455787E-2</v>
      </c>
      <c r="AC101" s="136"/>
      <c r="AD101" s="134">
        <v>5499</v>
      </c>
      <c r="AE101" s="138">
        <f t="shared" si="37"/>
        <v>9.0105085033299354E-3</v>
      </c>
      <c r="AF101" s="137">
        <f t="shared" si="38"/>
        <v>9918.16</v>
      </c>
      <c r="AG101" s="134">
        <v>10909.34</v>
      </c>
      <c r="AH101" s="138">
        <f t="shared" si="39"/>
        <v>6.5510894892729488E-2</v>
      </c>
      <c r="AI101" s="137">
        <f t="shared" si="40"/>
        <v>4507.82</v>
      </c>
      <c r="AJ101" s="458">
        <f t="shared" si="41"/>
        <v>0.66929281528109397</v>
      </c>
      <c r="AK101" s="459">
        <f t="shared" si="42"/>
        <v>0.2405406587638336</v>
      </c>
      <c r="AL101" s="460">
        <f t="shared" si="43"/>
        <v>1.2090590712623297</v>
      </c>
      <c r="AM101" s="461" t="str">
        <f t="shared" si="44"/>
        <v>2.57 pts.</v>
      </c>
      <c r="AN101" s="462" t="str">
        <f t="shared" si="45"/>
        <v>-3.08 pts.</v>
      </c>
      <c r="AO101" s="11"/>
    </row>
    <row r="102" spans="1:41" x14ac:dyDescent="0.25">
      <c r="A102" s="11"/>
      <c r="B102" s="11"/>
      <c r="C102" s="11"/>
      <c r="D102" s="11"/>
      <c r="E102" s="11"/>
      <c r="F102" s="11"/>
      <c r="G102" s="11"/>
      <c r="H102" s="84" t="s">
        <v>795</v>
      </c>
      <c r="I102" s="118" t="str">
        <f>IF(_epmOfflineCondition_,"T4",_xll.EVPRO($B$1,$H102,"STYLE"))</f>
        <v>T4</v>
      </c>
      <c r="J102" s="118" t="str">
        <f>IF(_epmOfflineCondition_,"Y",_xll.EVPRO($B$1,$H102,"CALC"))</f>
        <v>Y</v>
      </c>
      <c r="K102" s="175" t="str">
        <f t="shared" si="34"/>
        <v>&gt;</v>
      </c>
      <c r="L102" s="86" t="str">
        <f>IF(_epmOfflineCondition_,"",_xll.EVPRO($B$1,H102,"JDEID"))</f>
        <v/>
      </c>
      <c r="M102" s="86" t="str">
        <f>IF(_epmOfflineCondition_,"",IF(AND(I102="N",J102="N"),_xll.EVPRO($B$1,H102,"PSFTID"),""))</f>
        <v/>
      </c>
      <c r="N102" s="86" t="str">
        <f>IF(_epmOfflineCondition_,"Travel - Other",IF(_xll.EVDES(H102,$B$1)="#NODATA","",_xll.EVDES(H102,$B$1)))</f>
        <v>Travel - Other</v>
      </c>
      <c r="O102" s="134">
        <v>63.63</v>
      </c>
      <c r="P102" s="134">
        <v>72.38</v>
      </c>
      <c r="Q102" s="134">
        <v>2235.35</v>
      </c>
      <c r="R102" s="134">
        <v>-39.17</v>
      </c>
      <c r="S102" s="134">
        <v>323.87</v>
      </c>
      <c r="T102" s="134">
        <v>852.46</v>
      </c>
      <c r="U102" s="134">
        <v>350.7</v>
      </c>
      <c r="V102" s="134">
        <v>235.46</v>
      </c>
      <c r="W102" s="134"/>
      <c r="X102" s="134"/>
      <c r="Y102" s="134"/>
      <c r="Z102" s="134"/>
      <c r="AA102" s="223">
        <f t="shared" si="35"/>
        <v>4094.6799999999994</v>
      </c>
      <c r="AB102" s="138">
        <f t="shared" si="36"/>
        <v>9.2143708522104857E-3</v>
      </c>
      <c r="AC102" s="136"/>
      <c r="AD102" s="134"/>
      <c r="AE102" s="138" t="str">
        <f t="shared" si="37"/>
        <v/>
      </c>
      <c r="AF102" s="137">
        <f t="shared" si="38"/>
        <v>4094.6799999999994</v>
      </c>
      <c r="AG102" s="134">
        <v>2318.4499999999998</v>
      </c>
      <c r="AH102" s="138">
        <f t="shared" si="39"/>
        <v>1.3922357747035903E-2</v>
      </c>
      <c r="AI102" s="137">
        <f t="shared" si="40"/>
        <v>1776.2299999999996</v>
      </c>
      <c r="AJ102" s="458">
        <f t="shared" si="41"/>
        <v>0.17775906229650529</v>
      </c>
      <c r="AK102" s="459">
        <f t="shared" si="42"/>
        <v>0</v>
      </c>
      <c r="AL102" s="460">
        <f t="shared" si="43"/>
        <v>0.25694890834533968</v>
      </c>
      <c r="AM102" s="461">
        <f t="shared" si="44"/>
        <v>0</v>
      </c>
      <c r="AN102" s="462" t="str">
        <f t="shared" si="45"/>
        <v>-0.47 pts.</v>
      </c>
      <c r="AO102" s="11"/>
    </row>
    <row r="103" spans="1:41" x14ac:dyDescent="0.25">
      <c r="A103" s="11" t="s">
        <v>108</v>
      </c>
      <c r="B103" s="11"/>
      <c r="C103" s="100" t="s">
        <v>101</v>
      </c>
      <c r="D103" s="11" t="s">
        <v>106</v>
      </c>
      <c r="E103" s="11"/>
      <c r="F103" s="11" t="s">
        <v>98</v>
      </c>
      <c r="G103" s="11"/>
      <c r="H103" s="84" t="s">
        <v>796</v>
      </c>
      <c r="I103" s="118" t="str">
        <f>IF(_epmOfflineCondition_,"T4",_xll.EVPRO($B$1,$H103,"STYLE"))</f>
        <v>T4</v>
      </c>
      <c r="J103" s="118" t="str">
        <f>IF(_epmOfflineCondition_,"Y",_xll.EVPRO($B$1,$H103,"CALC"))</f>
        <v>Y</v>
      </c>
      <c r="K103" s="175" t="str">
        <f t="shared" si="34"/>
        <v>&gt;</v>
      </c>
      <c r="L103" s="86" t="str">
        <f>IF(_epmOfflineCondition_,"702900",_xll.EVPRO($B$1,H103,"JDEID"))</f>
        <v>702900</v>
      </c>
      <c r="M103" s="86" t="str">
        <f>IF(_epmOfflineCondition_,"",IF(AND(I103="N",J103="N"),_xll.EVPRO($B$1,H103,"PSFTID"),""))</f>
        <v/>
      </c>
      <c r="N103" s="86" t="str">
        <f>IF(_epmOfflineCondition_,"Travel - Meals &amp; Entertainment",IF(_xll.EVDES(H103,$B$1)="#NODATA","",_xll.EVDES(H103,$B$1)))</f>
        <v>Travel - Meals &amp; Entertainment</v>
      </c>
      <c r="O103" s="134">
        <v>4.8499999999999996</v>
      </c>
      <c r="P103" s="134"/>
      <c r="Q103" s="134">
        <v>318</v>
      </c>
      <c r="R103" s="134">
        <v>66.55</v>
      </c>
      <c r="S103" s="134">
        <v>48.57</v>
      </c>
      <c r="T103" s="134">
        <v>705.76</v>
      </c>
      <c r="U103" s="134">
        <v>226.28</v>
      </c>
      <c r="V103" s="134"/>
      <c r="W103" s="134"/>
      <c r="X103" s="134"/>
      <c r="Y103" s="134"/>
      <c r="Z103" s="134"/>
      <c r="AA103" s="223">
        <f t="shared" si="35"/>
        <v>1370.01</v>
      </c>
      <c r="AB103" s="138">
        <f t="shared" si="36"/>
        <v>3.0829711262508643E-3</v>
      </c>
      <c r="AC103" s="136"/>
      <c r="AD103" s="134"/>
      <c r="AE103" s="138" t="str">
        <f t="shared" si="37"/>
        <v/>
      </c>
      <c r="AF103" s="137">
        <f t="shared" si="38"/>
        <v>1370.01</v>
      </c>
      <c r="AG103" s="134">
        <v>269.01</v>
      </c>
      <c r="AH103" s="138">
        <f t="shared" si="39"/>
        <v>1.6154126496280396E-3</v>
      </c>
      <c r="AI103" s="137">
        <f t="shared" si="40"/>
        <v>1101</v>
      </c>
      <c r="AJ103" s="458">
        <f t="shared" si="41"/>
        <v>5.9475146516171043E-2</v>
      </c>
      <c r="AK103" s="459">
        <f t="shared" si="42"/>
        <v>0</v>
      </c>
      <c r="AL103" s="460">
        <f t="shared" si="43"/>
        <v>2.9813809154383242E-2</v>
      </c>
      <c r="AM103" s="461">
        <f t="shared" si="44"/>
        <v>0</v>
      </c>
      <c r="AN103" s="462" t="str">
        <f t="shared" si="45"/>
        <v>0.15 pts.</v>
      </c>
      <c r="AO103" s="11"/>
    </row>
    <row r="104" spans="1:41" x14ac:dyDescent="0.25">
      <c r="A104" s="11" t="s">
        <v>100</v>
      </c>
      <c r="B104" s="11"/>
      <c r="C104" s="49" t="s">
        <v>101</v>
      </c>
      <c r="D104" s="11" t="s">
        <v>106</v>
      </c>
      <c r="E104" s="11"/>
      <c r="F104" s="11" t="s">
        <v>98</v>
      </c>
      <c r="G104" s="11"/>
      <c r="H104" s="84" t="s">
        <v>797</v>
      </c>
      <c r="I104" s="118" t="str">
        <f>IF(_epmOfflineCondition_,"T4",_xll.EVPRO($B$1,$H104,"STYLE"))</f>
        <v>T4</v>
      </c>
      <c r="J104" s="118" t="str">
        <f>IF(_epmOfflineCondition_,"Y",_xll.EVPRO($B$1,$H104,"CALC"))</f>
        <v>Y</v>
      </c>
      <c r="K104" s="175" t="str">
        <f t="shared" si="34"/>
        <v>&gt;</v>
      </c>
      <c r="L104" s="86" t="str">
        <f>IF(_epmOfflineCondition_,"703000",_xll.EVPRO($B$1,H104,"JDEID"))</f>
        <v>703000</v>
      </c>
      <c r="M104" s="86" t="str">
        <f>IF(_epmOfflineCondition_,"",IF(AND(I104="N",J104="N"),_xll.EVPRO($B$1,H104,"PSFTID"),""))</f>
        <v/>
      </c>
      <c r="N104" s="86" t="str">
        <f>IF(_epmOfflineCondition_,"Complimentary Services &amp; Gifts",IF(_xll.EVDES(H104,$B$1)="#NODATA","",_xll.EVDES(H104,$B$1)))</f>
        <v>Complimentary Services &amp; Gifts</v>
      </c>
      <c r="O104" s="134"/>
      <c r="P104" s="134"/>
      <c r="Q104" s="134"/>
      <c r="R104" s="134">
        <v>11.53</v>
      </c>
      <c r="S104" s="134"/>
      <c r="T104" s="134"/>
      <c r="U104" s="134"/>
      <c r="V104" s="134"/>
      <c r="W104" s="134"/>
      <c r="X104" s="134"/>
      <c r="Y104" s="134"/>
      <c r="Z104" s="134"/>
      <c r="AA104" s="223">
        <f t="shared" si="35"/>
        <v>11.53</v>
      </c>
      <c r="AB104" s="138">
        <f t="shared" si="36"/>
        <v>2.5946275637165031E-5</v>
      </c>
      <c r="AC104" s="136"/>
      <c r="AD104" s="134">
        <v>228.61</v>
      </c>
      <c r="AE104" s="138">
        <f t="shared" si="37"/>
        <v>3.7459398962470575E-4</v>
      </c>
      <c r="AF104" s="137">
        <f t="shared" si="38"/>
        <v>-217.08</v>
      </c>
      <c r="AG104" s="134">
        <v>310.26</v>
      </c>
      <c r="AH104" s="138">
        <f t="shared" si="39"/>
        <v>1.8631200649551897E-3</v>
      </c>
      <c r="AI104" s="137">
        <f t="shared" si="40"/>
        <v>-298.73</v>
      </c>
      <c r="AJ104" s="458">
        <f t="shared" si="41"/>
        <v>5.0054265248534839E-4</v>
      </c>
      <c r="AK104" s="459">
        <f t="shared" si="42"/>
        <v>0.01</v>
      </c>
      <c r="AL104" s="460">
        <f t="shared" si="43"/>
        <v>3.4385459381580406E-2</v>
      </c>
      <c r="AM104" s="461" t="str">
        <f t="shared" si="44"/>
        <v>-0.03 pts.</v>
      </c>
      <c r="AN104" s="462" t="str">
        <f t="shared" si="45"/>
        <v>-0.18 pts.</v>
      </c>
      <c r="AO104" s="11"/>
    </row>
    <row r="105" spans="1:41" x14ac:dyDescent="0.25">
      <c r="A105" s="11" t="s">
        <v>109</v>
      </c>
      <c r="B105" s="11"/>
      <c r="C105" s="102" t="s">
        <v>101</v>
      </c>
      <c r="D105" s="11" t="s">
        <v>106</v>
      </c>
      <c r="E105" s="11"/>
      <c r="F105" s="11" t="s">
        <v>98</v>
      </c>
      <c r="G105" s="72"/>
      <c r="H105" s="84" t="s">
        <v>798</v>
      </c>
      <c r="I105" s="118" t="str">
        <f>IF(_epmOfflineCondition_,"N",_xll.EVPRO($B$1,$H105,"STYLE"))</f>
        <v>N</v>
      </c>
      <c r="J105" s="118" t="str">
        <f>IF(_epmOfflineCondition_,"N",_xll.EVPRO($B$1,$H105,"CALC"))</f>
        <v>N</v>
      </c>
      <c r="K105" s="175" t="str">
        <f t="shared" si="34"/>
        <v/>
      </c>
      <c r="L105" s="86" t="str">
        <f>IF(_epmOfflineCondition_,"703100",_xll.EVPRO($B$1,H105,"JDEID"))</f>
        <v>703100</v>
      </c>
      <c r="M105" s="86" t="str">
        <f>IF(_epmOfflineCondition_,"690035",IF(AND(I105="N",J105="N"),_xll.EVPRO($B$1,H105,"PSFTID"),""))</f>
        <v>690035</v>
      </c>
      <c r="N105" s="86" t="str">
        <f>IF(_epmOfflineCondition_,"Training",IF(_xll.EVDES(H105,$B$1)="#NODATA","",_xll.EVDES(H105,$B$1)))</f>
        <v>Training</v>
      </c>
      <c r="O105" s="134"/>
      <c r="P105" s="134"/>
      <c r="Q105" s="134"/>
      <c r="R105" s="134"/>
      <c r="S105" s="134"/>
      <c r="T105" s="134"/>
      <c r="U105" s="134"/>
      <c r="V105" s="134"/>
      <c r="W105" s="134"/>
      <c r="X105" s="134"/>
      <c r="Y105" s="134"/>
      <c r="Z105" s="134"/>
      <c r="AA105" s="223">
        <f t="shared" si="35"/>
        <v>0</v>
      </c>
      <c r="AB105" s="138" t="str">
        <f t="shared" si="36"/>
        <v/>
      </c>
      <c r="AC105" s="136"/>
      <c r="AD105" s="134"/>
      <c r="AE105" s="138" t="str">
        <f t="shared" si="37"/>
        <v/>
      </c>
      <c r="AF105" s="137">
        <f t="shared" si="38"/>
        <v>0</v>
      </c>
      <c r="AG105" s="134">
        <v>364</v>
      </c>
      <c r="AH105" s="138">
        <f t="shared" si="39"/>
        <v>2.1858302831292758E-3</v>
      </c>
      <c r="AI105" s="137">
        <f t="shared" si="40"/>
        <v>-364</v>
      </c>
      <c r="AJ105" s="458">
        <f t="shared" si="41"/>
        <v>0</v>
      </c>
      <c r="AK105" s="459">
        <f t="shared" si="42"/>
        <v>0</v>
      </c>
      <c r="AL105" s="460">
        <f t="shared" si="43"/>
        <v>4.0341349883630723E-2</v>
      </c>
      <c r="AM105" s="461">
        <f t="shared" si="44"/>
        <v>0</v>
      </c>
      <c r="AN105" s="462">
        <f t="shared" si="45"/>
        <v>0</v>
      </c>
      <c r="AO105" s="11"/>
    </row>
    <row r="106" spans="1:41" x14ac:dyDescent="0.25">
      <c r="A106" s="11" t="s">
        <v>109</v>
      </c>
      <c r="B106" s="11"/>
      <c r="C106" s="192" t="s">
        <v>101</v>
      </c>
      <c r="D106" s="11" t="s">
        <v>107</v>
      </c>
      <c r="E106" s="11"/>
      <c r="F106" s="11" t="s">
        <v>99</v>
      </c>
      <c r="G106" s="11"/>
      <c r="H106" s="84" t="s">
        <v>799</v>
      </c>
      <c r="I106" s="118" t="str">
        <f>IF(_epmOfflineCondition_,"N",_xll.EVPRO($B$1,$H106,"STYLE"))</f>
        <v>N</v>
      </c>
      <c r="J106" s="118" t="str">
        <f>IF(_epmOfflineCondition_,"N",_xll.EVPRO($B$1,$H106,"CALC"))</f>
        <v>N</v>
      </c>
      <c r="K106" s="175" t="str">
        <f t="shared" si="34"/>
        <v/>
      </c>
      <c r="L106" s="86" t="str">
        <f>IF(_epmOfflineCondition_,"703200",_xll.EVPRO($B$1,H106,"JDEID"))</f>
        <v>703200</v>
      </c>
      <c r="M106" s="86" t="str">
        <f>IF(_epmOfflineCondition_,"590035",IF(AND(I106="N",J106="N"),_xll.EVPRO($B$1,H106,"PSFTID"),""))</f>
        <v>590035</v>
      </c>
      <c r="N106" s="86" t="str">
        <f>IF(_epmOfflineCondition_,"Uniform Costs",IF(_xll.EVDES(H106,$B$1)="#NODATA","",_xll.EVDES(H106,$B$1)))</f>
        <v>Uniform Costs</v>
      </c>
      <c r="O106" s="134"/>
      <c r="P106" s="134">
        <v>308.70999999999998</v>
      </c>
      <c r="Q106" s="134"/>
      <c r="R106" s="134">
        <v>156.19999999999999</v>
      </c>
      <c r="S106" s="134">
        <v>400.7</v>
      </c>
      <c r="T106" s="134">
        <v>841.82</v>
      </c>
      <c r="U106" s="134">
        <v>-620.77</v>
      </c>
      <c r="V106" s="134"/>
      <c r="W106" s="134"/>
      <c r="X106" s="134"/>
      <c r="Y106" s="134"/>
      <c r="Z106" s="134"/>
      <c r="AA106" s="223">
        <f t="shared" si="35"/>
        <v>1086.6599999999999</v>
      </c>
      <c r="AB106" s="138">
        <f t="shared" si="36"/>
        <v>2.4453408398856678E-3</v>
      </c>
      <c r="AC106" s="136"/>
      <c r="AD106" s="134">
        <v>240</v>
      </c>
      <c r="AE106" s="138">
        <f t="shared" si="37"/>
        <v>3.9325732693202122E-4</v>
      </c>
      <c r="AF106" s="137">
        <f t="shared" si="38"/>
        <v>846.65999999999985</v>
      </c>
      <c r="AG106" s="134">
        <v>364.59</v>
      </c>
      <c r="AH106" s="138">
        <f t="shared" si="39"/>
        <v>2.1893732497969848E-3</v>
      </c>
      <c r="AI106" s="137">
        <f t="shared" si="40"/>
        <v>722.06999999999994</v>
      </c>
      <c r="AJ106" s="458">
        <f t="shared" si="41"/>
        <v>4.7174299978293893E-2</v>
      </c>
      <c r="AK106" s="459">
        <f t="shared" si="42"/>
        <v>1.0498228423953457E-2</v>
      </c>
      <c r="AL106" s="460">
        <f t="shared" si="43"/>
        <v>4.0406738335365178E-2</v>
      </c>
      <c r="AM106" s="461" t="str">
        <f t="shared" si="44"/>
        <v>0.21 pts.</v>
      </c>
      <c r="AN106" s="462" t="str">
        <f t="shared" si="45"/>
        <v>0.03 pts.</v>
      </c>
      <c r="AO106" s="11"/>
    </row>
    <row r="107" spans="1:41" x14ac:dyDescent="0.25">
      <c r="A107" s="11" t="s">
        <v>110</v>
      </c>
      <c r="B107" s="11"/>
      <c r="C107" s="102" t="s">
        <v>101</v>
      </c>
      <c r="D107" s="11" t="s">
        <v>106</v>
      </c>
      <c r="E107" s="11"/>
      <c r="F107" s="11" t="s">
        <v>98</v>
      </c>
      <c r="G107" s="11"/>
      <c r="H107" s="84" t="s">
        <v>800</v>
      </c>
      <c r="I107" s="118" t="str">
        <f>IF(_epmOfflineCondition_,"N",_xll.EVPRO($B$1,$H107,"STYLE"))</f>
        <v>N</v>
      </c>
      <c r="J107" s="118" t="str">
        <f>IF(_epmOfflineCondition_,"N",_xll.EVPRO($B$1,$H107,"CALC"))</f>
        <v>N</v>
      </c>
      <c r="K107" s="175" t="str">
        <f t="shared" si="34"/>
        <v/>
      </c>
      <c r="L107" s="86" t="str">
        <f>IF(_epmOfflineCondition_,"703300",_xll.EVPRO($B$1,H107,"JDEID"))</f>
        <v>703300</v>
      </c>
      <c r="M107" s="86" t="str">
        <f>IF(_epmOfflineCondition_,"590115",IF(AND(I107="N",J107="N"),_xll.EVPRO($B$1,H107,"PSFTID"),""))</f>
        <v>590115</v>
      </c>
      <c r="N107" s="86" t="str">
        <f>IF(_epmOfflineCondition_,"Uniforms Laundry",IF(_xll.EVDES(H107,$B$1)="#NODATA","",_xll.EVDES(H107,$B$1)))</f>
        <v>Uniforms Laundry</v>
      </c>
      <c r="O107" s="134">
        <v>513.04999999999995</v>
      </c>
      <c r="P107" s="134">
        <v>85.6</v>
      </c>
      <c r="Q107" s="134">
        <v>232.45</v>
      </c>
      <c r="R107" s="134">
        <v>311.67</v>
      </c>
      <c r="S107" s="134">
        <v>142.07</v>
      </c>
      <c r="T107" s="134">
        <v>560.79</v>
      </c>
      <c r="U107" s="134">
        <v>381.77</v>
      </c>
      <c r="V107" s="134">
        <v>250.8</v>
      </c>
      <c r="W107" s="134">
        <v>240.9</v>
      </c>
      <c r="X107" s="134"/>
      <c r="Y107" s="134"/>
      <c r="Z107" s="134"/>
      <c r="AA107" s="223">
        <f t="shared" si="35"/>
        <v>2719.1</v>
      </c>
      <c r="AB107" s="138">
        <f t="shared" si="36"/>
        <v>6.1188654019961354E-3</v>
      </c>
      <c r="AC107" s="136"/>
      <c r="AD107" s="134">
        <v>2057.4899999999998</v>
      </c>
      <c r="AE107" s="138">
        <f t="shared" si="37"/>
        <v>3.371345906622351E-3</v>
      </c>
      <c r="AF107" s="137">
        <f t="shared" si="38"/>
        <v>661.61000000000013</v>
      </c>
      <c r="AG107" s="134">
        <v>1901.85</v>
      </c>
      <c r="AH107" s="138">
        <f t="shared" si="39"/>
        <v>1.1420662977937947E-2</v>
      </c>
      <c r="AI107" s="137">
        <f t="shared" si="40"/>
        <v>817.25</v>
      </c>
      <c r="AJ107" s="458">
        <f t="shared" si="41"/>
        <v>0.11804210983286303</v>
      </c>
      <c r="AK107" s="459">
        <f t="shared" si="42"/>
        <v>0.09</v>
      </c>
      <c r="AL107" s="460">
        <f t="shared" si="43"/>
        <v>0.21077801174775573</v>
      </c>
      <c r="AM107" s="461" t="str">
        <f t="shared" si="44"/>
        <v>0.27 pts.</v>
      </c>
      <c r="AN107" s="462" t="str">
        <f t="shared" si="45"/>
        <v>-0.53 pts.</v>
      </c>
      <c r="AO107" s="11"/>
    </row>
    <row r="108" spans="1:41" x14ac:dyDescent="0.25">
      <c r="A108" s="11" t="s">
        <v>110</v>
      </c>
      <c r="B108" s="11"/>
      <c r="C108" s="105" t="s">
        <v>101</v>
      </c>
      <c r="D108" s="11" t="s">
        <v>107</v>
      </c>
      <c r="E108" s="11"/>
      <c r="F108" s="11" t="s">
        <v>99</v>
      </c>
      <c r="G108" s="11"/>
      <c r="H108" s="84" t="s">
        <v>827</v>
      </c>
      <c r="I108" s="118" t="str">
        <f>IF(_epmOfflineCondition_,"N",_xll.EVPRO($B$1,$H108,"STYLE"))</f>
        <v>N</v>
      </c>
      <c r="J108" s="118" t="str">
        <f>IF(_epmOfflineCondition_,"N",_xll.EVPRO($B$1,$H108,"CALC"))</f>
        <v>N</v>
      </c>
      <c r="K108" s="175" t="str">
        <f t="shared" si="34"/>
        <v/>
      </c>
      <c r="L108" s="86" t="str">
        <f>IF(_epmOfflineCondition_,"703400",_xll.EVPRO($B$1,H108,"JDEID"))</f>
        <v>703400</v>
      </c>
      <c r="M108" s="86" t="str">
        <f>IF(_epmOfflineCondition_,"590010",IF(AND(I108="N",J108="N"),_xll.EVPRO($B$1,H108,"PSFTID"),""))</f>
        <v>590010</v>
      </c>
      <c r="N108" s="86" t="str">
        <f>IF(_epmOfflineCondition_,"Linen",IF(_xll.EVDES(H108,$B$1)="#NODATA","",_xll.EVDES(H108,$B$1)))</f>
        <v>Linen</v>
      </c>
      <c r="O108" s="134">
        <v>-847.45</v>
      </c>
      <c r="P108" s="134">
        <v>285.5</v>
      </c>
      <c r="Q108" s="134">
        <v>1204.94</v>
      </c>
      <c r="R108" s="134">
        <v>335.67</v>
      </c>
      <c r="S108" s="134">
        <v>629.61</v>
      </c>
      <c r="T108" s="134">
        <v>186.49</v>
      </c>
      <c r="U108" s="134">
        <v>418.41</v>
      </c>
      <c r="V108" s="134">
        <v>439.34</v>
      </c>
      <c r="W108" s="134">
        <v>441.72</v>
      </c>
      <c r="X108" s="134">
        <v>198.7</v>
      </c>
      <c r="Y108" s="134">
        <v>130.69</v>
      </c>
      <c r="Z108" s="134"/>
      <c r="AA108" s="223">
        <f t="shared" si="35"/>
        <v>3423.6200000000003</v>
      </c>
      <c r="AB108" s="138">
        <f t="shared" si="36"/>
        <v>7.7042661055430148E-3</v>
      </c>
      <c r="AC108" s="136"/>
      <c r="AD108" s="134"/>
      <c r="AE108" s="138" t="str">
        <f t="shared" si="37"/>
        <v/>
      </c>
      <c r="AF108" s="137">
        <f t="shared" si="38"/>
        <v>3423.6200000000003</v>
      </c>
      <c r="AG108" s="134">
        <v>3820.1</v>
      </c>
      <c r="AH108" s="138">
        <f t="shared" si="39"/>
        <v>2.293980841918172E-2</v>
      </c>
      <c r="AI108" s="137">
        <f t="shared" si="40"/>
        <v>-396.47999999999956</v>
      </c>
      <c r="AJ108" s="458">
        <f t="shared" si="41"/>
        <v>0.14862687215107448</v>
      </c>
      <c r="AK108" s="459">
        <f t="shared" si="42"/>
        <v>0</v>
      </c>
      <c r="AL108" s="460">
        <f t="shared" si="43"/>
        <v>0.42337360079796077</v>
      </c>
      <c r="AM108" s="461">
        <f t="shared" si="44"/>
        <v>0</v>
      </c>
      <c r="AN108" s="462" t="str">
        <f t="shared" si="45"/>
        <v>-1.52 pts.</v>
      </c>
      <c r="AO108" s="11"/>
    </row>
    <row r="109" spans="1:41" x14ac:dyDescent="0.25">
      <c r="A109" s="11"/>
      <c r="B109" s="11"/>
      <c r="C109" s="204"/>
      <c r="D109" s="11"/>
      <c r="E109" s="11"/>
      <c r="F109" s="11"/>
      <c r="G109" s="11"/>
      <c r="H109" s="84" t="s">
        <v>828</v>
      </c>
      <c r="I109" s="118" t="str">
        <f>IF(_epmOfflineCondition_,"N",_xll.EVPRO($B$1,$H109,"STYLE"))</f>
        <v>N</v>
      </c>
      <c r="J109" s="118" t="str">
        <f>IF(_epmOfflineCondition_,"N",_xll.EVPRO($B$1,$H109,"CALC"))</f>
        <v>N</v>
      </c>
      <c r="K109" s="175" t="str">
        <f t="shared" si="34"/>
        <v/>
      </c>
      <c r="L109" s="86" t="str">
        <f>IF(_epmOfflineCondition_,"703500",_xll.EVPRO($B$1,H109,"JDEID"))</f>
        <v>703500</v>
      </c>
      <c r="M109" s="86" t="str">
        <f>IF(_epmOfflineCondition_,"590004",IF(AND(I109="N",J109="N"),_xll.EVPRO($B$1,H109,"PSFTID"),""))</f>
        <v>590004</v>
      </c>
      <c r="N109" s="86" t="str">
        <f>IF(_epmOfflineCondition_,"China",IF(_xll.EVDES(H109,$B$1)="#NODATA","",_xll.EVDES(H109,$B$1)))</f>
        <v>China</v>
      </c>
      <c r="O109" s="134"/>
      <c r="P109" s="134">
        <v>117.24</v>
      </c>
      <c r="Q109" s="134"/>
      <c r="R109" s="134"/>
      <c r="S109" s="134"/>
      <c r="T109" s="134"/>
      <c r="U109" s="134">
        <v>-27.09</v>
      </c>
      <c r="V109" s="134"/>
      <c r="W109" s="134">
        <v>24.18</v>
      </c>
      <c r="X109" s="134"/>
      <c r="Y109" s="134"/>
      <c r="Z109" s="134"/>
      <c r="AA109" s="223">
        <f t="shared" si="35"/>
        <v>114.32999999999998</v>
      </c>
      <c r="AB109" s="138">
        <f t="shared" si="36"/>
        <v>2.5727993873348462E-4</v>
      </c>
      <c r="AC109" s="136"/>
      <c r="AD109" s="134"/>
      <c r="AE109" s="138" t="str">
        <f t="shared" si="37"/>
        <v/>
      </c>
      <c r="AF109" s="137">
        <f t="shared" si="38"/>
        <v>114.32999999999998</v>
      </c>
      <c r="AG109" s="134">
        <v>386.95</v>
      </c>
      <c r="AH109" s="138">
        <f t="shared" si="39"/>
        <v>2.3236456814749265E-3</v>
      </c>
      <c r="AI109" s="137">
        <f t="shared" si="40"/>
        <v>-272.62</v>
      </c>
      <c r="AJ109" s="458">
        <f t="shared" si="41"/>
        <v>4.9633166919904491E-3</v>
      </c>
      <c r="AK109" s="459">
        <f t="shared" si="42"/>
        <v>0</v>
      </c>
      <c r="AL109" s="460">
        <f t="shared" si="43"/>
        <v>4.2884849828216776E-2</v>
      </c>
      <c r="AM109" s="461">
        <f t="shared" si="44"/>
        <v>0</v>
      </c>
      <c r="AN109" s="462" t="str">
        <f t="shared" si="45"/>
        <v>-0.21 pts.</v>
      </c>
      <c r="AO109" s="11"/>
    </row>
    <row r="110" spans="1:41" x14ac:dyDescent="0.25">
      <c r="A110" s="11"/>
      <c r="B110" s="11"/>
      <c r="C110" s="11"/>
      <c r="D110" s="11"/>
      <c r="E110" s="11"/>
      <c r="F110" s="11"/>
      <c r="G110" s="11"/>
      <c r="H110" s="84" t="s">
        <v>829</v>
      </c>
      <c r="I110" s="118" t="str">
        <f>IF(_epmOfflineCondition_,"N",_xll.EVPRO($B$1,$H110,"STYLE"))</f>
        <v>N</v>
      </c>
      <c r="J110" s="118" t="str">
        <f>IF(_epmOfflineCondition_,"N",_xll.EVPRO($B$1,$H110,"CALC"))</f>
        <v>N</v>
      </c>
      <c r="K110" s="175" t="str">
        <f t="shared" si="34"/>
        <v/>
      </c>
      <c r="L110" s="86" t="str">
        <f>IF(_epmOfflineCondition_,"703510",_xll.EVPRO($B$1,H110,"JDEID"))</f>
        <v>703510</v>
      </c>
      <c r="M110" s="86" t="str">
        <f>IF(_epmOfflineCondition_,"590003",IF(AND(I110="N",J110="N"),_xll.EVPRO($B$1,H110,"PSFTID"),""))</f>
        <v>590003</v>
      </c>
      <c r="N110" s="86" t="str">
        <f>IF(_epmOfflineCondition_,"Glassware",IF(_xll.EVDES(H110,$B$1)="#NODATA","",_xll.EVDES(H110,$B$1)))</f>
        <v>Glassware</v>
      </c>
      <c r="O110" s="134"/>
      <c r="P110" s="134"/>
      <c r="Q110" s="134"/>
      <c r="R110" s="134"/>
      <c r="S110" s="134"/>
      <c r="T110" s="134"/>
      <c r="U110" s="134"/>
      <c r="V110" s="134">
        <v>516.75</v>
      </c>
      <c r="W110" s="134"/>
      <c r="X110" s="134"/>
      <c r="Y110" s="134"/>
      <c r="Z110" s="134"/>
      <c r="AA110" s="223">
        <f t="shared" si="35"/>
        <v>516.75</v>
      </c>
      <c r="AB110" s="138">
        <f t="shared" si="36"/>
        <v>1.1628567160021711E-3</v>
      </c>
      <c r="AC110" s="136"/>
      <c r="AD110" s="134">
        <v>1600</v>
      </c>
      <c r="AE110" s="138">
        <f t="shared" si="37"/>
        <v>2.6217155128801413E-3</v>
      </c>
      <c r="AF110" s="137">
        <f t="shared" si="38"/>
        <v>-1083.25</v>
      </c>
      <c r="AG110" s="134"/>
      <c r="AH110" s="138" t="str">
        <f t="shared" si="39"/>
        <v/>
      </c>
      <c r="AI110" s="137">
        <f t="shared" si="40"/>
        <v>516.75</v>
      </c>
      <c r="AJ110" s="458">
        <f t="shared" si="41"/>
        <v>2.2433253744302148E-2</v>
      </c>
      <c r="AK110" s="459">
        <f t="shared" si="42"/>
        <v>6.9988189493023059E-2</v>
      </c>
      <c r="AL110" s="460">
        <f t="shared" si="43"/>
        <v>0</v>
      </c>
      <c r="AM110" s="461" t="str">
        <f t="shared" si="44"/>
        <v>-0.15 pts.</v>
      </c>
      <c r="AN110" s="462">
        <f t="shared" si="45"/>
        <v>0</v>
      </c>
      <c r="AO110" s="11"/>
    </row>
    <row r="111" spans="1:41" x14ac:dyDescent="0.25">
      <c r="A111" s="56" t="str">
        <f>IF(_epmOfflineCondition_,"Evdre:Ok",_xll.EVDRE($B$1,A114:B121))</f>
        <v>Evdre:Ok</v>
      </c>
      <c r="B111" s="11" t="s">
        <v>737</v>
      </c>
      <c r="C111" s="11"/>
      <c r="D111" s="11"/>
      <c r="E111" s="11"/>
      <c r="F111" s="11"/>
      <c r="G111" s="72"/>
      <c r="H111" s="84" t="s">
        <v>920</v>
      </c>
      <c r="I111" s="118" t="str">
        <f>IF(_epmOfflineCondition_,"N",_xll.EVPRO($B$1,$H111,"STYLE"))</f>
        <v>N</v>
      </c>
      <c r="J111" s="118" t="str">
        <f>IF(_epmOfflineCondition_,"N",_xll.EVPRO($B$1,$H111,"CALC"))</f>
        <v>N</v>
      </c>
      <c r="K111" s="175" t="str">
        <f t="shared" si="34"/>
        <v/>
      </c>
      <c r="L111" s="86" t="str">
        <f>IF(_epmOfflineCondition_,"703600",_xll.EVPRO($B$1,H111,"JDEID"))</f>
        <v>703600</v>
      </c>
      <c r="M111" s="86" t="str">
        <f>IF(_epmOfflineCondition_,"590045",IF(AND(I111="N",J111="N"),_xll.EVPRO($B$1,H111,"PSFTID"),""))</f>
        <v>590045</v>
      </c>
      <c r="N111" s="86" t="str">
        <f>IF(_epmOfflineCondition_,"Utensils",IF(_xll.EVDES(H111,$B$1)="#NODATA","",_xll.EVDES(H111,$B$1)))</f>
        <v>Utensils</v>
      </c>
      <c r="O111" s="134"/>
      <c r="P111" s="134"/>
      <c r="Q111" s="134"/>
      <c r="R111" s="134"/>
      <c r="S111" s="134"/>
      <c r="T111" s="134"/>
      <c r="U111" s="134"/>
      <c r="V111" s="134"/>
      <c r="W111" s="134"/>
      <c r="X111" s="134"/>
      <c r="Y111" s="134"/>
      <c r="Z111" s="134"/>
      <c r="AA111" s="223">
        <f t="shared" si="35"/>
        <v>0</v>
      </c>
      <c r="AB111" s="138" t="str">
        <f t="shared" si="36"/>
        <v/>
      </c>
      <c r="AC111" s="136"/>
      <c r="AD111" s="134"/>
      <c r="AE111" s="138" t="str">
        <f t="shared" si="37"/>
        <v/>
      </c>
      <c r="AF111" s="137">
        <f t="shared" si="38"/>
        <v>0</v>
      </c>
      <c r="AG111" s="134">
        <v>132.02000000000001</v>
      </c>
      <c r="AH111" s="138">
        <f t="shared" si="39"/>
        <v>7.9278382961188735E-4</v>
      </c>
      <c r="AI111" s="137">
        <f t="shared" si="40"/>
        <v>-132.02000000000001</v>
      </c>
      <c r="AJ111" s="458">
        <f t="shared" si="41"/>
        <v>0</v>
      </c>
      <c r="AK111" s="459">
        <f t="shared" si="42"/>
        <v>0</v>
      </c>
      <c r="AL111" s="460">
        <f t="shared" si="43"/>
        <v>1.4631497284716835E-2</v>
      </c>
      <c r="AM111" s="461">
        <f t="shared" si="44"/>
        <v>0</v>
      </c>
      <c r="AN111" s="462">
        <f t="shared" si="45"/>
        <v>0</v>
      </c>
      <c r="AO111" s="11"/>
    </row>
    <row r="112" spans="1:41" x14ac:dyDescent="0.25">
      <c r="A112" s="11"/>
      <c r="B112" s="11"/>
      <c r="C112" s="11"/>
      <c r="D112" s="11"/>
      <c r="E112" s="11"/>
      <c r="F112" s="11"/>
      <c r="G112" s="11"/>
      <c r="H112" s="84" t="s">
        <v>841</v>
      </c>
      <c r="I112" s="118" t="str">
        <f>IF(_epmOfflineCondition_,"N",_xll.EVPRO($B$1,$H112,"STYLE"))</f>
        <v>N</v>
      </c>
      <c r="J112" s="118" t="str">
        <f>IF(_epmOfflineCondition_,"N",_xll.EVPRO($B$1,$H112,"CALC"))</f>
        <v>N</v>
      </c>
      <c r="K112" s="175" t="str">
        <f t="shared" si="34"/>
        <v/>
      </c>
      <c r="L112" s="86" t="str">
        <f>IF(_epmOfflineCondition_,"703700",_xll.EVPRO($B$1,H112,"JDEID"))</f>
        <v>703700</v>
      </c>
      <c r="M112" s="86" t="str">
        <f>IF(_epmOfflineCondition_,"590046",IF(AND(I112="N",J112="N"),_xll.EVPRO($B$1,H112,"PSFTID"),""))</f>
        <v>590046</v>
      </c>
      <c r="N112" s="86" t="str">
        <f>IF(_epmOfflineCondition_,"Menus and Beverage Lists",IF(_xll.EVDES(H112,$B$1)="#NODATA","",_xll.EVDES(H112,$B$1)))</f>
        <v>Menus and Beverage Lists</v>
      </c>
      <c r="O112" s="134"/>
      <c r="P112" s="134"/>
      <c r="Q112" s="134"/>
      <c r="R112" s="134"/>
      <c r="S112" s="134"/>
      <c r="T112" s="134"/>
      <c r="U112" s="134">
        <v>22.78</v>
      </c>
      <c r="V112" s="134"/>
      <c r="W112" s="134"/>
      <c r="X112" s="134"/>
      <c r="Y112" s="134"/>
      <c r="Z112" s="134"/>
      <c r="AA112" s="223">
        <f t="shared" si="35"/>
        <v>22.78</v>
      </c>
      <c r="AB112" s="138">
        <f t="shared" si="36"/>
        <v>5.1262459584962661E-5</v>
      </c>
      <c r="AC112" s="136"/>
      <c r="AD112" s="134"/>
      <c r="AE112" s="138" t="str">
        <f t="shared" si="37"/>
        <v/>
      </c>
      <c r="AF112" s="137">
        <f t="shared" si="38"/>
        <v>22.78</v>
      </c>
      <c r="AG112" s="134"/>
      <c r="AH112" s="138" t="str">
        <f t="shared" si="39"/>
        <v/>
      </c>
      <c r="AI112" s="137">
        <f t="shared" si="40"/>
        <v>22.78</v>
      </c>
      <c r="AJ112" s="458">
        <f t="shared" si="41"/>
        <v>9.8892988929889314E-4</v>
      </c>
      <c r="AK112" s="459">
        <f t="shared" si="42"/>
        <v>0</v>
      </c>
      <c r="AL112" s="460">
        <f t="shared" si="43"/>
        <v>0</v>
      </c>
      <c r="AM112" s="461">
        <f t="shared" si="44"/>
        <v>0</v>
      </c>
      <c r="AN112" s="462">
        <f t="shared" si="45"/>
        <v>0</v>
      </c>
      <c r="AO112" s="11"/>
    </row>
    <row r="113" spans="1:41" x14ac:dyDescent="0.25">
      <c r="A113" s="57" t="s">
        <v>0</v>
      </c>
      <c r="B113" s="58" t="s">
        <v>1</v>
      </c>
      <c r="C113" s="11"/>
      <c r="D113" s="11"/>
      <c r="E113" s="11"/>
      <c r="F113" s="11"/>
      <c r="G113" s="11"/>
      <c r="H113" s="84" t="s">
        <v>831</v>
      </c>
      <c r="I113" s="118" t="str">
        <f>IF(_epmOfflineCondition_,"N",_xll.EVPRO($B$1,$H113,"STYLE"))</f>
        <v>N</v>
      </c>
      <c r="J113" s="118" t="str">
        <f>IF(_epmOfflineCondition_,"N",_xll.EVPRO($B$1,$H113,"CALC"))</f>
        <v>N</v>
      </c>
      <c r="K113" s="175" t="str">
        <f t="shared" si="34"/>
        <v/>
      </c>
      <c r="L113" s="86" t="str">
        <f>IF(_epmOfflineCondition_,"703800",_xll.EVPRO($B$1,H113,"JDEID"))</f>
        <v>703800</v>
      </c>
      <c r="M113" s="86" t="str">
        <f>IF(_epmOfflineCondition_,"690065",IF(AND(I113="N",J113="N"),_xll.EVPRO($B$1,H113,"PSFTID"),""))</f>
        <v>690065</v>
      </c>
      <c r="N113" s="86" t="str">
        <f>IF(_epmOfflineCondition_,"Equipment Rental",IF(_xll.EVDES(H113,$B$1)="#NODATA","",_xll.EVDES(H113,$B$1)))</f>
        <v>Equipment Rental</v>
      </c>
      <c r="O113" s="134">
        <v>111.19</v>
      </c>
      <c r="P113" s="134"/>
      <c r="Q113" s="134"/>
      <c r="R113" s="134"/>
      <c r="S113" s="134"/>
      <c r="T113" s="134"/>
      <c r="U113" s="134"/>
      <c r="V113" s="134"/>
      <c r="W113" s="134"/>
      <c r="X113" s="134"/>
      <c r="Y113" s="134"/>
      <c r="Z113" s="134"/>
      <c r="AA113" s="223">
        <f t="shared" si="35"/>
        <v>111.19</v>
      </c>
      <c r="AB113" s="138">
        <f t="shared" si="36"/>
        <v>2.5021391050272161E-4</v>
      </c>
      <c r="AC113" s="136"/>
      <c r="AD113" s="134"/>
      <c r="AE113" s="138" t="str">
        <f t="shared" si="37"/>
        <v/>
      </c>
      <c r="AF113" s="137">
        <f t="shared" si="38"/>
        <v>111.19</v>
      </c>
      <c r="AG113" s="134"/>
      <c r="AH113" s="138" t="str">
        <f t="shared" si="39"/>
        <v/>
      </c>
      <c r="AI113" s="137">
        <f t="shared" si="40"/>
        <v>111.19</v>
      </c>
      <c r="AJ113" s="458">
        <f t="shared" si="41"/>
        <v>4.8270023876709357E-3</v>
      </c>
      <c r="AK113" s="459">
        <f t="shared" si="42"/>
        <v>0</v>
      </c>
      <c r="AL113" s="460">
        <f t="shared" si="43"/>
        <v>0</v>
      </c>
      <c r="AM113" s="461">
        <f t="shared" si="44"/>
        <v>0</v>
      </c>
      <c r="AN113" s="462">
        <f t="shared" si="45"/>
        <v>0</v>
      </c>
      <c r="AO113" s="11"/>
    </row>
    <row r="114" spans="1:41" x14ac:dyDescent="0.25">
      <c r="A114" s="61" t="s">
        <v>2</v>
      </c>
      <c r="B114" s="62" t="str">
        <f>IF(_epmOfflineCondition_,"'VenueBar'!$B$2:$B$10",_xll.EVRNG($B$2:$B$10))</f>
        <v>'VenueBar'!$B$2:$B$10</v>
      </c>
      <c r="C114" s="11"/>
      <c r="D114" s="11"/>
      <c r="E114" s="11"/>
      <c r="F114" s="11"/>
      <c r="G114" s="11"/>
      <c r="H114" s="84" t="s">
        <v>842</v>
      </c>
      <c r="I114" s="118" t="str">
        <f>IF(_epmOfflineCondition_,"N",_xll.EVPRO($B$1,$H114,"STYLE"))</f>
        <v>N</v>
      </c>
      <c r="J114" s="118" t="str">
        <f>IF(_epmOfflineCondition_,"N",_xll.EVPRO($B$1,$H114,"CALC"))</f>
        <v>N</v>
      </c>
      <c r="K114" s="175" t="str">
        <f t="shared" si="34"/>
        <v/>
      </c>
      <c r="L114" s="86" t="str">
        <f>IF(_epmOfflineCondition_,"704100",_xll.EVPRO($B$1,H114,"JDEID"))</f>
        <v>704100</v>
      </c>
      <c r="M114" s="86" t="str">
        <f>IF(_epmOfflineCondition_,"690241",IF(AND(I114="N",J114="N"),_xll.EVPRO($B$1,H114,"PSFTID"),""))</f>
        <v>690241</v>
      </c>
      <c r="N114" s="86" t="str">
        <f>IF(_epmOfflineCondition_,"Music and Entertainment",IF(_xll.EVDES(H114,$B$1)="#NODATA","",_xll.EVDES(H114,$B$1)))</f>
        <v>Music and Entertainment</v>
      </c>
      <c r="O114" s="134">
        <v>400</v>
      </c>
      <c r="P114" s="134">
        <v>600</v>
      </c>
      <c r="Q114" s="134">
        <v>700</v>
      </c>
      <c r="R114" s="134">
        <v>400</v>
      </c>
      <c r="S114" s="134">
        <v>400</v>
      </c>
      <c r="T114" s="134">
        <v>600</v>
      </c>
      <c r="U114" s="134">
        <v>400</v>
      </c>
      <c r="V114" s="134">
        <v>400</v>
      </c>
      <c r="W114" s="134"/>
      <c r="X114" s="134">
        <v>750</v>
      </c>
      <c r="Y114" s="134"/>
      <c r="Z114" s="134">
        <v>200</v>
      </c>
      <c r="AA114" s="223">
        <f t="shared" si="35"/>
        <v>4850</v>
      </c>
      <c r="AB114" s="138">
        <f t="shared" si="36"/>
        <v>1.091408819082831E-2</v>
      </c>
      <c r="AC114" s="136"/>
      <c r="AD114" s="134"/>
      <c r="AE114" s="138" t="str">
        <f t="shared" si="37"/>
        <v/>
      </c>
      <c r="AF114" s="137">
        <f t="shared" si="38"/>
        <v>4850</v>
      </c>
      <c r="AG114" s="134">
        <v>1340</v>
      </c>
      <c r="AH114" s="138">
        <f t="shared" si="39"/>
        <v>8.0467378554759054E-3</v>
      </c>
      <c r="AI114" s="137">
        <f t="shared" si="40"/>
        <v>3510</v>
      </c>
      <c r="AJ114" s="458">
        <f t="shared" si="41"/>
        <v>0.21054916431517257</v>
      </c>
      <c r="AK114" s="459">
        <f t="shared" si="42"/>
        <v>0</v>
      </c>
      <c r="AL114" s="460">
        <f t="shared" si="43"/>
        <v>0.14850936495622299</v>
      </c>
      <c r="AM114" s="461">
        <f t="shared" si="44"/>
        <v>0</v>
      </c>
      <c r="AN114" s="462" t="str">
        <f t="shared" si="45"/>
        <v>0.29 pts.</v>
      </c>
      <c r="AO114" s="11"/>
    </row>
    <row r="115" spans="1:41" x14ac:dyDescent="0.25">
      <c r="A115" s="61" t="s">
        <v>3</v>
      </c>
      <c r="B115" s="62" t="str">
        <f>IF(_epmOfflineCondition_,"'VenueBar'!$O$16:$AN$18",_xll.EVRNG($O$16:$AN$18))</f>
        <v>'VenueBar'!$O$16:$AN$18</v>
      </c>
      <c r="C115" s="11"/>
      <c r="D115" s="11"/>
      <c r="E115" s="11"/>
      <c r="F115" s="11"/>
      <c r="G115" s="11"/>
      <c r="H115" s="84" t="s">
        <v>806</v>
      </c>
      <c r="I115" s="118" t="str">
        <f>IF(_epmOfflineCondition_,"N",_xll.EVPRO($B$1,$H115,"STYLE"))</f>
        <v>N</v>
      </c>
      <c r="J115" s="118" t="str">
        <f>IF(_epmOfflineCondition_,"N",_xll.EVPRO($B$1,$H115,"CALC"))</f>
        <v>N</v>
      </c>
      <c r="K115" s="175" t="str">
        <f t="shared" si="34"/>
        <v/>
      </c>
      <c r="L115" s="86" t="str">
        <f>IF(_epmOfflineCondition_,"705500",_xll.EVPRO($B$1,H115,"JDEID"))</f>
        <v>705500</v>
      </c>
      <c r="M115" s="86" t="str">
        <f>IF(_epmOfflineCondition_,"690105",IF(AND(I115="N",J115="N"),_xll.EVPRO($B$1,H115,"PSFTID"),""))</f>
        <v>690105</v>
      </c>
      <c r="N115" s="86" t="str">
        <f>IF(_epmOfflineCondition_,"Licenses &amp; Permits",IF(_xll.EVDES(H115,$B$1)="#NODATA","",_xll.EVDES(H115,$B$1)))</f>
        <v>Licenses &amp; Permits</v>
      </c>
      <c r="O115" s="134"/>
      <c r="P115" s="134"/>
      <c r="Q115" s="134"/>
      <c r="R115" s="134"/>
      <c r="S115" s="134"/>
      <c r="T115" s="134"/>
      <c r="U115" s="134"/>
      <c r="V115" s="134"/>
      <c r="W115" s="134"/>
      <c r="X115" s="134"/>
      <c r="Y115" s="134"/>
      <c r="Z115" s="134">
        <v>4425</v>
      </c>
      <c r="AA115" s="223">
        <f t="shared" si="35"/>
        <v>4425</v>
      </c>
      <c r="AB115" s="138">
        <f t="shared" si="36"/>
        <v>9.9576990194670655E-3</v>
      </c>
      <c r="AC115" s="136"/>
      <c r="AD115" s="134"/>
      <c r="AE115" s="138" t="str">
        <f t="shared" si="37"/>
        <v/>
      </c>
      <c r="AF115" s="137">
        <f t="shared" si="38"/>
        <v>4425</v>
      </c>
      <c r="AG115" s="134">
        <v>595.5</v>
      </c>
      <c r="AH115" s="138">
        <f t="shared" si="39"/>
        <v>3.5759943230864936E-3</v>
      </c>
      <c r="AI115" s="137">
        <f t="shared" si="40"/>
        <v>3829.5</v>
      </c>
      <c r="AJ115" s="458">
        <f t="shared" si="41"/>
        <v>0.19209897981332755</v>
      </c>
      <c r="AK115" s="459">
        <f t="shared" si="42"/>
        <v>0</v>
      </c>
      <c r="AL115" s="460">
        <f t="shared" si="43"/>
        <v>6.5998005098082679E-2</v>
      </c>
      <c r="AM115" s="461">
        <f t="shared" si="44"/>
        <v>0</v>
      </c>
      <c r="AN115" s="462" t="str">
        <f t="shared" si="45"/>
        <v>0.64 pts.</v>
      </c>
      <c r="AO115" s="11"/>
    </row>
    <row r="116" spans="1:41" x14ac:dyDescent="0.25">
      <c r="A116" s="61" t="s">
        <v>4</v>
      </c>
      <c r="B116" s="62" t="str">
        <f>IF(_epmOfflineCondition_,"'VenueBar'!$H$118:$H$121",_xll.EVRNG(H118:H121))</f>
        <v>'VenueBar'!$H$118:$H$121</v>
      </c>
      <c r="C116" s="11"/>
      <c r="D116" s="11"/>
      <c r="E116" s="11"/>
      <c r="F116" s="11"/>
      <c r="G116" s="11"/>
      <c r="H116" s="84" t="s">
        <v>843</v>
      </c>
      <c r="I116" s="118" t="str">
        <f>IF(_epmOfflineCondition_,"T4",_xll.EVPRO($B$1,$H116,"STYLE"))</f>
        <v>T4</v>
      </c>
      <c r="J116" s="118" t="str">
        <f>IF(_epmOfflineCondition_,"Y",_xll.EVPRO($B$1,$H116,"CALC"))</f>
        <v>Y</v>
      </c>
      <c r="K116" s="175" t="str">
        <f t="shared" si="34"/>
        <v>&gt;</v>
      </c>
      <c r="L116" s="86" t="str">
        <f>IF(_epmOfflineCondition_,"706100",_xll.EVPRO($B$1,H116,"JDEID"))</f>
        <v>706100</v>
      </c>
      <c r="M116" s="86" t="str">
        <f>IF(_epmOfflineCondition_,"",IF(AND(I116="N",J116="N"),_xll.EVPRO($B$1,H116,"PSFTID"),""))</f>
        <v/>
      </c>
      <c r="N116" s="86" t="str">
        <f>IF(_epmOfflineCondition_,"Miscellaneous",IF(_xll.EVDES(H116,$B$1)="#NODATA","",_xll.EVDES(H116,$B$1)))</f>
        <v>Miscellaneous</v>
      </c>
      <c r="O116" s="134">
        <v>20.13</v>
      </c>
      <c r="P116" s="134"/>
      <c r="Q116" s="134">
        <v>27.17</v>
      </c>
      <c r="R116" s="134"/>
      <c r="S116" s="134">
        <v>23.1</v>
      </c>
      <c r="T116" s="134"/>
      <c r="U116" s="134"/>
      <c r="V116" s="134">
        <v>90.7</v>
      </c>
      <c r="W116" s="134">
        <v>302.76</v>
      </c>
      <c r="X116" s="134"/>
      <c r="Y116" s="134"/>
      <c r="Z116" s="134"/>
      <c r="AA116" s="223">
        <f t="shared" si="35"/>
        <v>463.86</v>
      </c>
      <c r="AB116" s="138">
        <f t="shared" si="36"/>
        <v>1.0438368965355917E-3</v>
      </c>
      <c r="AC116" s="136"/>
      <c r="AD116" s="134"/>
      <c r="AE116" s="138" t="str">
        <f t="shared" si="37"/>
        <v/>
      </c>
      <c r="AF116" s="137">
        <f t="shared" si="38"/>
        <v>463.86</v>
      </c>
      <c r="AG116" s="134">
        <v>779.64</v>
      </c>
      <c r="AH116" s="138">
        <f t="shared" si="39"/>
        <v>4.6817602251068915E-3</v>
      </c>
      <c r="AI116" s="137">
        <f t="shared" si="40"/>
        <v>-315.77999999999997</v>
      </c>
      <c r="AJ116" s="458">
        <f t="shared" si="41"/>
        <v>2.0137182548296072E-2</v>
      </c>
      <c r="AK116" s="459">
        <f t="shared" si="42"/>
        <v>0</v>
      </c>
      <c r="AL116" s="460">
        <f t="shared" si="43"/>
        <v>8.6405851712290815E-2</v>
      </c>
      <c r="AM116" s="461">
        <f t="shared" si="44"/>
        <v>0</v>
      </c>
      <c r="AN116" s="462" t="str">
        <f t="shared" si="45"/>
        <v>-0.36 pts.</v>
      </c>
      <c r="AO116" s="11"/>
    </row>
    <row r="117" spans="1:41" x14ac:dyDescent="0.25">
      <c r="A117" s="61" t="s">
        <v>5</v>
      </c>
      <c r="B117" s="62"/>
      <c r="C117" s="11"/>
      <c r="D117" s="11"/>
      <c r="E117" s="11"/>
      <c r="F117" s="11"/>
      <c r="G117" s="11"/>
      <c r="H117" s="84" t="s">
        <v>832</v>
      </c>
      <c r="I117" s="118" t="str">
        <f>IF(_epmOfflineCondition_,"N",_xll.EVPRO($B$1,$H117,"STYLE"))</f>
        <v>N</v>
      </c>
      <c r="J117" s="118" t="str">
        <f>IF(_epmOfflineCondition_,"N",_xll.EVPRO($B$1,$H117,"CALC"))</f>
        <v>N</v>
      </c>
      <c r="K117" s="175" t="str">
        <f t="shared" si="34"/>
        <v/>
      </c>
      <c r="L117" s="86" t="str">
        <f>IF(_epmOfflineCondition_,"706110",_xll.EVPRO($B$1,H117,"JDEID"))</f>
        <v>706110</v>
      </c>
      <c r="M117" s="86" t="str">
        <f>IF(_epmOfflineCondition_,"590056",IF(AND(I117="N",J117="N"),_xll.EVPRO($B$1,H117,"PSFTID"),""))</f>
        <v>590056</v>
      </c>
      <c r="N117" s="86" t="str">
        <f>IF(_epmOfflineCondition_,"Kitchen Fuel",IF(_xll.EVDES(H117,$B$1)="#NODATA","",_xll.EVDES(H117,$B$1)))</f>
        <v>Kitchen Fuel</v>
      </c>
      <c r="O117" s="134"/>
      <c r="P117" s="134"/>
      <c r="Q117" s="134"/>
      <c r="R117" s="134"/>
      <c r="S117" s="134"/>
      <c r="T117" s="134"/>
      <c r="U117" s="134"/>
      <c r="V117" s="134">
        <v>69</v>
      </c>
      <c r="W117" s="134"/>
      <c r="X117" s="134"/>
      <c r="Y117" s="134"/>
      <c r="Z117" s="134"/>
      <c r="AA117" s="223">
        <f t="shared" si="35"/>
        <v>69</v>
      </c>
      <c r="AB117" s="138">
        <f t="shared" si="36"/>
        <v>1.5527259487982544E-4</v>
      </c>
      <c r="AC117" s="136"/>
      <c r="AD117" s="134"/>
      <c r="AE117" s="138" t="str">
        <f t="shared" si="37"/>
        <v/>
      </c>
      <c r="AF117" s="137">
        <f t="shared" si="38"/>
        <v>69</v>
      </c>
      <c r="AG117" s="134"/>
      <c r="AH117" s="138" t="str">
        <f t="shared" si="39"/>
        <v/>
      </c>
      <c r="AI117" s="137">
        <f t="shared" si="40"/>
        <v>69</v>
      </c>
      <c r="AJ117" s="458">
        <f t="shared" si="41"/>
        <v>2.9954417191230738E-3</v>
      </c>
      <c r="AK117" s="459">
        <f t="shared" si="42"/>
        <v>0</v>
      </c>
      <c r="AL117" s="460">
        <f t="shared" si="43"/>
        <v>0</v>
      </c>
      <c r="AM117" s="461">
        <f t="shared" si="44"/>
        <v>0</v>
      </c>
      <c r="AN117" s="462">
        <f t="shared" si="45"/>
        <v>0</v>
      </c>
      <c r="AO117" s="11"/>
    </row>
    <row r="118" spans="1:41" x14ac:dyDescent="0.25">
      <c r="A118" s="61" t="s">
        <v>6</v>
      </c>
      <c r="B118" s="62"/>
      <c r="C118" s="11"/>
      <c r="D118" s="11"/>
      <c r="E118" s="11"/>
      <c r="F118" s="11"/>
      <c r="G118" s="11"/>
      <c r="H118" s="84" t="s">
        <v>79</v>
      </c>
      <c r="I118" s="132" t="str">
        <f>IF(_epmOfflineCondition_,"T3",_xll.EVPRO($B$1,$H118,"STYLE"))</f>
        <v>T3</v>
      </c>
      <c r="J118" s="132" t="str">
        <f>IF(_epmOfflineCondition_,"Y",_xll.EVPRO($B$1,$H118,"CALC"))</f>
        <v>Y</v>
      </c>
      <c r="K118" s="100"/>
      <c r="L118" s="100"/>
      <c r="M118" s="100"/>
      <c r="N118" s="102" t="str">
        <f>IF(_epmOfflineCondition_,"Total Operations Expense",IF(_xll.EVDES(H118,$B$1)="#NODATA","",_xll.EVDES(H118,$B$1)))</f>
        <v>Total Operations Expense</v>
      </c>
      <c r="O118" s="146">
        <v>4841.6000000000004</v>
      </c>
      <c r="P118" s="146">
        <v>4778.9799999999996</v>
      </c>
      <c r="Q118" s="146">
        <v>8236.67</v>
      </c>
      <c r="R118" s="146">
        <v>3728.3</v>
      </c>
      <c r="S118" s="146">
        <v>4471.32</v>
      </c>
      <c r="T118" s="146">
        <v>8775.59</v>
      </c>
      <c r="U118" s="146">
        <v>1595.6</v>
      </c>
      <c r="V118" s="146">
        <v>7327.05</v>
      </c>
      <c r="W118" s="146">
        <v>3784.14</v>
      </c>
      <c r="X118" s="146">
        <v>2374.0300000000002</v>
      </c>
      <c r="Y118" s="146">
        <v>2265.44</v>
      </c>
      <c r="Z118" s="146">
        <v>6048.85</v>
      </c>
      <c r="AA118" s="146">
        <f t="shared" si="35"/>
        <v>58227.57</v>
      </c>
      <c r="AB118" s="147">
        <f t="shared" si="36"/>
        <v>0.13103109981806779</v>
      </c>
      <c r="AC118" s="136"/>
      <c r="AD118" s="146">
        <v>18426.18</v>
      </c>
      <c r="AE118" s="147">
        <f t="shared" si="37"/>
        <v>3.0192626218201127E-2</v>
      </c>
      <c r="AF118" s="148">
        <f t="shared" si="38"/>
        <v>39801.39</v>
      </c>
      <c r="AG118" s="146">
        <v>42079.17</v>
      </c>
      <c r="AH118" s="147">
        <f t="shared" si="39"/>
        <v>0.25268660460149706</v>
      </c>
      <c r="AI118" s="148">
        <f t="shared" si="40"/>
        <v>16148.400000000001</v>
      </c>
      <c r="AJ118" s="431">
        <f t="shared" si="41"/>
        <v>2.5277868461037549</v>
      </c>
      <c r="AK118" s="432">
        <f t="shared" si="42"/>
        <v>0.8060093609203447</v>
      </c>
      <c r="AL118" s="433">
        <f t="shared" si="43"/>
        <v>4.6635453840186187</v>
      </c>
      <c r="AM118" s="434" t="str">
        <f t="shared" si="44"/>
        <v>10.08 pts.</v>
      </c>
      <c r="AN118" s="550" t="str">
        <f t="shared" si="45"/>
        <v>-12.17 pts.</v>
      </c>
      <c r="AO118" s="11"/>
    </row>
    <row r="119" spans="1:41" x14ac:dyDescent="0.25">
      <c r="A119" s="61" t="s">
        <v>7</v>
      </c>
      <c r="B119" s="62"/>
      <c r="C119" s="11"/>
      <c r="D119" s="11"/>
      <c r="E119" s="11"/>
      <c r="F119" s="11"/>
      <c r="G119" s="11"/>
      <c r="H119" s="11"/>
      <c r="I119" s="55"/>
      <c r="J119" s="55"/>
      <c r="K119" s="11"/>
      <c r="L119" s="11"/>
      <c r="M119" s="11"/>
      <c r="N119" s="11"/>
      <c r="O119" s="136"/>
      <c r="P119" s="136"/>
      <c r="Q119" s="136"/>
      <c r="R119" s="136"/>
      <c r="S119" s="136"/>
      <c r="T119" s="136"/>
      <c r="U119" s="136"/>
      <c r="V119" s="136"/>
      <c r="W119" s="136"/>
      <c r="X119" s="136"/>
      <c r="Y119" s="136"/>
      <c r="Z119" s="136"/>
      <c r="AA119" s="136"/>
      <c r="AB119" s="136"/>
      <c r="AC119" s="136"/>
      <c r="AD119" s="136"/>
      <c r="AE119" s="136"/>
      <c r="AF119" s="136"/>
      <c r="AG119" s="136"/>
      <c r="AH119" s="136"/>
      <c r="AI119" s="136"/>
      <c r="AJ119" s="136"/>
      <c r="AK119" s="136"/>
      <c r="AL119" s="136"/>
      <c r="AM119" s="136"/>
      <c r="AN119" s="136"/>
      <c r="AO119" s="11"/>
    </row>
    <row r="120" spans="1:41" x14ac:dyDescent="0.25">
      <c r="A120" s="61" t="s">
        <v>47</v>
      </c>
      <c r="B120" s="62" t="str">
        <f>IF(_epmOfflineCondition_,"'VenueBar'!$A$125:$B$146",_xll.EVRNG($A$125:$B$146))</f>
        <v>'VenueBar'!$A$125:$B$146</v>
      </c>
      <c r="C120" s="11"/>
      <c r="D120" s="11"/>
      <c r="E120" s="11"/>
      <c r="F120" s="11"/>
      <c r="G120" s="11"/>
      <c r="H120" s="84" t="s">
        <v>80</v>
      </c>
      <c r="I120" s="132" t="str">
        <f>IF(_epmOfflineCondition_,"T3",_xll.EVPRO($B$1,$H120,"STYLE"))</f>
        <v>T3</v>
      </c>
      <c r="J120" s="132" t="str">
        <f>IF(_epmOfflineCondition_,"Y",_xll.EVPRO($B$1,$H120,"CALC"))</f>
        <v>Y</v>
      </c>
      <c r="K120" s="102"/>
      <c r="L120" s="102"/>
      <c r="M120" s="102"/>
      <c r="N120" s="102" t="str">
        <f>IF(_epmOfflineCondition_,"Total Expenses",IF(_xll.EVDES(H120,$B$1)="#NODATA","",_xll.EVDES(H120,$B$1)))</f>
        <v>Total Expenses</v>
      </c>
      <c r="O120" s="210">
        <v>26234.9</v>
      </c>
      <c r="P120" s="210">
        <v>28885.88</v>
      </c>
      <c r="Q120" s="210">
        <v>38241.35</v>
      </c>
      <c r="R120" s="210">
        <v>25147.31</v>
      </c>
      <c r="S120" s="210">
        <v>28659.25</v>
      </c>
      <c r="T120" s="210">
        <v>36518.58</v>
      </c>
      <c r="U120" s="210">
        <v>27193.89</v>
      </c>
      <c r="V120" s="210">
        <v>36478.26</v>
      </c>
      <c r="W120" s="210">
        <v>28204.91</v>
      </c>
      <c r="X120" s="210">
        <v>11409.04</v>
      </c>
      <c r="Y120" s="210">
        <v>14794.22</v>
      </c>
      <c r="Z120" s="210">
        <v>15151.93</v>
      </c>
      <c r="AA120" s="210">
        <f>IF($I120="B1","",SUM(O120:Z120))</f>
        <v>316919.51999999996</v>
      </c>
      <c r="AB120" s="211">
        <f>IF(AA120=0,"",IFERROR(AA120/AA$19,""))</f>
        <v>0.71317269910824244</v>
      </c>
      <c r="AC120" s="136"/>
      <c r="AD120" s="210">
        <v>179262.579979373</v>
      </c>
      <c r="AE120" s="211">
        <f>IF(AD120=0,"",IFERROR(AD120/AD$19,""))</f>
        <v>0.29373467925677454</v>
      </c>
      <c r="AF120" s="212">
        <f>IF(AND($AA120="",AD120=""),"",$AA120-AD120)</f>
        <v>137656.94002062696</v>
      </c>
      <c r="AG120" s="213">
        <v>174906.73</v>
      </c>
      <c r="AH120" s="214">
        <f>IF(AG120=0,"",IFERROR(AG120/AG$19,""))</f>
        <v>1.0503198548272412</v>
      </c>
      <c r="AI120" s="212">
        <f>IF(AND($AA120="",AG120=""),"",$AA120-AG120)</f>
        <v>142012.78999999995</v>
      </c>
      <c r="AJ120" s="437">
        <f>IFERROR(AA120/AA$20,0)</f>
        <v>13.758173214673322</v>
      </c>
      <c r="AK120" s="438">
        <f>IFERROR(AD120/AD$20,0)</f>
        <v>7.8414146353778484</v>
      </c>
      <c r="AL120" s="439">
        <f>IFERROR(AG120/AG$20,0)</f>
        <v>19.384542834977282</v>
      </c>
      <c r="AM120" s="440" t="str">
        <f>+IFERROR(ROUND(($AB120-AE120)*100,2)&amp;" pts.",0)</f>
        <v>41.94 pts.</v>
      </c>
      <c r="AN120" s="551" t="str">
        <f>+IFERROR(ROUND(($AB120-AH120)*100,2)&amp;" pts.",0)</f>
        <v>-33.71 pts.</v>
      </c>
      <c r="AO120" s="11"/>
    </row>
    <row r="121" spans="1:41" ht="15.75" thickBot="1" x14ac:dyDescent="0.3">
      <c r="A121" s="61" t="s">
        <v>8</v>
      </c>
      <c r="B121" s="62"/>
      <c r="C121" s="11"/>
      <c r="D121" s="11"/>
      <c r="E121" s="11"/>
      <c r="F121" s="11"/>
      <c r="G121" s="11"/>
      <c r="H121" s="84" t="s">
        <v>81</v>
      </c>
      <c r="I121" s="132" t="str">
        <f>IF(_epmOfflineCondition_,"T3",_xll.EVPRO($B$1,$H121,"STYLE"))</f>
        <v>T3</v>
      </c>
      <c r="J121" s="132" t="str">
        <f>IF(_epmOfflineCondition_,"Y",_xll.EVPRO($B$1,$H121,"CALC"))</f>
        <v>Y</v>
      </c>
      <c r="K121" s="102"/>
      <c r="L121" s="102"/>
      <c r="M121" s="102"/>
      <c r="N121" s="102" t="str">
        <f>IF(_epmOfflineCondition_,"Department Profit (Loss)",IF(_xll.EVDES(H121,$B$1)="#NODATA","",_xll.EVDES(H121,$B$1)))</f>
        <v>Department Profit (Loss)</v>
      </c>
      <c r="O121" s="161">
        <v>-4638.3700000000099</v>
      </c>
      <c r="P121" s="161">
        <v>4477.3599999999997</v>
      </c>
      <c r="Q121" s="161">
        <v>-6793.29</v>
      </c>
      <c r="R121" s="161">
        <v>4764.87</v>
      </c>
      <c r="S121" s="161">
        <v>-3805.38</v>
      </c>
      <c r="T121" s="161">
        <v>-12197.91</v>
      </c>
      <c r="U121" s="161">
        <v>-1566.2</v>
      </c>
      <c r="V121" s="161">
        <v>-7754.1900000000096</v>
      </c>
      <c r="W121" s="161">
        <v>-16259.73</v>
      </c>
      <c r="X121" s="161">
        <v>6208.55</v>
      </c>
      <c r="Y121" s="161">
        <v>5502.84</v>
      </c>
      <c r="Z121" s="161">
        <v>12932.2</v>
      </c>
      <c r="AA121" s="161">
        <f>IF($I121="B1","",SUM(O121:Z121))</f>
        <v>-19129.250000000015</v>
      </c>
      <c r="AB121" s="162">
        <f>IF(AA121=0,"",IFERROR(AA121/AA$19,""))</f>
        <v>-4.3047076602969608E-2</v>
      </c>
      <c r="AC121" s="136"/>
      <c r="AD121" s="161">
        <v>304744.43142062699</v>
      </c>
      <c r="AE121" s="162">
        <f>IF(AD121=0,"",IFERROR(AD121/AD$19,""))</f>
        <v>0.49934575207456011</v>
      </c>
      <c r="AF121" s="163">
        <f>IF(AND($AA121="",AD121=""),"",$AA121-AD121)</f>
        <v>-323873.68142062699</v>
      </c>
      <c r="AG121" s="161">
        <v>-81323.66</v>
      </c>
      <c r="AH121" s="162">
        <f>IF(AG121=0,"",IFERROR(AG121/AG$19,""))</f>
        <v>-0.48835087572227737</v>
      </c>
      <c r="AI121" s="163">
        <f>IF(AND($AA121="",AG121=""),"",$AA121-AG121)</f>
        <v>62194.409999999989</v>
      </c>
      <c r="AJ121" s="442">
        <f>IFERROR(AA121/AA$20,0)</f>
        <v>-0.83044280442804497</v>
      </c>
      <c r="AK121" s="443">
        <f>IFERROR(AD121/AD$20,0)</f>
        <v>13.330319383256507</v>
      </c>
      <c r="AL121" s="444">
        <f>IFERROR(AG121/AG$20,0)</f>
        <v>-9.012929180981935</v>
      </c>
      <c r="AM121" s="445" t="str">
        <f>+IFERROR(ROUND(($AB121-AE121)*100,2)&amp;" pts.",0)</f>
        <v>-54.24 pts.</v>
      </c>
      <c r="AN121" s="552" t="str">
        <f>+IFERROR(ROUND(($AB121-AH121)*100,2)&amp;" pts.",0)</f>
        <v>44.53 pts.</v>
      </c>
      <c r="AO121" s="11"/>
    </row>
    <row r="122" spans="1:41" ht="15.75" thickTop="1" x14ac:dyDescent="0.25">
      <c r="A122" s="11"/>
      <c r="B122" s="11"/>
      <c r="C122" s="11"/>
      <c r="D122" s="11"/>
      <c r="E122" s="11"/>
      <c r="F122" s="11"/>
      <c r="G122" s="11"/>
      <c r="H122" s="11"/>
      <c r="I122" s="55"/>
      <c r="J122" s="55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x14ac:dyDescent="0.25">
      <c r="A123" s="11"/>
      <c r="B123" s="11"/>
      <c r="C123" s="11"/>
      <c r="D123" s="11"/>
      <c r="E123" s="11"/>
      <c r="F123" s="11"/>
      <c r="G123" s="11"/>
      <c r="H123" s="11"/>
      <c r="I123" s="55"/>
      <c r="J123" s="55"/>
      <c r="K123" s="11"/>
      <c r="L123" s="11"/>
      <c r="M123" s="11"/>
      <c r="N123" s="100" t="str">
        <f>N120&amp;" - Check"</f>
        <v>Total Expenses - Check</v>
      </c>
      <c r="O123" s="205">
        <f t="shared" ref="O123:AA123" si="46">SUMIF($H$35:$H$121,"600000",O$35:O$121)+SUMIF($H$35:$H$121,"700000",O$35:O$121)-SUMIF($H$35:$H$121,"TOTDEPTEXP",O$35:O$121)</f>
        <v>0</v>
      </c>
      <c r="P123" s="205">
        <f t="shared" si="46"/>
        <v>0</v>
      </c>
      <c r="Q123" s="205">
        <f t="shared" si="46"/>
        <v>0</v>
      </c>
      <c r="R123" s="205">
        <f t="shared" si="46"/>
        <v>0</v>
      </c>
      <c r="S123" s="205">
        <f t="shared" si="46"/>
        <v>0</v>
      </c>
      <c r="T123" s="205">
        <f t="shared" si="46"/>
        <v>0</v>
      </c>
      <c r="U123" s="205">
        <f t="shared" si="46"/>
        <v>0</v>
      </c>
      <c r="V123" s="205">
        <f t="shared" si="46"/>
        <v>0</v>
      </c>
      <c r="W123" s="205">
        <f t="shared" si="46"/>
        <v>0</v>
      </c>
      <c r="X123" s="205">
        <f t="shared" si="46"/>
        <v>0</v>
      </c>
      <c r="Y123" s="205">
        <f t="shared" si="46"/>
        <v>0</v>
      </c>
      <c r="Z123" s="205">
        <f t="shared" si="46"/>
        <v>0</v>
      </c>
      <c r="AA123" s="205">
        <f t="shared" si="46"/>
        <v>0</v>
      </c>
      <c r="AB123" s="96"/>
      <c r="AC123" s="11"/>
      <c r="AD123" s="205">
        <f>SUMIF($H$35:$H$121,"600000",AD$35:AD$121)+SUMIF($H$35:$H$121,"700000",AD$35:AD$121)-SUMIF($H$35:$H$121,"TOTDEPTEXP",AD$35:AD$121)</f>
        <v>0</v>
      </c>
      <c r="AE123" s="96"/>
      <c r="AF123" s="87"/>
      <c r="AG123" s="205">
        <f>SUMIF($H$35:$H$121,"600000",AG$35:AG$121)+SUMIF($H$35:$H$121,"700000",AG$35:AG$121)-SUMIF($H$35:$H$121,"TOTDEPTEXP",AG$35:AG$121)</f>
        <v>0</v>
      </c>
      <c r="AH123" s="96"/>
      <c r="AI123" s="87"/>
      <c r="AJ123" s="11"/>
      <c r="AK123" s="11"/>
      <c r="AL123" s="11"/>
      <c r="AM123" s="11"/>
      <c r="AN123" s="11"/>
      <c r="AO123" s="11"/>
    </row>
    <row r="124" spans="1:41" x14ac:dyDescent="0.25">
      <c r="A124" s="57" t="s">
        <v>23</v>
      </c>
      <c r="B124" s="58" t="s">
        <v>24</v>
      </c>
      <c r="C124" s="11"/>
      <c r="D124" s="11"/>
      <c r="E124" s="11"/>
      <c r="F124" s="11"/>
      <c r="G124" s="11"/>
      <c r="H124" s="11"/>
      <c r="I124" s="55"/>
      <c r="J124" s="55"/>
      <c r="K124" s="11"/>
      <c r="L124" s="11"/>
      <c r="M124" s="11"/>
      <c r="N124" s="100" t="str">
        <f>N121&amp;" - Check"</f>
        <v>Department Profit (Loss) - Check</v>
      </c>
      <c r="O124" s="205">
        <f t="shared" ref="O124:AA124" si="47">SUMIF($H$35:$H$121,"KPI_GP",O$35:O$121)-SUMIF($H$35:$H$121,"TOTDEPTEXP",O$35:O$121)-SUMIF($H$35:$H$121,"TOTDEPTPL",O$35:O$121)</f>
        <v>1.0913936421275139E-11</v>
      </c>
      <c r="P124" s="205">
        <f t="shared" si="47"/>
        <v>0</v>
      </c>
      <c r="Q124" s="205">
        <f t="shared" si="47"/>
        <v>0</v>
      </c>
      <c r="R124" s="205">
        <f t="shared" si="47"/>
        <v>0</v>
      </c>
      <c r="S124" s="205">
        <f t="shared" si="47"/>
        <v>-4.5474735088646412E-12</v>
      </c>
      <c r="T124" s="205">
        <f t="shared" si="47"/>
        <v>0</v>
      </c>
      <c r="U124" s="205">
        <f t="shared" si="47"/>
        <v>0</v>
      </c>
      <c r="V124" s="205">
        <f t="shared" si="47"/>
        <v>7.2759576141834259E-12</v>
      </c>
      <c r="W124" s="205">
        <f t="shared" si="47"/>
        <v>0</v>
      </c>
      <c r="X124" s="205">
        <f t="shared" si="47"/>
        <v>0</v>
      </c>
      <c r="Y124" s="205">
        <f t="shared" si="47"/>
        <v>0</v>
      </c>
      <c r="Z124" s="205">
        <f t="shared" si="47"/>
        <v>0</v>
      </c>
      <c r="AA124" s="205">
        <f t="shared" si="47"/>
        <v>7.2759576141834259E-11</v>
      </c>
      <c r="AB124" s="96"/>
      <c r="AC124" s="11"/>
      <c r="AD124" s="205">
        <f>SUMIF($H$35:$H$121,"KPI_GP",AD$35:AD$121)-SUMIF($H$35:$H$121,"TOTDEPTEXP",AD$35:AD$121)-SUMIF($H$35:$H$121,"TOTDEPTPL",AD$35:AD$121)</f>
        <v>0</v>
      </c>
      <c r="AE124" s="96"/>
      <c r="AF124" s="87"/>
      <c r="AG124" s="205">
        <f>SUMIF($H$35:$H$121,"KPI_GP",AG$35:AG$121)-SUMIF($H$35:$H$121,"TOTDEPTEXP",AG$35:AG$121)-SUMIF($H$35:$H$121,"TOTDEPTPL",AG$35:AG$121)</f>
        <v>0</v>
      </c>
      <c r="AH124" s="96"/>
      <c r="AI124" s="87"/>
      <c r="AJ124" s="11"/>
      <c r="AK124" s="11"/>
      <c r="AL124" s="11"/>
      <c r="AM124" s="11"/>
      <c r="AN124" s="11"/>
      <c r="AO124" s="11"/>
    </row>
    <row r="125" spans="1:41" x14ac:dyDescent="0.25">
      <c r="A125" s="61" t="s">
        <v>25</v>
      </c>
      <c r="B125" s="62"/>
      <c r="C125" s="11"/>
      <c r="D125" s="11"/>
      <c r="E125" s="11"/>
      <c r="F125" s="11"/>
      <c r="G125" s="11"/>
      <c r="H125" s="11"/>
      <c r="I125" s="55"/>
      <c r="J125" s="55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x14ac:dyDescent="0.25">
      <c r="A126" s="61" t="s">
        <v>26</v>
      </c>
      <c r="B126" s="62"/>
      <c r="C126" s="11"/>
      <c r="D126" s="11"/>
      <c r="E126" s="11"/>
      <c r="F126" s="11"/>
      <c r="G126" s="11"/>
      <c r="H126" s="11"/>
      <c r="I126" s="55"/>
      <c r="J126" s="55"/>
      <c r="K126" s="11"/>
      <c r="L126" s="11"/>
      <c r="M126" s="11"/>
      <c r="N126" s="11"/>
      <c r="O126" s="133"/>
      <c r="P126" s="133"/>
      <c r="Q126" s="133"/>
      <c r="R126" s="133"/>
      <c r="S126" s="133"/>
      <c r="T126" s="133"/>
      <c r="U126" s="133"/>
      <c r="V126" s="133"/>
      <c r="W126" s="133"/>
      <c r="X126" s="133"/>
      <c r="Y126" s="133"/>
      <c r="Z126" s="133"/>
      <c r="AA126" s="133"/>
      <c r="AB126" s="11"/>
      <c r="AC126" s="11"/>
      <c r="AD126" s="133"/>
      <c r="AE126" s="11"/>
      <c r="AF126" s="11"/>
      <c r="AG126" s="133"/>
      <c r="AH126" s="11"/>
      <c r="AI126" s="11"/>
      <c r="AJ126" s="11"/>
      <c r="AK126" s="11"/>
      <c r="AL126" s="11"/>
      <c r="AM126" s="11"/>
      <c r="AN126" s="11"/>
      <c r="AO126" s="11"/>
    </row>
    <row r="127" spans="1:41" x14ac:dyDescent="0.25">
      <c r="A127" s="61" t="s">
        <v>27</v>
      </c>
      <c r="B127" s="62"/>
      <c r="C127" s="11"/>
      <c r="D127" s="11"/>
      <c r="E127" s="11"/>
      <c r="F127" s="11"/>
      <c r="G127" s="11"/>
      <c r="H127" s="11"/>
      <c r="I127" s="55"/>
      <c r="J127" s="55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x14ac:dyDescent="0.25">
      <c r="A128" s="61" t="s">
        <v>28</v>
      </c>
      <c r="B128" s="62"/>
      <c r="C128" s="11"/>
      <c r="D128" s="11"/>
      <c r="E128" s="11"/>
      <c r="F128" s="11"/>
      <c r="G128" s="11"/>
      <c r="H128" s="11"/>
      <c r="I128" s="55"/>
      <c r="J128" s="55"/>
      <c r="K128" s="11"/>
      <c r="L128" s="11"/>
      <c r="M128" s="11"/>
      <c r="N128" s="11"/>
      <c r="O128" s="133"/>
      <c r="P128" s="133"/>
      <c r="Q128" s="133"/>
      <c r="R128" s="133"/>
      <c r="S128" s="133"/>
      <c r="T128" s="133"/>
      <c r="U128" s="133"/>
      <c r="V128" s="133"/>
      <c r="W128" s="133"/>
      <c r="X128" s="133"/>
      <c r="Y128" s="133"/>
      <c r="Z128" s="133"/>
      <c r="AA128" s="133"/>
      <c r="AB128" s="11"/>
      <c r="AC128" s="11"/>
      <c r="AD128" s="133"/>
      <c r="AE128" s="11"/>
      <c r="AF128" s="11"/>
      <c r="AG128" s="133"/>
      <c r="AH128" s="11"/>
      <c r="AI128" s="11"/>
      <c r="AJ128" s="11"/>
      <c r="AK128" s="11"/>
      <c r="AL128" s="11"/>
      <c r="AM128" s="11"/>
      <c r="AN128" s="11"/>
      <c r="AO128" s="11"/>
    </row>
    <row r="129" spans="1:41" x14ac:dyDescent="0.25">
      <c r="A129" s="61" t="s">
        <v>29</v>
      </c>
      <c r="B129" s="62"/>
      <c r="C129" s="11"/>
      <c r="D129" s="11"/>
      <c r="E129" s="11"/>
      <c r="F129" s="11"/>
      <c r="G129" s="11"/>
      <c r="H129" s="11"/>
      <c r="I129" s="55"/>
      <c r="J129" s="55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x14ac:dyDescent="0.25">
      <c r="A130" s="61" t="s">
        <v>30</v>
      </c>
      <c r="B130" s="62" t="s">
        <v>78</v>
      </c>
      <c r="C130" s="11"/>
      <c r="D130" s="11"/>
      <c r="E130" s="11"/>
      <c r="F130" s="11"/>
      <c r="G130" s="11"/>
      <c r="H130" s="11"/>
      <c r="I130" s="55"/>
      <c r="J130" s="55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x14ac:dyDescent="0.25">
      <c r="A131" s="61" t="s">
        <v>31</v>
      </c>
      <c r="B131" s="62" t="s">
        <v>78</v>
      </c>
      <c r="C131" s="11"/>
      <c r="D131" s="11"/>
      <c r="E131" s="11"/>
      <c r="F131" s="11"/>
      <c r="G131" s="11"/>
      <c r="H131" s="55"/>
      <c r="I131" s="55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x14ac:dyDescent="0.25">
      <c r="A132" s="61" t="s">
        <v>32</v>
      </c>
      <c r="B132" s="62"/>
      <c r="C132" s="11"/>
      <c r="D132" s="11"/>
      <c r="E132" s="11"/>
      <c r="F132" s="11"/>
      <c r="G132" s="11"/>
      <c r="H132" s="55"/>
      <c r="I132" s="55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x14ac:dyDescent="0.25">
      <c r="A133" s="61" t="s">
        <v>33</v>
      </c>
      <c r="B133" s="62"/>
      <c r="C133" s="11"/>
      <c r="D133" s="11"/>
      <c r="E133" s="11"/>
      <c r="F133" s="11"/>
      <c r="G133" s="11"/>
      <c r="H133" s="55"/>
      <c r="I133" s="55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x14ac:dyDescent="0.25">
      <c r="A134" s="61" t="s">
        <v>34</v>
      </c>
      <c r="B134" s="62"/>
      <c r="C134" s="11"/>
      <c r="D134" s="11"/>
      <c r="E134" s="11"/>
      <c r="F134" s="11"/>
      <c r="G134" s="11"/>
      <c r="H134" s="55"/>
      <c r="I134" s="55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x14ac:dyDescent="0.25">
      <c r="A135" s="61" t="s">
        <v>35</v>
      </c>
      <c r="B135" s="62"/>
      <c r="C135" s="11"/>
      <c r="D135" s="11"/>
      <c r="E135" s="11"/>
      <c r="F135" s="11"/>
      <c r="G135" s="11"/>
      <c r="H135" s="55"/>
      <c r="I135" s="55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x14ac:dyDescent="0.25">
      <c r="A136" s="61" t="s">
        <v>36</v>
      </c>
      <c r="B136" s="62"/>
      <c r="C136" s="11"/>
      <c r="D136" s="11"/>
      <c r="E136" s="11"/>
      <c r="F136" s="11"/>
      <c r="G136" s="11"/>
      <c r="H136" s="55"/>
      <c r="I136" s="55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x14ac:dyDescent="0.25">
      <c r="A137" s="61" t="s">
        <v>37</v>
      </c>
      <c r="B137" s="62"/>
      <c r="C137" s="11"/>
      <c r="D137" s="11"/>
      <c r="E137" s="11"/>
      <c r="F137" s="11"/>
      <c r="G137" s="11"/>
      <c r="H137" s="55"/>
      <c r="I137" s="55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x14ac:dyDescent="0.25">
      <c r="A138" s="61" t="s">
        <v>38</v>
      </c>
      <c r="B138" s="62"/>
      <c r="C138" s="11"/>
      <c r="D138" s="11"/>
      <c r="E138" s="11"/>
      <c r="F138" s="11"/>
      <c r="G138" s="11"/>
      <c r="H138" s="55"/>
      <c r="I138" s="55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x14ac:dyDescent="0.25">
      <c r="A139" s="61" t="s">
        <v>39</v>
      </c>
      <c r="B139" s="62"/>
      <c r="C139" s="11"/>
      <c r="D139" s="11"/>
      <c r="E139" s="11"/>
      <c r="F139" s="11"/>
      <c r="G139" s="11"/>
      <c r="H139" s="55"/>
      <c r="I139" s="55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x14ac:dyDescent="0.25">
      <c r="A140" s="61" t="s">
        <v>40</v>
      </c>
      <c r="B140" s="62"/>
      <c r="C140" s="11"/>
      <c r="D140" s="11"/>
      <c r="E140" s="11"/>
      <c r="F140" s="11"/>
      <c r="G140" s="11"/>
      <c r="H140" s="55"/>
      <c r="I140" s="55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</row>
    <row r="141" spans="1:41" x14ac:dyDescent="0.25">
      <c r="A141" s="61" t="s">
        <v>41</v>
      </c>
      <c r="B141" s="62"/>
      <c r="C141" s="11"/>
      <c r="D141" s="11"/>
      <c r="E141" s="11"/>
      <c r="F141" s="11"/>
      <c r="G141" s="11"/>
      <c r="H141" s="55"/>
      <c r="I141" s="55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x14ac:dyDescent="0.25">
      <c r="A142" s="61" t="s">
        <v>42</v>
      </c>
      <c r="B142" s="62"/>
      <c r="C142" s="11"/>
      <c r="D142" s="11"/>
      <c r="E142" s="11"/>
      <c r="F142" s="11"/>
      <c r="G142" s="11"/>
      <c r="H142" s="55"/>
      <c r="I142" s="55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</row>
    <row r="143" spans="1:41" x14ac:dyDescent="0.25">
      <c r="A143" s="61" t="s">
        <v>43</v>
      </c>
      <c r="B143" s="62"/>
      <c r="C143" s="11"/>
      <c r="D143" s="11"/>
      <c r="E143" s="11"/>
      <c r="F143" s="11"/>
      <c r="G143" s="11"/>
      <c r="H143" s="55"/>
      <c r="I143" s="55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x14ac:dyDescent="0.25">
      <c r="A144" s="61" t="s">
        <v>44</v>
      </c>
      <c r="B144" s="62"/>
      <c r="C144" s="11"/>
      <c r="D144" s="11"/>
      <c r="E144" s="11"/>
      <c r="F144" s="11"/>
      <c r="G144" s="11"/>
      <c r="H144" s="55"/>
      <c r="I144" s="55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</row>
    <row r="145" spans="1:41" x14ac:dyDescent="0.25">
      <c r="A145" s="61" t="s">
        <v>45</v>
      </c>
      <c r="B145" s="62"/>
      <c r="C145" s="11"/>
      <c r="D145" s="11"/>
      <c r="E145" s="11"/>
      <c r="F145" s="11"/>
      <c r="G145" s="11"/>
      <c r="H145" s="55"/>
      <c r="I145" s="55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</row>
    <row r="146" spans="1:41" x14ac:dyDescent="0.25">
      <c r="A146" s="61" t="s">
        <v>46</v>
      </c>
      <c r="B146" s="62"/>
      <c r="C146" s="11"/>
      <c r="D146" s="11"/>
      <c r="E146" s="11"/>
      <c r="F146" s="11"/>
      <c r="G146" s="11"/>
      <c r="H146" s="55"/>
      <c r="I146" s="55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</row>
    <row r="147" spans="1:41" x14ac:dyDescent="0.25">
      <c r="A147" s="11"/>
      <c r="B147" s="11"/>
      <c r="C147" s="11"/>
      <c r="D147" s="11"/>
      <c r="E147" s="11"/>
      <c r="F147" s="11"/>
      <c r="G147" s="11"/>
      <c r="H147" s="55"/>
      <c r="I147" s="55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</row>
    <row r="148" spans="1:41" x14ac:dyDescent="0.25">
      <c r="A148" s="11"/>
      <c r="B148" s="11"/>
      <c r="C148" s="11"/>
      <c r="D148" s="11"/>
      <c r="E148" s="11"/>
      <c r="F148" s="11"/>
      <c r="G148" s="11"/>
      <c r="H148" s="55"/>
      <c r="I148" s="55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x14ac:dyDescent="0.25">
      <c r="A149" s="11"/>
      <c r="B149" s="11"/>
      <c r="C149" s="11"/>
      <c r="D149" s="11"/>
      <c r="E149" s="11"/>
      <c r="F149" s="11"/>
      <c r="G149" s="11"/>
      <c r="H149" s="55"/>
      <c r="I149" s="55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</row>
    <row r="150" spans="1:41" x14ac:dyDescent="0.25">
      <c r="A150" s="11"/>
      <c r="B150" s="11"/>
      <c r="C150" s="11"/>
      <c r="D150" s="11"/>
      <c r="E150" s="11"/>
      <c r="F150" s="11"/>
      <c r="G150" s="11"/>
      <c r="H150" s="55"/>
      <c r="I150" s="55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x14ac:dyDescent="0.25">
      <c r="A151" s="11"/>
      <c r="B151" s="11"/>
      <c r="C151" s="11"/>
      <c r="D151" s="11"/>
      <c r="E151" s="11"/>
      <c r="F151" s="11"/>
      <c r="G151" s="11"/>
      <c r="H151" s="55"/>
      <c r="I151" s="55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</row>
    <row r="152" spans="1:41" x14ac:dyDescent="0.25">
      <c r="A152" s="11"/>
      <c r="B152" s="11"/>
      <c r="C152" s="11"/>
      <c r="D152" s="11"/>
      <c r="E152" s="11"/>
      <c r="F152" s="11"/>
      <c r="G152" s="11"/>
      <c r="H152" s="55"/>
      <c r="I152" s="55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x14ac:dyDescent="0.25">
      <c r="A153" s="11"/>
      <c r="B153" s="11"/>
      <c r="C153" s="11"/>
      <c r="D153" s="11"/>
      <c r="E153" s="11"/>
      <c r="F153" s="11"/>
      <c r="G153" s="11"/>
      <c r="H153" s="55"/>
      <c r="I153" s="55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x14ac:dyDescent="0.25">
      <c r="A154" s="11"/>
      <c r="B154" s="11"/>
      <c r="C154" s="11"/>
      <c r="D154" s="11"/>
      <c r="E154" s="11"/>
      <c r="F154" s="11"/>
      <c r="G154" s="11"/>
      <c r="H154" s="11"/>
      <c r="I154" s="55"/>
      <c r="J154" s="55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x14ac:dyDescent="0.25">
      <c r="A155" s="11"/>
      <c r="B155" s="11"/>
      <c r="C155" s="11"/>
      <c r="D155" s="11"/>
      <c r="E155" s="11"/>
      <c r="F155" s="11"/>
      <c r="G155" s="11"/>
      <c r="H155" s="11"/>
      <c r="I155" s="55"/>
      <c r="J155" s="55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x14ac:dyDescent="0.25">
      <c r="A156" s="11"/>
      <c r="B156" s="11"/>
      <c r="C156" s="11"/>
      <c r="D156" s="11"/>
      <c r="E156" s="11"/>
      <c r="F156" s="11"/>
      <c r="G156" s="11"/>
      <c r="H156" s="11"/>
      <c r="I156" s="55"/>
      <c r="J156" s="55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x14ac:dyDescent="0.25">
      <c r="A157" s="11"/>
      <c r="B157" s="11"/>
      <c r="C157" s="11"/>
      <c r="D157" s="11"/>
      <c r="E157" s="11"/>
      <c r="F157" s="11"/>
      <c r="G157" s="11"/>
      <c r="H157" s="11"/>
      <c r="I157" s="55"/>
      <c r="J157" s="55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</row>
    <row r="158" spans="1:41" x14ac:dyDescent="0.25">
      <c r="A158" s="11"/>
      <c r="B158" s="11"/>
      <c r="C158" s="11"/>
      <c r="D158" s="11"/>
      <c r="E158" s="11"/>
      <c r="F158" s="11"/>
      <c r="G158" s="11"/>
      <c r="H158" s="11"/>
      <c r="I158" s="55"/>
      <c r="J158" s="55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</row>
    <row r="159" spans="1:41" x14ac:dyDescent="0.25">
      <c r="A159" s="11"/>
      <c r="B159" s="11"/>
      <c r="C159" s="11"/>
      <c r="D159" s="11"/>
      <c r="E159" s="11"/>
      <c r="F159" s="11"/>
      <c r="G159" s="11"/>
      <c r="H159" s="11"/>
      <c r="I159" s="55"/>
      <c r="J159" s="55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</row>
    <row r="160" spans="1:41" x14ac:dyDescent="0.25">
      <c r="A160" s="11"/>
      <c r="B160" s="11"/>
      <c r="C160" s="11"/>
      <c r="D160" s="11"/>
      <c r="E160" s="11"/>
      <c r="F160" s="11"/>
      <c r="G160" s="11"/>
      <c r="H160" s="11"/>
      <c r="I160" s="55"/>
      <c r="J160" s="55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</row>
    <row r="161" spans="1:41" x14ac:dyDescent="0.25">
      <c r="A161" s="11"/>
      <c r="B161" s="11"/>
      <c r="C161" s="11"/>
      <c r="D161" s="11"/>
      <c r="E161" s="11"/>
      <c r="F161" s="11"/>
      <c r="G161" s="11"/>
      <c r="H161" s="11"/>
      <c r="I161" s="55"/>
      <c r="J161" s="55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</row>
    <row r="162" spans="1:41" x14ac:dyDescent="0.25">
      <c r="A162" s="11"/>
      <c r="B162" s="11"/>
      <c r="C162" s="11"/>
      <c r="D162" s="11"/>
      <c r="E162" s="11"/>
      <c r="F162" s="11"/>
      <c r="G162" s="11"/>
      <c r="H162" s="11"/>
      <c r="I162" s="55"/>
      <c r="J162" s="55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</row>
    <row r="163" spans="1:41" x14ac:dyDescent="0.25">
      <c r="A163" s="11"/>
      <c r="B163" s="11"/>
      <c r="C163" s="11"/>
      <c r="D163" s="11"/>
      <c r="E163" s="263"/>
      <c r="F163" s="11"/>
      <c r="G163" s="11"/>
      <c r="H163" s="11"/>
      <c r="I163" s="55"/>
      <c r="J163" s="55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</row>
    <row r="164" spans="1:41" x14ac:dyDescent="0.25">
      <c r="A164" s="11"/>
      <c r="B164" s="11"/>
      <c r="C164" s="11"/>
      <c r="D164" s="11"/>
      <c r="E164" s="11"/>
      <c r="F164" s="11"/>
      <c r="G164" s="11"/>
      <c r="H164" s="11"/>
      <c r="I164" s="55"/>
      <c r="J164" s="55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</row>
    <row r="165" spans="1:41" x14ac:dyDescent="0.25">
      <c r="A165" s="11"/>
      <c r="B165" s="11"/>
      <c r="C165" s="11"/>
      <c r="D165" s="11"/>
      <c r="E165" s="11"/>
      <c r="F165" s="11"/>
      <c r="G165" s="11"/>
      <c r="H165" s="11"/>
      <c r="I165" s="55"/>
      <c r="J165" s="55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</row>
    <row r="166" spans="1:41" x14ac:dyDescent="0.25">
      <c r="A166" s="11"/>
      <c r="B166" s="11"/>
      <c r="C166" s="11"/>
      <c r="D166" s="11"/>
      <c r="E166" s="11"/>
      <c r="F166" s="11"/>
      <c r="G166" s="11"/>
      <c r="H166" s="11"/>
      <c r="I166" s="55"/>
      <c r="J166" s="55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</row>
    <row r="167" spans="1:41" x14ac:dyDescent="0.25">
      <c r="A167" s="11"/>
      <c r="B167" s="11"/>
      <c r="C167" s="11"/>
      <c r="D167" s="11"/>
      <c r="E167" s="263"/>
      <c r="F167" s="11"/>
      <c r="G167" s="11"/>
      <c r="H167" s="11"/>
      <c r="I167" s="55"/>
      <c r="J167" s="55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</row>
    <row r="168" spans="1:41" x14ac:dyDescent="0.25">
      <c r="A168" s="11"/>
      <c r="B168" s="11"/>
      <c r="C168" s="11"/>
      <c r="D168" s="11"/>
      <c r="E168" s="11"/>
      <c r="F168" s="11"/>
      <c r="G168" s="11"/>
      <c r="H168" s="11"/>
      <c r="I168" s="55"/>
      <c r="J168" s="55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</row>
    <row r="169" spans="1:41" x14ac:dyDescent="0.25">
      <c r="A169" s="11"/>
      <c r="B169" s="11"/>
      <c r="C169" s="11"/>
      <c r="D169" s="11"/>
      <c r="E169" s="11"/>
      <c r="F169" s="11"/>
      <c r="G169" s="11"/>
      <c r="H169" s="11"/>
      <c r="I169" s="55"/>
      <c r="J169" s="55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</row>
    <row r="170" spans="1:41" x14ac:dyDescent="0.25">
      <c r="A170" s="11"/>
      <c r="B170" s="11"/>
      <c r="C170" s="11"/>
      <c r="D170" s="11"/>
      <c r="E170" s="11"/>
      <c r="F170" s="11"/>
      <c r="G170" s="11"/>
      <c r="H170" s="11"/>
      <c r="I170" s="55"/>
      <c r="J170" s="55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</row>
    <row r="171" spans="1:41" x14ac:dyDescent="0.25">
      <c r="A171" s="11"/>
      <c r="B171" s="11"/>
      <c r="C171" s="11"/>
      <c r="D171" s="11"/>
      <c r="E171" s="11"/>
      <c r="F171" s="11"/>
      <c r="G171" s="11"/>
      <c r="H171" s="11"/>
      <c r="I171" s="55"/>
      <c r="J171" s="55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</row>
    <row r="172" spans="1:41" x14ac:dyDescent="0.25">
      <c r="A172" s="11"/>
      <c r="B172" s="11"/>
      <c r="C172" s="11"/>
      <c r="D172" s="11"/>
      <c r="E172" s="11"/>
      <c r="F172" s="11"/>
      <c r="G172" s="11"/>
      <c r="H172" s="11"/>
      <c r="I172" s="55"/>
      <c r="J172" s="55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</row>
    <row r="173" spans="1:41" x14ac:dyDescent="0.25">
      <c r="A173" s="11"/>
      <c r="B173" s="11"/>
      <c r="C173" s="11"/>
      <c r="D173" s="11"/>
      <c r="E173" s="11"/>
      <c r="F173" s="11"/>
      <c r="G173" s="11"/>
      <c r="H173" s="11"/>
      <c r="I173" s="55"/>
      <c r="J173" s="55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</row>
    <row r="174" spans="1:41" x14ac:dyDescent="0.25">
      <c r="A174" s="11"/>
      <c r="B174" s="11"/>
      <c r="C174" s="11"/>
      <c r="D174" s="11"/>
      <c r="E174" s="11"/>
      <c r="F174" s="11"/>
      <c r="G174" s="11"/>
      <c r="H174" s="11"/>
      <c r="I174" s="55"/>
      <c r="J174" s="55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</row>
    <row r="175" spans="1:41" x14ac:dyDescent="0.25">
      <c r="A175" s="11"/>
      <c r="B175" s="11"/>
      <c r="C175" s="11"/>
      <c r="D175" s="11"/>
      <c r="E175" s="11"/>
      <c r="F175" s="11"/>
      <c r="G175" s="11"/>
      <c r="H175" s="11"/>
      <c r="I175" s="55"/>
      <c r="J175" s="55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</row>
    <row r="176" spans="1:41" x14ac:dyDescent="0.25">
      <c r="A176" s="11"/>
      <c r="B176" s="11"/>
      <c r="C176" s="11"/>
      <c r="D176" s="11"/>
      <c r="E176" s="11"/>
      <c r="F176" s="11"/>
      <c r="G176" s="11"/>
      <c r="H176" s="11"/>
      <c r="I176" s="55"/>
      <c r="J176" s="55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</row>
    <row r="177" spans="1:41" x14ac:dyDescent="0.25">
      <c r="A177" s="11"/>
      <c r="B177" s="11"/>
      <c r="C177" s="11"/>
      <c r="D177" s="11"/>
      <c r="E177" s="11"/>
      <c r="F177" s="11"/>
      <c r="G177" s="11"/>
      <c r="H177" s="11"/>
      <c r="I177" s="55"/>
      <c r="J177" s="55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</row>
    <row r="178" spans="1:41" x14ac:dyDescent="0.25">
      <c r="A178" s="11"/>
      <c r="B178" s="11"/>
      <c r="C178" s="11"/>
      <c r="D178" s="11"/>
      <c r="E178" s="11"/>
      <c r="F178" s="11"/>
      <c r="G178" s="11"/>
      <c r="H178" s="11"/>
      <c r="I178" s="55"/>
      <c r="J178" s="55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</row>
    <row r="179" spans="1:41" x14ac:dyDescent="0.25">
      <c r="A179" s="11"/>
      <c r="B179" s="11"/>
      <c r="C179" s="11"/>
      <c r="D179" s="11"/>
      <c r="E179" s="11"/>
      <c r="F179" s="11"/>
      <c r="G179" s="11"/>
      <c r="H179" s="11"/>
      <c r="I179" s="55"/>
      <c r="J179" s="55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</row>
    <row r="180" spans="1:41" x14ac:dyDescent="0.25">
      <c r="A180" s="11"/>
      <c r="B180" s="11"/>
      <c r="C180" s="11"/>
      <c r="D180" s="11"/>
      <c r="E180" s="11"/>
      <c r="F180" s="11"/>
      <c r="G180" s="11"/>
      <c r="H180" s="11"/>
      <c r="I180" s="55"/>
      <c r="J180" s="55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</row>
    <row r="181" spans="1:41" x14ac:dyDescent="0.25">
      <c r="A181" s="11"/>
      <c r="B181" s="11"/>
      <c r="C181" s="11"/>
      <c r="D181" s="11"/>
      <c r="E181" s="11"/>
      <c r="F181" s="11"/>
      <c r="G181" s="11"/>
      <c r="H181" s="11"/>
      <c r="I181" s="55"/>
      <c r="J181" s="55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</row>
    <row r="182" spans="1:41" x14ac:dyDescent="0.25">
      <c r="A182" s="11"/>
      <c r="B182" s="11"/>
      <c r="C182" s="11"/>
      <c r="D182" s="11"/>
      <c r="E182" s="11"/>
      <c r="F182" s="11"/>
      <c r="G182" s="11"/>
      <c r="H182" s="11"/>
      <c r="I182" s="55"/>
      <c r="J182" s="55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</row>
    <row r="183" spans="1:41" x14ac:dyDescent="0.25">
      <c r="A183" s="11"/>
      <c r="B183" s="11"/>
      <c r="C183" s="11"/>
      <c r="D183" s="11"/>
      <c r="E183" s="11"/>
      <c r="F183" s="11"/>
      <c r="G183" s="11"/>
      <c r="H183" s="11"/>
      <c r="I183" s="55"/>
      <c r="J183" s="55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</row>
    <row r="184" spans="1:41" x14ac:dyDescent="0.25">
      <c r="A184" s="11"/>
      <c r="B184" s="11"/>
      <c r="C184" s="11"/>
      <c r="D184" s="11"/>
      <c r="E184" s="11"/>
      <c r="F184" s="11"/>
      <c r="G184" s="11"/>
      <c r="H184" s="11"/>
      <c r="I184" s="55"/>
      <c r="J184" s="55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</row>
    <row r="185" spans="1:41" x14ac:dyDescent="0.25">
      <c r="A185" s="11"/>
      <c r="B185" s="11"/>
      <c r="C185" s="11"/>
      <c r="D185" s="11"/>
      <c r="E185" s="11"/>
      <c r="F185" s="11"/>
      <c r="G185" s="11"/>
      <c r="H185" s="11"/>
      <c r="I185" s="55"/>
      <c r="J185" s="55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</row>
    <row r="186" spans="1:41" x14ac:dyDescent="0.25">
      <c r="A186" s="11"/>
      <c r="B186" s="11"/>
      <c r="C186" s="11"/>
      <c r="D186" s="11"/>
      <c r="E186" s="11"/>
      <c r="F186" s="11"/>
      <c r="G186" s="11"/>
      <c r="H186" s="11"/>
      <c r="I186" s="55"/>
      <c r="J186" s="55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</row>
    <row r="187" spans="1:41" x14ac:dyDescent="0.25">
      <c r="A187" s="11"/>
      <c r="B187" s="11"/>
      <c r="C187" s="11"/>
      <c r="D187" s="11"/>
      <c r="E187" s="11"/>
      <c r="F187" s="11"/>
      <c r="G187" s="11"/>
      <c r="H187" s="11"/>
      <c r="I187" s="55"/>
      <c r="J187" s="55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</row>
    <row r="188" spans="1:41" x14ac:dyDescent="0.25">
      <c r="A188" s="11"/>
      <c r="B188" s="11"/>
      <c r="C188" s="11"/>
      <c r="D188" s="11"/>
      <c r="E188" s="11"/>
      <c r="F188" s="11"/>
      <c r="G188" s="11"/>
      <c r="H188" s="11"/>
      <c r="I188" s="55"/>
      <c r="J188" s="55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</row>
    <row r="189" spans="1:41" x14ac:dyDescent="0.25">
      <c r="A189" s="11"/>
      <c r="B189" s="11"/>
      <c r="C189" s="11"/>
      <c r="D189" s="11"/>
      <c r="E189" s="11"/>
      <c r="F189" s="11"/>
      <c r="G189" s="11"/>
      <c r="H189" s="11"/>
      <c r="I189" s="55"/>
      <c r="J189" s="55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</row>
    <row r="190" spans="1:41" x14ac:dyDescent="0.25">
      <c r="A190" s="11"/>
      <c r="B190" s="11"/>
      <c r="C190" s="11"/>
      <c r="D190" s="11"/>
      <c r="E190" s="11"/>
      <c r="F190" s="11"/>
      <c r="G190" s="263"/>
      <c r="H190" s="11"/>
      <c r="I190" s="55"/>
      <c r="J190" s="55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</row>
    <row r="191" spans="1:41" x14ac:dyDescent="0.25">
      <c r="A191" s="11"/>
      <c r="B191" s="11"/>
      <c r="C191" s="11"/>
      <c r="D191" s="11"/>
      <c r="E191" s="11"/>
      <c r="F191" s="11"/>
      <c r="G191" s="11"/>
      <c r="H191" s="11"/>
      <c r="I191" s="55"/>
      <c r="J191" s="55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</row>
    <row r="192" spans="1:41" x14ac:dyDescent="0.25">
      <c r="A192" s="11"/>
      <c r="B192" s="11"/>
      <c r="C192" s="11"/>
      <c r="D192" s="11"/>
      <c r="E192" s="11"/>
      <c r="F192" s="11"/>
      <c r="G192" s="11"/>
      <c r="H192" s="11"/>
      <c r="I192" s="55"/>
      <c r="J192" s="55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</row>
    <row r="193" spans="1:41" x14ac:dyDescent="0.25">
      <c r="A193" s="11"/>
      <c r="B193" s="11"/>
      <c r="C193" s="11"/>
      <c r="D193" s="11"/>
      <c r="E193" s="11"/>
      <c r="F193" s="11"/>
      <c r="G193" s="11"/>
      <c r="H193" s="11"/>
      <c r="I193" s="55"/>
      <c r="J193" s="55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</row>
    <row r="194" spans="1:41" x14ac:dyDescent="0.25">
      <c r="A194" s="11"/>
      <c r="B194" s="11"/>
      <c r="C194" s="11"/>
      <c r="D194" s="11"/>
      <c r="E194" s="11"/>
      <c r="F194" s="11"/>
      <c r="G194" s="263"/>
      <c r="H194" s="11"/>
      <c r="I194" s="263"/>
      <c r="J194" s="11"/>
      <c r="K194" s="263"/>
      <c r="L194" s="263"/>
      <c r="M194" s="263"/>
      <c r="N194" s="11"/>
      <c r="O194" s="263"/>
      <c r="P194" s="263"/>
      <c r="Q194" s="263"/>
      <c r="R194" s="263"/>
      <c r="S194" s="263"/>
      <c r="T194" s="263"/>
      <c r="U194" s="263"/>
      <c r="V194" s="263"/>
      <c r="W194" s="263"/>
      <c r="X194" s="263"/>
      <c r="Y194" s="263"/>
      <c r="Z194" s="263"/>
      <c r="AA194" s="263"/>
      <c r="AB194" s="11"/>
      <c r="AC194" s="11"/>
      <c r="AD194" s="263"/>
      <c r="AE194" s="11"/>
      <c r="AF194" s="263"/>
      <c r="AG194" s="11"/>
      <c r="AH194" s="263"/>
      <c r="AI194" s="11"/>
      <c r="AJ194" s="11"/>
      <c r="AK194" s="11"/>
      <c r="AL194" s="11"/>
      <c r="AM194" s="11"/>
      <c r="AN194" s="11"/>
      <c r="AO194" s="11"/>
    </row>
    <row r="195" spans="1:41" x14ac:dyDescent="0.25">
      <c r="A195" s="11"/>
      <c r="B195" s="11"/>
      <c r="C195" s="11"/>
      <c r="D195" s="11"/>
      <c r="E195" s="11"/>
      <c r="F195" s="11"/>
      <c r="G195" s="11"/>
      <c r="H195" s="11"/>
      <c r="I195" s="55"/>
      <c r="J195" s="55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</row>
    <row r="196" spans="1:41" x14ac:dyDescent="0.25">
      <c r="A196" s="11"/>
      <c r="B196" s="11"/>
      <c r="C196" s="11"/>
      <c r="D196" s="11"/>
      <c r="E196" s="11"/>
      <c r="F196" s="11"/>
      <c r="G196" s="11"/>
      <c r="H196" s="11"/>
      <c r="I196" s="55"/>
      <c r="J196" s="55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</row>
    <row r="197" spans="1:41" x14ac:dyDescent="0.25">
      <c r="A197" s="11"/>
      <c r="B197" s="11"/>
      <c r="C197" s="11"/>
      <c r="D197" s="11"/>
      <c r="E197" s="11"/>
      <c r="F197" s="11"/>
      <c r="G197" s="11"/>
      <c r="H197" s="11"/>
      <c r="I197" s="55"/>
      <c r="J197" s="55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</row>
    <row r="198" spans="1:41" x14ac:dyDescent="0.25">
      <c r="A198" s="11"/>
      <c r="B198" s="11"/>
      <c r="C198" s="11"/>
      <c r="D198" s="11"/>
      <c r="E198" s="11"/>
      <c r="F198" s="11"/>
      <c r="G198" s="11"/>
      <c r="H198" s="11"/>
      <c r="I198" s="263"/>
      <c r="J198" s="11"/>
      <c r="K198" s="263"/>
      <c r="L198" s="263"/>
      <c r="M198" s="263"/>
      <c r="N198" s="11"/>
      <c r="O198" s="263"/>
      <c r="P198" s="263"/>
      <c r="Q198" s="263"/>
      <c r="R198" s="263"/>
      <c r="S198" s="263"/>
      <c r="T198" s="263"/>
      <c r="U198" s="263"/>
      <c r="V198" s="263"/>
      <c r="W198" s="263"/>
      <c r="X198" s="263"/>
      <c r="Y198" s="263"/>
      <c r="Z198" s="263"/>
      <c r="AA198" s="263"/>
      <c r="AB198" s="11"/>
      <c r="AC198" s="11"/>
      <c r="AD198" s="263"/>
      <c r="AE198" s="11"/>
      <c r="AF198" s="263"/>
      <c r="AG198" s="11"/>
      <c r="AH198" s="263"/>
      <c r="AI198" s="11"/>
      <c r="AJ198" s="11"/>
      <c r="AK198" s="11"/>
      <c r="AL198" s="11"/>
      <c r="AM198" s="11"/>
      <c r="AN198" s="11"/>
      <c r="AO198" s="11"/>
    </row>
  </sheetData>
  <sheetProtection algorithmName="SHA-512" hashValue="shu2L7CUvaOY490VoNBgLWAKOytwegnrv7iLGobLcneeKmuJTatpwkLvd2ug+Y55wDjI3opObmHRe5jqZz1jwQ==" saltValue="Tz6tQ5LtDUdeyuMF2tVVjA==" spinCount="100000" sheet="1" scenarios="1"/>
  <mergeCells count="2">
    <mergeCell ref="AD31:AE31"/>
    <mergeCell ref="AG31:AH31"/>
  </mergeCells>
  <dataValidations disablePrompts="1" count="2">
    <dataValidation type="list" allowBlank="1" sqref="B29 B62 B95" xr:uid="{00000000-0002-0000-0F00-000000000000}">
      <formula1>"SELF,ALL,BAS,DEP,BASMEMBERS,MEMBERS,NOEXPAND,GDEP"</formula1>
    </dataValidation>
    <dataValidation type="list" allowBlank="1" sqref="B28 B61 B94" xr:uid="{00000000-0002-0000-0F00-000001000000}">
      <formula1>"ACCOUNT,BUSINESSUNIT,CATEGORY,DATASRC,DEPARTMENT,INTCO,MEASURES,RPTCURRENCY,TIME"</formula1>
    </dataValidation>
  </dataValidations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customProperties>
    <customPr name="EpmWorksheetKeyString_GUID" r:id="rId2"/>
    <customPr name="FPMExcelClientCellBasedFunctionStatus" r:id="rId3"/>
    <customPr name="FPMExcelClientRefreshTime" r:id="rId4"/>
  </customProperties>
  <legacyDrawing r:id="rId5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9">
    <tabColor theme="6" tint="0.39997558519241921"/>
    <pageSetUpPr fitToPage="1"/>
  </sheetPr>
  <dimension ref="A1:AI211"/>
  <sheetViews>
    <sheetView topLeftCell="K25" zoomScale="85" zoomScaleNormal="85" workbookViewId="0">
      <pane xSplit="4" ySplit="8" topLeftCell="O33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3" width="9.7109375" style="1" hidden="1" customWidth="1" outlineLevel="1"/>
    <col min="14" max="14" width="38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16384" width="9.140625" style="1"/>
  </cols>
  <sheetData>
    <row r="1" spans="1:35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63" t="str">
        <f>VenueBar!N1</f>
        <v>Minnow Bar</v>
      </c>
      <c r="O1" s="11" t="s">
        <v>732</v>
      </c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</row>
    <row r="2" spans="1:35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11"/>
      <c r="H4" s="11"/>
      <c r="I4" s="55"/>
      <c r="J4" s="55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11"/>
      <c r="H5" s="11"/>
      <c r="I5" s="55"/>
      <c r="J5" s="55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idden="1" outlineLevel="1" x14ac:dyDescent="0.25">
      <c r="A6" s="49" t="s">
        <v>52</v>
      </c>
      <c r="B6" s="52" t="s">
        <v>735</v>
      </c>
      <c r="C6" s="11" t="str">
        <f>IF(_epmOfflineCondition_,"Venue (Bar)",_xll.EVDES(B6,$B$1))</f>
        <v>Venue (Bar)</v>
      </c>
      <c r="D6" s="11"/>
      <c r="E6" s="54" t="str">
        <f>IF(_epmOfflineCondition_,"D_VENUES",_xll.EVPRO($B$1,$B$6,$F$6))</f>
        <v>D_VENUES</v>
      </c>
      <c r="F6" s="11" t="s">
        <v>278</v>
      </c>
      <c r="G6" s="11"/>
      <c r="H6" s="11"/>
      <c r="I6" s="55"/>
      <c r="J6" s="55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11"/>
      <c r="H7" s="11"/>
      <c r="I7" s="55"/>
      <c r="J7" s="55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11"/>
      <c r="H8" s="11"/>
      <c r="I8" s="55"/>
      <c r="J8" s="55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59" t="str">
        <f>IF(SetUp!$O$1=TRUE,"TRAILING12",IF(AA17="CURRENT","ROLLINGFORECAST","PERIODIC"))</f>
        <v>PERIODIC</v>
      </c>
      <c r="AB11" s="11"/>
      <c r="AC11" s="11"/>
      <c r="AD11" s="11"/>
      <c r="AE11" s="11"/>
      <c r="AF11" s="11"/>
      <c r="AG11" s="11"/>
      <c r="AH11" s="11"/>
      <c r="AI11" s="11"/>
    </row>
    <row r="12" spans="1:35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11"/>
      <c r="M12" s="11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</row>
    <row r="13" spans="1:35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11"/>
      <c r="M13" s="11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</row>
    <row r="14" spans="1:35" hidden="1" outlineLevel="1" x14ac:dyDescent="0.25">
      <c r="A14" s="56" t="str">
        <f>IF(_epmOfflineCondition_,"Evdre:Ok",_xll.EVDRE($B$1,A17:B24))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11"/>
      <c r="M14" s="11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</row>
    <row r="15" spans="1:35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11"/>
      <c r="M15" s="11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</row>
    <row r="16" spans="1:35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11"/>
      <c r="M16" s="11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</row>
    <row r="17" spans="1:35" hidden="1" outlineLevel="1" x14ac:dyDescent="0.25">
      <c r="A17" s="61" t="s">
        <v>2</v>
      </c>
      <c r="B17" s="62" t="str">
        <f>IF(_epmOfflineCondition_,"'VenueBar_KPI'!$B$2:$B$10",_xll.EVRNG($B$2:$B$10))</f>
        <v>'VenueBar_KPI'!$B$2:$B$10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11"/>
      <c r="M17" s="11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 t="str">
        <f>Z17</f>
        <v>ACTUAL_CON</v>
      </c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</row>
    <row r="18" spans="1:35" hidden="1" outlineLevel="1" x14ac:dyDescent="0.25">
      <c r="A18" s="61" t="s">
        <v>3</v>
      </c>
      <c r="B18" s="62" t="str">
        <f>IF(_epmOfflineCondition_,"'VenueBar_KPI'!$O$16:$AI$18",_xll.EVRNG(O16:AI18))</f>
        <v>'VenueBar_KPI'!$O$16:$AI$18</v>
      </c>
      <c r="C18" s="11"/>
      <c r="D18" s="11"/>
      <c r="E18" s="11"/>
      <c r="F18" s="11"/>
      <c r="G18" s="11"/>
      <c r="H18" s="11"/>
      <c r="I18" s="55"/>
      <c r="J18" s="55"/>
      <c r="K18" s="11"/>
      <c r="L18" s="11"/>
      <c r="M18" s="11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59" t="str">
        <f>AA11</f>
        <v>PERIODIC</v>
      </c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</row>
    <row r="19" spans="1:35" hidden="1" outlineLevel="1" x14ac:dyDescent="0.25">
      <c r="A19" s="61" t="s">
        <v>4</v>
      </c>
      <c r="B19" s="62" t="str">
        <f>IF(_epmOfflineCondition_,"'VenueBar_KPI'!$H$35:$H$146",_xll.EVRNG(H35:H146))</f>
        <v>'VenueBar_KPI'!$H$35:$H$146</v>
      </c>
      <c r="C19" s="11"/>
      <c r="D19" s="11"/>
      <c r="E19" s="11"/>
      <c r="F19" s="11"/>
      <c r="G19" s="63" t="str">
        <f>$B$6</f>
        <v>D2146</v>
      </c>
      <c r="H19" s="63" t="s">
        <v>273</v>
      </c>
      <c r="I19" s="64"/>
      <c r="J19" s="64"/>
      <c r="K19" s="63"/>
      <c r="L19" s="63"/>
      <c r="M19" s="63"/>
      <c r="N19" s="63" t="str">
        <f>IF(_epmOfflineCondition_,"Total Food &amp; Beverage Revenue",_xll.EVDES(H19))</f>
        <v>Total Food &amp; Beverage Revenue</v>
      </c>
      <c r="O19" s="65">
        <f>IF(_epmOfflineCondition_,33316.49,_xll.EVGTS($B$1,1,$B$3,$B$5,$B$7,$B$9,O$16,O$17,O$18,$G$19,$H$19))</f>
        <v>33316.49</v>
      </c>
      <c r="P19" s="65">
        <f>IF(_epmOfflineCondition_,41112.4,_xll.EVGTS($B$1,1,$B$3,$B$5,$B$7,$B$9,P$16,P$17,P$18,$G$19,$H$19))</f>
        <v>41112.400000000001</v>
      </c>
      <c r="Q19" s="65">
        <f>IF(_epmOfflineCondition_,42913.12,_xll.EVGTS($B$1,1,$B$3,$B$5,$B$7,$B$9,Q$16,Q$17,Q$18,$G$19,$H$19))</f>
        <v>42913.120000000003</v>
      </c>
      <c r="R19" s="65">
        <f>IF(_epmOfflineCondition_,37674.11,_xll.EVGTS($B$1,1,$B$3,$B$5,$B$7,$B$9,R$16,R$17,R$18,$G$19,$H$19))</f>
        <v>37674.11</v>
      </c>
      <c r="S19" s="65">
        <f>IF(_epmOfflineCondition_,31787.05,_xll.EVGTS($B$1,1,$B$3,$B$5,$B$7,$B$9,S$16,S$17,S$18,$G$19,$H$19))</f>
        <v>31787.05</v>
      </c>
      <c r="T19" s="65">
        <f>IF(_epmOfflineCondition_,34357.83,_xll.EVGTS($B$1,1,$B$3,$B$5,$B$7,$B$9,T$16,T$17,T$18,$G$19,$H$19))</f>
        <v>34357.83</v>
      </c>
      <c r="U19" s="65">
        <f>IF(_epmOfflineCondition_,31109.45,_xll.EVGTS($B$1,1,$B$3,$B$5,$B$7,$B$9,U$16,U$17,U$18,$G$19,$H$19))</f>
        <v>31109.45</v>
      </c>
      <c r="V19" s="65">
        <f>IF(_epmOfflineCondition_,34813.32,_xll.EVGTS($B$1,1,$B$3,$B$5,$B$7,$B$9,V$16,V$17,V$18,$G$19,$H$19))</f>
        <v>34813.32</v>
      </c>
      <c r="W19" s="65">
        <f>IF(_epmOfflineCondition_,21151.71,_xll.EVGTS($B$1,1,$B$3,$B$5,$B$7,$B$9,W$16,W$17,W$18,$G$19,$H$19))</f>
        <v>21151.71</v>
      </c>
      <c r="X19" s="65">
        <f>IF(_epmOfflineCondition_,17828.2,_xll.EVGTS($B$1,1,$B$3,$B$5,$B$7,$B$9,X$16,X$17,X$18,$G$19,$H$19))</f>
        <v>17828.2</v>
      </c>
      <c r="Y19" s="65">
        <f>IF(_epmOfflineCondition_,20732.95,_xll.EVGTS($B$1,1,$B$3,$B$5,$B$7,$B$9,Y$16,Y$17,Y$18,$G$19,$H$19))</f>
        <v>20732.95</v>
      </c>
      <c r="Z19" s="65">
        <f>IF(_epmOfflineCondition_,26649.9,_xll.EVGTS($B$1,1,$B$3,$B$5,$B$7,$B$9,Z$16,Z$17,Z$18,$G$19,$H$19))</f>
        <v>26649.9</v>
      </c>
      <c r="AA19" s="65">
        <f>SUM(O19:Z19)</f>
        <v>373446.53000000009</v>
      </c>
      <c r="AB19" s="63"/>
      <c r="AC19" s="63"/>
      <c r="AD19" s="65">
        <f>IF(_epmOfflineCondition_,517192.73,_xll.EVGTS($B$1,1,$B$3,$B$5,$B$7,$B$9,AD$16,AD$17,AD$18,$G$19,$H$19))</f>
        <v>517192.73</v>
      </c>
      <c r="AE19" s="63"/>
      <c r="AF19" s="63"/>
      <c r="AG19" s="65">
        <f>IF(_epmOfflineCondition_,139861.58,_xll.EVGTS($B$1,1,$B$3,$B$5,$B$7,$B$9,AG$16,AG$17,AG$18,$G$19,$H$19))</f>
        <v>139861.57999999999</v>
      </c>
      <c r="AH19" s="63"/>
      <c r="AI19" s="63"/>
    </row>
    <row r="20" spans="1:35" hidden="1" outlineLevel="1" x14ac:dyDescent="0.25">
      <c r="A20" s="61" t="s">
        <v>5</v>
      </c>
      <c r="B20" s="62"/>
      <c r="C20" s="11"/>
      <c r="D20" s="11"/>
      <c r="E20" s="11"/>
      <c r="F20" s="11"/>
      <c r="G20" s="63" t="str">
        <f>$B$6</f>
        <v>D2146</v>
      </c>
      <c r="H20" s="63">
        <v>946000</v>
      </c>
      <c r="I20" s="64"/>
      <c r="J20" s="64"/>
      <c r="K20" s="63"/>
      <c r="L20" s="63"/>
      <c r="M20" s="63"/>
      <c r="N20" s="63" t="str">
        <f>IF(_epmOfflineCondition_,"Total Customers",_xll.EVDES(H20))</f>
        <v>Total Customers</v>
      </c>
      <c r="O20" s="65">
        <f>IF(_epmOfflineCondition_,1942,_xll.EVGTS($B$1,1,$B$3,$B$5,$B$7,$B$9,O$16,O$17,O$18,$G$20,$H$20))</f>
        <v>1942</v>
      </c>
      <c r="P20" s="65">
        <f>IF(_epmOfflineCondition_,2478,_xll.EVGTS($B$1,1,$B$3,$B$5,$B$7,$B$9,P$16,P$17,P$18,$G$20,$H$20))</f>
        <v>2478</v>
      </c>
      <c r="Q20" s="65">
        <f>IF(_epmOfflineCondition_,2730,_xll.EVGTS($B$1,1,$B$3,$B$5,$B$7,$B$9,Q$16,Q$17,Q$18,$G$20,$H$20))</f>
        <v>2730</v>
      </c>
      <c r="R20" s="65">
        <f>IF(_epmOfflineCondition_,2507,_xll.EVGTS($B$1,1,$B$3,$B$5,$B$7,$B$9,R$16,R$17,R$18,$G$20,$H$20))</f>
        <v>2507</v>
      </c>
      <c r="S20" s="65">
        <f>IF(_epmOfflineCondition_,2128,_xll.EVGTS($B$1,1,$B$3,$B$5,$B$7,$B$9,S$16,S$17,S$18,$G$20,$H$20))</f>
        <v>2128</v>
      </c>
      <c r="T20" s="65">
        <f>IF(_epmOfflineCondition_,2038,_xll.EVGTS($B$1,1,$B$3,$B$5,$B$7,$B$9,T$16,T$17,T$18,$G$20,$H$20))</f>
        <v>2038</v>
      </c>
      <c r="U20" s="65">
        <f>IF(_epmOfflineCondition_,2023,_xll.EVGTS($B$1,1,$B$3,$B$5,$B$7,$B$9,U$16,U$17,U$18,$G$20,$H$20))</f>
        <v>2023</v>
      </c>
      <c r="V20" s="65">
        <f>IF(_epmOfflineCondition_,2160,_xll.EVGTS($B$1,1,$B$3,$B$5,$B$7,$B$9,V$16,V$17,V$18,$G$20,$H$20))</f>
        <v>2160</v>
      </c>
      <c r="W20" s="65">
        <f>IF(_epmOfflineCondition_,1266,_xll.EVGTS($B$1,1,$B$3,$B$5,$B$7,$B$9,W$16,W$17,W$18,$G$20,$H$20))</f>
        <v>1266</v>
      </c>
      <c r="X20" s="65">
        <f>IF(_epmOfflineCondition_,1220,_xll.EVGTS($B$1,1,$B$3,$B$5,$B$7,$B$9,X$16,X$17,X$18,$G$20,$H$20))</f>
        <v>1220</v>
      </c>
      <c r="Y20" s="65">
        <f>IF(_epmOfflineCondition_,1139,_xll.EVGTS($B$1,1,$B$3,$B$5,$B$7,$B$9,Y$16,Y$17,Y$18,$G$20,$H$20))</f>
        <v>1139</v>
      </c>
      <c r="Z20" s="65">
        <f>IF(_epmOfflineCondition_,1404,_xll.EVGTS($B$1,1,$B$3,$B$5,$B$7,$B$9,Z$16,Z$17,Z$18,$G$20,$H$20))</f>
        <v>1404</v>
      </c>
      <c r="AA20" s="65">
        <f>SUM(O20:Z20)</f>
        <v>23035</v>
      </c>
      <c r="AB20" s="63"/>
      <c r="AC20" s="63"/>
      <c r="AD20" s="65">
        <f>IF(_epmOfflineCondition_,22861,_xll.EVGTS($B$1,1,$B$3,$B$5,$B$7,$B$9,AD$16,AD$17,AD$18,$G$20,$H$20))</f>
        <v>22861</v>
      </c>
      <c r="AE20" s="63"/>
      <c r="AF20" s="63"/>
      <c r="AG20" s="65">
        <f>IF(_epmOfflineCondition_,9023,_xll.EVGTS($B$1,1,$B$3,$B$5,$B$7,$B$9,AG$16,AG$17,AG$18,$G$20,$H$20))</f>
        <v>9023</v>
      </c>
      <c r="AH20" s="63"/>
      <c r="AI20" s="63"/>
    </row>
    <row r="21" spans="1:35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hidden="1" outlineLevel="1" x14ac:dyDescent="0.25">
      <c r="A22" s="61" t="s">
        <v>7</v>
      </c>
      <c r="B22" s="62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idden="1" outlineLevel="1" x14ac:dyDescent="0.25">
      <c r="A23" s="61" t="s">
        <v>47</v>
      </c>
      <c r="B23" s="62" t="str">
        <f>IF(_epmOfflineCondition_,"'VenueBar_KPI'!$A$37:$B$58",_xll.EVRNG($A$37:$B$58))</f>
        <v>'VenueBar_KPI'!$A$37:$B$58</v>
      </c>
      <c r="C23" s="11"/>
      <c r="D23" s="11"/>
      <c r="E23" s="11"/>
      <c r="F23" s="11"/>
      <c r="G23" s="11"/>
      <c r="H23" s="11"/>
      <c r="I23" s="55"/>
      <c r="J23" s="55"/>
      <c r="K23" s="6"/>
      <c r="L23" s="6"/>
      <c r="M23" s="6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380"/>
      <c r="AE23" s="11"/>
      <c r="AF23" s="11"/>
      <c r="AG23" s="11"/>
      <c r="AH23" s="11"/>
      <c r="AI23" s="11"/>
    </row>
    <row r="24" spans="1:35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22.5" x14ac:dyDescent="0.3">
      <c r="A26" s="57" t="s">
        <v>9</v>
      </c>
      <c r="B26" s="58" t="s">
        <v>10</v>
      </c>
      <c r="C26" s="11"/>
      <c r="D26" s="11"/>
      <c r="E26" s="11"/>
      <c r="F26" s="11"/>
      <c r="G26" s="11"/>
      <c r="H26" s="11"/>
      <c r="I26" s="55"/>
      <c r="J26" s="55"/>
      <c r="K26" s="11"/>
      <c r="L26" s="11"/>
      <c r="M26" s="11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8" x14ac:dyDescent="0.25">
      <c r="A27" s="61" t="s">
        <v>11</v>
      </c>
      <c r="B27" s="62" t="s">
        <v>21</v>
      </c>
      <c r="C27" s="11"/>
      <c r="D27" s="11"/>
      <c r="E27" s="11"/>
      <c r="F27" s="11"/>
      <c r="G27" s="11"/>
      <c r="H27" s="11"/>
      <c r="I27" s="55"/>
      <c r="J27" s="55"/>
      <c r="K27" s="11"/>
      <c r="L27" s="11"/>
      <c r="M27" s="11"/>
      <c r="N27" s="67" t="str">
        <f>IF(_epmOfflineCondition_,"Minnow Bar",IF($N$1="",IF(_xll.EVDES(B6,$B$1)="#NODATA","",_xll.EVDES(B6,$B$1)&amp;" Department"),$N$1))</f>
        <v>Minnow Bar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.75" x14ac:dyDescent="0.25">
      <c r="A28" s="61" t="s">
        <v>12</v>
      </c>
      <c r="B28" s="62" t="s">
        <v>22</v>
      </c>
      <c r="C28" s="11"/>
      <c r="D28" s="11"/>
      <c r="E28" s="11"/>
      <c r="F28" s="11"/>
      <c r="G28" s="11"/>
      <c r="H28" s="11"/>
      <c r="I28" s="55"/>
      <c r="J28" s="55"/>
      <c r="K28" s="11"/>
      <c r="L28" s="11"/>
      <c r="M28" s="11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ht="15" customHeight="1" x14ac:dyDescent="0.25">
      <c r="A29" s="61" t="s">
        <v>13</v>
      </c>
      <c r="B29" s="62" t="s">
        <v>293</v>
      </c>
      <c r="C29" s="11"/>
      <c r="D29" s="11"/>
      <c r="E29" s="11"/>
      <c r="F29" s="11"/>
      <c r="G29" s="11"/>
      <c r="H29" s="11"/>
      <c r="I29" s="55"/>
      <c r="J29" s="55"/>
      <c r="K29" s="11"/>
      <c r="L29" s="11"/>
      <c r="M29" s="11"/>
      <c r="N29" s="68" t="str">
        <f>IF(_epmOfflineCondition_,"Local Currency",_xll.EVDES(B9,B1))</f>
        <v>Local Currency</v>
      </c>
      <c r="O29" s="484" t="s">
        <v>344</v>
      </c>
      <c r="P29" s="484"/>
      <c r="Q29" s="484"/>
      <c r="R29" s="484"/>
      <c r="S29" s="484"/>
      <c r="T29" s="484"/>
      <c r="U29" s="484"/>
      <c r="V29" s="484"/>
      <c r="W29" s="484"/>
      <c r="X29" s="484"/>
      <c r="Y29" s="484"/>
      <c r="Z29" s="484"/>
      <c r="AA29" s="484"/>
      <c r="AB29" s="11"/>
      <c r="AC29" s="11"/>
      <c r="AD29" s="11"/>
      <c r="AE29" s="11"/>
      <c r="AF29" s="11"/>
      <c r="AG29" s="11"/>
      <c r="AH29" s="11"/>
      <c r="AI29" s="11"/>
    </row>
    <row r="30" spans="1:35" x14ac:dyDescent="0.25">
      <c r="A30" s="61" t="s">
        <v>14</v>
      </c>
      <c r="B30" s="62"/>
      <c r="C30" s="11"/>
      <c r="D30" s="11"/>
      <c r="E30" s="11"/>
      <c r="F30" s="11"/>
      <c r="G30" s="11"/>
      <c r="H30" s="11"/>
      <c r="I30" s="55"/>
      <c r="J30" s="55"/>
      <c r="K30" s="11"/>
      <c r="L30" s="11"/>
      <c r="M30" s="11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</row>
    <row r="31" spans="1:35" x14ac:dyDescent="0.25">
      <c r="A31" s="61" t="s">
        <v>15</v>
      </c>
      <c r="B31" s="62"/>
      <c r="C31" s="11"/>
      <c r="D31" s="11"/>
      <c r="E31" s="11"/>
      <c r="F31" s="11"/>
      <c r="G31" s="11"/>
      <c r="H31" s="11"/>
      <c r="I31" s="55"/>
      <c r="J31" s="55"/>
      <c r="K31" s="11"/>
      <c r="L31" s="11"/>
      <c r="M31" s="11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</row>
    <row r="32" spans="1:35" s="8" customFormat="1" ht="30" customHeight="1" x14ac:dyDescent="0.25">
      <c r="A32" s="77" t="s">
        <v>16</v>
      </c>
      <c r="B32" s="78"/>
      <c r="C32" s="79"/>
      <c r="D32" s="79"/>
      <c r="E32" s="11"/>
      <c r="F32" s="79"/>
      <c r="G32" s="79"/>
      <c r="H32" s="80"/>
      <c r="I32" s="81"/>
      <c r="J32" s="81"/>
      <c r="K32" s="79"/>
      <c r="L32" s="79"/>
      <c r="M32" s="79"/>
      <c r="N32" s="79"/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</row>
    <row r="33" spans="1:35" ht="15.75" x14ac:dyDescent="0.25">
      <c r="A33" s="61" t="s">
        <v>17</v>
      </c>
      <c r="B33" s="62"/>
      <c r="C33" s="11"/>
      <c r="D33" s="11"/>
      <c r="E33" s="11"/>
      <c r="F33" s="11"/>
      <c r="G33" s="11"/>
      <c r="H33" s="11"/>
      <c r="I33" s="55"/>
      <c r="J33" s="55"/>
      <c r="K33" s="11"/>
      <c r="L33" s="11"/>
      <c r="M33" s="11"/>
      <c r="N33" s="485" t="s">
        <v>330</v>
      </c>
      <c r="O33" s="125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7"/>
      <c r="AC33" s="11"/>
      <c r="AD33" s="125"/>
      <c r="AE33" s="126"/>
      <c r="AF33" s="127"/>
      <c r="AG33" s="125"/>
      <c r="AH33" s="126"/>
      <c r="AI33" s="127"/>
    </row>
    <row r="34" spans="1:35" x14ac:dyDescent="0.25">
      <c r="A34" s="11"/>
      <c r="B34" s="11"/>
      <c r="C34" s="11"/>
      <c r="D34" s="11"/>
      <c r="E34" s="11"/>
      <c r="F34" s="11"/>
      <c r="G34" s="11"/>
      <c r="H34" s="11"/>
      <c r="I34" s="55"/>
      <c r="J34" s="55"/>
      <c r="K34" s="11"/>
      <c r="L34" s="129" t="s">
        <v>364</v>
      </c>
      <c r="M34" s="129" t="s">
        <v>783</v>
      </c>
      <c r="N34" s="49" t="s">
        <v>312</v>
      </c>
      <c r="O34" s="199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114"/>
      <c r="AC34" s="11"/>
      <c r="AD34" s="199"/>
      <c r="AE34" s="200"/>
      <c r="AF34" s="114"/>
      <c r="AG34" s="199"/>
      <c r="AH34" s="200"/>
      <c r="AI34" s="114"/>
    </row>
    <row r="35" spans="1:35" x14ac:dyDescent="0.25">
      <c r="A35" s="11"/>
      <c r="B35" s="11"/>
      <c r="C35" s="11"/>
      <c r="D35" s="11"/>
      <c r="E35" s="11"/>
      <c r="F35" s="11"/>
      <c r="G35" s="11"/>
      <c r="H35" s="84" t="s">
        <v>260</v>
      </c>
      <c r="I35" s="118" t="str">
        <f>IF(_epmOfflineCondition_,"T5",_xll.EVPRO($B$1,$H35,"STYLE"))</f>
        <v>T5</v>
      </c>
      <c r="J35" s="118" t="str">
        <f>IF(_epmOfflineCondition_,"Y",_xll.EVPRO($B$1,$H35,"CALC"))</f>
        <v>Y</v>
      </c>
      <c r="K35" s="86"/>
      <c r="L35" s="86" t="str">
        <f>IF(_epmOfflineCondition_,"461100",_xll.EVPRO($B$1,H35,"JDEID"))</f>
        <v>461100</v>
      </c>
      <c r="M35" s="86" t="str">
        <f>IF(_epmOfflineCondition_,"",IF(AND(I35="N",J35="N"),_xll.EVPRO($B$1,H35,"PSFTID"),""))</f>
        <v/>
      </c>
      <c r="N35" s="86" t="str">
        <f>IF(_epmOfflineCondition_,"Breakfast Food",IF(_xll.EVDES(H35,$B$1)="#NODATA","",_xll.EVDES(H35,$B$1)))</f>
        <v>Breakfast Food</v>
      </c>
      <c r="O35" s="134">
        <v>12001.5</v>
      </c>
      <c r="P35" s="134">
        <v>13836.5</v>
      </c>
      <c r="Q35" s="134">
        <v>15952.92</v>
      </c>
      <c r="R35" s="134">
        <v>16340.27</v>
      </c>
      <c r="S35" s="134">
        <v>13047.79</v>
      </c>
      <c r="T35" s="134">
        <v>14200.5</v>
      </c>
      <c r="U35" s="134">
        <v>13499</v>
      </c>
      <c r="V35" s="134">
        <v>15901.38</v>
      </c>
      <c r="W35" s="134">
        <v>7086.5</v>
      </c>
      <c r="X35" s="134"/>
      <c r="Y35" s="134"/>
      <c r="Z35" s="134"/>
      <c r="AA35" s="134">
        <f t="shared" ref="AA35:AA41" si="0">SUM(O35:Z35)</f>
        <v>121866.36000000002</v>
      </c>
      <c r="AB35" s="138">
        <f>IF(AA35=0,"",IFERROR(AA35/AA$19,""))</f>
        <v>0.32632880535802539</v>
      </c>
      <c r="AC35" s="136"/>
      <c r="AD35" s="134">
        <v>25325.759999999998</v>
      </c>
      <c r="AE35" s="138">
        <f>IF(AD35=0,"",IFERROR(AD35/AD$19,""))</f>
        <v>4.8967741677266037E-2</v>
      </c>
      <c r="AF35" s="137">
        <f t="shared" ref="AF35:AF42" si="1">IF(AND($AA35="",AD35=""),"",$AA35-AD35)</f>
        <v>96540.60000000002</v>
      </c>
      <c r="AG35" s="134">
        <v>52682.87</v>
      </c>
      <c r="AH35" s="138">
        <f>IF(AG35=0,"",IFERROR(AG35/AG$19,""))</f>
        <v>0.37667864184002503</v>
      </c>
      <c r="AI35" s="137">
        <f t="shared" ref="AI35:AI42" si="2">IF(AND($AA35="",AG35=""),"",$AA35-AG35)</f>
        <v>69183.49000000002</v>
      </c>
    </row>
    <row r="36" spans="1:35" x14ac:dyDescent="0.25">
      <c r="A36" s="57" t="s">
        <v>23</v>
      </c>
      <c r="B36" s="58" t="s">
        <v>24</v>
      </c>
      <c r="C36" s="11"/>
      <c r="D36" s="11"/>
      <c r="E36" s="11"/>
      <c r="F36" s="11"/>
      <c r="G36" s="11"/>
      <c r="H36" s="84" t="s">
        <v>294</v>
      </c>
      <c r="I36" s="118" t="str">
        <f>IF(_epmOfflineCondition_,"T6",_xll.EVPRO($B$1,$H36,"STYLE"))</f>
        <v>T6</v>
      </c>
      <c r="J36" s="118" t="str">
        <f>IF(_epmOfflineCondition_,"Y",_xll.EVPRO($B$1,$H36,"CALC"))</f>
        <v>Y</v>
      </c>
      <c r="K36" s="86"/>
      <c r="L36" s="86" t="str">
        <f>IF(_epmOfflineCondition_,"461200",_xll.EVPRO($B$1,H36,"JDEID"))</f>
        <v>461200</v>
      </c>
      <c r="M36" s="86" t="str">
        <f>IF(_epmOfflineCondition_,"",IF(AND(I36="N",J36="N"),_xll.EVPRO($B$1,H36,"PSFTID"),""))</f>
        <v/>
      </c>
      <c r="N36" s="86" t="str">
        <f>IF(_epmOfflineCondition_,"Breakfast Liquor",IF(_xll.EVDES(H36,$B$1)="#NODATA","",_xll.EVDES(H36,$B$1)))</f>
        <v>Breakfast Liquor</v>
      </c>
      <c r="O36" s="134">
        <v>200</v>
      </c>
      <c r="P36" s="134">
        <v>250</v>
      </c>
      <c r="Q36" s="134">
        <v>371</v>
      </c>
      <c r="R36" s="134">
        <v>251</v>
      </c>
      <c r="S36" s="134">
        <v>369</v>
      </c>
      <c r="T36" s="134">
        <v>255</v>
      </c>
      <c r="U36" s="134">
        <v>280</v>
      </c>
      <c r="V36" s="134">
        <v>238</v>
      </c>
      <c r="W36" s="134">
        <v>176</v>
      </c>
      <c r="X36" s="134"/>
      <c r="Y36" s="134"/>
      <c r="Z36" s="134"/>
      <c r="AA36" s="134">
        <f t="shared" si="0"/>
        <v>2390</v>
      </c>
      <c r="AB36" s="138">
        <f>IF(AA36=0,"",IFERROR(AA36/AA$19,""))</f>
        <v>6.3998452469219607E-3</v>
      </c>
      <c r="AC36" s="136"/>
      <c r="AD36" s="134"/>
      <c r="AE36" s="138" t="str">
        <f>IF(AD36=0,"",IFERROR(AD36/AD$19,""))</f>
        <v/>
      </c>
      <c r="AF36" s="137">
        <f t="shared" si="1"/>
        <v>2390</v>
      </c>
      <c r="AG36" s="134">
        <v>114</v>
      </c>
      <c r="AH36" s="138">
        <f>IF(AG36=0,"",IFERROR(AG36/AG$19,""))</f>
        <v>8.1509160700172275E-4</v>
      </c>
      <c r="AI36" s="137">
        <f t="shared" si="2"/>
        <v>2276</v>
      </c>
    </row>
    <row r="37" spans="1:35" x14ac:dyDescent="0.25">
      <c r="A37" s="61" t="s">
        <v>25</v>
      </c>
      <c r="B37" s="62"/>
      <c r="C37" s="11"/>
      <c r="D37" s="11"/>
      <c r="E37" s="11"/>
      <c r="F37" s="11"/>
      <c r="G37" s="11"/>
      <c r="H37" s="84" t="s">
        <v>295</v>
      </c>
      <c r="I37" s="118" t="str">
        <f>IF(_epmOfflineCondition_,"T6",_xll.EVPRO($B$1,$H37,"STYLE"))</f>
        <v>T6</v>
      </c>
      <c r="J37" s="118" t="str">
        <f>IF(_epmOfflineCondition_,"Y",_xll.EVPRO($B$1,$H37,"CALC"))</f>
        <v>Y</v>
      </c>
      <c r="K37" s="86"/>
      <c r="L37" s="86" t="str">
        <f>IF(_epmOfflineCondition_,"461300",_xll.EVPRO($B$1,H37,"JDEID"))</f>
        <v>461300</v>
      </c>
      <c r="M37" s="86" t="str">
        <f>IF(_epmOfflineCondition_,"",IF(AND(I37="N",J37="N"),_xll.EVPRO($B$1,H37,"PSFTID"),""))</f>
        <v/>
      </c>
      <c r="N37" s="86" t="str">
        <f>IF(_epmOfflineCondition_,"Breakfast Beer",IF(_xll.EVDES(H37,$B$1)="#NODATA","",_xll.EVDES(H37,$B$1)))</f>
        <v>Breakfast Beer</v>
      </c>
      <c r="O37" s="134">
        <v>7</v>
      </c>
      <c r="P37" s="134">
        <v>97</v>
      </c>
      <c r="Q37" s="134">
        <v>38</v>
      </c>
      <c r="R37" s="134">
        <v>17</v>
      </c>
      <c r="S37" s="134">
        <v>86</v>
      </c>
      <c r="T37" s="134">
        <v>19</v>
      </c>
      <c r="U37" s="134">
        <v>59</v>
      </c>
      <c r="V37" s="134">
        <v>9</v>
      </c>
      <c r="W37" s="134"/>
      <c r="X37" s="134"/>
      <c r="Y37" s="134"/>
      <c r="Z37" s="134"/>
      <c r="AA37" s="134">
        <f t="shared" si="0"/>
        <v>332</v>
      </c>
      <c r="AB37" s="138">
        <f>IF(AA37=0,"",IFERROR(AA37/AA$19,""))</f>
        <v>8.8901615982346898E-4</v>
      </c>
      <c r="AC37" s="136"/>
      <c r="AD37" s="134"/>
      <c r="AE37" s="138" t="str">
        <f>IF(AD37=0,"",IFERROR(AD37/AD$19,""))</f>
        <v/>
      </c>
      <c r="AF37" s="137">
        <f t="shared" si="1"/>
        <v>332</v>
      </c>
      <c r="AG37" s="134">
        <v>124</v>
      </c>
      <c r="AH37" s="138">
        <f>IF(AG37=0,"",IFERROR(AG37/AG$19,""))</f>
        <v>8.8659087077380368E-4</v>
      </c>
      <c r="AI37" s="137">
        <f t="shared" si="2"/>
        <v>208</v>
      </c>
    </row>
    <row r="38" spans="1:35" x14ac:dyDescent="0.25">
      <c r="A38" s="61" t="s">
        <v>26</v>
      </c>
      <c r="B38" s="62"/>
      <c r="C38" s="11"/>
      <c r="D38" s="11"/>
      <c r="E38" s="11"/>
      <c r="F38" s="11"/>
      <c r="G38" s="11"/>
      <c r="H38" s="84" t="s">
        <v>296</v>
      </c>
      <c r="I38" s="118" t="str">
        <f>IF(_epmOfflineCondition_,"T6",_xll.EVPRO($B$1,$H38,"STYLE"))</f>
        <v>T6</v>
      </c>
      <c r="J38" s="118" t="str">
        <f>IF(_epmOfflineCondition_,"Y",_xll.EVPRO($B$1,$H38,"CALC"))</f>
        <v>Y</v>
      </c>
      <c r="K38" s="86"/>
      <c r="L38" s="86" t="str">
        <f>IF(_epmOfflineCondition_,"461400",_xll.EVPRO($B$1,H38,"JDEID"))</f>
        <v>461400</v>
      </c>
      <c r="M38" s="86" t="str">
        <f>IF(_epmOfflineCondition_,"",IF(AND(I38="N",J38="N"),_xll.EVPRO($B$1,H38,"PSFTID"),""))</f>
        <v/>
      </c>
      <c r="N38" s="86" t="str">
        <f>IF(_epmOfflineCondition_,"Breakfast Wine",IF(_xll.EVDES(H38,$B$1)="#NODATA","",_xll.EVDES(H38,$B$1)))</f>
        <v>Breakfast Wine</v>
      </c>
      <c r="O38" s="228">
        <v>9</v>
      </c>
      <c r="P38" s="228">
        <v>43</v>
      </c>
      <c r="Q38" s="228"/>
      <c r="R38" s="228"/>
      <c r="S38" s="228">
        <v>9</v>
      </c>
      <c r="T38" s="228">
        <v>45</v>
      </c>
      <c r="U38" s="228">
        <v>10</v>
      </c>
      <c r="V38" s="228">
        <v>20</v>
      </c>
      <c r="W38" s="228"/>
      <c r="X38" s="228"/>
      <c r="Y38" s="228"/>
      <c r="Z38" s="228"/>
      <c r="AA38" s="228">
        <f t="shared" si="0"/>
        <v>136</v>
      </c>
      <c r="AB38" s="230">
        <f>IF(AA38=0,"",IFERROR(AA38/AA$19,""))</f>
        <v>3.6417529438551743E-4</v>
      </c>
      <c r="AC38" s="136"/>
      <c r="AD38" s="228"/>
      <c r="AE38" s="230" t="str">
        <f>IF(AD38=0,"",IFERROR(AD38/AD$19,""))</f>
        <v/>
      </c>
      <c r="AF38" s="231">
        <f t="shared" si="1"/>
        <v>136</v>
      </c>
      <c r="AG38" s="228">
        <v>173</v>
      </c>
      <c r="AH38" s="230">
        <f>IF(AG38=0,"",IFERROR(AG38/AG$19,""))</f>
        <v>1.2369372632570004E-3</v>
      </c>
      <c r="AI38" s="231">
        <f t="shared" si="2"/>
        <v>-37</v>
      </c>
    </row>
    <row r="39" spans="1:35" x14ac:dyDescent="0.25">
      <c r="A39" s="61" t="s">
        <v>27</v>
      </c>
      <c r="B39" s="62"/>
      <c r="C39" s="11"/>
      <c r="D39" s="11"/>
      <c r="E39" s="11"/>
      <c r="F39" s="11"/>
      <c r="G39" s="11"/>
      <c r="H39" s="84" t="s">
        <v>318</v>
      </c>
      <c r="I39" s="118" t="str">
        <f>IF(_epmOfflineCondition_,"N",_xll.EVPRO($B$1,$H39,"STYLE"))</f>
        <v>N</v>
      </c>
      <c r="J39" s="118" t="str">
        <f>IF(_epmOfflineCondition_,"Y",_xll.EVPRO($B$1,$H39,"CALC"))</f>
        <v>Y</v>
      </c>
      <c r="K39" s="86"/>
      <c r="L39" s="86" t="str">
        <f>IF(_epmOfflineCondition_,"",_xll.EVPRO($B$1,H39,"JDEID"))</f>
        <v/>
      </c>
      <c r="M39" s="86" t="str">
        <f>IF(_epmOfflineCondition_,"",IF(AND(I39="N",J39="N"),_xll.EVPRO($B$1,H39,"PSFTID"),""))</f>
        <v/>
      </c>
      <c r="N39" s="102" t="str">
        <f>IF(_epmOfflineCondition_,"Breakfast Revenue",IF(_xll.EVDES(H39,$B$1)="#NODATA","",_xll.EVDES(H39,$B$1)))</f>
        <v>Breakfast Revenue</v>
      </c>
      <c r="O39" s="158">
        <v>12217.5</v>
      </c>
      <c r="P39" s="158">
        <v>14226.5</v>
      </c>
      <c r="Q39" s="158">
        <v>16361.92</v>
      </c>
      <c r="R39" s="158">
        <v>16608.27</v>
      </c>
      <c r="S39" s="158">
        <v>13511.79</v>
      </c>
      <c r="T39" s="158">
        <v>14519.5</v>
      </c>
      <c r="U39" s="158">
        <v>13848</v>
      </c>
      <c r="V39" s="158">
        <v>16168.38</v>
      </c>
      <c r="W39" s="158">
        <v>7262.5</v>
      </c>
      <c r="X39" s="158"/>
      <c r="Y39" s="158"/>
      <c r="Z39" s="158"/>
      <c r="AA39" s="158">
        <f t="shared" si="0"/>
        <v>124724.36000000002</v>
      </c>
      <c r="AB39" s="159">
        <f>IF(AA39=0,"",IFERROR(AA39/AA$19,""))</f>
        <v>0.33398184205915632</v>
      </c>
      <c r="AC39" s="136"/>
      <c r="AD39" s="158">
        <v>25325.759999999998</v>
      </c>
      <c r="AE39" s="159">
        <f>IF(AD39=0,"",IFERROR(AD39/AD$19,""))</f>
        <v>4.8967741677266037E-2</v>
      </c>
      <c r="AF39" s="160">
        <f t="shared" si="1"/>
        <v>99398.60000000002</v>
      </c>
      <c r="AG39" s="158">
        <v>53093.87</v>
      </c>
      <c r="AH39" s="159">
        <f>IF(AG39=0,"",IFERROR(AG39/AG$19,""))</f>
        <v>0.37961726158105757</v>
      </c>
      <c r="AI39" s="160">
        <f t="shared" si="2"/>
        <v>71630.49000000002</v>
      </c>
    </row>
    <row r="40" spans="1:35" x14ac:dyDescent="0.25">
      <c r="A40" s="61" t="s">
        <v>28</v>
      </c>
      <c r="B40" s="62"/>
      <c r="C40" s="11"/>
      <c r="D40" s="11"/>
      <c r="E40" s="11"/>
      <c r="F40" s="11"/>
      <c r="G40" s="11"/>
      <c r="H40" s="84" t="s">
        <v>764</v>
      </c>
      <c r="I40" s="118" t="str">
        <f>IF(_epmOfflineCondition_,"N",_xll.EVPRO($B$1,$H40,"STYLE"))</f>
        <v>N</v>
      </c>
      <c r="J40" s="118" t="str">
        <f>IF(_epmOfflineCondition_,"N",_xll.EVPRO($B$1,$H40,"CALC"))</f>
        <v>N</v>
      </c>
      <c r="K40" s="86"/>
      <c r="L40" s="86" t="str">
        <f>IF(_epmOfflineCondition_,"947100",_xll.EVPRO($B$1,H40,"JDEID"))</f>
        <v>947100</v>
      </c>
      <c r="M40" s="86" t="str">
        <f>IF(_epmOfflineCondition_,"999991",IF(AND(I40="N",J40="N"),_xll.EVPRO($B$1,H40,"PSFTID"),""))</f>
        <v>999991</v>
      </c>
      <c r="N40" s="86" t="str">
        <f>IF(_epmOfflineCondition_,"# of Operating Days - Breakfast",IF(_xll.EVDES(H40,$B$1)="#NODATA","",_xll.EVDES(H40,$B$1)))</f>
        <v># of Operating Days - Breakfast</v>
      </c>
      <c r="O40" s="240">
        <v>31</v>
      </c>
      <c r="P40" s="240">
        <v>28</v>
      </c>
      <c r="Q40" s="240">
        <v>31</v>
      </c>
      <c r="R40" s="240">
        <v>30</v>
      </c>
      <c r="S40" s="240">
        <v>31</v>
      </c>
      <c r="T40" s="240">
        <v>30</v>
      </c>
      <c r="U40" s="240">
        <v>31</v>
      </c>
      <c r="V40" s="240">
        <v>31</v>
      </c>
      <c r="W40" s="240">
        <v>30</v>
      </c>
      <c r="X40" s="240"/>
      <c r="Y40" s="240"/>
      <c r="Z40" s="240"/>
      <c r="AA40" s="240">
        <f t="shared" si="0"/>
        <v>273</v>
      </c>
      <c r="AB40" s="242"/>
      <c r="AC40" s="136"/>
      <c r="AD40" s="240">
        <v>89</v>
      </c>
      <c r="AE40" s="242"/>
      <c r="AF40" s="243">
        <f t="shared" si="1"/>
        <v>184</v>
      </c>
      <c r="AG40" s="240">
        <v>276</v>
      </c>
      <c r="AH40" s="242"/>
      <c r="AI40" s="243">
        <f t="shared" si="2"/>
        <v>-3</v>
      </c>
    </row>
    <row r="41" spans="1:35" x14ac:dyDescent="0.25">
      <c r="A41" s="61" t="s">
        <v>29</v>
      </c>
      <c r="B41" s="62"/>
      <c r="C41" s="11"/>
      <c r="D41" s="11"/>
      <c r="E41" s="11"/>
      <c r="F41" s="11"/>
      <c r="G41" s="11"/>
      <c r="H41" s="84" t="s">
        <v>297</v>
      </c>
      <c r="I41" s="118" t="str">
        <f>IF(_epmOfflineCondition_,"N",_xll.EVPRO($B$1,$H41,"STYLE"))</f>
        <v>N</v>
      </c>
      <c r="J41" s="118" t="str">
        <f>IF(_epmOfflineCondition_,"N",_xll.EVPRO($B$1,$H41,"CALC"))</f>
        <v>N</v>
      </c>
      <c r="K41" s="86"/>
      <c r="L41" s="86" t="str">
        <f>IF(_epmOfflineCondition_,"946100",_xll.EVPRO($B$1,H41,"JDEID"))</f>
        <v>946100</v>
      </c>
      <c r="M41" s="86" t="str">
        <f>IF(_epmOfflineCondition_,"991501",IF(AND(I41="N",J41="N"),_xll.EVPRO($B$1,H41,"PSFTID"),""))</f>
        <v>991501</v>
      </c>
      <c r="N41" s="86" t="str">
        <f>IF(_epmOfflineCondition_,"Breakfast Customers",IF(_xll.EVDES(H41,$B$1)="#NODATA","",_xll.EVDES(H41,$B$1)))</f>
        <v>Breakfast Customers</v>
      </c>
      <c r="O41" s="240">
        <v>796</v>
      </c>
      <c r="P41" s="240">
        <v>1012</v>
      </c>
      <c r="Q41" s="240">
        <v>1146</v>
      </c>
      <c r="R41" s="240">
        <v>1161</v>
      </c>
      <c r="S41" s="240">
        <v>934</v>
      </c>
      <c r="T41" s="240">
        <v>908</v>
      </c>
      <c r="U41" s="240">
        <v>917</v>
      </c>
      <c r="V41" s="240">
        <v>1061</v>
      </c>
      <c r="W41" s="240">
        <v>443</v>
      </c>
      <c r="X41" s="240"/>
      <c r="Y41" s="240"/>
      <c r="Z41" s="240"/>
      <c r="AA41" s="240">
        <f t="shared" si="0"/>
        <v>8378</v>
      </c>
      <c r="AB41" s="242">
        <f>IF(AA41=0,"",IFERROR(AA41/AA$87,""))</f>
        <v>0.36370740177990013</v>
      </c>
      <c r="AC41" s="136"/>
      <c r="AD41" s="240">
        <v>1426</v>
      </c>
      <c r="AE41" s="242">
        <f>IF(AD41=0,"",IFERROR(AD41/AD$87,""))</f>
        <v>6.2376973885656793E-2</v>
      </c>
      <c r="AF41" s="243">
        <f t="shared" si="1"/>
        <v>6952</v>
      </c>
      <c r="AG41" s="240">
        <v>3895</v>
      </c>
      <c r="AH41" s="242">
        <f>IF(AG41=0,"",IFERROR(AG41/AG$87,""))</f>
        <v>0.43167460933170787</v>
      </c>
      <c r="AI41" s="243">
        <f t="shared" si="2"/>
        <v>4483</v>
      </c>
    </row>
    <row r="42" spans="1:35" x14ac:dyDescent="0.25">
      <c r="A42" s="61" t="s">
        <v>30</v>
      </c>
      <c r="B42" s="62" t="s">
        <v>78</v>
      </c>
      <c r="C42" s="11"/>
      <c r="D42" s="11"/>
      <c r="E42" s="11"/>
      <c r="F42" s="11"/>
      <c r="G42" s="11"/>
      <c r="H42" s="84" t="s">
        <v>313</v>
      </c>
      <c r="I42" s="118" t="str">
        <f>IF(_epmOfflineCondition_,"N",_xll.EVPRO($B$1,$H42,"STYLE"))</f>
        <v>N</v>
      </c>
      <c r="J42" s="118" t="str">
        <f>IF(_epmOfflineCondition_,"Y",_xll.EVPRO($B$1,$H42,"CALC"))</f>
        <v>Y</v>
      </c>
      <c r="K42" s="86"/>
      <c r="L42" s="86" t="str">
        <f>IF(_epmOfflineCondition_,"",_xll.EVPRO($B$1,H42,"JDEID"))</f>
        <v/>
      </c>
      <c r="M42" s="86" t="str">
        <f>IF(_epmOfflineCondition_,"",IF(AND(I42="N",J42="N"),_xll.EVPRO($B$1,H42,"PSFTID"),""))</f>
        <v/>
      </c>
      <c r="N42" s="186" t="str">
        <f>IF(_epmOfflineCondition_,"Breakfast - Average Check",IF(_xll.EVDES(H42,$B$1)="#NODATA","",_xll.EVDES(H42,$B$1)))</f>
        <v>Breakfast - Average Check</v>
      </c>
      <c r="O42" s="490">
        <v>15.3486180904523</v>
      </c>
      <c r="P42" s="490">
        <v>14.0578063241107</v>
      </c>
      <c r="Q42" s="490">
        <v>14.277417102966799</v>
      </c>
      <c r="R42" s="490">
        <v>14.305142118862999</v>
      </c>
      <c r="S42" s="490">
        <v>14.466584582441101</v>
      </c>
      <c r="T42" s="490">
        <v>15.990638766519799</v>
      </c>
      <c r="U42" s="490">
        <v>15.101417666303201</v>
      </c>
      <c r="V42" s="490">
        <v>15.2388124410933</v>
      </c>
      <c r="W42" s="490">
        <v>16.3939051918736</v>
      </c>
      <c r="X42" s="490"/>
      <c r="Y42" s="490"/>
      <c r="Z42" s="490"/>
      <c r="AA42" s="490">
        <f>IFERROR(AA39/AA41,"")</f>
        <v>14.887128192886133</v>
      </c>
      <c r="AB42" s="490"/>
      <c r="AC42" s="136"/>
      <c r="AD42" s="490">
        <v>17.760000000000002</v>
      </c>
      <c r="AE42" s="490"/>
      <c r="AF42" s="491">
        <f t="shared" si="1"/>
        <v>-2.872871807113869</v>
      </c>
      <c r="AG42" s="490">
        <v>13.6312888318357</v>
      </c>
      <c r="AH42" s="490"/>
      <c r="AI42" s="491">
        <f t="shared" si="2"/>
        <v>1.2558393610504321</v>
      </c>
    </row>
    <row r="43" spans="1:35" x14ac:dyDescent="0.25">
      <c r="A43" s="61" t="s">
        <v>31</v>
      </c>
      <c r="B43" s="62" t="s">
        <v>78</v>
      </c>
      <c r="C43" s="11"/>
      <c r="D43" s="11"/>
      <c r="E43" s="11"/>
      <c r="F43" s="11"/>
      <c r="G43" s="486">
        <f>COUNTIF(O44:AI44,FALSE)</f>
        <v>0</v>
      </c>
      <c r="H43" s="84"/>
      <c r="I43" s="118"/>
      <c r="J43" s="118"/>
      <c r="K43" s="86"/>
      <c r="L43" s="86"/>
      <c r="M43" s="86"/>
      <c r="N43" s="487" t="s">
        <v>345</v>
      </c>
      <c r="O43" s="492">
        <f t="shared" ref="O43:AA43" si="3">ROUND(IFERROR(O39/O41,0),2)</f>
        <v>15.35</v>
      </c>
      <c r="P43" s="493">
        <f t="shared" si="3"/>
        <v>14.06</v>
      </c>
      <c r="Q43" s="493">
        <f t="shared" si="3"/>
        <v>14.28</v>
      </c>
      <c r="R43" s="493">
        <f t="shared" si="3"/>
        <v>14.31</v>
      </c>
      <c r="S43" s="493">
        <f t="shared" si="3"/>
        <v>14.47</v>
      </c>
      <c r="T43" s="493">
        <f t="shared" si="3"/>
        <v>15.99</v>
      </c>
      <c r="U43" s="493">
        <f t="shared" si="3"/>
        <v>15.1</v>
      </c>
      <c r="V43" s="493">
        <f t="shared" si="3"/>
        <v>15.24</v>
      </c>
      <c r="W43" s="493">
        <f t="shared" si="3"/>
        <v>16.39</v>
      </c>
      <c r="X43" s="493">
        <f t="shared" si="3"/>
        <v>0</v>
      </c>
      <c r="Y43" s="493">
        <f t="shared" si="3"/>
        <v>0</v>
      </c>
      <c r="Z43" s="493">
        <f t="shared" si="3"/>
        <v>0</v>
      </c>
      <c r="AA43" s="493">
        <f t="shared" si="3"/>
        <v>14.89</v>
      </c>
      <c r="AB43" s="494"/>
      <c r="AC43" s="136"/>
      <c r="AD43" s="492">
        <f>ROUND(IFERROR(AD39/AD41,0),2)</f>
        <v>17.760000000000002</v>
      </c>
      <c r="AE43" s="493"/>
      <c r="AF43" s="151"/>
      <c r="AG43" s="492">
        <f>ROUND(IFERROR(AG39/AG41,0),2)</f>
        <v>13.63</v>
      </c>
      <c r="AH43" s="493"/>
      <c r="AI43" s="151"/>
    </row>
    <row r="44" spans="1:35" x14ac:dyDescent="0.25">
      <c r="A44" s="61" t="s">
        <v>32</v>
      </c>
      <c r="B44" s="62"/>
      <c r="C44" s="11"/>
      <c r="D44" s="11"/>
      <c r="E44" s="11"/>
      <c r="F44" s="11"/>
      <c r="G44" s="11"/>
      <c r="H44" s="84"/>
      <c r="I44" s="118"/>
      <c r="J44" s="118"/>
      <c r="K44" s="86"/>
      <c r="L44" s="86"/>
      <c r="M44" s="86"/>
      <c r="N44" s="49" t="s">
        <v>314</v>
      </c>
      <c r="O44" s="495" t="b">
        <f t="shared" ref="O44:AA44" si="4">ROUND(O42,2)=ROUND(O43,2)</f>
        <v>1</v>
      </c>
      <c r="P44" s="496" t="b">
        <f t="shared" si="4"/>
        <v>1</v>
      </c>
      <c r="Q44" s="496" t="b">
        <f t="shared" si="4"/>
        <v>1</v>
      </c>
      <c r="R44" s="496" t="b">
        <f t="shared" si="4"/>
        <v>1</v>
      </c>
      <c r="S44" s="496" t="b">
        <f t="shared" si="4"/>
        <v>1</v>
      </c>
      <c r="T44" s="496" t="b">
        <f t="shared" si="4"/>
        <v>1</v>
      </c>
      <c r="U44" s="496" t="b">
        <f t="shared" si="4"/>
        <v>1</v>
      </c>
      <c r="V44" s="496" t="b">
        <f t="shared" si="4"/>
        <v>1</v>
      </c>
      <c r="W44" s="496" t="b">
        <f t="shared" si="4"/>
        <v>1</v>
      </c>
      <c r="X44" s="496" t="b">
        <f t="shared" si="4"/>
        <v>1</v>
      </c>
      <c r="Y44" s="496" t="b">
        <f t="shared" si="4"/>
        <v>1</v>
      </c>
      <c r="Z44" s="496" t="b">
        <f t="shared" si="4"/>
        <v>1</v>
      </c>
      <c r="AA44" s="496" t="b">
        <f t="shared" si="4"/>
        <v>1</v>
      </c>
      <c r="AB44" s="497"/>
      <c r="AC44" s="498"/>
      <c r="AD44" s="495"/>
      <c r="AE44" s="496" t="b">
        <f>ROUND(AD42,2)=ROUND(AD43,2)</f>
        <v>1</v>
      </c>
      <c r="AF44" s="497"/>
      <c r="AG44" s="495"/>
      <c r="AH44" s="496" t="b">
        <f>ROUND(AG42,2)=ROUND(AG43,2)</f>
        <v>1</v>
      </c>
      <c r="AI44" s="497"/>
    </row>
    <row r="45" spans="1:35" x14ac:dyDescent="0.25">
      <c r="A45" s="61" t="s">
        <v>33</v>
      </c>
      <c r="B45" s="62"/>
      <c r="C45" s="11"/>
      <c r="D45" s="11"/>
      <c r="E45" s="11"/>
      <c r="F45" s="11"/>
      <c r="G45" s="11"/>
      <c r="H45" s="84" t="s">
        <v>261</v>
      </c>
      <c r="I45" s="118" t="str">
        <f>IF(_epmOfflineCondition_,"T5",_xll.EVPRO($B$1,$H45,"STYLE"))</f>
        <v>T5</v>
      </c>
      <c r="J45" s="118" t="str">
        <f>IF(_epmOfflineCondition_,"Y",_xll.EVPRO($B$1,$H45,"CALC"))</f>
        <v>Y</v>
      </c>
      <c r="K45" s="86"/>
      <c r="L45" s="86" t="str">
        <f>IF(_epmOfflineCondition_,"462100",_xll.EVPRO($B$1,H45,"JDEID"))</f>
        <v>462100</v>
      </c>
      <c r="M45" s="86" t="str">
        <f>IF(_epmOfflineCondition_,"",IF(AND(I45="N",J45="N"),_xll.EVPRO($B$1,H45,"PSFTID"),""))</f>
        <v/>
      </c>
      <c r="N45" s="86" t="str">
        <f>IF(_epmOfflineCondition_,"Lunch Food",IF(_xll.EVDES(H45,$B$1)="#NODATA","",_xll.EVDES(H45,$B$1)))</f>
        <v>Lunch Food</v>
      </c>
      <c r="O45" s="134"/>
      <c r="P45" s="134"/>
      <c r="Q45" s="134"/>
      <c r="R45" s="134"/>
      <c r="S45" s="134"/>
      <c r="T45" s="134"/>
      <c r="U45" s="134"/>
      <c r="V45" s="134"/>
      <c r="W45" s="134"/>
      <c r="X45" s="134"/>
      <c r="Y45" s="134"/>
      <c r="Z45" s="134"/>
      <c r="AA45" s="134">
        <f t="shared" ref="AA45:AA51" si="5">SUM(O45:Z45)</f>
        <v>0</v>
      </c>
      <c r="AB45" s="138" t="str">
        <f>IF(AA45=0,"",IFERROR(AA45/AA$19,""))</f>
        <v/>
      </c>
      <c r="AC45" s="136"/>
      <c r="AD45" s="134">
        <v>12327.161952</v>
      </c>
      <c r="AE45" s="138">
        <f>IF(AD45=0,"",IFERROR(AD45/AD$19,""))</f>
        <v>2.3834754893016383E-2</v>
      </c>
      <c r="AF45" s="137">
        <f t="shared" ref="AF45:AF52" si="6">IF(AND($AA45="",AD45=""),"",$AA45-AD45)</f>
        <v>-12327.161952</v>
      </c>
      <c r="AG45" s="134"/>
      <c r="AH45" s="138" t="str">
        <f>IF(AG45=0,"",IFERROR(AG45/AG$19,""))</f>
        <v/>
      </c>
      <c r="AI45" s="137">
        <f t="shared" ref="AI45:AI52" si="7">IF(AND($AA45="",AG45=""),"",$AA45-AG45)</f>
        <v>0</v>
      </c>
    </row>
    <row r="46" spans="1:35" x14ac:dyDescent="0.25">
      <c r="A46" s="61" t="s">
        <v>34</v>
      </c>
      <c r="B46" s="62"/>
      <c r="C46" s="11"/>
      <c r="D46" s="11"/>
      <c r="E46" s="11"/>
      <c r="F46" s="11"/>
      <c r="G46" s="11"/>
      <c r="H46" s="181" t="s">
        <v>301</v>
      </c>
      <c r="I46" s="118" t="str">
        <f>IF(_epmOfflineCondition_,"T6",_xll.EVPRO($B$1,$H46,"STYLE"))</f>
        <v>T6</v>
      </c>
      <c r="J46" s="118" t="str">
        <f>IF(_epmOfflineCondition_,"Y",_xll.EVPRO($B$1,$H46,"CALC"))</f>
        <v>Y</v>
      </c>
      <c r="K46" s="86"/>
      <c r="L46" s="86" t="str">
        <f>IF(_epmOfflineCondition_,"462200",_xll.EVPRO($B$1,H46,"JDEID"))</f>
        <v>462200</v>
      </c>
      <c r="M46" s="86" t="str">
        <f>IF(_epmOfflineCondition_,"",IF(AND(I46="N",J46="N"),_xll.EVPRO($B$1,H46,"PSFTID"),""))</f>
        <v/>
      </c>
      <c r="N46" s="86" t="str">
        <f>IF(_epmOfflineCondition_,"Lunch Liquor",IF(_xll.EVDES(H46,$B$1)="#NODATA","",_xll.EVDES(H46,$B$1)))</f>
        <v>Lunch Liquor</v>
      </c>
      <c r="O46" s="134"/>
      <c r="P46" s="134"/>
      <c r="Q46" s="134"/>
      <c r="R46" s="134"/>
      <c r="S46" s="134"/>
      <c r="T46" s="134"/>
      <c r="U46" s="134"/>
      <c r="V46" s="134"/>
      <c r="W46" s="134"/>
      <c r="X46" s="134"/>
      <c r="Y46" s="134"/>
      <c r="Z46" s="134"/>
      <c r="AA46" s="134">
        <f t="shared" si="5"/>
        <v>0</v>
      </c>
      <c r="AB46" s="138" t="str">
        <f>IF(AA46=0,"",IFERROR(AA46/AA$19,""))</f>
        <v/>
      </c>
      <c r="AC46" s="136"/>
      <c r="AD46" s="134">
        <v>15283.1248</v>
      </c>
      <c r="AE46" s="138">
        <f>IF(AD46=0,"",IFERROR(AD46/AD$19,""))</f>
        <v>2.9550153962914365E-2</v>
      </c>
      <c r="AF46" s="137">
        <f t="shared" si="6"/>
        <v>-15283.1248</v>
      </c>
      <c r="AG46" s="134"/>
      <c r="AH46" s="138" t="str">
        <f>IF(AG46=0,"",IFERROR(AG46/AG$19,""))</f>
        <v/>
      </c>
      <c r="AI46" s="137">
        <f t="shared" si="7"/>
        <v>0</v>
      </c>
    </row>
    <row r="47" spans="1:35" x14ac:dyDescent="0.25">
      <c r="A47" s="61" t="s">
        <v>35</v>
      </c>
      <c r="B47" s="62"/>
      <c r="C47" s="11"/>
      <c r="D47" s="11"/>
      <c r="E47" s="11"/>
      <c r="F47" s="11"/>
      <c r="G47" s="11"/>
      <c r="H47" s="181" t="s">
        <v>305</v>
      </c>
      <c r="I47" s="118" t="str">
        <f>IF(_epmOfflineCondition_,"T6",_xll.EVPRO($B$1,$H47,"STYLE"))</f>
        <v>T6</v>
      </c>
      <c r="J47" s="118" t="str">
        <f>IF(_epmOfflineCondition_,"Y",_xll.EVPRO($B$1,$H47,"CALC"))</f>
        <v>Y</v>
      </c>
      <c r="K47" s="86"/>
      <c r="L47" s="86" t="str">
        <f>IF(_epmOfflineCondition_,"462300",_xll.EVPRO($B$1,H47,"JDEID"))</f>
        <v>462300</v>
      </c>
      <c r="M47" s="86" t="str">
        <f>IF(_epmOfflineCondition_,"",IF(AND(I47="N",J47="N"),_xll.EVPRO($B$1,H47,"PSFTID"),""))</f>
        <v/>
      </c>
      <c r="N47" s="86" t="str">
        <f>IF(_epmOfflineCondition_,"Lunch Beer",IF(_xll.EVDES(H47,$B$1)="#NODATA","",_xll.EVDES(H47,$B$1)))</f>
        <v>Lunch Beer</v>
      </c>
      <c r="O47" s="134"/>
      <c r="P47" s="134"/>
      <c r="Q47" s="134"/>
      <c r="R47" s="134"/>
      <c r="S47" s="134"/>
      <c r="T47" s="134"/>
      <c r="U47" s="134"/>
      <c r="V47" s="134"/>
      <c r="W47" s="134"/>
      <c r="X47" s="134"/>
      <c r="Y47" s="134"/>
      <c r="Z47" s="134"/>
      <c r="AA47" s="134">
        <f t="shared" si="5"/>
        <v>0</v>
      </c>
      <c r="AB47" s="138" t="str">
        <f>IF(AA47=0,"",IFERROR(AA47/AA$19,""))</f>
        <v/>
      </c>
      <c r="AC47" s="136"/>
      <c r="AD47" s="134">
        <v>2988.890848</v>
      </c>
      <c r="AE47" s="138">
        <f>IF(AD47=0,"",IFERROR(AD47/AD$19,""))</f>
        <v>5.779065858098972E-3</v>
      </c>
      <c r="AF47" s="137">
        <f t="shared" si="6"/>
        <v>-2988.890848</v>
      </c>
      <c r="AG47" s="134"/>
      <c r="AH47" s="138" t="str">
        <f>IF(AG47=0,"",IFERROR(AG47/AG$19,""))</f>
        <v/>
      </c>
      <c r="AI47" s="137">
        <f t="shared" si="7"/>
        <v>0</v>
      </c>
    </row>
    <row r="48" spans="1:35" x14ac:dyDescent="0.25">
      <c r="A48" s="61" t="s">
        <v>36</v>
      </c>
      <c r="B48" s="62"/>
      <c r="C48" s="11"/>
      <c r="D48" s="11"/>
      <c r="E48" s="11"/>
      <c r="F48" s="11"/>
      <c r="G48" s="11"/>
      <c r="H48" s="181" t="s">
        <v>303</v>
      </c>
      <c r="I48" s="118" t="str">
        <f>IF(_epmOfflineCondition_,"T6",_xll.EVPRO($B$1,$H48,"STYLE"))</f>
        <v>T6</v>
      </c>
      <c r="J48" s="118" t="str">
        <f>IF(_epmOfflineCondition_,"Y",_xll.EVPRO($B$1,$H48,"CALC"))</f>
        <v>Y</v>
      </c>
      <c r="K48" s="86"/>
      <c r="L48" s="86" t="str">
        <f>IF(_epmOfflineCondition_,"462400",_xll.EVPRO($B$1,H48,"JDEID"))</f>
        <v>462400</v>
      </c>
      <c r="M48" s="86" t="str">
        <f>IF(_epmOfflineCondition_,"",IF(AND(I48="N",J48="N"),_xll.EVPRO($B$1,H48,"PSFTID"),""))</f>
        <v/>
      </c>
      <c r="N48" s="86" t="str">
        <f>IF(_epmOfflineCondition_,"Lunch Wine",IF(_xll.EVDES(H48,$B$1)="#NODATA","",_xll.EVDES(H48,$B$1)))</f>
        <v>Lunch Wine</v>
      </c>
      <c r="O48" s="228"/>
      <c r="P48" s="228"/>
      <c r="Q48" s="228"/>
      <c r="R48" s="228"/>
      <c r="S48" s="228"/>
      <c r="T48" s="228"/>
      <c r="U48" s="228"/>
      <c r="V48" s="228"/>
      <c r="W48" s="228"/>
      <c r="X48" s="228"/>
      <c r="Y48" s="228"/>
      <c r="Z48" s="228"/>
      <c r="AA48" s="228">
        <f t="shared" si="5"/>
        <v>0</v>
      </c>
      <c r="AB48" s="230" t="str">
        <f>IF(AA48=0,"",IFERROR(AA48/AA$19,""))</f>
        <v/>
      </c>
      <c r="AC48" s="136"/>
      <c r="AD48" s="228">
        <v>15746.582399999999</v>
      </c>
      <c r="AE48" s="230">
        <f>IF(AD48=0,"",IFERROR(AD48/AD$19,""))</f>
        <v>3.0446256272782489E-2</v>
      </c>
      <c r="AF48" s="231">
        <f t="shared" si="6"/>
        <v>-15746.582399999999</v>
      </c>
      <c r="AG48" s="228"/>
      <c r="AH48" s="230" t="str">
        <f>IF(AG48=0,"",IFERROR(AG48/AG$19,""))</f>
        <v/>
      </c>
      <c r="AI48" s="231">
        <f t="shared" si="7"/>
        <v>0</v>
      </c>
    </row>
    <row r="49" spans="1:35" x14ac:dyDescent="0.25">
      <c r="A49" s="61" t="s">
        <v>37</v>
      </c>
      <c r="B49" s="62"/>
      <c r="C49" s="11"/>
      <c r="D49" s="11"/>
      <c r="E49" s="11"/>
      <c r="F49" s="11"/>
      <c r="G49" s="11"/>
      <c r="H49" s="84" t="s">
        <v>319</v>
      </c>
      <c r="I49" s="118" t="str">
        <f>IF(_epmOfflineCondition_,"N",_xll.EVPRO($B$1,$H49,"STYLE"))</f>
        <v>N</v>
      </c>
      <c r="J49" s="118" t="str">
        <f>IF(_epmOfflineCondition_,"Y",_xll.EVPRO($B$1,$H49,"CALC"))</f>
        <v>Y</v>
      </c>
      <c r="K49" s="86"/>
      <c r="L49" s="86" t="str">
        <f>IF(_epmOfflineCondition_,"",_xll.EVPRO($B$1,H49,"JDEID"))</f>
        <v/>
      </c>
      <c r="M49" s="86" t="str">
        <f>IF(_epmOfflineCondition_,"",IF(AND(I49="N",J49="N"),_xll.EVPRO($B$1,H49,"PSFTID"),""))</f>
        <v/>
      </c>
      <c r="N49" s="102" t="str">
        <f>IF(_epmOfflineCondition_,"Lunch Revenue",IF(_xll.EVDES(H49,$B$1)="#NODATA","",_xll.EVDES(H49,$B$1)))</f>
        <v>Lunch Revenue</v>
      </c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158">
        <f t="shared" si="5"/>
        <v>0</v>
      </c>
      <c r="AB49" s="159" t="str">
        <f>IF(AA49=0,"",IFERROR(AA49/AA$19,""))</f>
        <v/>
      </c>
      <c r="AC49" s="136"/>
      <c r="AD49" s="158">
        <v>46345.760000000002</v>
      </c>
      <c r="AE49" s="159">
        <f>IF(AD49=0,"",IFERROR(AD49/AD$19,""))</f>
        <v>8.9610230986812214E-2</v>
      </c>
      <c r="AF49" s="160">
        <f t="shared" si="6"/>
        <v>-46345.760000000002</v>
      </c>
      <c r="AG49" s="158"/>
      <c r="AH49" s="159" t="str">
        <f>IF(AG49=0,"",IFERROR(AG49/AG$19,""))</f>
        <v/>
      </c>
      <c r="AI49" s="160">
        <f t="shared" si="7"/>
        <v>0</v>
      </c>
    </row>
    <row r="50" spans="1:35" x14ac:dyDescent="0.25">
      <c r="A50" s="61" t="s">
        <v>38</v>
      </c>
      <c r="B50" s="62"/>
      <c r="C50" s="11"/>
      <c r="D50" s="11"/>
      <c r="E50" s="11"/>
      <c r="F50" s="11"/>
      <c r="G50" s="11"/>
      <c r="H50" s="84" t="s">
        <v>765</v>
      </c>
      <c r="I50" s="118" t="str">
        <f>IF(_epmOfflineCondition_,"N",_xll.EVPRO($B$1,$H50,"STYLE"))</f>
        <v>N</v>
      </c>
      <c r="J50" s="118" t="str">
        <f>IF(_epmOfflineCondition_,"N",_xll.EVPRO($B$1,$H50,"CALC"))</f>
        <v>N</v>
      </c>
      <c r="K50" s="86"/>
      <c r="L50" s="86" t="str">
        <f>IF(_epmOfflineCondition_,"947200",_xll.EVPRO($B$1,H50,"JDEID"))</f>
        <v>947200</v>
      </c>
      <c r="M50" s="86" t="str">
        <f>IF(_epmOfflineCondition_,"999992",IF(AND(I50="N",J50="N"),_xll.EVPRO($B$1,H50,"PSFTID"),""))</f>
        <v>999992</v>
      </c>
      <c r="N50" s="86" t="str">
        <f>IF(_epmOfflineCondition_,"# of Operating Days - Lunch",IF(_xll.EVDES(H50,$B$1)="#NODATA","",_xll.EVDES(H50,$B$1)))</f>
        <v># of Operating Days - Lunch</v>
      </c>
      <c r="O50" s="240"/>
      <c r="P50" s="240"/>
      <c r="Q50" s="240"/>
      <c r="R50" s="240"/>
      <c r="S50" s="240"/>
      <c r="T50" s="240"/>
      <c r="U50" s="240"/>
      <c r="V50" s="240"/>
      <c r="W50" s="240"/>
      <c r="X50" s="240"/>
      <c r="Y50" s="240"/>
      <c r="Z50" s="240"/>
      <c r="AA50" s="240">
        <f t="shared" si="5"/>
        <v>0</v>
      </c>
      <c r="AB50" s="242"/>
      <c r="AC50" s="136"/>
      <c r="AD50" s="240">
        <v>365</v>
      </c>
      <c r="AE50" s="242"/>
      <c r="AF50" s="243">
        <f t="shared" si="6"/>
        <v>-365</v>
      </c>
      <c r="AG50" s="240"/>
      <c r="AH50" s="242"/>
      <c r="AI50" s="243">
        <f t="shared" si="7"/>
        <v>0</v>
      </c>
    </row>
    <row r="51" spans="1:35" x14ac:dyDescent="0.25">
      <c r="A51" s="61" t="s">
        <v>39</v>
      </c>
      <c r="B51" s="62"/>
      <c r="C51" s="11"/>
      <c r="D51" s="11"/>
      <c r="E51" s="11"/>
      <c r="F51" s="11"/>
      <c r="G51" s="11"/>
      <c r="H51" s="84" t="s">
        <v>298</v>
      </c>
      <c r="I51" s="118" t="str">
        <f>IF(_epmOfflineCondition_,"N",_xll.EVPRO($B$1,$H51,"STYLE"))</f>
        <v>N</v>
      </c>
      <c r="J51" s="118" t="str">
        <f>IF(_epmOfflineCondition_,"N",_xll.EVPRO($B$1,$H51,"CALC"))</f>
        <v>N</v>
      </c>
      <c r="K51" s="86"/>
      <c r="L51" s="86" t="str">
        <f>IF(_epmOfflineCondition_,"946200",_xll.EVPRO($B$1,H51,"JDEID"))</f>
        <v>946200</v>
      </c>
      <c r="M51" s="86" t="str">
        <f>IF(_epmOfflineCondition_,"991502",IF(AND(I51="N",J51="N"),_xll.EVPRO($B$1,H51,"PSFTID"),""))</f>
        <v>991502</v>
      </c>
      <c r="N51" s="86" t="str">
        <f>IF(_epmOfflineCondition_,"Lunch Customers",IF(_xll.EVDES(H51,$B$1)="#NODATA","",_xll.EVDES(H51,$B$1)))</f>
        <v>Lunch Customers</v>
      </c>
      <c r="O51" s="240"/>
      <c r="P51" s="240"/>
      <c r="Q51" s="240"/>
      <c r="R51" s="240"/>
      <c r="S51" s="240"/>
      <c r="T51" s="240"/>
      <c r="U51" s="240"/>
      <c r="V51" s="240"/>
      <c r="W51" s="240"/>
      <c r="X51" s="240"/>
      <c r="Y51" s="240"/>
      <c r="Z51" s="240"/>
      <c r="AA51" s="240">
        <f t="shared" si="5"/>
        <v>0</v>
      </c>
      <c r="AB51" s="242" t="str">
        <f>IF(AA51=0,"",IFERROR(AA51/AA$87,""))</f>
        <v/>
      </c>
      <c r="AC51" s="136"/>
      <c r="AD51" s="240">
        <v>3132</v>
      </c>
      <c r="AE51" s="242">
        <f>IF(AD51=0,"",IFERROR(AD51/AD$87,""))</f>
        <v>0.13700188093259263</v>
      </c>
      <c r="AF51" s="243">
        <f t="shared" si="6"/>
        <v>-3132</v>
      </c>
      <c r="AG51" s="240"/>
      <c r="AH51" s="242" t="str">
        <f>IF(AG51=0,"",IFERROR(AG51/AG$87,""))</f>
        <v/>
      </c>
      <c r="AI51" s="243">
        <f t="shared" si="7"/>
        <v>0</v>
      </c>
    </row>
    <row r="52" spans="1:35" x14ac:dyDescent="0.25">
      <c r="A52" s="61" t="s">
        <v>40</v>
      </c>
      <c r="B52" s="62"/>
      <c r="C52" s="11"/>
      <c r="D52" s="11"/>
      <c r="E52" s="11"/>
      <c r="F52" s="11"/>
      <c r="G52" s="11"/>
      <c r="H52" s="84" t="s">
        <v>315</v>
      </c>
      <c r="I52" s="118" t="str">
        <f>IF(_epmOfflineCondition_,"N",_xll.EVPRO($B$1,$H52,"STYLE"))</f>
        <v>N</v>
      </c>
      <c r="J52" s="118" t="str">
        <f>IF(_epmOfflineCondition_,"Y",_xll.EVPRO($B$1,$H52,"CALC"))</f>
        <v>Y</v>
      </c>
      <c r="K52" s="86"/>
      <c r="L52" s="86" t="str">
        <f>IF(_epmOfflineCondition_,"",_xll.EVPRO($B$1,H52,"JDEID"))</f>
        <v/>
      </c>
      <c r="M52" s="86" t="str">
        <f>IF(_epmOfflineCondition_,"",IF(AND(I52="N",J52="N"),_xll.EVPRO($B$1,H52,"PSFTID"),""))</f>
        <v/>
      </c>
      <c r="N52" s="186" t="str">
        <f>IF(_epmOfflineCondition_,"Lunch - Average Check",IF(_xll.EVDES(H52,$B$1)="#NODATA","",_xll.EVDES(H52,$B$1)))</f>
        <v>Lunch - Average Check</v>
      </c>
      <c r="O52" s="490"/>
      <c r="P52" s="490"/>
      <c r="Q52" s="490"/>
      <c r="R52" s="490"/>
      <c r="S52" s="490"/>
      <c r="T52" s="490"/>
      <c r="U52" s="490"/>
      <c r="V52" s="490"/>
      <c r="W52" s="490"/>
      <c r="X52" s="490"/>
      <c r="Y52" s="490"/>
      <c r="Z52" s="490"/>
      <c r="AA52" s="490" t="str">
        <f>IFERROR(AA49/AA51,"")</f>
        <v/>
      </c>
      <c r="AB52" s="490"/>
      <c r="AC52" s="136"/>
      <c r="AD52" s="490">
        <v>14.797496807151999</v>
      </c>
      <c r="AE52" s="490"/>
      <c r="AF52" s="491" t="e">
        <f t="shared" si="6"/>
        <v>#VALUE!</v>
      </c>
      <c r="AG52" s="490"/>
      <c r="AH52" s="490"/>
      <c r="AI52" s="491" t="str">
        <f t="shared" si="7"/>
        <v/>
      </c>
    </row>
    <row r="53" spans="1:35" x14ac:dyDescent="0.25">
      <c r="A53" s="61" t="s">
        <v>41</v>
      </c>
      <c r="B53" s="62"/>
      <c r="C53" s="11"/>
      <c r="D53" s="11"/>
      <c r="E53" s="11"/>
      <c r="F53" s="11"/>
      <c r="G53" s="486">
        <f>COUNTIF(O54:AI54,FALSE)</f>
        <v>0</v>
      </c>
      <c r="H53" s="84"/>
      <c r="I53" s="118"/>
      <c r="J53" s="118"/>
      <c r="K53" s="86"/>
      <c r="L53" s="86"/>
      <c r="M53" s="86"/>
      <c r="N53" s="487" t="s">
        <v>345</v>
      </c>
      <c r="O53" s="492">
        <f t="shared" ref="O53:AA53" si="8">ROUND(IFERROR(O49/O51,0),2)</f>
        <v>0</v>
      </c>
      <c r="P53" s="493">
        <f t="shared" si="8"/>
        <v>0</v>
      </c>
      <c r="Q53" s="493">
        <f t="shared" si="8"/>
        <v>0</v>
      </c>
      <c r="R53" s="493">
        <f t="shared" si="8"/>
        <v>0</v>
      </c>
      <c r="S53" s="493">
        <f t="shared" si="8"/>
        <v>0</v>
      </c>
      <c r="T53" s="493">
        <f t="shared" si="8"/>
        <v>0</v>
      </c>
      <c r="U53" s="493">
        <f t="shared" si="8"/>
        <v>0</v>
      </c>
      <c r="V53" s="493">
        <f t="shared" si="8"/>
        <v>0</v>
      </c>
      <c r="W53" s="493">
        <f t="shared" si="8"/>
        <v>0</v>
      </c>
      <c r="X53" s="493">
        <f t="shared" si="8"/>
        <v>0</v>
      </c>
      <c r="Y53" s="493">
        <f t="shared" si="8"/>
        <v>0</v>
      </c>
      <c r="Z53" s="493">
        <f t="shared" si="8"/>
        <v>0</v>
      </c>
      <c r="AA53" s="493">
        <f t="shared" si="8"/>
        <v>0</v>
      </c>
      <c r="AB53" s="494"/>
      <c r="AC53" s="136"/>
      <c r="AD53" s="492">
        <f>ROUND(IFERROR(AD49/AD51,0),2)</f>
        <v>14.8</v>
      </c>
      <c r="AE53" s="493"/>
      <c r="AF53" s="151"/>
      <c r="AG53" s="492">
        <f>ROUND(IFERROR(AG49/AG51,0),2)</f>
        <v>0</v>
      </c>
      <c r="AH53" s="493"/>
      <c r="AI53" s="151"/>
    </row>
    <row r="54" spans="1:35" x14ac:dyDescent="0.25">
      <c r="A54" s="61" t="s">
        <v>42</v>
      </c>
      <c r="B54" s="62"/>
      <c r="C54" s="11"/>
      <c r="D54" s="11"/>
      <c r="E54" s="11"/>
      <c r="F54" s="11"/>
      <c r="G54" s="11"/>
      <c r="H54" s="84"/>
      <c r="I54" s="118"/>
      <c r="J54" s="118"/>
      <c r="K54" s="86"/>
      <c r="L54" s="86"/>
      <c r="M54" s="86"/>
      <c r="N54" s="49" t="s">
        <v>316</v>
      </c>
      <c r="O54" s="495" t="b">
        <f t="shared" ref="O54:AA54" si="9">ROUND(O52,2)=ROUND(O53,2)</f>
        <v>1</v>
      </c>
      <c r="P54" s="496" t="b">
        <f t="shared" si="9"/>
        <v>1</v>
      </c>
      <c r="Q54" s="496" t="b">
        <f t="shared" si="9"/>
        <v>1</v>
      </c>
      <c r="R54" s="496" t="b">
        <f t="shared" si="9"/>
        <v>1</v>
      </c>
      <c r="S54" s="496" t="b">
        <f t="shared" si="9"/>
        <v>1</v>
      </c>
      <c r="T54" s="496" t="b">
        <f t="shared" si="9"/>
        <v>1</v>
      </c>
      <c r="U54" s="496" t="b">
        <f t="shared" si="9"/>
        <v>1</v>
      </c>
      <c r="V54" s="496" t="b">
        <f t="shared" si="9"/>
        <v>1</v>
      </c>
      <c r="W54" s="496" t="b">
        <f t="shared" si="9"/>
        <v>1</v>
      </c>
      <c r="X54" s="496" t="b">
        <f t="shared" si="9"/>
        <v>1</v>
      </c>
      <c r="Y54" s="496" t="b">
        <f t="shared" si="9"/>
        <v>1</v>
      </c>
      <c r="Z54" s="496" t="b">
        <f t="shared" si="9"/>
        <v>1</v>
      </c>
      <c r="AA54" s="496" t="e">
        <f t="shared" si="9"/>
        <v>#VALUE!</v>
      </c>
      <c r="AB54" s="497"/>
      <c r="AC54" s="498"/>
      <c r="AD54" s="495"/>
      <c r="AE54" s="496" t="b">
        <f>ROUND(AD52,2)=ROUND(AD53,2)</f>
        <v>1</v>
      </c>
      <c r="AF54" s="497"/>
      <c r="AG54" s="495"/>
      <c r="AH54" s="496" t="b">
        <f>ROUND(AG52,2)=ROUND(AG53,2)</f>
        <v>1</v>
      </c>
      <c r="AI54" s="497"/>
    </row>
    <row r="55" spans="1:35" x14ac:dyDescent="0.25">
      <c r="A55" s="61" t="s">
        <v>43</v>
      </c>
      <c r="B55" s="62"/>
      <c r="C55" s="11"/>
      <c r="D55" s="11"/>
      <c r="E55" s="11"/>
      <c r="F55" s="11"/>
      <c r="G55" s="11"/>
      <c r="H55" s="84" t="s">
        <v>262</v>
      </c>
      <c r="I55" s="118" t="str">
        <f>IF(_epmOfflineCondition_,"T5",_xll.EVPRO($B$1,$H55,"STYLE"))</f>
        <v>T5</v>
      </c>
      <c r="J55" s="118" t="str">
        <f>IF(_epmOfflineCondition_,"Y",_xll.EVPRO($B$1,$H55,"CALC"))</f>
        <v>Y</v>
      </c>
      <c r="K55" s="86"/>
      <c r="L55" s="86" t="str">
        <f>IF(_epmOfflineCondition_,"463100",_xll.EVPRO($B$1,H55,"JDEID"))</f>
        <v>463100</v>
      </c>
      <c r="M55" s="86" t="str">
        <f>IF(_epmOfflineCondition_,"",IF(AND(I55="N",J55="N"),_xll.EVPRO($B$1,H55,"PSFTID"),""))</f>
        <v/>
      </c>
      <c r="N55" s="86" t="str">
        <f>IF(_epmOfflineCondition_,"Dinner Food",IF(_xll.EVDES(H55,$B$1)="#NODATA","",_xll.EVDES(H55,$B$1)))</f>
        <v>Dinner Food</v>
      </c>
      <c r="O55" s="134"/>
      <c r="P55" s="134"/>
      <c r="Q55" s="134"/>
      <c r="R55" s="134"/>
      <c r="S55" s="134"/>
      <c r="T55" s="134"/>
      <c r="U55" s="134"/>
      <c r="V55" s="134"/>
      <c r="W55" s="134"/>
      <c r="X55" s="134"/>
      <c r="Y55" s="134"/>
      <c r="Z55" s="134"/>
      <c r="AA55" s="134">
        <f t="shared" ref="AA55:AA61" si="10">SUM(O55:Z55)</f>
        <v>0</v>
      </c>
      <c r="AB55" s="138" t="str">
        <f>IF(AA55=0,"",IFERROR(AA55/AA$19,""))</f>
        <v/>
      </c>
      <c r="AC55" s="136"/>
      <c r="AD55" s="134"/>
      <c r="AE55" s="138" t="str">
        <f>IF(AD55=0,"",IFERROR(AD55/AD$19,""))</f>
        <v/>
      </c>
      <c r="AF55" s="137">
        <f t="shared" ref="AF55:AF62" si="11">IF(AND($AA55="",AD55=""),"",$AA55-AD55)</f>
        <v>0</v>
      </c>
      <c r="AG55" s="134"/>
      <c r="AH55" s="138" t="str">
        <f>IF(AG55=0,"",IFERROR(AG55/AG$19,""))</f>
        <v/>
      </c>
      <c r="AI55" s="137">
        <f t="shared" ref="AI55:AI62" si="12">IF(AND($AA55="",AG55=""),"",$AA55-AG55)</f>
        <v>0</v>
      </c>
    </row>
    <row r="56" spans="1:35" x14ac:dyDescent="0.25">
      <c r="A56" s="61" t="s">
        <v>44</v>
      </c>
      <c r="B56" s="62"/>
      <c r="C56" s="11"/>
      <c r="D56" s="11"/>
      <c r="E56" s="11"/>
      <c r="F56" s="11"/>
      <c r="G56" s="11"/>
      <c r="H56" s="84" t="s">
        <v>302</v>
      </c>
      <c r="I56" s="118" t="str">
        <f>IF(_epmOfflineCondition_,"T6",_xll.EVPRO($B$1,$H56,"STYLE"))</f>
        <v>T6</v>
      </c>
      <c r="J56" s="118" t="str">
        <f>IF(_epmOfflineCondition_,"Y",_xll.EVPRO($B$1,$H56,"CALC"))</f>
        <v>Y</v>
      </c>
      <c r="K56" s="86"/>
      <c r="L56" s="86" t="str">
        <f>IF(_epmOfflineCondition_,"463200",_xll.EVPRO($B$1,H56,"JDEID"))</f>
        <v>463200</v>
      </c>
      <c r="M56" s="86" t="str">
        <f>IF(_epmOfflineCondition_,"",IF(AND(I56="N",J56="N"),_xll.EVPRO($B$1,H56,"PSFTID"),""))</f>
        <v/>
      </c>
      <c r="N56" s="86" t="str">
        <f>IF(_epmOfflineCondition_,"Dinner Liquor",IF(_xll.EVDES(H56,$B$1)="#NODATA","",_xll.EVDES(H56,$B$1)))</f>
        <v>Dinner Liquor</v>
      </c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/>
      <c r="Z56" s="134"/>
      <c r="AA56" s="134">
        <f t="shared" si="10"/>
        <v>0</v>
      </c>
      <c r="AB56" s="138" t="str">
        <f>IF(AA56=0,"",IFERROR(AA56/AA$19,""))</f>
        <v/>
      </c>
      <c r="AC56" s="136"/>
      <c r="AD56" s="134"/>
      <c r="AE56" s="138" t="str">
        <f>IF(AD56=0,"",IFERROR(AD56/AD$19,""))</f>
        <v/>
      </c>
      <c r="AF56" s="137">
        <f t="shared" si="11"/>
        <v>0</v>
      </c>
      <c r="AG56" s="134"/>
      <c r="AH56" s="138" t="str">
        <f>IF(AG56=0,"",IFERROR(AG56/AG$19,""))</f>
        <v/>
      </c>
      <c r="AI56" s="137">
        <f t="shared" si="12"/>
        <v>0</v>
      </c>
    </row>
    <row r="57" spans="1:35" x14ac:dyDescent="0.25">
      <c r="A57" s="61" t="s">
        <v>45</v>
      </c>
      <c r="B57" s="62"/>
      <c r="C57" s="11"/>
      <c r="D57" s="11"/>
      <c r="E57" s="11"/>
      <c r="F57" s="11"/>
      <c r="G57" s="11"/>
      <c r="H57" s="84" t="s">
        <v>306</v>
      </c>
      <c r="I57" s="118" t="str">
        <f>IF(_epmOfflineCondition_,"T6",_xll.EVPRO($B$1,$H57,"STYLE"))</f>
        <v>T6</v>
      </c>
      <c r="J57" s="118" t="str">
        <f>IF(_epmOfflineCondition_,"Y",_xll.EVPRO($B$1,$H57,"CALC"))</f>
        <v>Y</v>
      </c>
      <c r="K57" s="86"/>
      <c r="L57" s="86" t="str">
        <f>IF(_epmOfflineCondition_,"463300",_xll.EVPRO($B$1,H57,"JDEID"))</f>
        <v>463300</v>
      </c>
      <c r="M57" s="86" t="str">
        <f>IF(_epmOfflineCondition_,"",IF(AND(I57="N",J57="N"),_xll.EVPRO($B$1,H57,"PSFTID"),""))</f>
        <v/>
      </c>
      <c r="N57" s="86" t="str">
        <f>IF(_epmOfflineCondition_,"Dinner Beer",IF(_xll.EVDES(H57,$B$1)="#NODATA","",_xll.EVDES(H57,$B$1)))</f>
        <v>Dinner Beer</v>
      </c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>
        <f t="shared" si="10"/>
        <v>0</v>
      </c>
      <c r="AB57" s="138" t="str">
        <f>IF(AA57=0,"",IFERROR(AA57/AA$19,""))</f>
        <v/>
      </c>
      <c r="AC57" s="136"/>
      <c r="AD57" s="134"/>
      <c r="AE57" s="138" t="str">
        <f>IF(AD57=0,"",IFERROR(AD57/AD$19,""))</f>
        <v/>
      </c>
      <c r="AF57" s="137">
        <f t="shared" si="11"/>
        <v>0</v>
      </c>
      <c r="AG57" s="134"/>
      <c r="AH57" s="138" t="str">
        <f>IF(AG57=0,"",IFERROR(AG57/AG$19,""))</f>
        <v/>
      </c>
      <c r="AI57" s="137">
        <f t="shared" si="12"/>
        <v>0</v>
      </c>
    </row>
    <row r="58" spans="1:35" x14ac:dyDescent="0.25">
      <c r="A58" s="61" t="s">
        <v>46</v>
      </c>
      <c r="B58" s="62"/>
      <c r="C58" s="11"/>
      <c r="D58" s="11"/>
      <c r="E58" s="11"/>
      <c r="F58" s="11"/>
      <c r="G58" s="11"/>
      <c r="H58" s="84" t="s">
        <v>304</v>
      </c>
      <c r="I58" s="118" t="str">
        <f>IF(_epmOfflineCondition_,"T6",_xll.EVPRO($B$1,$H58,"STYLE"))</f>
        <v>T6</v>
      </c>
      <c r="J58" s="118" t="str">
        <f>IF(_epmOfflineCondition_,"Y",_xll.EVPRO($B$1,$H58,"CALC"))</f>
        <v>Y</v>
      </c>
      <c r="K58" s="86"/>
      <c r="L58" s="86" t="str">
        <f>IF(_epmOfflineCondition_,"463400",_xll.EVPRO($B$1,H58,"JDEID"))</f>
        <v>463400</v>
      </c>
      <c r="M58" s="86" t="str">
        <f>IF(_epmOfflineCondition_,"",IF(AND(I58="N",J58="N"),_xll.EVPRO($B$1,H58,"PSFTID"),""))</f>
        <v/>
      </c>
      <c r="N58" s="86" t="str">
        <f>IF(_epmOfflineCondition_,"Dinner Wine",IF(_xll.EVDES(H58,$B$1)="#NODATA","",_xll.EVDES(H58,$B$1)))</f>
        <v>Dinner Wine</v>
      </c>
      <c r="O58" s="228"/>
      <c r="P58" s="228"/>
      <c r="Q58" s="228"/>
      <c r="R58" s="228"/>
      <c r="S58" s="228"/>
      <c r="T58" s="228"/>
      <c r="U58" s="228"/>
      <c r="V58" s="228"/>
      <c r="W58" s="228"/>
      <c r="X58" s="228"/>
      <c r="Y58" s="228"/>
      <c r="Z58" s="228"/>
      <c r="AA58" s="228">
        <f t="shared" si="10"/>
        <v>0</v>
      </c>
      <c r="AB58" s="230" t="str">
        <f>IF(AA58=0,"",IFERROR(AA58/AA$19,""))</f>
        <v/>
      </c>
      <c r="AC58" s="136"/>
      <c r="AD58" s="228"/>
      <c r="AE58" s="230" t="str">
        <f>IF(AD58=0,"",IFERROR(AD58/AD$19,""))</f>
        <v/>
      </c>
      <c r="AF58" s="231">
        <f t="shared" si="11"/>
        <v>0</v>
      </c>
      <c r="AG58" s="228"/>
      <c r="AH58" s="230" t="str">
        <f>IF(AG58=0,"",IFERROR(AG58/AG$19,""))</f>
        <v/>
      </c>
      <c r="AI58" s="231">
        <f t="shared" si="12"/>
        <v>0</v>
      </c>
    </row>
    <row r="59" spans="1:35" x14ac:dyDescent="0.25">
      <c r="A59" s="11"/>
      <c r="B59" s="11"/>
      <c r="C59" s="11"/>
      <c r="D59" s="11"/>
      <c r="E59" s="11"/>
      <c r="F59" s="11"/>
      <c r="G59" s="11"/>
      <c r="H59" s="84" t="s">
        <v>320</v>
      </c>
      <c r="I59" s="118" t="str">
        <f>IF(_epmOfflineCondition_,"N",_xll.EVPRO($B$1,$H59,"STYLE"))</f>
        <v>N</v>
      </c>
      <c r="J59" s="118" t="str">
        <f>IF(_epmOfflineCondition_,"Y",_xll.EVPRO($B$1,$H59,"CALC"))</f>
        <v>Y</v>
      </c>
      <c r="K59" s="86"/>
      <c r="L59" s="86" t="str">
        <f>IF(_epmOfflineCondition_,"",_xll.EVPRO($B$1,H59,"JDEID"))</f>
        <v/>
      </c>
      <c r="M59" s="86" t="str">
        <f>IF(_epmOfflineCondition_,"",IF(AND(I59="N",J59="N"),_xll.EVPRO($B$1,H59,"PSFTID"),""))</f>
        <v/>
      </c>
      <c r="N59" s="102" t="str">
        <f>IF(_epmOfflineCondition_,"Dinner Revenue",IF(_xll.EVDES(H59,$B$1)="#NODATA","",_xll.EVDES(H59,$B$1)))</f>
        <v>Dinner Revenue</v>
      </c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158">
        <f t="shared" si="10"/>
        <v>0</v>
      </c>
      <c r="AB59" s="159" t="str">
        <f>IF(AA59=0,"",IFERROR(AA59/AA$19,""))</f>
        <v/>
      </c>
      <c r="AC59" s="136"/>
      <c r="AD59" s="158"/>
      <c r="AE59" s="159" t="str">
        <f>IF(AD59=0,"",IFERROR(AD59/AD$19,""))</f>
        <v/>
      </c>
      <c r="AF59" s="160">
        <f t="shared" si="11"/>
        <v>0</v>
      </c>
      <c r="AG59" s="158"/>
      <c r="AH59" s="159" t="str">
        <f>IF(AG59=0,"",IFERROR(AG59/AG$19,""))</f>
        <v/>
      </c>
      <c r="AI59" s="160">
        <f t="shared" si="12"/>
        <v>0</v>
      </c>
    </row>
    <row r="60" spans="1:35" x14ac:dyDescent="0.25">
      <c r="A60" s="11"/>
      <c r="B60" s="11"/>
      <c r="C60" s="11"/>
      <c r="D60" s="11"/>
      <c r="E60" s="11"/>
      <c r="F60" s="11"/>
      <c r="G60" s="11"/>
      <c r="H60" s="84" t="s">
        <v>766</v>
      </c>
      <c r="I60" s="118" t="str">
        <f>IF(_epmOfflineCondition_,"N",_xll.EVPRO($B$1,$H60,"STYLE"))</f>
        <v>N</v>
      </c>
      <c r="J60" s="118" t="str">
        <f>IF(_epmOfflineCondition_,"N",_xll.EVPRO($B$1,$H60,"CALC"))</f>
        <v>N</v>
      </c>
      <c r="K60" s="86"/>
      <c r="L60" s="86" t="str">
        <f>IF(_epmOfflineCondition_,"947300",_xll.EVPRO($B$1,H60,"JDEID"))</f>
        <v>947300</v>
      </c>
      <c r="M60" s="86" t="str">
        <f>IF(_epmOfflineCondition_,"999993",IF(AND(I60="N",J60="N"),_xll.EVPRO($B$1,H60,"PSFTID"),""))</f>
        <v>999993</v>
      </c>
      <c r="N60" s="86" t="str">
        <f>IF(_epmOfflineCondition_,"# of Operating Days - Dinner",IF(_xll.EVDES(H60,$B$1)="#NODATA","",_xll.EVDES(H60,$B$1)))</f>
        <v># of Operating Days - Dinner</v>
      </c>
      <c r="O60" s="240"/>
      <c r="P60" s="240"/>
      <c r="Q60" s="240"/>
      <c r="R60" s="240"/>
      <c r="S60" s="240"/>
      <c r="T60" s="240"/>
      <c r="U60" s="240"/>
      <c r="V60" s="240"/>
      <c r="W60" s="240"/>
      <c r="X60" s="240"/>
      <c r="Y60" s="240"/>
      <c r="Z60" s="240"/>
      <c r="AA60" s="240">
        <f t="shared" si="10"/>
        <v>0</v>
      </c>
      <c r="AB60" s="242"/>
      <c r="AC60" s="136"/>
      <c r="AD60" s="240"/>
      <c r="AE60" s="242"/>
      <c r="AF60" s="243">
        <f t="shared" si="11"/>
        <v>0</v>
      </c>
      <c r="AG60" s="240"/>
      <c r="AH60" s="242"/>
      <c r="AI60" s="243">
        <f t="shared" si="12"/>
        <v>0</v>
      </c>
    </row>
    <row r="61" spans="1:35" x14ac:dyDescent="0.25">
      <c r="A61" s="11"/>
      <c r="B61" s="11"/>
      <c r="C61" s="11"/>
      <c r="D61" s="11"/>
      <c r="E61" s="11"/>
      <c r="F61" s="11"/>
      <c r="G61" s="11"/>
      <c r="H61" s="84" t="s">
        <v>299</v>
      </c>
      <c r="I61" s="118" t="str">
        <f>IF(_epmOfflineCondition_,"N",_xll.EVPRO($B$1,$H61,"STYLE"))</f>
        <v>N</v>
      </c>
      <c r="J61" s="118" t="str">
        <f>IF(_epmOfflineCondition_,"N",_xll.EVPRO($B$1,$H61,"CALC"))</f>
        <v>N</v>
      </c>
      <c r="K61" s="86"/>
      <c r="L61" s="86" t="str">
        <f>IF(_epmOfflineCondition_,"946300",_xll.EVPRO($B$1,H61,"JDEID"))</f>
        <v>946300</v>
      </c>
      <c r="M61" s="86" t="str">
        <f>IF(_epmOfflineCondition_,"991503",IF(AND(I61="N",J61="N"),_xll.EVPRO($B$1,H61,"PSFTID"),""))</f>
        <v>991503</v>
      </c>
      <c r="N61" s="86" t="str">
        <f>IF(_epmOfflineCondition_,"Dinner Customers",IF(_xll.EVDES(H61,$B$1)="#NODATA","",_xll.EVDES(H61,$B$1)))</f>
        <v>Dinner Customers</v>
      </c>
      <c r="O61" s="240"/>
      <c r="P61" s="240"/>
      <c r="Q61" s="240"/>
      <c r="R61" s="240"/>
      <c r="S61" s="240"/>
      <c r="T61" s="240"/>
      <c r="U61" s="240"/>
      <c r="V61" s="240"/>
      <c r="W61" s="240"/>
      <c r="X61" s="240"/>
      <c r="Y61" s="240"/>
      <c r="Z61" s="240"/>
      <c r="AA61" s="240">
        <f t="shared" si="10"/>
        <v>0</v>
      </c>
      <c r="AB61" s="242" t="str">
        <f>IF(AA61=0,"",IFERROR(AA61/AA$87,""))</f>
        <v/>
      </c>
      <c r="AC61" s="136"/>
      <c r="AD61" s="240"/>
      <c r="AE61" s="242" t="str">
        <f>IF(AD61=0,"",IFERROR(AD61/AD$87,""))</f>
        <v/>
      </c>
      <c r="AF61" s="243">
        <f t="shared" si="11"/>
        <v>0</v>
      </c>
      <c r="AG61" s="240"/>
      <c r="AH61" s="242" t="str">
        <f>IF(AG61=0,"",IFERROR(AG61/AG$87,""))</f>
        <v/>
      </c>
      <c r="AI61" s="243">
        <f t="shared" si="12"/>
        <v>0</v>
      </c>
    </row>
    <row r="62" spans="1:35" x14ac:dyDescent="0.25">
      <c r="A62" s="11"/>
      <c r="B62" s="11"/>
      <c r="C62" s="11"/>
      <c r="D62" s="11"/>
      <c r="E62" s="11"/>
      <c r="F62" s="11"/>
      <c r="G62" s="11"/>
      <c r="H62" s="181" t="s">
        <v>317</v>
      </c>
      <c r="I62" s="118" t="str">
        <f>IF(_epmOfflineCondition_,"N",_xll.EVPRO($B$1,$H62,"STYLE"))</f>
        <v>N</v>
      </c>
      <c r="J62" s="118" t="str">
        <f>IF(_epmOfflineCondition_,"Y",_xll.EVPRO($B$1,$H62,"CALC"))</f>
        <v>Y</v>
      </c>
      <c r="K62" s="86"/>
      <c r="L62" s="86" t="str">
        <f>IF(_epmOfflineCondition_,"",_xll.EVPRO($B$1,H62,"JDEID"))</f>
        <v/>
      </c>
      <c r="M62" s="86" t="str">
        <f>IF(_epmOfflineCondition_,"",IF(AND(I62="N",J62="N"),_xll.EVPRO($B$1,H62,"PSFTID"),""))</f>
        <v/>
      </c>
      <c r="N62" s="186" t="str">
        <f>IF(_epmOfflineCondition_,"Dinner - Average Check",IF(_xll.EVDES(H62,$B$1)="#NODATA","",_xll.EVDES(H62,$B$1)))</f>
        <v>Dinner - Average Check</v>
      </c>
      <c r="O62" s="490"/>
      <c r="P62" s="490"/>
      <c r="Q62" s="490"/>
      <c r="R62" s="490"/>
      <c r="S62" s="490"/>
      <c r="T62" s="490"/>
      <c r="U62" s="490"/>
      <c r="V62" s="490"/>
      <c r="W62" s="490"/>
      <c r="X62" s="490"/>
      <c r="Y62" s="490"/>
      <c r="Z62" s="490"/>
      <c r="AA62" s="490" t="str">
        <f>IFERROR(AA59/AA61,"")</f>
        <v/>
      </c>
      <c r="AB62" s="490"/>
      <c r="AC62" s="136"/>
      <c r="AD62" s="490"/>
      <c r="AE62" s="490"/>
      <c r="AF62" s="491" t="str">
        <f t="shared" si="11"/>
        <v/>
      </c>
      <c r="AG62" s="490"/>
      <c r="AH62" s="490"/>
      <c r="AI62" s="491" t="str">
        <f t="shared" si="12"/>
        <v/>
      </c>
    </row>
    <row r="63" spans="1:35" x14ac:dyDescent="0.25">
      <c r="A63" s="11"/>
      <c r="B63" s="11"/>
      <c r="C63" s="11"/>
      <c r="D63" s="11"/>
      <c r="E63" s="11"/>
      <c r="F63" s="11"/>
      <c r="G63" s="486">
        <f>COUNTIF(O64:AI64,FALSE)</f>
        <v>0</v>
      </c>
      <c r="H63" s="84"/>
      <c r="I63" s="118"/>
      <c r="J63" s="118"/>
      <c r="K63" s="86"/>
      <c r="L63" s="86"/>
      <c r="M63" s="86"/>
      <c r="N63" s="487" t="s">
        <v>345</v>
      </c>
      <c r="O63" s="492">
        <f t="shared" ref="O63:AA63" si="13">ROUND(IFERROR(O59/O61,0),2)</f>
        <v>0</v>
      </c>
      <c r="P63" s="493">
        <f t="shared" si="13"/>
        <v>0</v>
      </c>
      <c r="Q63" s="493">
        <f t="shared" si="13"/>
        <v>0</v>
      </c>
      <c r="R63" s="493">
        <f t="shared" si="13"/>
        <v>0</v>
      </c>
      <c r="S63" s="493">
        <f t="shared" si="13"/>
        <v>0</v>
      </c>
      <c r="T63" s="493">
        <f t="shared" si="13"/>
        <v>0</v>
      </c>
      <c r="U63" s="493">
        <f t="shared" si="13"/>
        <v>0</v>
      </c>
      <c r="V63" s="493">
        <f t="shared" si="13"/>
        <v>0</v>
      </c>
      <c r="W63" s="493">
        <f t="shared" si="13"/>
        <v>0</v>
      </c>
      <c r="X63" s="493">
        <f t="shared" si="13"/>
        <v>0</v>
      </c>
      <c r="Y63" s="493">
        <f t="shared" si="13"/>
        <v>0</v>
      </c>
      <c r="Z63" s="493">
        <f t="shared" si="13"/>
        <v>0</v>
      </c>
      <c r="AA63" s="493">
        <f t="shared" si="13"/>
        <v>0</v>
      </c>
      <c r="AB63" s="494"/>
      <c r="AC63" s="136"/>
      <c r="AD63" s="492">
        <f>ROUND(IFERROR(AD59/AD61,0),2)</f>
        <v>0</v>
      </c>
      <c r="AE63" s="493"/>
      <c r="AF63" s="151"/>
      <c r="AG63" s="492">
        <f>ROUND(IFERROR(AG59/AG61,0),2)</f>
        <v>0</v>
      </c>
      <c r="AH63" s="493"/>
      <c r="AI63" s="151"/>
    </row>
    <row r="64" spans="1:35" x14ac:dyDescent="0.25">
      <c r="A64" s="11"/>
      <c r="B64" s="11"/>
      <c r="C64" s="11"/>
      <c r="D64" s="11"/>
      <c r="E64" s="11"/>
      <c r="F64" s="11"/>
      <c r="G64" s="11"/>
      <c r="H64" s="181"/>
      <c r="I64" s="118"/>
      <c r="J64" s="118"/>
      <c r="K64" s="86"/>
      <c r="L64" s="86"/>
      <c r="M64" s="86"/>
      <c r="N64" s="49" t="s">
        <v>307</v>
      </c>
      <c r="O64" s="495" t="b">
        <f t="shared" ref="O64:AA64" si="14">ROUND(O62,2)=ROUND(O63,2)</f>
        <v>1</v>
      </c>
      <c r="P64" s="496" t="b">
        <f t="shared" si="14"/>
        <v>1</v>
      </c>
      <c r="Q64" s="496" t="b">
        <f t="shared" si="14"/>
        <v>1</v>
      </c>
      <c r="R64" s="496" t="b">
        <f t="shared" si="14"/>
        <v>1</v>
      </c>
      <c r="S64" s="496" t="b">
        <f t="shared" si="14"/>
        <v>1</v>
      </c>
      <c r="T64" s="496" t="b">
        <f t="shared" si="14"/>
        <v>1</v>
      </c>
      <c r="U64" s="496" t="b">
        <f t="shared" si="14"/>
        <v>1</v>
      </c>
      <c r="V64" s="496" t="b">
        <f t="shared" si="14"/>
        <v>1</v>
      </c>
      <c r="W64" s="496" t="b">
        <f t="shared" si="14"/>
        <v>1</v>
      </c>
      <c r="X64" s="496" t="b">
        <f t="shared" si="14"/>
        <v>1</v>
      </c>
      <c r="Y64" s="496" t="b">
        <f t="shared" si="14"/>
        <v>1</v>
      </c>
      <c r="Z64" s="496" t="b">
        <f t="shared" si="14"/>
        <v>1</v>
      </c>
      <c r="AA64" s="496" t="e">
        <f t="shared" si="14"/>
        <v>#VALUE!</v>
      </c>
      <c r="AB64" s="497"/>
      <c r="AC64" s="498"/>
      <c r="AD64" s="495"/>
      <c r="AE64" s="496" t="b">
        <f>ROUND(AD62,2)=ROUND(AD63,2)</f>
        <v>1</v>
      </c>
      <c r="AF64" s="497"/>
      <c r="AG64" s="495"/>
      <c r="AH64" s="496" t="b">
        <f>ROUND(AG62,2)=ROUND(AG63,2)</f>
        <v>1</v>
      </c>
      <c r="AI64" s="497"/>
    </row>
    <row r="65" spans="1:35" x14ac:dyDescent="0.25">
      <c r="A65" s="11"/>
      <c r="B65" s="11"/>
      <c r="C65" s="11"/>
      <c r="D65" s="11"/>
      <c r="E65" s="11"/>
      <c r="F65" s="11"/>
      <c r="G65" s="11"/>
      <c r="H65" s="181" t="s">
        <v>263</v>
      </c>
      <c r="I65" s="118" t="str">
        <f>IF(_epmOfflineCondition_,"T5",_xll.EVPRO($B$1,$H65,"STYLE"))</f>
        <v>T5</v>
      </c>
      <c r="J65" s="118" t="str">
        <f>IF(_epmOfflineCondition_,"Y",_xll.EVPRO($B$1,$H65,"CALC"))</f>
        <v>Y</v>
      </c>
      <c r="K65" s="86"/>
      <c r="L65" s="86" t="str">
        <f>IF(_epmOfflineCondition_,"464100",_xll.EVPRO($B$1,H65,"JDEID"))</f>
        <v>464100</v>
      </c>
      <c r="M65" s="86" t="str">
        <f>IF(_epmOfflineCondition_,"",IF(AND(I65="N",J65="N"),_xll.EVPRO($B$1,H65,"PSFTID"),""))</f>
        <v/>
      </c>
      <c r="N65" s="86" t="str">
        <f>IF(_epmOfflineCondition_,"Bar Food",IF(_xll.EVDES(H65,$B$1)="#NODATA","",_xll.EVDES(H65,$B$1)))</f>
        <v>Bar Food</v>
      </c>
      <c r="O65" s="134">
        <v>1898.08</v>
      </c>
      <c r="P65" s="134">
        <v>3109.5</v>
      </c>
      <c r="Q65" s="134">
        <v>3817.65</v>
      </c>
      <c r="R65" s="134">
        <v>1879</v>
      </c>
      <c r="S65" s="134">
        <v>1640</v>
      </c>
      <c r="T65" s="134">
        <v>3132.69</v>
      </c>
      <c r="U65" s="134">
        <v>2641.55</v>
      </c>
      <c r="V65" s="134">
        <v>3228.93</v>
      </c>
      <c r="W65" s="134">
        <v>1479.6</v>
      </c>
      <c r="X65" s="134">
        <v>529.5</v>
      </c>
      <c r="Y65" s="134">
        <v>2025.7</v>
      </c>
      <c r="Z65" s="134">
        <v>2695.5</v>
      </c>
      <c r="AA65" s="134">
        <f t="shared" ref="AA65:AA71" si="15">SUM(O65:Z65)</f>
        <v>28077.7</v>
      </c>
      <c r="AB65" s="138">
        <f>IF(AA65=0,"",IFERROR(AA65/AA$19,""))</f>
        <v>7.5185328405648844E-2</v>
      </c>
      <c r="AC65" s="136"/>
      <c r="AD65" s="134">
        <v>118533.318678</v>
      </c>
      <c r="AE65" s="138">
        <f>IF(AD65=0,"",IFERROR(AD65/AD$19,""))</f>
        <v>0.22918597227381754</v>
      </c>
      <c r="AF65" s="137">
        <f t="shared" ref="AF65:AF72" si="16">IF(AND($AA65="",AD65=""),"",$AA65-AD65)</f>
        <v>-90455.618677999999</v>
      </c>
      <c r="AG65" s="134">
        <v>11806.42</v>
      </c>
      <c r="AH65" s="138">
        <f>IF(AG65=0,"",IFERROR(AG65/AG$19,""))</f>
        <v>8.4415033778397194E-2</v>
      </c>
      <c r="AI65" s="137">
        <f t="shared" ref="AI65:AI72" si="17">IF(AND($AA65="",AG65=""),"",$AA65-AG65)</f>
        <v>16271.28</v>
      </c>
    </row>
    <row r="66" spans="1:35" x14ac:dyDescent="0.25">
      <c r="A66" s="11"/>
      <c r="B66" s="11"/>
      <c r="C66" s="11"/>
      <c r="D66" s="11"/>
      <c r="E66" s="11"/>
      <c r="F66" s="11"/>
      <c r="G66" s="11"/>
      <c r="H66" s="181" t="s">
        <v>308</v>
      </c>
      <c r="I66" s="118" t="str">
        <f>IF(_epmOfflineCondition_,"T6",_xll.EVPRO($B$1,$H66,"STYLE"))</f>
        <v>T6</v>
      </c>
      <c r="J66" s="118" t="str">
        <f>IF(_epmOfflineCondition_,"Y",_xll.EVPRO($B$1,$H66,"CALC"))</f>
        <v>Y</v>
      </c>
      <c r="K66" s="86"/>
      <c r="L66" s="86" t="str">
        <f>IF(_epmOfflineCondition_,"464200",_xll.EVPRO($B$1,H66,"JDEID"))</f>
        <v>464200</v>
      </c>
      <c r="M66" s="86" t="str">
        <f>IF(_epmOfflineCondition_,"",IF(AND(I66="N",J66="N"),_xll.EVPRO($B$1,H66,"PSFTID"),""))</f>
        <v/>
      </c>
      <c r="N66" s="86" t="str">
        <f>IF(_epmOfflineCondition_,"Bar Liquor",IF(_xll.EVDES(H66,$B$1)="#NODATA","",_xll.EVDES(H66,$B$1)))</f>
        <v>Bar Liquor</v>
      </c>
      <c r="O66" s="134">
        <v>12878.4</v>
      </c>
      <c r="P66" s="134">
        <v>15160.3</v>
      </c>
      <c r="Q66" s="134">
        <v>13924.6</v>
      </c>
      <c r="R66" s="134">
        <v>12864.8</v>
      </c>
      <c r="S66" s="134">
        <v>11494.5</v>
      </c>
      <c r="T66" s="134">
        <v>12054.17</v>
      </c>
      <c r="U66" s="134">
        <v>10700.8</v>
      </c>
      <c r="V66" s="134">
        <v>11328.72</v>
      </c>
      <c r="W66" s="134">
        <v>8950.6</v>
      </c>
      <c r="X66" s="134">
        <v>10587.45</v>
      </c>
      <c r="Y66" s="134">
        <v>12688.2</v>
      </c>
      <c r="Z66" s="134">
        <v>17092.8</v>
      </c>
      <c r="AA66" s="134">
        <f t="shared" si="15"/>
        <v>149725.34</v>
      </c>
      <c r="AB66" s="138">
        <f>IF(AA66=0,"",IFERROR(AA66/AA$19,""))</f>
        <v>0.40092845420199769</v>
      </c>
      <c r="AC66" s="136"/>
      <c r="AD66" s="134">
        <v>146899.3701</v>
      </c>
      <c r="AE66" s="138">
        <f>IF(AD66=0,"",IFERROR(AD66/AD$19,""))</f>
        <v>0.28403216359982481</v>
      </c>
      <c r="AF66" s="137">
        <f t="shared" si="16"/>
        <v>2825.9698999999964</v>
      </c>
      <c r="AG66" s="134">
        <v>54156.57</v>
      </c>
      <c r="AH66" s="138">
        <f>IF(AG66=0,"",IFERROR(AG66/AG$19,""))</f>
        <v>0.38721548834211655</v>
      </c>
      <c r="AI66" s="137">
        <f t="shared" si="17"/>
        <v>95568.76999999999</v>
      </c>
    </row>
    <row r="67" spans="1:35" x14ac:dyDescent="0.25">
      <c r="A67" s="11"/>
      <c r="B67" s="11"/>
      <c r="C67" s="11"/>
      <c r="D67" s="11"/>
      <c r="E67" s="11"/>
      <c r="F67" s="11"/>
      <c r="G67" s="11"/>
      <c r="H67" s="181" t="s">
        <v>310</v>
      </c>
      <c r="I67" s="118" t="str">
        <f>IF(_epmOfflineCondition_,"T6",_xll.EVPRO($B$1,$H67,"STYLE"))</f>
        <v>T6</v>
      </c>
      <c r="J67" s="118" t="str">
        <f>IF(_epmOfflineCondition_,"Y",_xll.EVPRO($B$1,$H67,"CALC"))</f>
        <v>Y</v>
      </c>
      <c r="K67" s="86"/>
      <c r="L67" s="86" t="str">
        <f>IF(_epmOfflineCondition_,"464300",_xll.EVPRO($B$1,H67,"JDEID"))</f>
        <v>464300</v>
      </c>
      <c r="M67" s="86" t="str">
        <f>IF(_epmOfflineCondition_,"",IF(AND(I67="N",J67="N"),_xll.EVPRO($B$1,H67,"PSFTID"),""))</f>
        <v/>
      </c>
      <c r="N67" s="86" t="str">
        <f>IF(_epmOfflineCondition_,"Bar Beer",IF(_xll.EVDES(H67,$B$1)="#NODATA","",_xll.EVDES(H67,$B$1)))</f>
        <v>Bar Beer</v>
      </c>
      <c r="O67" s="134">
        <v>2313</v>
      </c>
      <c r="P67" s="134">
        <v>2012.45</v>
      </c>
      <c r="Q67" s="134">
        <v>2904.95</v>
      </c>
      <c r="R67" s="134">
        <v>2924.05</v>
      </c>
      <c r="S67" s="134">
        <v>1711.55</v>
      </c>
      <c r="T67" s="134">
        <v>2177.58</v>
      </c>
      <c r="U67" s="134">
        <v>1985.45</v>
      </c>
      <c r="V67" s="134">
        <v>1922.05</v>
      </c>
      <c r="W67" s="134">
        <v>1433.8</v>
      </c>
      <c r="X67" s="134">
        <v>3398.75</v>
      </c>
      <c r="Y67" s="134">
        <v>2183.85</v>
      </c>
      <c r="Z67" s="134">
        <v>2845.4</v>
      </c>
      <c r="AA67" s="134">
        <f t="shared" si="15"/>
        <v>27812.880000000001</v>
      </c>
      <c r="AB67" s="138">
        <f>IF(AA67=0,"",IFERROR(AA67/AA$19,""))</f>
        <v>7.4476204130213761E-2</v>
      </c>
      <c r="AC67" s="136"/>
      <c r="AD67" s="134">
        <v>28733.939021999999</v>
      </c>
      <c r="AE67" s="138">
        <f>IF(AD67=0,"",IFERROR(AD67/AD$19,""))</f>
        <v>5.5557507589095459E-2</v>
      </c>
      <c r="AF67" s="137">
        <f t="shared" si="16"/>
        <v>-921.05902199999764</v>
      </c>
      <c r="AG67" s="134">
        <v>9386.59</v>
      </c>
      <c r="AH67" s="138">
        <f>IF(AG67=0,"",IFERROR(AG67/AG$19,""))</f>
        <v>6.7113427433037734E-2</v>
      </c>
      <c r="AI67" s="137">
        <f t="shared" si="17"/>
        <v>18426.29</v>
      </c>
    </row>
    <row r="68" spans="1:35" x14ac:dyDescent="0.25">
      <c r="A68" s="11"/>
      <c r="B68" s="11"/>
      <c r="C68" s="11"/>
      <c r="D68" s="11"/>
      <c r="E68" s="11"/>
      <c r="F68" s="11"/>
      <c r="G68" s="11"/>
      <c r="H68" s="181" t="s">
        <v>309</v>
      </c>
      <c r="I68" s="118" t="str">
        <f>IF(_epmOfflineCondition_,"T6",_xll.EVPRO($B$1,$H68,"STYLE"))</f>
        <v>T6</v>
      </c>
      <c r="J68" s="118" t="str">
        <f>IF(_epmOfflineCondition_,"Y",_xll.EVPRO($B$1,$H68,"CALC"))</f>
        <v>Y</v>
      </c>
      <c r="K68" s="86"/>
      <c r="L68" s="86" t="str">
        <f>IF(_epmOfflineCondition_,"464400",_xll.EVPRO($B$1,H68,"JDEID"))</f>
        <v>464400</v>
      </c>
      <c r="M68" s="86" t="str">
        <f>IF(_epmOfflineCondition_,"",IF(AND(I68="N",J68="N"),_xll.EVPRO($B$1,H68,"PSFTID"),""))</f>
        <v/>
      </c>
      <c r="N68" s="86" t="str">
        <f>IF(_epmOfflineCondition_,"Bar Wine",IF(_xll.EVDES(H68,$B$1)="#NODATA","",_xll.EVDES(H68,$B$1)))</f>
        <v>Bar Wine</v>
      </c>
      <c r="O68" s="228">
        <v>4009.51</v>
      </c>
      <c r="P68" s="228">
        <v>6603.65</v>
      </c>
      <c r="Q68" s="228">
        <v>5904</v>
      </c>
      <c r="R68" s="228">
        <v>3569.2</v>
      </c>
      <c r="S68" s="228">
        <v>3654</v>
      </c>
      <c r="T68" s="228">
        <v>2494.21</v>
      </c>
      <c r="U68" s="228">
        <v>1933.65</v>
      </c>
      <c r="V68" s="228">
        <v>2165.2399999999998</v>
      </c>
      <c r="W68" s="228">
        <v>1970.6</v>
      </c>
      <c r="X68" s="228">
        <v>3312.5</v>
      </c>
      <c r="Y68" s="228">
        <v>3835.2</v>
      </c>
      <c r="Z68" s="228">
        <v>4016.2</v>
      </c>
      <c r="AA68" s="228">
        <f t="shared" si="15"/>
        <v>43467.959999999992</v>
      </c>
      <c r="AB68" s="230">
        <f>IF(AA68=0,"",IFERROR(AA68/AA$19,""))</f>
        <v>0.11639674359807274</v>
      </c>
      <c r="AC68" s="136"/>
      <c r="AD68" s="228">
        <v>151354.5822</v>
      </c>
      <c r="AE68" s="230">
        <f>IF(AD68=0,"",IFERROR(AD68/AD$19,""))</f>
        <v>0.29264638387318398</v>
      </c>
      <c r="AF68" s="231">
        <f t="shared" si="16"/>
        <v>-107886.62220000001</v>
      </c>
      <c r="AG68" s="228">
        <v>11797.2</v>
      </c>
      <c r="AH68" s="230">
        <f>IF(AG68=0,"",IFERROR(AG68/AG$19,""))</f>
        <v>8.4349111457199338E-2</v>
      </c>
      <c r="AI68" s="231">
        <f t="shared" si="17"/>
        <v>31670.759999999991</v>
      </c>
    </row>
    <row r="69" spans="1:35" x14ac:dyDescent="0.25">
      <c r="A69" s="11"/>
      <c r="B69" s="11"/>
      <c r="C69" s="11"/>
      <c r="D69" s="11"/>
      <c r="E69" s="11"/>
      <c r="F69" s="11"/>
      <c r="G69" s="11"/>
      <c r="H69" s="181" t="s">
        <v>327</v>
      </c>
      <c r="I69" s="118" t="str">
        <f>IF(_epmOfflineCondition_,"N",_xll.EVPRO($B$1,$H69,"STYLE"))</f>
        <v>N</v>
      </c>
      <c r="J69" s="118" t="str">
        <f>IF(_epmOfflineCondition_,"Y",_xll.EVPRO($B$1,$H69,"CALC"))</f>
        <v>Y</v>
      </c>
      <c r="K69" s="86"/>
      <c r="L69" s="86" t="str">
        <f>IF(_epmOfflineCondition_,"",_xll.EVPRO($B$1,H69,"JDEID"))</f>
        <v/>
      </c>
      <c r="M69" s="86" t="str">
        <f>IF(_epmOfflineCondition_,"",IF(AND(I69="N",J69="N"),_xll.EVPRO($B$1,H69,"PSFTID"),""))</f>
        <v/>
      </c>
      <c r="N69" s="102" t="str">
        <f>IF(_epmOfflineCondition_,"Bar Revenue",IF(_xll.EVDES(H69,$B$1)="#NODATA","",_xll.EVDES(H69,$B$1)))</f>
        <v>Bar Revenue</v>
      </c>
      <c r="O69" s="158">
        <v>21098.99</v>
      </c>
      <c r="P69" s="158">
        <v>26885.9</v>
      </c>
      <c r="Q69" s="158">
        <v>26551.200000000001</v>
      </c>
      <c r="R69" s="158">
        <v>21237.05</v>
      </c>
      <c r="S69" s="158">
        <v>18500.05</v>
      </c>
      <c r="T69" s="158">
        <v>19858.650000000001</v>
      </c>
      <c r="U69" s="158">
        <v>17261.45</v>
      </c>
      <c r="V69" s="158">
        <v>18644.939999999999</v>
      </c>
      <c r="W69" s="158">
        <v>13834.6</v>
      </c>
      <c r="X69" s="158">
        <v>17828.2</v>
      </c>
      <c r="Y69" s="158">
        <v>20732.95</v>
      </c>
      <c r="Z69" s="158">
        <v>26649.9</v>
      </c>
      <c r="AA69" s="158">
        <f t="shared" si="15"/>
        <v>249083.88000000003</v>
      </c>
      <c r="AB69" s="159">
        <f>IF(AA69=0,"",IFERROR(AA69/AA$19,""))</f>
        <v>0.66698673033593314</v>
      </c>
      <c r="AC69" s="136"/>
      <c r="AD69" s="158">
        <v>445521.21</v>
      </c>
      <c r="AE69" s="159">
        <f>IF(AD69=0,"",IFERROR(AD69/AD$19,""))</f>
        <v>0.86142202733592188</v>
      </c>
      <c r="AF69" s="160">
        <f t="shared" si="16"/>
        <v>-196437.33</v>
      </c>
      <c r="AG69" s="158">
        <v>87146.78</v>
      </c>
      <c r="AH69" s="159">
        <f>IF(AG69=0,"",IFERROR(AG69/AG$19,""))</f>
        <v>0.62309306101075079</v>
      </c>
      <c r="AI69" s="160">
        <f t="shared" si="17"/>
        <v>161937.10000000003</v>
      </c>
    </row>
    <row r="70" spans="1:35" x14ac:dyDescent="0.25">
      <c r="A70" s="11"/>
      <c r="B70" s="11"/>
      <c r="C70" s="11"/>
      <c r="D70" s="11"/>
      <c r="E70" s="11"/>
      <c r="F70" s="11"/>
      <c r="G70" s="11"/>
      <c r="H70" s="181" t="s">
        <v>767</v>
      </c>
      <c r="I70" s="118" t="str">
        <f>IF(_epmOfflineCondition_,"N",_xll.EVPRO($B$1,$H70,"STYLE"))</f>
        <v>N</v>
      </c>
      <c r="J70" s="118" t="str">
        <f>IF(_epmOfflineCondition_,"N",_xll.EVPRO($B$1,$H70,"CALC"))</f>
        <v>N</v>
      </c>
      <c r="K70" s="86"/>
      <c r="L70" s="86" t="str">
        <f>IF(_epmOfflineCondition_,"947400",_xll.EVPRO($B$1,H70,"JDEID"))</f>
        <v>947400</v>
      </c>
      <c r="M70" s="86" t="str">
        <f>IF(_epmOfflineCondition_,"999994",IF(AND(I70="N",J70="N"),_xll.EVPRO($B$1,H70,"PSFTID"),""))</f>
        <v>999994</v>
      </c>
      <c r="N70" s="86" t="str">
        <f>IF(_epmOfflineCondition_,"# of Operating Days - Bar",IF(_xll.EVDES(H70,$B$1)="#NODATA","",_xll.EVDES(H70,$B$1)))</f>
        <v># of Operating Days - Bar</v>
      </c>
      <c r="O70" s="240">
        <v>31</v>
      </c>
      <c r="P70" s="240">
        <v>28</v>
      </c>
      <c r="Q70" s="240">
        <v>31</v>
      </c>
      <c r="R70" s="240">
        <v>30</v>
      </c>
      <c r="S70" s="240">
        <v>31</v>
      </c>
      <c r="T70" s="240">
        <v>30</v>
      </c>
      <c r="U70" s="240">
        <v>31</v>
      </c>
      <c r="V70" s="240">
        <v>31</v>
      </c>
      <c r="W70" s="240">
        <v>30</v>
      </c>
      <c r="X70" s="240">
        <v>31</v>
      </c>
      <c r="Y70" s="240">
        <v>30</v>
      </c>
      <c r="Z70" s="240">
        <v>31</v>
      </c>
      <c r="AA70" s="240">
        <f t="shared" si="15"/>
        <v>365</v>
      </c>
      <c r="AB70" s="242"/>
      <c r="AC70" s="136"/>
      <c r="AD70" s="240">
        <v>365</v>
      </c>
      <c r="AE70" s="242"/>
      <c r="AF70" s="243">
        <f t="shared" si="16"/>
        <v>0</v>
      </c>
      <c r="AG70" s="240">
        <v>157</v>
      </c>
      <c r="AH70" s="242"/>
      <c r="AI70" s="243">
        <f t="shared" si="17"/>
        <v>208</v>
      </c>
    </row>
    <row r="71" spans="1:35" x14ac:dyDescent="0.25">
      <c r="A71" s="11"/>
      <c r="B71" s="11"/>
      <c r="C71" s="11"/>
      <c r="D71" s="11"/>
      <c r="E71" s="11"/>
      <c r="F71" s="11"/>
      <c r="G71" s="11"/>
      <c r="H71" s="181" t="s">
        <v>326</v>
      </c>
      <c r="I71" s="118" t="str">
        <f>IF(_epmOfflineCondition_,"N",_xll.EVPRO($B$1,$H71,"STYLE"))</f>
        <v>N</v>
      </c>
      <c r="J71" s="118" t="str">
        <f>IF(_epmOfflineCondition_,"N",_xll.EVPRO($B$1,$H71,"CALC"))</f>
        <v>N</v>
      </c>
      <c r="K71" s="86"/>
      <c r="L71" s="86" t="str">
        <f>IF(_epmOfflineCondition_,"946500",_xll.EVPRO($B$1,H71,"JDEID"))</f>
        <v>946500</v>
      </c>
      <c r="M71" s="86" t="str">
        <f>IF(_epmOfflineCondition_,"991522",IF(AND(I71="N",J71="N"),_xll.EVPRO($B$1,H71,"PSFTID"),""))</f>
        <v>991522</v>
      </c>
      <c r="N71" s="86" t="str">
        <f>IF(_epmOfflineCondition_,"Bar Customers",IF(_xll.EVDES(H71,$B$1)="#NODATA","",_xll.EVDES(H71,$B$1)))</f>
        <v>Bar Customers</v>
      </c>
      <c r="O71" s="240">
        <v>1146</v>
      </c>
      <c r="P71" s="240">
        <v>1466</v>
      </c>
      <c r="Q71" s="240">
        <v>1584</v>
      </c>
      <c r="R71" s="240">
        <v>1346</v>
      </c>
      <c r="S71" s="240">
        <v>1194</v>
      </c>
      <c r="T71" s="240">
        <v>1130</v>
      </c>
      <c r="U71" s="240">
        <v>1106</v>
      </c>
      <c r="V71" s="240">
        <v>1099</v>
      </c>
      <c r="W71" s="240">
        <v>823</v>
      </c>
      <c r="X71" s="240">
        <v>1220</v>
      </c>
      <c r="Y71" s="240">
        <v>1139</v>
      </c>
      <c r="Z71" s="240">
        <v>1404</v>
      </c>
      <c r="AA71" s="240">
        <f t="shared" si="15"/>
        <v>14657</v>
      </c>
      <c r="AB71" s="242">
        <f>IF(AA71=0,"",IFERROR(AA71/AA$87,""))</f>
        <v>0.63629259822009987</v>
      </c>
      <c r="AC71" s="136"/>
      <c r="AD71" s="240">
        <v>18303</v>
      </c>
      <c r="AE71" s="242">
        <f>IF(AD71=0,"",IFERROR(AD71/AD$87,""))</f>
        <v>0.80062114518175054</v>
      </c>
      <c r="AF71" s="243">
        <f t="shared" si="16"/>
        <v>-3646</v>
      </c>
      <c r="AG71" s="240">
        <v>5128</v>
      </c>
      <c r="AH71" s="242">
        <f>IF(AG71=0,"",IFERROR(AG71/AG$87,""))</f>
        <v>0.56832539066829213</v>
      </c>
      <c r="AI71" s="243">
        <f t="shared" si="17"/>
        <v>9529</v>
      </c>
    </row>
    <row r="72" spans="1:35" x14ac:dyDescent="0.25">
      <c r="A72" s="11"/>
      <c r="B72" s="11"/>
      <c r="C72" s="11"/>
      <c r="D72" s="11"/>
      <c r="E72" s="11"/>
      <c r="F72" s="11"/>
      <c r="G72" s="11"/>
      <c r="H72" s="181" t="s">
        <v>328</v>
      </c>
      <c r="I72" s="118" t="str">
        <f>IF(_epmOfflineCondition_,"N",_xll.EVPRO($B$1,$H72,"STYLE"))</f>
        <v>N</v>
      </c>
      <c r="J72" s="118" t="str">
        <f>IF(_epmOfflineCondition_,"Y",_xll.EVPRO($B$1,$H72,"CALC"))</f>
        <v>Y</v>
      </c>
      <c r="K72" s="86"/>
      <c r="L72" s="86" t="str">
        <f>IF(_epmOfflineCondition_,"",_xll.EVPRO($B$1,H72,"JDEID"))</f>
        <v/>
      </c>
      <c r="M72" s="86" t="str">
        <f>IF(_epmOfflineCondition_,"",IF(AND(I72="N",J72="N"),_xll.EVPRO($B$1,H72,"PSFTID"),""))</f>
        <v/>
      </c>
      <c r="N72" s="186" t="str">
        <f>IF(_epmOfflineCondition_,"Bar- Average Check",IF(_xll.EVDES(H72,$B$1)="#NODATA","",_xll.EVDES(H72,$B$1)))</f>
        <v>Bar- Average Check</v>
      </c>
      <c r="O72" s="490">
        <v>18.410986038394402</v>
      </c>
      <c r="P72" s="490">
        <v>18.339631650750299</v>
      </c>
      <c r="Q72" s="490">
        <v>16.762121212121201</v>
      </c>
      <c r="R72" s="490">
        <v>15.777897473996999</v>
      </c>
      <c r="S72" s="490">
        <v>15.4941792294807</v>
      </c>
      <c r="T72" s="490">
        <v>17.574026548672599</v>
      </c>
      <c r="U72" s="490">
        <v>15.607097649186301</v>
      </c>
      <c r="V72" s="490">
        <v>16.9653685168335</v>
      </c>
      <c r="W72" s="490">
        <v>16.8099635479951</v>
      </c>
      <c r="X72" s="490">
        <v>14.6132786885246</v>
      </c>
      <c r="Y72" s="490">
        <v>18.202765583845501</v>
      </c>
      <c r="Z72" s="490">
        <v>18.9814102564103</v>
      </c>
      <c r="AA72" s="490">
        <f>IFERROR(AA69/AA71,"")</f>
        <v>16.994192535989633</v>
      </c>
      <c r="AB72" s="490"/>
      <c r="AC72" s="136"/>
      <c r="AD72" s="490">
        <v>24.341430912965102</v>
      </c>
      <c r="AE72" s="490"/>
      <c r="AF72" s="491">
        <f t="shared" si="16"/>
        <v>-7.3472383769754686</v>
      </c>
      <c r="AG72" s="490">
        <v>16.9943018720749</v>
      </c>
      <c r="AH72" s="490"/>
      <c r="AI72" s="491">
        <f t="shared" si="17"/>
        <v>-1.0933608526642047E-4</v>
      </c>
    </row>
    <row r="73" spans="1:35" x14ac:dyDescent="0.25">
      <c r="A73" s="11"/>
      <c r="B73" s="11"/>
      <c r="C73" s="11"/>
      <c r="D73" s="11"/>
      <c r="E73" s="11"/>
      <c r="F73" s="11"/>
      <c r="G73" s="486">
        <f>COUNTIF(O74:AI74,FALSE)</f>
        <v>0</v>
      </c>
      <c r="H73" s="84"/>
      <c r="I73" s="118"/>
      <c r="J73" s="118"/>
      <c r="K73" s="86"/>
      <c r="L73" s="86"/>
      <c r="M73" s="86"/>
      <c r="N73" s="487" t="s">
        <v>345</v>
      </c>
      <c r="O73" s="492">
        <f t="shared" ref="O73:AA73" si="18">ROUND(IFERROR(O69/O71,0),2)</f>
        <v>18.41</v>
      </c>
      <c r="P73" s="493">
        <f t="shared" si="18"/>
        <v>18.34</v>
      </c>
      <c r="Q73" s="493">
        <f t="shared" si="18"/>
        <v>16.760000000000002</v>
      </c>
      <c r="R73" s="493">
        <f t="shared" si="18"/>
        <v>15.78</v>
      </c>
      <c r="S73" s="493">
        <f t="shared" si="18"/>
        <v>15.49</v>
      </c>
      <c r="T73" s="493">
        <f t="shared" si="18"/>
        <v>17.57</v>
      </c>
      <c r="U73" s="493">
        <f t="shared" si="18"/>
        <v>15.61</v>
      </c>
      <c r="V73" s="493">
        <f t="shared" si="18"/>
        <v>16.97</v>
      </c>
      <c r="W73" s="493">
        <f t="shared" si="18"/>
        <v>16.809999999999999</v>
      </c>
      <c r="X73" s="493">
        <f t="shared" si="18"/>
        <v>14.61</v>
      </c>
      <c r="Y73" s="493">
        <f t="shared" si="18"/>
        <v>18.2</v>
      </c>
      <c r="Z73" s="493">
        <f t="shared" si="18"/>
        <v>18.98</v>
      </c>
      <c r="AA73" s="493">
        <f t="shared" si="18"/>
        <v>16.989999999999998</v>
      </c>
      <c r="AB73" s="494"/>
      <c r="AC73" s="136"/>
      <c r="AD73" s="492">
        <f>ROUND(IFERROR(AD69/AD71,0),2)</f>
        <v>24.34</v>
      </c>
      <c r="AE73" s="493"/>
      <c r="AF73" s="151"/>
      <c r="AG73" s="492">
        <f>ROUND(IFERROR(AG69/AG71,0),2)</f>
        <v>16.989999999999998</v>
      </c>
      <c r="AH73" s="493"/>
      <c r="AI73" s="151"/>
    </row>
    <row r="74" spans="1:35" x14ac:dyDescent="0.25">
      <c r="A74" s="11"/>
      <c r="B74" s="11"/>
      <c r="C74" s="11"/>
      <c r="D74" s="11"/>
      <c r="E74" s="11"/>
      <c r="F74" s="11"/>
      <c r="G74" s="11"/>
      <c r="H74" s="181"/>
      <c r="I74" s="118"/>
      <c r="J74" s="118"/>
      <c r="K74" s="86"/>
      <c r="L74" s="86"/>
      <c r="M74" s="86"/>
      <c r="N74" s="49" t="s">
        <v>324</v>
      </c>
      <c r="O74" s="495" t="b">
        <f t="shared" ref="O74:AA74" si="19">ROUND(O72,2)=ROUND(O73,2)</f>
        <v>1</v>
      </c>
      <c r="P74" s="496" t="b">
        <f t="shared" si="19"/>
        <v>1</v>
      </c>
      <c r="Q74" s="496" t="b">
        <f t="shared" si="19"/>
        <v>1</v>
      </c>
      <c r="R74" s="496" t="b">
        <f t="shared" si="19"/>
        <v>1</v>
      </c>
      <c r="S74" s="496" t="b">
        <f t="shared" si="19"/>
        <v>1</v>
      </c>
      <c r="T74" s="496" t="b">
        <f t="shared" si="19"/>
        <v>1</v>
      </c>
      <c r="U74" s="496" t="b">
        <f t="shared" si="19"/>
        <v>1</v>
      </c>
      <c r="V74" s="496" t="b">
        <f t="shared" si="19"/>
        <v>1</v>
      </c>
      <c r="W74" s="496" t="b">
        <f t="shared" si="19"/>
        <v>1</v>
      </c>
      <c r="X74" s="496" t="b">
        <f t="shared" si="19"/>
        <v>1</v>
      </c>
      <c r="Y74" s="496" t="b">
        <f t="shared" si="19"/>
        <v>1</v>
      </c>
      <c r="Z74" s="496" t="b">
        <f t="shared" si="19"/>
        <v>1</v>
      </c>
      <c r="AA74" s="496" t="b">
        <f t="shared" si="19"/>
        <v>1</v>
      </c>
      <c r="AB74" s="497"/>
      <c r="AC74" s="498"/>
      <c r="AD74" s="495"/>
      <c r="AE74" s="496" t="b">
        <f>ROUND(AD72,2)=ROUND(AD73,2)</f>
        <v>1</v>
      </c>
      <c r="AF74" s="497"/>
      <c r="AG74" s="495"/>
      <c r="AH74" s="496" t="b">
        <f>ROUND(AG72,2)=ROUND(AG73,2)</f>
        <v>1</v>
      </c>
      <c r="AI74" s="497"/>
    </row>
    <row r="75" spans="1:35" x14ac:dyDescent="0.25">
      <c r="A75" s="11"/>
      <c r="B75" s="11"/>
      <c r="C75" s="11"/>
      <c r="D75" s="11"/>
      <c r="E75" s="11"/>
      <c r="F75" s="11"/>
      <c r="G75" s="11"/>
      <c r="H75" s="181" t="s">
        <v>264</v>
      </c>
      <c r="I75" s="118" t="str">
        <f>IF(_epmOfflineCondition_,"T5",_xll.EVPRO($B$1,$H75,"STYLE"))</f>
        <v>T5</v>
      </c>
      <c r="J75" s="118" t="str">
        <f>IF(_epmOfflineCondition_,"Y",_xll.EVPRO($B$1,$H75,"CALC"))</f>
        <v>Y</v>
      </c>
      <c r="K75" s="86"/>
      <c r="L75" s="86" t="str">
        <f>IF(_epmOfflineCondition_,"465100",_xll.EVPRO($B$1,H75,"JDEID"))</f>
        <v>465100</v>
      </c>
      <c r="M75" s="86" t="str">
        <f>IF(_epmOfflineCondition_,"",IF(AND(I75="N",J75="N"),_xll.EVPRO($B$1,H75,"PSFTID"),""))</f>
        <v/>
      </c>
      <c r="N75" s="86" t="str">
        <f>IF(_epmOfflineCondition_,"Private Dining Food",IF(_xll.EVDES(H75,$B$1)="#NODATA","",_xll.EVDES(H75,$B$1)))</f>
        <v>Private Dining Food</v>
      </c>
      <c r="O75" s="134"/>
      <c r="P75" s="134"/>
      <c r="Q75" s="134"/>
      <c r="R75" s="134"/>
      <c r="S75" s="134"/>
      <c r="T75" s="134"/>
      <c r="U75" s="134"/>
      <c r="V75" s="134"/>
      <c r="W75" s="134"/>
      <c r="X75" s="134"/>
      <c r="Y75" s="134"/>
      <c r="Z75" s="134"/>
      <c r="AA75" s="134">
        <f t="shared" ref="AA75:AA80" si="20">SUM(O75:Z75)</f>
        <v>0</v>
      </c>
      <c r="AB75" s="138" t="str">
        <f>IF(AA75=0,"",IFERROR(AA75/AA$19,""))</f>
        <v/>
      </c>
      <c r="AC75" s="136"/>
      <c r="AD75" s="134"/>
      <c r="AE75" s="138" t="str">
        <f>IF(AD75=0,"",IFERROR(AD75/AD$19,""))</f>
        <v/>
      </c>
      <c r="AF75" s="137">
        <f t="shared" ref="AF75:AF81" si="21">IF(AND($AA75="",AD75=""),"",$AA75-AD75)</f>
        <v>0</v>
      </c>
      <c r="AG75" s="134"/>
      <c r="AH75" s="138" t="str">
        <f>IF(AG75=0,"",IFERROR(AG75/AG$19,""))</f>
        <v/>
      </c>
      <c r="AI75" s="137">
        <f t="shared" ref="AI75:AI81" si="22">IF(AND($AA75="",AG75=""),"",$AA75-AG75)</f>
        <v>0</v>
      </c>
    </row>
    <row r="76" spans="1:35" x14ac:dyDescent="0.25">
      <c r="A76" s="11"/>
      <c r="B76" s="11"/>
      <c r="C76" s="11"/>
      <c r="D76" s="11"/>
      <c r="E76" s="11"/>
      <c r="F76" s="11"/>
      <c r="G76" s="11"/>
      <c r="H76" s="181" t="s">
        <v>321</v>
      </c>
      <c r="I76" s="118" t="str">
        <f>IF(_epmOfflineCondition_,"T6",_xll.EVPRO($B$1,$H76,"STYLE"))</f>
        <v>T6</v>
      </c>
      <c r="J76" s="118" t="str">
        <f>IF(_epmOfflineCondition_,"Y",_xll.EVPRO($B$1,$H76,"CALC"))</f>
        <v>Y</v>
      </c>
      <c r="K76" s="86"/>
      <c r="L76" s="86" t="str">
        <f>IF(_epmOfflineCondition_,"465200",_xll.EVPRO($B$1,H76,"JDEID"))</f>
        <v>465200</v>
      </c>
      <c r="M76" s="86" t="str">
        <f>IF(_epmOfflineCondition_,"",IF(AND(I76="N",J76="N"),_xll.EVPRO($B$1,H76,"PSFTID"),""))</f>
        <v/>
      </c>
      <c r="N76" s="86" t="str">
        <f>IF(_epmOfflineCondition_,"Private Dining Liquor",IF(_xll.EVDES(H76,$B$1)="#NODATA","",_xll.EVDES(H76,$B$1)))</f>
        <v>Private Dining Liquor</v>
      </c>
      <c r="O76" s="134"/>
      <c r="P76" s="134"/>
      <c r="Q76" s="134"/>
      <c r="R76" s="134"/>
      <c r="S76" s="134"/>
      <c r="T76" s="134"/>
      <c r="U76" s="134"/>
      <c r="V76" s="134"/>
      <c r="W76" s="134"/>
      <c r="X76" s="134"/>
      <c r="Y76" s="134"/>
      <c r="Z76" s="134"/>
      <c r="AA76" s="134">
        <f t="shared" si="20"/>
        <v>0</v>
      </c>
      <c r="AB76" s="138" t="str">
        <f>IF(AA76=0,"",IFERROR(AA76/AA$19,""))</f>
        <v/>
      </c>
      <c r="AC76" s="136"/>
      <c r="AD76" s="134"/>
      <c r="AE76" s="138" t="str">
        <f>IF(AD76=0,"",IFERROR(AD76/AD$19,""))</f>
        <v/>
      </c>
      <c r="AF76" s="137">
        <f t="shared" si="21"/>
        <v>0</v>
      </c>
      <c r="AG76" s="134"/>
      <c r="AH76" s="138" t="str">
        <f>IF(AG76=0,"",IFERROR(AG76/AG$19,""))</f>
        <v/>
      </c>
      <c r="AI76" s="137">
        <f t="shared" si="22"/>
        <v>0</v>
      </c>
    </row>
    <row r="77" spans="1:35" x14ac:dyDescent="0.25">
      <c r="A77" s="11"/>
      <c r="B77" s="11"/>
      <c r="C77" s="11"/>
      <c r="D77" s="11"/>
      <c r="E77" s="11"/>
      <c r="F77" s="11"/>
      <c r="G77" s="11"/>
      <c r="H77" s="181" t="s">
        <v>323</v>
      </c>
      <c r="I77" s="118" t="str">
        <f>IF(_epmOfflineCondition_,"T6",_xll.EVPRO($B$1,$H77,"STYLE"))</f>
        <v>T6</v>
      </c>
      <c r="J77" s="118" t="str">
        <f>IF(_epmOfflineCondition_,"Y",_xll.EVPRO($B$1,$H77,"CALC"))</f>
        <v>Y</v>
      </c>
      <c r="K77" s="86"/>
      <c r="L77" s="86" t="str">
        <f>IF(_epmOfflineCondition_,"465300",_xll.EVPRO($B$1,H77,"JDEID"))</f>
        <v>465300</v>
      </c>
      <c r="M77" s="86" t="str">
        <f>IF(_epmOfflineCondition_,"",IF(AND(I77="N",J77="N"),_xll.EVPRO($B$1,H77,"PSFTID"),""))</f>
        <v/>
      </c>
      <c r="N77" s="86" t="str">
        <f>IF(_epmOfflineCondition_,"Private Dining Beer",IF(_xll.EVDES(H77,$B$1)="#NODATA","",_xll.EVDES(H77,$B$1)))</f>
        <v>Private Dining Beer</v>
      </c>
      <c r="O77" s="134"/>
      <c r="P77" s="134"/>
      <c r="Q77" s="134"/>
      <c r="R77" s="134"/>
      <c r="S77" s="134"/>
      <c r="T77" s="134"/>
      <c r="U77" s="134"/>
      <c r="V77" s="134"/>
      <c r="W77" s="134"/>
      <c r="X77" s="134"/>
      <c r="Y77" s="134"/>
      <c r="Z77" s="134"/>
      <c r="AA77" s="134">
        <f t="shared" si="20"/>
        <v>0</v>
      </c>
      <c r="AB77" s="138" t="str">
        <f>IF(AA77=0,"",IFERROR(AA77/AA$19,""))</f>
        <v/>
      </c>
      <c r="AC77" s="136"/>
      <c r="AD77" s="134"/>
      <c r="AE77" s="138" t="str">
        <f>IF(AD77=0,"",IFERROR(AD77/AD$19,""))</f>
        <v/>
      </c>
      <c r="AF77" s="137">
        <f t="shared" si="21"/>
        <v>0</v>
      </c>
      <c r="AG77" s="134"/>
      <c r="AH77" s="138" t="str">
        <f>IF(AG77=0,"",IFERROR(AG77/AG$19,""))</f>
        <v/>
      </c>
      <c r="AI77" s="137">
        <f t="shared" si="22"/>
        <v>0</v>
      </c>
    </row>
    <row r="78" spans="1:35" x14ac:dyDescent="0.25">
      <c r="A78" s="11"/>
      <c r="B78" s="11"/>
      <c r="C78" s="204"/>
      <c r="D78" s="11"/>
      <c r="E78" s="11"/>
      <c r="F78" s="11"/>
      <c r="G78" s="11"/>
      <c r="H78" s="181" t="s">
        <v>322</v>
      </c>
      <c r="I78" s="118" t="str">
        <f>IF(_epmOfflineCondition_,"T6",_xll.EVPRO($B$1,$H78,"STYLE"))</f>
        <v>T6</v>
      </c>
      <c r="J78" s="118" t="str">
        <f>IF(_epmOfflineCondition_,"Y",_xll.EVPRO($B$1,$H78,"CALC"))</f>
        <v>Y</v>
      </c>
      <c r="K78" s="86"/>
      <c r="L78" s="86" t="str">
        <f>IF(_epmOfflineCondition_,"465400",_xll.EVPRO($B$1,H78,"JDEID"))</f>
        <v>465400</v>
      </c>
      <c r="M78" s="86" t="str">
        <f>IF(_epmOfflineCondition_,"",IF(AND(I78="N",J78="N"),_xll.EVPRO($B$1,H78,"PSFTID"),""))</f>
        <v/>
      </c>
      <c r="N78" s="86" t="str">
        <f>IF(_epmOfflineCondition_,"Private Dining Wine",IF(_xll.EVDES(H78,$B$1)="#NODATA","",_xll.EVDES(H78,$B$1)))</f>
        <v>Private Dining Wine</v>
      </c>
      <c r="O78" s="228"/>
      <c r="P78" s="228"/>
      <c r="Q78" s="228"/>
      <c r="R78" s="228"/>
      <c r="S78" s="228"/>
      <c r="T78" s="228"/>
      <c r="U78" s="228"/>
      <c r="V78" s="228"/>
      <c r="W78" s="228"/>
      <c r="X78" s="228"/>
      <c r="Y78" s="228"/>
      <c r="Z78" s="228"/>
      <c r="AA78" s="228">
        <f t="shared" si="20"/>
        <v>0</v>
      </c>
      <c r="AB78" s="230" t="str">
        <f>IF(AA78=0,"",IFERROR(AA78/AA$19,""))</f>
        <v/>
      </c>
      <c r="AC78" s="136"/>
      <c r="AD78" s="228"/>
      <c r="AE78" s="230" t="str">
        <f>IF(AD78=0,"",IFERROR(AD78/AD$19,""))</f>
        <v/>
      </c>
      <c r="AF78" s="231">
        <f t="shared" si="21"/>
        <v>0</v>
      </c>
      <c r="AG78" s="228"/>
      <c r="AH78" s="230" t="str">
        <f>IF(AG78=0,"",IFERROR(AG78/AG$19,""))</f>
        <v/>
      </c>
      <c r="AI78" s="231">
        <f t="shared" si="22"/>
        <v>0</v>
      </c>
    </row>
    <row r="79" spans="1:35" x14ac:dyDescent="0.25">
      <c r="A79" s="11"/>
      <c r="B79" s="11"/>
      <c r="C79" s="204"/>
      <c r="D79" s="11"/>
      <c r="E79" s="11"/>
      <c r="F79" s="11"/>
      <c r="G79" s="11"/>
      <c r="H79" s="181" t="s">
        <v>329</v>
      </c>
      <c r="I79" s="118" t="str">
        <f>IF(_epmOfflineCondition_,"N",_xll.EVPRO($B$1,$H79,"STYLE"))</f>
        <v>N</v>
      </c>
      <c r="J79" s="118" t="str">
        <f>IF(_epmOfflineCondition_,"Y",_xll.EVPRO($B$1,$H79,"CALC"))</f>
        <v>Y</v>
      </c>
      <c r="K79" s="86"/>
      <c r="L79" s="86" t="str">
        <f>IF(_epmOfflineCondition_,"",_xll.EVPRO($B$1,H79,"JDEID"))</f>
        <v/>
      </c>
      <c r="M79" s="86" t="str">
        <f>IF(_epmOfflineCondition_,"",IF(AND(I79="N",J79="N"),_xll.EVPRO($B$1,H79,"PSFTID"),""))</f>
        <v/>
      </c>
      <c r="N79" s="102" t="str">
        <f>IF(_epmOfflineCondition_,"Private Dining Revenue",IF(_xll.EVDES(H79,$B$1)="#NODATA","",_xll.EVDES(H79,$B$1)))</f>
        <v>Private Dining Revenue</v>
      </c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>
        <f t="shared" si="20"/>
        <v>0</v>
      </c>
      <c r="AB79" s="159" t="str">
        <f>IF(AA79=0,"",IFERROR(AA79/AA$19,""))</f>
        <v/>
      </c>
      <c r="AC79" s="136"/>
      <c r="AD79" s="158"/>
      <c r="AE79" s="159" t="str">
        <f>IF(AD79=0,"",IFERROR(AD79/AD$19,""))</f>
        <v/>
      </c>
      <c r="AF79" s="160">
        <f t="shared" si="21"/>
        <v>0</v>
      </c>
      <c r="AG79" s="158"/>
      <c r="AH79" s="159" t="str">
        <f>IF(AG79=0,"",IFERROR(AG79/AG$19,""))</f>
        <v/>
      </c>
      <c r="AI79" s="160">
        <f t="shared" si="22"/>
        <v>0</v>
      </c>
    </row>
    <row r="80" spans="1:35" x14ac:dyDescent="0.25">
      <c r="A80" s="11"/>
      <c r="B80" s="11"/>
      <c r="C80" s="204"/>
      <c r="D80" s="11"/>
      <c r="E80" s="11"/>
      <c r="F80" s="11"/>
      <c r="G80" s="11"/>
      <c r="H80" s="181" t="s">
        <v>300</v>
      </c>
      <c r="I80" s="118" t="str">
        <f>IF(_epmOfflineCondition_,"N",_xll.EVPRO($B$1,$H80,"STYLE"))</f>
        <v>N</v>
      </c>
      <c r="J80" s="118" t="str">
        <f>IF(_epmOfflineCondition_,"N",_xll.EVPRO($B$1,$H80,"CALC"))</f>
        <v>N</v>
      </c>
      <c r="K80" s="86"/>
      <c r="L80" s="86" t="str">
        <f>IF(_epmOfflineCondition_,"946400",_xll.EVPRO($B$1,H80,"JDEID"))</f>
        <v>946400</v>
      </c>
      <c r="M80" s="86" t="str">
        <f>IF(_epmOfflineCondition_,"991510",IF(AND(I80="N",J80="N"),_xll.EVPRO($B$1,H80,"PSFTID"),""))</f>
        <v>991510</v>
      </c>
      <c r="N80" s="86" t="str">
        <f>IF(_epmOfflineCondition_,"Private Dining Customers",IF(_xll.EVDES(H80,$B$1)="#NODATA","",_xll.EVDES(H80,$B$1)))</f>
        <v>Private Dining Customers</v>
      </c>
      <c r="O80" s="240"/>
      <c r="P80" s="240"/>
      <c r="Q80" s="240"/>
      <c r="R80" s="240"/>
      <c r="S80" s="240"/>
      <c r="T80" s="240"/>
      <c r="U80" s="240"/>
      <c r="V80" s="240"/>
      <c r="W80" s="240"/>
      <c r="X80" s="240"/>
      <c r="Y80" s="240"/>
      <c r="Z80" s="240"/>
      <c r="AA80" s="240">
        <f t="shared" si="20"/>
        <v>0</v>
      </c>
      <c r="AB80" s="242" t="str">
        <f>IF(AA80=0,"",IFERROR(AA80/AA$87,""))</f>
        <v/>
      </c>
      <c r="AC80" s="136"/>
      <c r="AD80" s="240"/>
      <c r="AE80" s="242" t="str">
        <f>IF(AD80=0,"",IFERROR(AD80/AD$87,""))</f>
        <v/>
      </c>
      <c r="AF80" s="243">
        <f t="shared" si="21"/>
        <v>0</v>
      </c>
      <c r="AG80" s="240"/>
      <c r="AH80" s="242" t="str">
        <f>IF(AG80=0,"",IFERROR(AG80/AG$87,""))</f>
        <v/>
      </c>
      <c r="AI80" s="243">
        <f t="shared" si="22"/>
        <v>0</v>
      </c>
    </row>
    <row r="81" spans="1:35" x14ac:dyDescent="0.25">
      <c r="A81" s="11"/>
      <c r="B81" s="11"/>
      <c r="C81" s="204"/>
      <c r="D81" s="11"/>
      <c r="E81" s="11"/>
      <c r="F81" s="11"/>
      <c r="G81" s="11"/>
      <c r="H81" s="181" t="s">
        <v>325</v>
      </c>
      <c r="I81" s="118" t="str">
        <f>IF(_epmOfflineCondition_,"N",_xll.EVPRO($B$1,$H81,"STYLE"))</f>
        <v>N</v>
      </c>
      <c r="J81" s="118" t="str">
        <f>IF(_epmOfflineCondition_,"Y",_xll.EVPRO($B$1,$H81,"CALC"))</f>
        <v>Y</v>
      </c>
      <c r="K81" s="86"/>
      <c r="L81" s="86" t="str">
        <f>IF(_epmOfflineCondition_,"",_xll.EVPRO($B$1,H81,"JDEID"))</f>
        <v/>
      </c>
      <c r="M81" s="86" t="str">
        <f>IF(_epmOfflineCondition_,"",IF(AND(I81="N",J81="N"),_xll.EVPRO($B$1,H81,"PSFTID"),""))</f>
        <v/>
      </c>
      <c r="N81" s="186" t="str">
        <f>IF(_epmOfflineCondition_,"Private Dining - Average Check",IF(_xll.EVDES(H81,$B$1)="#NODATA","",_xll.EVDES(H81,$B$1)))</f>
        <v>Private Dining - Average Check</v>
      </c>
      <c r="O81" s="490"/>
      <c r="P81" s="490"/>
      <c r="Q81" s="490"/>
      <c r="R81" s="490"/>
      <c r="S81" s="490"/>
      <c r="T81" s="490"/>
      <c r="U81" s="490"/>
      <c r="V81" s="490"/>
      <c r="W81" s="490"/>
      <c r="X81" s="490"/>
      <c r="Y81" s="490"/>
      <c r="Z81" s="490"/>
      <c r="AA81" s="490" t="str">
        <f>IFERROR(AA79/AA80,"")</f>
        <v/>
      </c>
      <c r="AB81" s="490"/>
      <c r="AC81" s="136"/>
      <c r="AD81" s="490"/>
      <c r="AE81" s="490"/>
      <c r="AF81" s="491" t="str">
        <f t="shared" si="21"/>
        <v/>
      </c>
      <c r="AG81" s="490"/>
      <c r="AH81" s="490"/>
      <c r="AI81" s="491" t="str">
        <f t="shared" si="22"/>
        <v/>
      </c>
    </row>
    <row r="82" spans="1:35" x14ac:dyDescent="0.25">
      <c r="A82" s="11"/>
      <c r="B82" s="11"/>
      <c r="C82" s="204"/>
      <c r="D82" s="11"/>
      <c r="E82" s="11"/>
      <c r="F82" s="11"/>
      <c r="G82" s="486">
        <f>COUNTIF(O84:AI84,FALSE)</f>
        <v>0</v>
      </c>
      <c r="H82" s="84"/>
      <c r="I82" s="118"/>
      <c r="J82" s="118"/>
      <c r="K82" s="86"/>
      <c r="L82" s="86"/>
      <c r="M82" s="86"/>
      <c r="N82" s="487" t="s">
        <v>345</v>
      </c>
      <c r="O82" s="492">
        <f t="shared" ref="O82:AA82" si="23">ROUND(IFERROR(O79/O80,0),2)</f>
        <v>0</v>
      </c>
      <c r="P82" s="493">
        <f t="shared" si="23"/>
        <v>0</v>
      </c>
      <c r="Q82" s="493">
        <f t="shared" si="23"/>
        <v>0</v>
      </c>
      <c r="R82" s="493">
        <f t="shared" si="23"/>
        <v>0</v>
      </c>
      <c r="S82" s="493">
        <f t="shared" si="23"/>
        <v>0</v>
      </c>
      <c r="T82" s="493">
        <f t="shared" si="23"/>
        <v>0</v>
      </c>
      <c r="U82" s="493">
        <f t="shared" si="23"/>
        <v>0</v>
      </c>
      <c r="V82" s="493">
        <f t="shared" si="23"/>
        <v>0</v>
      </c>
      <c r="W82" s="493">
        <f t="shared" si="23"/>
        <v>0</v>
      </c>
      <c r="X82" s="493">
        <f t="shared" si="23"/>
        <v>0</v>
      </c>
      <c r="Y82" s="493">
        <f t="shared" si="23"/>
        <v>0</v>
      </c>
      <c r="Z82" s="493">
        <f t="shared" si="23"/>
        <v>0</v>
      </c>
      <c r="AA82" s="493">
        <f t="shared" si="23"/>
        <v>0</v>
      </c>
      <c r="AB82" s="494"/>
      <c r="AC82" s="136"/>
      <c r="AD82" s="492">
        <f>ROUND(IFERROR(AD79/AD80,0),2)</f>
        <v>0</v>
      </c>
      <c r="AE82" s="493"/>
      <c r="AF82" s="151"/>
      <c r="AG82" s="492">
        <f>ROUND(IFERROR(AG79/AG80,0),2)</f>
        <v>0</v>
      </c>
      <c r="AH82" s="493"/>
      <c r="AI82" s="151"/>
    </row>
    <row r="83" spans="1:35" x14ac:dyDescent="0.25">
      <c r="A83" s="11"/>
      <c r="B83" s="11"/>
      <c r="C83" s="204"/>
      <c r="D83" s="11"/>
      <c r="E83" s="11"/>
      <c r="F83" s="11"/>
      <c r="G83" s="11"/>
      <c r="H83" s="84" t="s">
        <v>486</v>
      </c>
      <c r="I83" s="118" t="str">
        <f>IF(_epmOfflineCondition_,"T5",_xll.EVPRO($B$1,$H83,"STYLE"))</f>
        <v>T5</v>
      </c>
      <c r="J83" s="118" t="str">
        <f>IF(_epmOfflineCondition_,"Y",_xll.EVPRO($B$1,$H83,"CALC"))</f>
        <v>Y</v>
      </c>
      <c r="K83" s="86"/>
      <c r="L83" s="86" t="str">
        <f>IF(_epmOfflineCondition_,"",_xll.EVPRO($B$1,H83,"JDEID"))</f>
        <v/>
      </c>
      <c r="M83" s="86" t="str">
        <f>IF(_epmOfflineCondition_,"",IF(AND(I83="N",J83="N"),_xll.EVPRO($B$1,H83,"PSFTID"),""))</f>
        <v/>
      </c>
      <c r="N83" s="86" t="str">
        <f>IF(_epmOfflineCondition_,"Food &amp; Beverage: Allowances",IF(_xll.EVDES(H83,$B$1)="#NODATA","",_xll.EVDES(H83,$B$1)))</f>
        <v>Food &amp; Beverage: Allowances</v>
      </c>
      <c r="O83" s="134"/>
      <c r="P83" s="134"/>
      <c r="Q83" s="134"/>
      <c r="R83" s="134">
        <v>-171.21</v>
      </c>
      <c r="S83" s="134">
        <v>-224.79</v>
      </c>
      <c r="T83" s="134">
        <v>-20.32</v>
      </c>
      <c r="U83" s="134"/>
      <c r="V83" s="134"/>
      <c r="W83" s="134">
        <v>54.61</v>
      </c>
      <c r="X83" s="134"/>
      <c r="Y83" s="134"/>
      <c r="Z83" s="134"/>
      <c r="AA83" s="134">
        <f>SUM(O83:Z83)</f>
        <v>-361.71</v>
      </c>
      <c r="AB83" s="138">
        <f>IF(AA83=0,"",IFERROR(AA83/AA$19,""))</f>
        <v>-9.6857239508959928E-4</v>
      </c>
      <c r="AC83" s="136"/>
      <c r="AD83" s="134"/>
      <c r="AE83" s="138" t="str">
        <f>IF(AD83=0,"",IFERROR(AD83/AD$19,""))</f>
        <v/>
      </c>
      <c r="AF83" s="137">
        <f>IF(AND($AA83="",AD83=""),"",$AA83-AD83)</f>
        <v>-361.71</v>
      </c>
      <c r="AG83" s="134">
        <v>-379.07</v>
      </c>
      <c r="AH83" s="138">
        <f>IF(AG83=0,"",IFERROR(AG83/AG$19,""))</f>
        <v>-2.7103225918082723E-3</v>
      </c>
      <c r="AI83" s="137">
        <f>IF(AND($AA83="",AG83=""),"",$AA83-AG83)</f>
        <v>17.360000000000014</v>
      </c>
    </row>
    <row r="84" spans="1:35" x14ac:dyDescent="0.25">
      <c r="A84" s="11"/>
      <c r="B84" s="11"/>
      <c r="C84" s="204"/>
      <c r="D84" s="11"/>
      <c r="E84" s="11"/>
      <c r="F84" s="11"/>
      <c r="G84" s="11"/>
      <c r="H84" s="84"/>
      <c r="I84" s="118"/>
      <c r="J84" s="118"/>
      <c r="K84" s="86"/>
      <c r="L84" s="86"/>
      <c r="M84" s="86"/>
      <c r="N84" s="49" t="s">
        <v>348</v>
      </c>
      <c r="O84" s="495" t="b">
        <f t="shared" ref="O84:AA84" si="24">ROUND(O81,2)=ROUND(O82,2)</f>
        <v>1</v>
      </c>
      <c r="P84" s="496" t="b">
        <f t="shared" si="24"/>
        <v>1</v>
      </c>
      <c r="Q84" s="496" t="b">
        <f t="shared" si="24"/>
        <v>1</v>
      </c>
      <c r="R84" s="496" t="b">
        <f t="shared" si="24"/>
        <v>1</v>
      </c>
      <c r="S84" s="496" t="b">
        <f t="shared" si="24"/>
        <v>1</v>
      </c>
      <c r="T84" s="496" t="b">
        <f t="shared" si="24"/>
        <v>1</v>
      </c>
      <c r="U84" s="496" t="b">
        <f t="shared" si="24"/>
        <v>1</v>
      </c>
      <c r="V84" s="496" t="b">
        <f t="shared" si="24"/>
        <v>1</v>
      </c>
      <c r="W84" s="496" t="b">
        <f t="shared" si="24"/>
        <v>1</v>
      </c>
      <c r="X84" s="496" t="b">
        <f t="shared" si="24"/>
        <v>1</v>
      </c>
      <c r="Y84" s="496" t="b">
        <f t="shared" si="24"/>
        <v>1</v>
      </c>
      <c r="Z84" s="496" t="b">
        <f t="shared" si="24"/>
        <v>1</v>
      </c>
      <c r="AA84" s="496" t="e">
        <f t="shared" si="24"/>
        <v>#VALUE!</v>
      </c>
      <c r="AB84" s="497"/>
      <c r="AC84" s="498"/>
      <c r="AD84" s="495"/>
      <c r="AE84" s="496" t="b">
        <f>ROUND(AD81,2)=ROUND(AD82,2)</f>
        <v>1</v>
      </c>
      <c r="AF84" s="497"/>
      <c r="AG84" s="495"/>
      <c r="AH84" s="496" t="b">
        <f>ROUND(AG81,2)=ROUND(AG82,2)</f>
        <v>1</v>
      </c>
      <c r="AI84" s="497"/>
    </row>
    <row r="85" spans="1:35" x14ac:dyDescent="0.25">
      <c r="A85" s="11"/>
      <c r="B85" s="11"/>
      <c r="C85" s="204"/>
      <c r="D85" s="11"/>
      <c r="E85" s="11"/>
      <c r="F85" s="11"/>
      <c r="G85" s="11"/>
      <c r="H85" s="181" t="s">
        <v>273</v>
      </c>
      <c r="I85" s="118" t="str">
        <f>IF(_epmOfflineCondition_,"T4",_xll.EVPRO($B$1,$H85,"STYLE"))</f>
        <v>T4</v>
      </c>
      <c r="J85" s="118" t="str">
        <f>IF(_epmOfflineCondition_,"Y",_xll.EVPRO($B$1,$H85,"CALC"))</f>
        <v>Y</v>
      </c>
      <c r="K85" s="11"/>
      <c r="L85" s="86" t="str">
        <f>IF(_epmOfflineCondition_,"",_xll.EVPRO($B$1,H85,"JDEID"))</f>
        <v/>
      </c>
      <c r="M85" s="86" t="str">
        <f>IF(_epmOfflineCondition_,"",IF(AND(I85="N",J85="N"),_xll.EVPRO($B$1,H85,"PSFTID"),""))</f>
        <v/>
      </c>
      <c r="N85" s="86" t="str">
        <f>IF(_epmOfflineCondition_,"Total Food &amp; Beverage Revenue",IF(_xll.EVDES(H85,$B$1)="#NODATA","",_xll.EVDES(H85,$B$1)))</f>
        <v>Total Food &amp; Beverage Revenue</v>
      </c>
      <c r="O85" s="502">
        <v>33316.49</v>
      </c>
      <c r="P85" s="502">
        <v>41112.400000000001</v>
      </c>
      <c r="Q85" s="502">
        <v>42913.120000000003</v>
      </c>
      <c r="R85" s="502">
        <v>37674.11</v>
      </c>
      <c r="S85" s="502">
        <v>31787.05</v>
      </c>
      <c r="T85" s="502">
        <v>34357.83</v>
      </c>
      <c r="U85" s="502">
        <v>31109.45</v>
      </c>
      <c r="V85" s="502">
        <v>34813.32</v>
      </c>
      <c r="W85" s="502">
        <v>21151.71</v>
      </c>
      <c r="X85" s="502">
        <v>17828.2</v>
      </c>
      <c r="Y85" s="502">
        <v>20732.95</v>
      </c>
      <c r="Z85" s="502">
        <v>26649.9</v>
      </c>
      <c r="AA85" s="502">
        <f>SUM(O85:Z85)</f>
        <v>373446.53000000009</v>
      </c>
      <c r="AB85" s="503">
        <f>IF(AA85=0,"",IFERROR(AA85/AA$19,""))</f>
        <v>1</v>
      </c>
      <c r="AC85" s="136"/>
      <c r="AD85" s="502">
        <v>517192.73</v>
      </c>
      <c r="AE85" s="503">
        <f>IF(AD85=0,"",IFERROR(AD85/AD$19,""))</f>
        <v>1</v>
      </c>
      <c r="AF85" s="504">
        <f>IF(AND($AA85="",AD85=""),"",$AA85-AD85)</f>
        <v>-143746.1999999999</v>
      </c>
      <c r="AG85" s="502">
        <v>139861.57999999999</v>
      </c>
      <c r="AH85" s="503">
        <f>IF(AG85=0,"",IFERROR(AG85/AG$19,""))</f>
        <v>1</v>
      </c>
      <c r="AI85" s="504">
        <f>IF(AND($AA85="",AG85=""),"",$AA85-AG85)</f>
        <v>233584.9500000001</v>
      </c>
    </row>
    <row r="86" spans="1:35" x14ac:dyDescent="0.25">
      <c r="A86" s="11"/>
      <c r="B86" s="11"/>
      <c r="C86" s="204"/>
      <c r="D86" s="11"/>
      <c r="E86" s="11"/>
      <c r="F86" s="11"/>
      <c r="G86" s="11"/>
      <c r="H86" s="181" t="s">
        <v>768</v>
      </c>
      <c r="I86" s="118" t="str">
        <f>IF(_epmOfflineCondition_,"N",_xll.EVPRO($B$1,$H86,"STYLE"))</f>
        <v>N</v>
      </c>
      <c r="J86" s="118" t="str">
        <f>IF(_epmOfflineCondition_,"N",_xll.EVPRO($B$1,$H86,"CALC"))</f>
        <v>N</v>
      </c>
      <c r="K86" s="11"/>
      <c r="L86" s="86" t="str">
        <f>IF(_epmOfflineCondition_,"947500",_xll.EVPRO($B$1,H86,"JDEID"))</f>
        <v>947500</v>
      </c>
      <c r="M86" s="86" t="str">
        <f>IF(_epmOfflineCondition_,"991552",IF(AND(I86="N",J86="N"),_xll.EVPRO($B$1,H86,"PSFTID"),""))</f>
        <v>991552</v>
      </c>
      <c r="N86" s="86" t="str">
        <f>IF(_epmOfflineCondition_,"# of Seats in Outlet",IF(_xll.EVDES(H86,$B$1)="#NODATA","",_xll.EVDES(H86,$B$1)))</f>
        <v># of Seats in Outlet</v>
      </c>
      <c r="O86" s="502"/>
      <c r="P86" s="502"/>
      <c r="Q86" s="502"/>
      <c r="R86" s="502"/>
      <c r="S86" s="502"/>
      <c r="T86" s="502"/>
      <c r="U86" s="502"/>
      <c r="V86" s="502"/>
      <c r="W86" s="502"/>
      <c r="X86" s="502"/>
      <c r="Y86" s="502"/>
      <c r="Z86" s="502">
        <v>55</v>
      </c>
      <c r="AA86" s="502">
        <f>SUM(O86:Z86)</f>
        <v>55</v>
      </c>
      <c r="AB86" s="503"/>
      <c r="AC86" s="136"/>
      <c r="AD86" s="502"/>
      <c r="AE86" s="503"/>
      <c r="AF86" s="504">
        <f>IF(AND($AA86="",AD86=""),"",$AA86-AD86)</f>
        <v>55</v>
      </c>
      <c r="AG86" s="502">
        <v>26</v>
      </c>
      <c r="AH86" s="503"/>
      <c r="AI86" s="504">
        <f>IF(AND($AA86="",AG86=""),"",$AA86-AG86)</f>
        <v>29</v>
      </c>
    </row>
    <row r="87" spans="1:35" x14ac:dyDescent="0.25">
      <c r="A87" s="11"/>
      <c r="B87" s="11"/>
      <c r="C87" s="204"/>
      <c r="D87" s="11"/>
      <c r="E87" s="11"/>
      <c r="F87" s="11"/>
      <c r="G87" s="11"/>
      <c r="H87" s="181" t="s">
        <v>331</v>
      </c>
      <c r="I87" s="118" t="str">
        <f>IF(_epmOfflineCondition_,"T2",_xll.EVPRO($B$1,$H87,"STYLE"))</f>
        <v>T2</v>
      </c>
      <c r="J87" s="118" t="str">
        <f>IF(_epmOfflineCondition_,"Y",_xll.EVPRO($B$1,$H87,"CALC"))</f>
        <v>Y</v>
      </c>
      <c r="K87" s="11"/>
      <c r="L87" s="86" t="str">
        <f>IF(_epmOfflineCondition_,"946000",_xll.EVPRO($B$1,H87,"JDEID"))</f>
        <v>946000</v>
      </c>
      <c r="M87" s="86" t="str">
        <f>IF(_epmOfflineCondition_,"",IF(AND(I87="N",J87="N"),_xll.EVPRO($B$1,H87,"PSFTID"),""))</f>
        <v/>
      </c>
      <c r="N87" s="86" t="str">
        <f>IF(_epmOfflineCondition_,"Total Customers",IF(_xll.EVDES(H87,$B$1)="#NODATA","",_xll.EVDES(H87,$B$1)))</f>
        <v>Total Customers</v>
      </c>
      <c r="O87" s="502">
        <v>1942</v>
      </c>
      <c r="P87" s="502">
        <v>2478</v>
      </c>
      <c r="Q87" s="502">
        <v>2730</v>
      </c>
      <c r="R87" s="502">
        <v>2507</v>
      </c>
      <c r="S87" s="502">
        <v>2128</v>
      </c>
      <c r="T87" s="502">
        <v>2038</v>
      </c>
      <c r="U87" s="502">
        <v>2023</v>
      </c>
      <c r="V87" s="502">
        <v>2160</v>
      </c>
      <c r="W87" s="502">
        <v>1266</v>
      </c>
      <c r="X87" s="502">
        <v>1220</v>
      </c>
      <c r="Y87" s="502">
        <v>1139</v>
      </c>
      <c r="Z87" s="502">
        <v>1404</v>
      </c>
      <c r="AA87" s="502">
        <f>SUM(O87:Z87)</f>
        <v>23035</v>
      </c>
      <c r="AB87" s="503">
        <f>IF(AA87=0,"",IFERROR(AA87/AA$20,""))</f>
        <v>1</v>
      </c>
      <c r="AC87" s="136"/>
      <c r="AD87" s="502">
        <v>22861</v>
      </c>
      <c r="AE87" s="503">
        <f>IF(AD87=0,"",IFERROR(AD87/AD$20,""))</f>
        <v>1</v>
      </c>
      <c r="AF87" s="504">
        <f>IF(AND($AA87="",AD87=""),"",$AA87-AD87)</f>
        <v>174</v>
      </c>
      <c r="AG87" s="502">
        <v>9023</v>
      </c>
      <c r="AH87" s="503">
        <f>IF(AG87=0,"",IFERROR(AG87/AG$20,""))</f>
        <v>1</v>
      </c>
      <c r="AI87" s="504">
        <f>IF(AND($AA87="",AG87=""),"",$AA87-AG87)</f>
        <v>14012</v>
      </c>
    </row>
    <row r="88" spans="1:35" x14ac:dyDescent="0.25">
      <c r="A88" s="11"/>
      <c r="B88" s="11"/>
      <c r="C88" s="204"/>
      <c r="D88" s="11"/>
      <c r="E88" s="11"/>
      <c r="F88" s="11"/>
      <c r="G88" s="11"/>
      <c r="H88" s="181" t="s">
        <v>311</v>
      </c>
      <c r="I88" s="118" t="str">
        <f>IF(_epmOfflineCondition_,"N",_xll.EVPRO($B$1,$H88,"STYLE"))</f>
        <v>N</v>
      </c>
      <c r="J88" s="118" t="str">
        <f>IF(_epmOfflineCondition_,"Y",_xll.EVPRO($B$1,$H88,"CALC"))</f>
        <v>Y</v>
      </c>
      <c r="K88" s="11"/>
      <c r="L88" s="86"/>
      <c r="M88" s="86"/>
      <c r="N88" s="86" t="str">
        <f>IF(_epmOfflineCondition_,"Total Average Check",IF(_xll.EVDES(H88,$B$1)="#NODATA","",_xll.EVDES(H88,$B$1)))</f>
        <v>Total Average Check</v>
      </c>
      <c r="O88" s="490">
        <v>17.1557621009269</v>
      </c>
      <c r="P88" s="490">
        <v>16.590960451977399</v>
      </c>
      <c r="Q88" s="490">
        <v>15.7190915750916</v>
      </c>
      <c r="R88" s="490">
        <v>15.0275668129238</v>
      </c>
      <c r="S88" s="490">
        <v>14.937523496240599</v>
      </c>
      <c r="T88" s="490">
        <v>16.858601570166801</v>
      </c>
      <c r="U88" s="490">
        <v>15.3778793870489</v>
      </c>
      <c r="V88" s="490">
        <v>16.117277777777801</v>
      </c>
      <c r="W88" s="490">
        <v>16.707511848341198</v>
      </c>
      <c r="X88" s="490">
        <v>14.6132786885246</v>
      </c>
      <c r="Y88" s="490">
        <v>18.202765583845501</v>
      </c>
      <c r="Z88" s="490">
        <v>18.9814102564103</v>
      </c>
      <c r="AA88" s="490">
        <f>IFERROR(AA85/AA87,"")</f>
        <v>16.212135011938358</v>
      </c>
      <c r="AB88" s="490"/>
      <c r="AC88" s="136"/>
      <c r="AD88" s="490">
        <v>22.623364244783701</v>
      </c>
      <c r="AE88" s="490"/>
      <c r="AF88" s="491">
        <f>IF(AND($AA88="",AD88=""),"",$AA88-AD88)</f>
        <v>-6.4112292328453435</v>
      </c>
      <c r="AG88" s="490">
        <v>15.5005630056522</v>
      </c>
      <c r="AH88" s="490"/>
      <c r="AI88" s="491">
        <f>IF(AND($AA88="",AG88=""),"",$AA88-AG88)</f>
        <v>0.71157200628615769</v>
      </c>
    </row>
    <row r="89" spans="1:35" x14ac:dyDescent="0.25">
      <c r="A89" s="11"/>
      <c r="B89" s="11"/>
      <c r="C89" s="204"/>
      <c r="D89" s="11"/>
      <c r="E89" s="11"/>
      <c r="F89" s="11"/>
      <c r="G89" s="11"/>
      <c r="H89" s="181"/>
      <c r="I89" s="118"/>
      <c r="J89" s="118"/>
      <c r="K89" s="11"/>
      <c r="L89" s="86"/>
      <c r="M89" s="86"/>
      <c r="N89" s="86"/>
      <c r="O89" s="166"/>
      <c r="P89" s="167"/>
      <c r="Q89" s="167"/>
      <c r="R89" s="167"/>
      <c r="S89" s="167"/>
      <c r="T89" s="167"/>
      <c r="U89" s="167"/>
      <c r="V89" s="167"/>
      <c r="W89" s="167"/>
      <c r="X89" s="167"/>
      <c r="Y89" s="167"/>
      <c r="Z89" s="167"/>
      <c r="AA89" s="167"/>
      <c r="AB89" s="168"/>
      <c r="AC89" s="136"/>
      <c r="AD89" s="166"/>
      <c r="AE89" s="167"/>
      <c r="AF89" s="168"/>
      <c r="AG89" s="166"/>
      <c r="AH89" s="167"/>
      <c r="AI89" s="168"/>
    </row>
    <row r="90" spans="1:35" x14ac:dyDescent="0.25">
      <c r="A90" s="11"/>
      <c r="B90" s="11"/>
      <c r="C90" s="204"/>
      <c r="D90" s="11"/>
      <c r="E90" s="11"/>
      <c r="F90" s="11"/>
      <c r="G90" s="11"/>
      <c r="H90" s="181"/>
      <c r="I90" s="118"/>
      <c r="J90" s="118"/>
      <c r="K90" s="11"/>
      <c r="L90" s="86"/>
      <c r="M90" s="86"/>
      <c r="N90" s="49" t="s">
        <v>334</v>
      </c>
      <c r="O90" s="154"/>
      <c r="P90" s="155"/>
      <c r="Q90" s="155"/>
      <c r="R90" s="155"/>
      <c r="S90" s="155"/>
      <c r="T90" s="155"/>
      <c r="U90" s="155"/>
      <c r="V90" s="155"/>
      <c r="W90" s="155"/>
      <c r="X90" s="155"/>
      <c r="Y90" s="155"/>
      <c r="Z90" s="155"/>
      <c r="AA90" s="155"/>
      <c r="AB90" s="156"/>
      <c r="AC90" s="136"/>
      <c r="AD90" s="154"/>
      <c r="AE90" s="155"/>
      <c r="AF90" s="156"/>
      <c r="AG90" s="154"/>
      <c r="AH90" s="155"/>
      <c r="AI90" s="156"/>
    </row>
    <row r="91" spans="1:35" hidden="1" outlineLevel="1" x14ac:dyDescent="0.25">
      <c r="A91" s="11"/>
      <c r="B91" s="11"/>
      <c r="C91" s="204"/>
      <c r="D91" s="11"/>
      <c r="E91" s="11"/>
      <c r="F91" s="11"/>
      <c r="G91" s="11"/>
      <c r="H91" s="181" t="s">
        <v>332</v>
      </c>
      <c r="I91" s="118" t="str">
        <f>IF(_epmOfflineCondition_,"T4",_xll.EVPRO($B$1,$H91,"STYLE"))</f>
        <v>T4</v>
      </c>
      <c r="J91" s="118" t="str">
        <f>IF(_epmOfflineCondition_,"Y",_xll.EVPRO($B$1,$H91,"CALC"))</f>
        <v>Y</v>
      </c>
      <c r="K91" s="11"/>
      <c r="L91" s="86"/>
      <c r="M91" s="86"/>
      <c r="N91" s="86" t="str">
        <f>IF(_epmOfflineCondition_,"F&amp;B Kitchen - THW",IF(_xll.EVDES(H91,$B$1)="#NODATA","",_xll.EVDES(H91,$B$1)))</f>
        <v>F&amp;B Kitchen - THW</v>
      </c>
      <c r="O91" s="134">
        <v>412.25</v>
      </c>
      <c r="P91" s="134">
        <v>534.25</v>
      </c>
      <c r="Q91" s="134">
        <v>622.5</v>
      </c>
      <c r="R91" s="134">
        <v>321.75</v>
      </c>
      <c r="S91" s="134">
        <v>463.75</v>
      </c>
      <c r="T91" s="134">
        <v>524.75</v>
      </c>
      <c r="U91" s="134">
        <v>576.75</v>
      </c>
      <c r="V91" s="134">
        <v>647.5</v>
      </c>
      <c r="W91" s="134">
        <v>458.5</v>
      </c>
      <c r="X91" s="134">
        <v>536</v>
      </c>
      <c r="Y91" s="134">
        <v>214</v>
      </c>
      <c r="Z91" s="134"/>
      <c r="AA91" s="134">
        <f>SUM(O91:Z91)</f>
        <v>5312</v>
      </c>
      <c r="AB91" s="138"/>
      <c r="AC91" s="136"/>
      <c r="AD91" s="134">
        <v>771.42857142859998</v>
      </c>
      <c r="AE91" s="138"/>
      <c r="AF91" s="137">
        <f>IF(AND($AA91="",AD91=""),"",$AA91-AD91)</f>
        <v>4540.5714285714002</v>
      </c>
      <c r="AG91" s="134">
        <v>2698</v>
      </c>
      <c r="AH91" s="138"/>
      <c r="AI91" s="137">
        <f>IF(AND($AA91="",AG91=""),"",$AA91-AG91)</f>
        <v>2614</v>
      </c>
    </row>
    <row r="92" spans="1:35" hidden="1" outlineLevel="1" x14ac:dyDescent="0.25">
      <c r="A92" s="11"/>
      <c r="B92" s="11"/>
      <c r="C92" s="204"/>
      <c r="D92" s="11"/>
      <c r="E92" s="11"/>
      <c r="F92" s="11"/>
      <c r="G92" s="11"/>
      <c r="H92" s="181" t="s">
        <v>333</v>
      </c>
      <c r="I92" s="118" t="str">
        <f>IF(_epmOfflineCondition_,"T4",_xll.EVPRO($B$1,$H92,"STYLE"))</f>
        <v>T4</v>
      </c>
      <c r="J92" s="118" t="str">
        <f>IF(_epmOfflineCondition_,"Y",_xll.EVPRO($B$1,$H92,"CALC"))</f>
        <v>Y</v>
      </c>
      <c r="K92" s="11"/>
      <c r="L92" s="86"/>
      <c r="M92" s="86"/>
      <c r="N92" s="86" t="str">
        <f>IF(_epmOfflineCondition_,"F&amp;B Venues - THW",IF(_xll.EVDES(H92,$B$1)="#NODATA","",_xll.EVDES(H92,$B$1)))</f>
        <v>F&amp;B Venues - THW</v>
      </c>
      <c r="O92" s="134">
        <v>842.12</v>
      </c>
      <c r="P92" s="134">
        <v>758.34</v>
      </c>
      <c r="Q92" s="134">
        <v>925.02</v>
      </c>
      <c r="R92" s="134">
        <v>650.77</v>
      </c>
      <c r="S92" s="134">
        <v>617.75</v>
      </c>
      <c r="T92" s="134">
        <v>806.96</v>
      </c>
      <c r="U92" s="134">
        <v>832.08</v>
      </c>
      <c r="V92" s="134">
        <v>903.75</v>
      </c>
      <c r="W92" s="134">
        <v>979.25</v>
      </c>
      <c r="X92" s="134">
        <v>918.8</v>
      </c>
      <c r="Y92" s="134">
        <v>557.75</v>
      </c>
      <c r="Z92" s="134">
        <v>399.27</v>
      </c>
      <c r="AA92" s="134">
        <f>SUM(O92:Z92)</f>
        <v>9191.86</v>
      </c>
      <c r="AB92" s="138"/>
      <c r="AC92" s="136"/>
      <c r="AD92" s="134">
        <v>5477</v>
      </c>
      <c r="AE92" s="138"/>
      <c r="AF92" s="137">
        <f>IF(AND($AA92="",AD92=""),"",$AA92-AD92)</f>
        <v>3714.8600000000006</v>
      </c>
      <c r="AG92" s="134">
        <v>3111.33</v>
      </c>
      <c r="AH92" s="138"/>
      <c r="AI92" s="137">
        <f>IF(AND($AA92="",AG92=""),"",$AA92-AG92)</f>
        <v>6080.5300000000007</v>
      </c>
    </row>
    <row r="93" spans="1:35" collapsed="1" x14ac:dyDescent="0.25">
      <c r="A93" s="11"/>
      <c r="B93" s="11"/>
      <c r="C93" s="204"/>
      <c r="D93" s="11"/>
      <c r="E93" s="11"/>
      <c r="F93" s="11"/>
      <c r="G93" s="11"/>
      <c r="H93" s="181"/>
      <c r="I93" s="118"/>
      <c r="J93" s="118"/>
      <c r="K93" s="11"/>
      <c r="L93" s="86"/>
      <c r="M93" s="86"/>
      <c r="N93" s="100" t="s">
        <v>335</v>
      </c>
      <c r="O93" s="505">
        <f t="shared" ref="O93:AA93" si="25">IFERROR(O$87/O91,"")</f>
        <v>4.7107337780473015</v>
      </c>
      <c r="P93" s="505">
        <f t="shared" si="25"/>
        <v>4.6382779597566683</v>
      </c>
      <c r="Q93" s="505">
        <f t="shared" si="25"/>
        <v>4.3855421686746991</v>
      </c>
      <c r="R93" s="505">
        <f t="shared" si="25"/>
        <v>7.7917637917637919</v>
      </c>
      <c r="S93" s="505">
        <f t="shared" si="25"/>
        <v>4.5886792452830187</v>
      </c>
      <c r="T93" s="505">
        <f t="shared" si="25"/>
        <v>3.8837541686517389</v>
      </c>
      <c r="U93" s="505">
        <f t="shared" si="25"/>
        <v>3.5075856090160382</v>
      </c>
      <c r="V93" s="505">
        <f t="shared" si="25"/>
        <v>3.3359073359073359</v>
      </c>
      <c r="W93" s="505">
        <f t="shared" si="25"/>
        <v>2.7611777535441657</v>
      </c>
      <c r="X93" s="505">
        <f t="shared" si="25"/>
        <v>2.2761194029850746</v>
      </c>
      <c r="Y93" s="505">
        <f t="shared" si="25"/>
        <v>5.3224299065420562</v>
      </c>
      <c r="Z93" s="505" t="str">
        <f t="shared" si="25"/>
        <v/>
      </c>
      <c r="AA93" s="505">
        <f t="shared" si="25"/>
        <v>4.3364081325301207</v>
      </c>
      <c r="AB93" s="506"/>
      <c r="AC93" s="136"/>
      <c r="AD93" s="505">
        <f>IFERROR(AD$87/AD91,"")</f>
        <v>29.634629629628535</v>
      </c>
      <c r="AE93" s="506"/>
      <c r="AF93" s="226">
        <f>IF(AND($AA93="",AD93=""),"",$AA93-AD93)</f>
        <v>-25.298221497098414</v>
      </c>
      <c r="AG93" s="505">
        <f>IFERROR(AG$87/AG91,"")</f>
        <v>3.3443291326908819</v>
      </c>
      <c r="AH93" s="506"/>
      <c r="AI93" s="226">
        <f>IF(AND($AA93="",AG93=""),"",$AA93-AG93)</f>
        <v>0.99207899983923875</v>
      </c>
    </row>
    <row r="94" spans="1:35" x14ac:dyDescent="0.25">
      <c r="A94" s="11"/>
      <c r="B94" s="11"/>
      <c r="C94" s="204"/>
      <c r="D94" s="11"/>
      <c r="E94" s="11"/>
      <c r="F94" s="11"/>
      <c r="G94" s="11"/>
      <c r="H94" s="181"/>
      <c r="I94" s="118"/>
      <c r="J94" s="118"/>
      <c r="K94" s="11"/>
      <c r="L94" s="86"/>
      <c r="M94" s="86"/>
      <c r="N94" s="100" t="s">
        <v>336</v>
      </c>
      <c r="O94" s="505">
        <f t="shared" ref="O94:AA94" si="26">IFERROR(O$87/O92,"")</f>
        <v>2.3060846435187385</v>
      </c>
      <c r="P94" s="505">
        <f t="shared" si="26"/>
        <v>3.2676635809795078</v>
      </c>
      <c r="Q94" s="505">
        <f t="shared" si="26"/>
        <v>2.9512875397288707</v>
      </c>
      <c r="R94" s="505">
        <f t="shared" si="26"/>
        <v>3.8523595125774084</v>
      </c>
      <c r="S94" s="505">
        <f t="shared" si="26"/>
        <v>3.4447592067988668</v>
      </c>
      <c r="T94" s="505">
        <f t="shared" si="26"/>
        <v>2.5255279072072963</v>
      </c>
      <c r="U94" s="505">
        <f t="shared" si="26"/>
        <v>2.4312566099413515</v>
      </c>
      <c r="V94" s="505">
        <f t="shared" si="26"/>
        <v>2.3900414937759336</v>
      </c>
      <c r="W94" s="505">
        <f t="shared" si="26"/>
        <v>1.2928261424559613</v>
      </c>
      <c r="X94" s="505">
        <f t="shared" si="26"/>
        <v>1.327818894209839</v>
      </c>
      <c r="Y94" s="505">
        <f t="shared" si="26"/>
        <v>2.042133572389063</v>
      </c>
      <c r="Z94" s="505">
        <f t="shared" si="26"/>
        <v>3.5164174618679089</v>
      </c>
      <c r="AA94" s="505">
        <f t="shared" si="26"/>
        <v>2.5060216321832578</v>
      </c>
      <c r="AB94" s="506"/>
      <c r="AC94" s="136"/>
      <c r="AD94" s="505">
        <f>IFERROR(AD$87/AD92,"")</f>
        <v>4.174000365163411</v>
      </c>
      <c r="AE94" s="506"/>
      <c r="AF94" s="226">
        <f>IF(AND($AA94="",AD94=""),"",$AA94-AD94)</f>
        <v>-1.6679787329801532</v>
      </c>
      <c r="AG94" s="505">
        <f>IFERROR(AG$87/AG92,"")</f>
        <v>2.9000459610520259</v>
      </c>
      <c r="AH94" s="506"/>
      <c r="AI94" s="226">
        <f>IF(AND($AA94="",AG94=""),"",$AA94-AG94)</f>
        <v>-0.39402432886876815</v>
      </c>
    </row>
    <row r="95" spans="1:35" x14ac:dyDescent="0.25">
      <c r="A95" s="11"/>
      <c r="B95" s="11"/>
      <c r="C95" s="204"/>
      <c r="D95" s="11"/>
      <c r="E95" s="11"/>
      <c r="F95" s="11"/>
      <c r="G95" s="11"/>
      <c r="H95" s="181"/>
      <c r="I95" s="118"/>
      <c r="J95" s="118"/>
      <c r="K95" s="11"/>
      <c r="L95" s="86"/>
      <c r="M95" s="86"/>
      <c r="N95" s="86"/>
      <c r="O95" s="507"/>
      <c r="P95" s="508"/>
      <c r="Q95" s="508"/>
      <c r="R95" s="508"/>
      <c r="S95" s="508"/>
      <c r="T95" s="508"/>
      <c r="U95" s="508"/>
      <c r="V95" s="508"/>
      <c r="W95" s="508"/>
      <c r="X95" s="508"/>
      <c r="Y95" s="508"/>
      <c r="Z95" s="508"/>
      <c r="AA95" s="508"/>
      <c r="AB95" s="153"/>
      <c r="AC95" s="136"/>
      <c r="AD95" s="509"/>
      <c r="AE95" s="477"/>
      <c r="AF95" s="153"/>
      <c r="AG95" s="477"/>
      <c r="AH95" s="477"/>
      <c r="AI95" s="153"/>
    </row>
    <row r="96" spans="1:35" x14ac:dyDescent="0.25">
      <c r="A96" s="11"/>
      <c r="B96" s="11"/>
      <c r="C96" s="204"/>
      <c r="D96" s="11"/>
      <c r="E96" s="11"/>
      <c r="F96" s="11"/>
      <c r="G96" s="11"/>
      <c r="H96" s="181"/>
      <c r="I96" s="118"/>
      <c r="J96" s="118"/>
      <c r="K96" s="11"/>
      <c r="L96" s="86"/>
      <c r="M96" s="86"/>
      <c r="N96" s="49" t="s">
        <v>343</v>
      </c>
      <c r="O96" s="509"/>
      <c r="P96" s="477"/>
      <c r="Q96" s="477"/>
      <c r="R96" s="477"/>
      <c r="S96" s="477"/>
      <c r="T96" s="477"/>
      <c r="U96" s="477"/>
      <c r="V96" s="477"/>
      <c r="W96" s="477"/>
      <c r="X96" s="477"/>
      <c r="Y96" s="477"/>
      <c r="Z96" s="477"/>
      <c r="AA96" s="477"/>
      <c r="AB96" s="510"/>
      <c r="AC96" s="136"/>
      <c r="AD96" s="511"/>
      <c r="AE96" s="512"/>
      <c r="AF96" s="153"/>
      <c r="AG96" s="477"/>
      <c r="AH96" s="512"/>
      <c r="AI96" s="153"/>
    </row>
    <row r="97" spans="1:35" x14ac:dyDescent="0.25">
      <c r="A97" s="11"/>
      <c r="B97" s="11"/>
      <c r="C97" s="204"/>
      <c r="D97" s="11"/>
      <c r="E97" s="11"/>
      <c r="F97" s="11"/>
      <c r="G97" s="11"/>
      <c r="H97" s="181"/>
      <c r="I97" s="118"/>
      <c r="J97" s="118"/>
      <c r="K97" s="11"/>
      <c r="L97" s="86"/>
      <c r="M97" s="86"/>
      <c r="N97" s="49" t="s">
        <v>337</v>
      </c>
      <c r="O97" s="154"/>
      <c r="P97" s="155"/>
      <c r="Q97" s="155"/>
      <c r="R97" s="155"/>
      <c r="S97" s="155"/>
      <c r="T97" s="155"/>
      <c r="U97" s="155"/>
      <c r="V97" s="155"/>
      <c r="W97" s="155"/>
      <c r="X97" s="155"/>
      <c r="Y97" s="155"/>
      <c r="Z97" s="155"/>
      <c r="AA97" s="155"/>
      <c r="AB97" s="156"/>
      <c r="AC97" s="136"/>
      <c r="AD97" s="154"/>
      <c r="AE97" s="155"/>
      <c r="AF97" s="156"/>
      <c r="AG97" s="155"/>
      <c r="AH97" s="155"/>
      <c r="AI97" s="156"/>
    </row>
    <row r="98" spans="1:35" x14ac:dyDescent="0.25">
      <c r="A98" s="11"/>
      <c r="B98" s="11"/>
      <c r="C98" s="204"/>
      <c r="D98" s="11"/>
      <c r="E98" s="11"/>
      <c r="F98" s="11"/>
      <c r="G98" s="11"/>
      <c r="H98" s="181" t="s">
        <v>294</v>
      </c>
      <c r="I98" s="118"/>
      <c r="J98" s="118"/>
      <c r="K98" s="11"/>
      <c r="L98" s="86" t="str">
        <f>IF(_epmOfflineCondition_,"461200",_xll.EVPRO($B$1,H98,"JDEID"))</f>
        <v>461200</v>
      </c>
      <c r="M98" s="86" t="str">
        <f>IF(_epmOfflineCondition_,"",IF(AND(I98="N",J98="N"),_xll.EVPRO($B$1,H98,"PSFTID"),""))</f>
        <v/>
      </c>
      <c r="N98" s="86" t="str">
        <f>IF(_epmOfflineCondition_,"Breakfast Liquor",IF(_xll.EVDES(H98,$B$1)="#NODATA","",_xll.EVDES(H98,$B$1)))</f>
        <v>Breakfast Liquor</v>
      </c>
      <c r="O98" s="134">
        <v>200</v>
      </c>
      <c r="P98" s="134">
        <v>250</v>
      </c>
      <c r="Q98" s="134">
        <v>371</v>
      </c>
      <c r="R98" s="134">
        <v>251</v>
      </c>
      <c r="S98" s="134">
        <v>369</v>
      </c>
      <c r="T98" s="134">
        <v>255</v>
      </c>
      <c r="U98" s="134">
        <v>280</v>
      </c>
      <c r="V98" s="134">
        <v>238</v>
      </c>
      <c r="W98" s="134">
        <v>176</v>
      </c>
      <c r="X98" s="134"/>
      <c r="Y98" s="134"/>
      <c r="Z98" s="134"/>
      <c r="AA98" s="134">
        <f t="shared" ref="AA98:AA103" si="27">SUM(O98:Z98)</f>
        <v>2390</v>
      </c>
      <c r="AB98" s="138">
        <f t="shared" ref="AB98:AB103" si="28">IF(AA98=0,"",IFERROR(AA98/AA$19,""))</f>
        <v>6.3998452469219607E-3</v>
      </c>
      <c r="AC98" s="136"/>
      <c r="AD98" s="134"/>
      <c r="AE98" s="138" t="str">
        <f t="shared" ref="AE98:AE103" si="29">IF(AD98=0,"",IFERROR(AD98/AD$19,""))</f>
        <v/>
      </c>
      <c r="AF98" s="137">
        <f t="shared" ref="AF98:AF103" si="30">IF(AND($AA98="",AD98=""),"",$AA98-AD98)</f>
        <v>2390</v>
      </c>
      <c r="AG98" s="134">
        <v>114</v>
      </c>
      <c r="AH98" s="138">
        <f t="shared" ref="AH98:AH103" si="31">IF(AG98=0,"",IFERROR(AG98/AG$19,""))</f>
        <v>8.1509160700172275E-4</v>
      </c>
      <c r="AI98" s="137">
        <f t="shared" ref="AI98:AI103" si="32">IF(AND($AA98="",AG98=""),"",$AA98-AG98)</f>
        <v>2276</v>
      </c>
    </row>
    <row r="99" spans="1:35" x14ac:dyDescent="0.25">
      <c r="A99" s="11"/>
      <c r="B99" s="11"/>
      <c r="C99" s="204"/>
      <c r="D99" s="11"/>
      <c r="E99" s="11"/>
      <c r="F99" s="11"/>
      <c r="G99" s="11"/>
      <c r="H99" s="181" t="s">
        <v>301</v>
      </c>
      <c r="I99" s="118"/>
      <c r="J99" s="118"/>
      <c r="K99" s="11"/>
      <c r="L99" s="86" t="str">
        <f>IF(_epmOfflineCondition_,"462200",_xll.EVPRO($B$1,H99,"JDEID"))</f>
        <v>462200</v>
      </c>
      <c r="M99" s="86" t="str">
        <f>IF(_epmOfflineCondition_,"",IF(AND(I99="N",J99="N"),_xll.EVPRO($B$1,H99,"PSFTID"),""))</f>
        <v/>
      </c>
      <c r="N99" s="86" t="str">
        <f>IF(_epmOfflineCondition_,"Lunch Liquor",IF(_xll.EVDES(H99,$B$1)="#NODATA","",_xll.EVDES(H99,$B$1)))</f>
        <v>Lunch Liquor</v>
      </c>
      <c r="O99" s="134"/>
      <c r="P99" s="134"/>
      <c r="Q99" s="134"/>
      <c r="R99" s="134"/>
      <c r="S99" s="134"/>
      <c r="T99" s="134"/>
      <c r="U99" s="134"/>
      <c r="V99" s="134"/>
      <c r="W99" s="134"/>
      <c r="X99" s="134"/>
      <c r="Y99" s="134"/>
      <c r="Z99" s="134"/>
      <c r="AA99" s="134">
        <f t="shared" si="27"/>
        <v>0</v>
      </c>
      <c r="AB99" s="138" t="str">
        <f t="shared" si="28"/>
        <v/>
      </c>
      <c r="AC99" s="136"/>
      <c r="AD99" s="134">
        <v>15283.1248</v>
      </c>
      <c r="AE99" s="138">
        <f t="shared" si="29"/>
        <v>2.9550153962914365E-2</v>
      </c>
      <c r="AF99" s="137">
        <f t="shared" si="30"/>
        <v>-15283.1248</v>
      </c>
      <c r="AG99" s="134"/>
      <c r="AH99" s="138" t="str">
        <f t="shared" si="31"/>
        <v/>
      </c>
      <c r="AI99" s="137">
        <f t="shared" si="32"/>
        <v>0</v>
      </c>
    </row>
    <row r="100" spans="1:35" x14ac:dyDescent="0.25">
      <c r="A100" s="11"/>
      <c r="B100" s="11"/>
      <c r="C100" s="204"/>
      <c r="D100" s="11"/>
      <c r="E100" s="11"/>
      <c r="F100" s="11"/>
      <c r="G100" s="11"/>
      <c r="H100" s="181" t="s">
        <v>302</v>
      </c>
      <c r="I100" s="118"/>
      <c r="J100" s="118"/>
      <c r="K100" s="11"/>
      <c r="L100" s="86" t="str">
        <f>IF(_epmOfflineCondition_,"463200",_xll.EVPRO($B$1,H100,"JDEID"))</f>
        <v>463200</v>
      </c>
      <c r="M100" s="86" t="str">
        <f>IF(_epmOfflineCondition_,"",IF(AND(I100="N",J100="N"),_xll.EVPRO($B$1,H100,"PSFTID"),""))</f>
        <v/>
      </c>
      <c r="N100" s="86" t="str">
        <f>IF(_epmOfflineCondition_,"Dinner Liquor",IF(_xll.EVDES(H100,$B$1)="#NODATA","",_xll.EVDES(H100,$B$1)))</f>
        <v>Dinner Liquor</v>
      </c>
      <c r="O100" s="134"/>
      <c r="P100" s="134"/>
      <c r="Q100" s="134"/>
      <c r="R100" s="134"/>
      <c r="S100" s="134"/>
      <c r="T100" s="134"/>
      <c r="U100" s="134"/>
      <c r="V100" s="134"/>
      <c r="W100" s="134"/>
      <c r="X100" s="134"/>
      <c r="Y100" s="134"/>
      <c r="Z100" s="134"/>
      <c r="AA100" s="134">
        <f t="shared" si="27"/>
        <v>0</v>
      </c>
      <c r="AB100" s="138" t="str">
        <f t="shared" si="28"/>
        <v/>
      </c>
      <c r="AC100" s="136"/>
      <c r="AD100" s="134"/>
      <c r="AE100" s="138" t="str">
        <f t="shared" si="29"/>
        <v/>
      </c>
      <c r="AF100" s="137">
        <f t="shared" si="30"/>
        <v>0</v>
      </c>
      <c r="AG100" s="134"/>
      <c r="AH100" s="138" t="str">
        <f t="shared" si="31"/>
        <v/>
      </c>
      <c r="AI100" s="137">
        <f t="shared" si="32"/>
        <v>0</v>
      </c>
    </row>
    <row r="101" spans="1:35" x14ac:dyDescent="0.25">
      <c r="A101" s="11"/>
      <c r="B101" s="11"/>
      <c r="C101" s="204"/>
      <c r="D101" s="11"/>
      <c r="E101" s="11"/>
      <c r="F101" s="11"/>
      <c r="G101" s="11"/>
      <c r="H101" s="181" t="s">
        <v>308</v>
      </c>
      <c r="I101" s="118"/>
      <c r="J101" s="118"/>
      <c r="K101" s="11"/>
      <c r="L101" s="86" t="str">
        <f>IF(_epmOfflineCondition_,"464200",_xll.EVPRO($B$1,H101,"JDEID"))</f>
        <v>464200</v>
      </c>
      <c r="M101" s="86" t="str">
        <f>IF(_epmOfflineCondition_,"",IF(AND(I101="N",J101="N"),_xll.EVPRO($B$1,H101,"PSFTID"),""))</f>
        <v/>
      </c>
      <c r="N101" s="86" t="str">
        <f>IF(_epmOfflineCondition_,"Bar Liquor",IF(_xll.EVDES(H101,$B$1)="#NODATA","",_xll.EVDES(H101,$B$1)))</f>
        <v>Bar Liquor</v>
      </c>
      <c r="O101" s="134">
        <v>12878.4</v>
      </c>
      <c r="P101" s="134">
        <v>15160.3</v>
      </c>
      <c r="Q101" s="134">
        <v>13924.6</v>
      </c>
      <c r="R101" s="134">
        <v>12864.8</v>
      </c>
      <c r="S101" s="134">
        <v>11494.5</v>
      </c>
      <c r="T101" s="134">
        <v>12054.17</v>
      </c>
      <c r="U101" s="134">
        <v>10700.8</v>
      </c>
      <c r="V101" s="134">
        <v>11328.72</v>
      </c>
      <c r="W101" s="134">
        <v>8950.6</v>
      </c>
      <c r="X101" s="134">
        <v>10587.45</v>
      </c>
      <c r="Y101" s="134">
        <v>12688.2</v>
      </c>
      <c r="Z101" s="134">
        <v>17092.8</v>
      </c>
      <c r="AA101" s="134">
        <f t="shared" si="27"/>
        <v>149725.34</v>
      </c>
      <c r="AB101" s="138">
        <f t="shared" si="28"/>
        <v>0.40092845420199769</v>
      </c>
      <c r="AC101" s="136"/>
      <c r="AD101" s="134">
        <v>146899.3701</v>
      </c>
      <c r="AE101" s="138">
        <f t="shared" si="29"/>
        <v>0.28403216359982481</v>
      </c>
      <c r="AF101" s="137">
        <f t="shared" si="30"/>
        <v>2825.9698999999964</v>
      </c>
      <c r="AG101" s="134">
        <v>54156.57</v>
      </c>
      <c r="AH101" s="138">
        <f t="shared" si="31"/>
        <v>0.38721548834211655</v>
      </c>
      <c r="AI101" s="137">
        <f t="shared" si="32"/>
        <v>95568.76999999999</v>
      </c>
    </row>
    <row r="102" spans="1:35" x14ac:dyDescent="0.25">
      <c r="A102" s="11"/>
      <c r="B102" s="11"/>
      <c r="C102" s="204"/>
      <c r="D102" s="11"/>
      <c r="E102" s="11"/>
      <c r="F102" s="11"/>
      <c r="G102" s="11"/>
      <c r="H102" s="181" t="s">
        <v>321</v>
      </c>
      <c r="I102" s="118"/>
      <c r="J102" s="118"/>
      <c r="K102" s="11"/>
      <c r="L102" s="86" t="str">
        <f>IF(_epmOfflineCondition_,"465200",_xll.EVPRO($B$1,H102,"JDEID"))</f>
        <v>465200</v>
      </c>
      <c r="M102" s="86" t="str">
        <f>IF(_epmOfflineCondition_,"",IF(AND(I102="N",J102="N"),_xll.EVPRO($B$1,H102,"PSFTID"),""))</f>
        <v/>
      </c>
      <c r="N102" s="86" t="str">
        <f>IF(_epmOfflineCondition_,"Private Dining Liquor",IF(_xll.EVDES(H102,$B$1)="#NODATA","",_xll.EVDES(H102,$B$1)))</f>
        <v>Private Dining Liquor</v>
      </c>
      <c r="O102" s="134"/>
      <c r="P102" s="134"/>
      <c r="Q102" s="134"/>
      <c r="R102" s="134"/>
      <c r="S102" s="134"/>
      <c r="T102" s="134"/>
      <c r="U102" s="134"/>
      <c r="V102" s="134"/>
      <c r="W102" s="134"/>
      <c r="X102" s="134"/>
      <c r="Y102" s="134"/>
      <c r="Z102" s="134"/>
      <c r="AA102" s="134">
        <f t="shared" si="27"/>
        <v>0</v>
      </c>
      <c r="AB102" s="138" t="str">
        <f t="shared" si="28"/>
        <v/>
      </c>
      <c r="AC102" s="136"/>
      <c r="AD102" s="134"/>
      <c r="AE102" s="138" t="str">
        <f t="shared" si="29"/>
        <v/>
      </c>
      <c r="AF102" s="137">
        <f t="shared" si="30"/>
        <v>0</v>
      </c>
      <c r="AG102" s="134"/>
      <c r="AH102" s="138" t="str">
        <f t="shared" si="31"/>
        <v/>
      </c>
      <c r="AI102" s="137">
        <f t="shared" si="32"/>
        <v>0</v>
      </c>
    </row>
    <row r="103" spans="1:35" x14ac:dyDescent="0.25">
      <c r="A103" s="11"/>
      <c r="B103" s="11"/>
      <c r="C103" s="204"/>
      <c r="D103" s="11"/>
      <c r="E103" s="11"/>
      <c r="F103" s="11"/>
      <c r="G103" s="11"/>
      <c r="H103" s="181" t="s">
        <v>340</v>
      </c>
      <c r="I103" s="118"/>
      <c r="J103" s="118"/>
      <c r="K103" s="11"/>
      <c r="L103" s="86" t="str">
        <f>IF(_epmOfflineCondition_,"",_xll.EVPRO($B$1,H103,"JDEID"))</f>
        <v/>
      </c>
      <c r="M103" s="86" t="str">
        <f>IF(_epmOfflineCondition_,"",IF(AND(I103="N",J103="N"),_xll.EVPRO($B$1,H103,"PSFTID"),""))</f>
        <v/>
      </c>
      <c r="N103" s="102" t="str">
        <f>IF(_epmOfflineCondition_,"Liquor Revenue ",IF(_xll.EVDES(H103,$B$1)="#NODATA","",_xll.EVDES(H103,$B$1)))</f>
        <v xml:space="preserve">Liquor Revenue </v>
      </c>
      <c r="O103" s="158">
        <v>13078.4</v>
      </c>
      <c r="P103" s="158">
        <v>15410.3</v>
      </c>
      <c r="Q103" s="158">
        <v>14295.6</v>
      </c>
      <c r="R103" s="158">
        <v>13115.8</v>
      </c>
      <c r="S103" s="158">
        <v>11863.5</v>
      </c>
      <c r="T103" s="158">
        <v>12309.17</v>
      </c>
      <c r="U103" s="158">
        <v>10980.8</v>
      </c>
      <c r="V103" s="158">
        <v>11566.72</v>
      </c>
      <c r="W103" s="158">
        <v>9126.6</v>
      </c>
      <c r="X103" s="158">
        <v>10587.45</v>
      </c>
      <c r="Y103" s="158">
        <v>12688.2</v>
      </c>
      <c r="Z103" s="158">
        <v>17092.8</v>
      </c>
      <c r="AA103" s="158">
        <f t="shared" si="27"/>
        <v>152115.34</v>
      </c>
      <c r="AB103" s="159">
        <f t="shared" si="28"/>
        <v>0.40732829944891968</v>
      </c>
      <c r="AC103" s="136"/>
      <c r="AD103" s="158">
        <v>162182.49489999999</v>
      </c>
      <c r="AE103" s="159">
        <f t="shared" si="29"/>
        <v>0.31358231756273913</v>
      </c>
      <c r="AF103" s="160">
        <f t="shared" si="30"/>
        <v>-10067.154899999994</v>
      </c>
      <c r="AG103" s="158">
        <v>54270.57</v>
      </c>
      <c r="AH103" s="159">
        <f t="shared" si="31"/>
        <v>0.38803057994911827</v>
      </c>
      <c r="AI103" s="160">
        <f t="shared" si="32"/>
        <v>97844.76999999999</v>
      </c>
    </row>
    <row r="104" spans="1:35" x14ac:dyDescent="0.25">
      <c r="A104" s="11"/>
      <c r="B104" s="11"/>
      <c r="C104" s="204"/>
      <c r="D104" s="11"/>
      <c r="E104" s="11"/>
      <c r="F104" s="11"/>
      <c r="G104" s="11"/>
      <c r="H104" s="181"/>
      <c r="I104" s="118"/>
      <c r="J104" s="118"/>
      <c r="K104" s="11"/>
      <c r="L104" s="86"/>
      <c r="M104" s="86"/>
      <c r="N104" s="49"/>
      <c r="O104" s="166"/>
      <c r="P104" s="167"/>
      <c r="Q104" s="167"/>
      <c r="R104" s="167"/>
      <c r="S104" s="167"/>
      <c r="T104" s="167"/>
      <c r="U104" s="167"/>
      <c r="V104" s="167"/>
      <c r="W104" s="167"/>
      <c r="X104" s="167"/>
      <c r="Y104" s="167"/>
      <c r="Z104" s="167"/>
      <c r="AA104" s="167"/>
      <c r="AB104" s="168"/>
      <c r="AC104" s="136"/>
      <c r="AD104" s="166"/>
      <c r="AE104" s="167"/>
      <c r="AF104" s="168"/>
      <c r="AG104" s="166"/>
      <c r="AH104" s="167"/>
      <c r="AI104" s="168"/>
    </row>
    <row r="105" spans="1:35" x14ac:dyDescent="0.25">
      <c r="A105" s="11"/>
      <c r="B105" s="11"/>
      <c r="C105" s="204"/>
      <c r="D105" s="11"/>
      <c r="E105" s="11"/>
      <c r="F105" s="11"/>
      <c r="G105" s="11"/>
      <c r="H105" s="181"/>
      <c r="I105" s="118"/>
      <c r="J105" s="118"/>
      <c r="K105" s="11"/>
      <c r="L105" s="86"/>
      <c r="M105" s="86"/>
      <c r="N105" s="49" t="s">
        <v>339</v>
      </c>
      <c r="O105" s="154"/>
      <c r="P105" s="155"/>
      <c r="Q105" s="155"/>
      <c r="R105" s="155"/>
      <c r="S105" s="155"/>
      <c r="T105" s="155"/>
      <c r="U105" s="155"/>
      <c r="V105" s="155"/>
      <c r="W105" s="155"/>
      <c r="X105" s="155"/>
      <c r="Y105" s="155"/>
      <c r="Z105" s="155"/>
      <c r="AA105" s="155"/>
      <c r="AB105" s="156"/>
      <c r="AC105" s="136"/>
      <c r="AD105" s="154"/>
      <c r="AE105" s="155"/>
      <c r="AF105" s="156"/>
      <c r="AG105" s="154"/>
      <c r="AH105" s="155"/>
      <c r="AI105" s="156"/>
    </row>
    <row r="106" spans="1:35" x14ac:dyDescent="0.25">
      <c r="A106" s="11"/>
      <c r="B106" s="11"/>
      <c r="C106" s="204"/>
      <c r="D106" s="11"/>
      <c r="E106" s="11"/>
      <c r="F106" s="11"/>
      <c r="G106" s="11"/>
      <c r="H106" s="181" t="s">
        <v>295</v>
      </c>
      <c r="I106" s="118"/>
      <c r="J106" s="118"/>
      <c r="K106" s="11"/>
      <c r="L106" s="86" t="str">
        <f>IF(_epmOfflineCondition_,"461300",_xll.EVPRO($B$1,H106,"JDEID"))</f>
        <v>461300</v>
      </c>
      <c r="M106" s="86" t="str">
        <f>IF(_epmOfflineCondition_,"",IF(AND(I106="N",J106="N"),_xll.EVPRO($B$1,H106,"PSFTID"),""))</f>
        <v/>
      </c>
      <c r="N106" s="86" t="str">
        <f>IF(_epmOfflineCondition_,"Breakfast Beer",IF(_xll.EVDES(H106,$B$1)="#NODATA","",_xll.EVDES(H106,$B$1)))</f>
        <v>Breakfast Beer</v>
      </c>
      <c r="O106" s="134">
        <v>7</v>
      </c>
      <c r="P106" s="134">
        <v>97</v>
      </c>
      <c r="Q106" s="134">
        <v>38</v>
      </c>
      <c r="R106" s="134">
        <v>17</v>
      </c>
      <c r="S106" s="134">
        <v>86</v>
      </c>
      <c r="T106" s="134">
        <v>19</v>
      </c>
      <c r="U106" s="134">
        <v>59</v>
      </c>
      <c r="V106" s="134">
        <v>9</v>
      </c>
      <c r="W106" s="134"/>
      <c r="X106" s="134"/>
      <c r="Y106" s="134"/>
      <c r="Z106" s="134"/>
      <c r="AA106" s="134">
        <f t="shared" ref="AA106:AA111" si="33">SUM(O106:Z106)</f>
        <v>332</v>
      </c>
      <c r="AB106" s="138">
        <f t="shared" ref="AB106:AB111" si="34">IF(AA106=0,"",IFERROR(AA106/AA$19,""))</f>
        <v>8.8901615982346898E-4</v>
      </c>
      <c r="AC106" s="136"/>
      <c r="AD106" s="134"/>
      <c r="AE106" s="138" t="str">
        <f t="shared" ref="AE106:AE111" si="35">IF(AD106=0,"",IFERROR(AD106/AD$19,""))</f>
        <v/>
      </c>
      <c r="AF106" s="137">
        <f t="shared" ref="AF106:AF111" si="36">IF(AND($AA106="",AD106=""),"",$AA106-AD106)</f>
        <v>332</v>
      </c>
      <c r="AG106" s="134">
        <v>124</v>
      </c>
      <c r="AH106" s="138">
        <f t="shared" ref="AH106:AH111" si="37">IF(AG106=0,"",IFERROR(AG106/AG$19,""))</f>
        <v>8.8659087077380368E-4</v>
      </c>
      <c r="AI106" s="137">
        <f t="shared" ref="AI106:AI111" si="38">IF(AND($AA106="",AG106=""),"",$AA106-AG106)</f>
        <v>208</v>
      </c>
    </row>
    <row r="107" spans="1:35" x14ac:dyDescent="0.25">
      <c r="A107" s="11"/>
      <c r="B107" s="11"/>
      <c r="C107" s="204"/>
      <c r="D107" s="11"/>
      <c r="E107" s="11"/>
      <c r="F107" s="11"/>
      <c r="G107" s="11"/>
      <c r="H107" s="181" t="s">
        <v>305</v>
      </c>
      <c r="I107" s="118"/>
      <c r="J107" s="118"/>
      <c r="K107" s="11"/>
      <c r="L107" s="86" t="str">
        <f>IF(_epmOfflineCondition_,"462300",_xll.EVPRO($B$1,H107,"JDEID"))</f>
        <v>462300</v>
      </c>
      <c r="M107" s="86" t="str">
        <f>IF(_epmOfflineCondition_,"",IF(AND(I107="N",J107="N"),_xll.EVPRO($B$1,H107,"PSFTID"),""))</f>
        <v/>
      </c>
      <c r="N107" s="86" t="str">
        <f>IF(_epmOfflineCondition_,"Lunch Beer",IF(_xll.EVDES(H107,$B$1)="#NODATA","",_xll.EVDES(H107,$B$1)))</f>
        <v>Lunch Beer</v>
      </c>
      <c r="O107" s="134"/>
      <c r="P107" s="134"/>
      <c r="Q107" s="134"/>
      <c r="R107" s="134"/>
      <c r="S107" s="134"/>
      <c r="T107" s="134"/>
      <c r="U107" s="134"/>
      <c r="V107" s="134"/>
      <c r="W107" s="134"/>
      <c r="X107" s="134"/>
      <c r="Y107" s="134"/>
      <c r="Z107" s="134"/>
      <c r="AA107" s="134">
        <f t="shared" si="33"/>
        <v>0</v>
      </c>
      <c r="AB107" s="138" t="str">
        <f t="shared" si="34"/>
        <v/>
      </c>
      <c r="AC107" s="136"/>
      <c r="AD107" s="134">
        <v>2988.890848</v>
      </c>
      <c r="AE107" s="138">
        <f t="shared" si="35"/>
        <v>5.779065858098972E-3</v>
      </c>
      <c r="AF107" s="137">
        <f t="shared" si="36"/>
        <v>-2988.890848</v>
      </c>
      <c r="AG107" s="134"/>
      <c r="AH107" s="138" t="str">
        <f t="shared" si="37"/>
        <v/>
      </c>
      <c r="AI107" s="137">
        <f t="shared" si="38"/>
        <v>0</v>
      </c>
    </row>
    <row r="108" spans="1:35" x14ac:dyDescent="0.25">
      <c r="A108" s="11"/>
      <c r="B108" s="11"/>
      <c r="C108" s="204"/>
      <c r="D108" s="11"/>
      <c r="E108" s="11"/>
      <c r="F108" s="11"/>
      <c r="G108" s="11"/>
      <c r="H108" s="181" t="s">
        <v>306</v>
      </c>
      <c r="I108" s="118"/>
      <c r="J108" s="118"/>
      <c r="K108" s="11"/>
      <c r="L108" s="86" t="str">
        <f>IF(_epmOfflineCondition_,"463300",_xll.EVPRO($B$1,H108,"JDEID"))</f>
        <v>463300</v>
      </c>
      <c r="M108" s="86" t="str">
        <f>IF(_epmOfflineCondition_,"",IF(AND(I108="N",J108="N"),_xll.EVPRO($B$1,H108,"PSFTID"),""))</f>
        <v/>
      </c>
      <c r="N108" s="86" t="str">
        <f>IF(_epmOfflineCondition_,"Dinner Beer",IF(_xll.EVDES(H108,$B$1)="#NODATA","",_xll.EVDES(H108,$B$1)))</f>
        <v>Dinner Beer</v>
      </c>
      <c r="O108" s="134"/>
      <c r="P108" s="134"/>
      <c r="Q108" s="134"/>
      <c r="R108" s="134"/>
      <c r="S108" s="134"/>
      <c r="T108" s="134"/>
      <c r="U108" s="134"/>
      <c r="V108" s="134"/>
      <c r="W108" s="134"/>
      <c r="X108" s="134"/>
      <c r="Y108" s="134"/>
      <c r="Z108" s="134"/>
      <c r="AA108" s="134">
        <f t="shared" si="33"/>
        <v>0</v>
      </c>
      <c r="AB108" s="138" t="str">
        <f t="shared" si="34"/>
        <v/>
      </c>
      <c r="AC108" s="136"/>
      <c r="AD108" s="134"/>
      <c r="AE108" s="138" t="str">
        <f t="shared" si="35"/>
        <v/>
      </c>
      <c r="AF108" s="137">
        <f t="shared" si="36"/>
        <v>0</v>
      </c>
      <c r="AG108" s="134"/>
      <c r="AH108" s="138" t="str">
        <f t="shared" si="37"/>
        <v/>
      </c>
      <c r="AI108" s="137">
        <f t="shared" si="38"/>
        <v>0</v>
      </c>
    </row>
    <row r="109" spans="1:35" x14ac:dyDescent="0.25">
      <c r="A109" s="11"/>
      <c r="B109" s="11"/>
      <c r="C109" s="204"/>
      <c r="D109" s="11"/>
      <c r="E109" s="11"/>
      <c r="F109" s="11"/>
      <c r="G109" s="11"/>
      <c r="H109" s="181" t="s">
        <v>310</v>
      </c>
      <c r="I109" s="118"/>
      <c r="J109" s="118"/>
      <c r="K109" s="11"/>
      <c r="L109" s="86" t="str">
        <f>IF(_epmOfflineCondition_,"464300",_xll.EVPRO($B$1,H109,"JDEID"))</f>
        <v>464300</v>
      </c>
      <c r="M109" s="86" t="str">
        <f>IF(_epmOfflineCondition_,"",IF(AND(I109="N",J109="N"),_xll.EVPRO($B$1,H109,"PSFTID"),""))</f>
        <v/>
      </c>
      <c r="N109" s="86" t="str">
        <f>IF(_epmOfflineCondition_,"Bar Beer",IF(_xll.EVDES(H109,$B$1)="#NODATA","",_xll.EVDES(H109,$B$1)))</f>
        <v>Bar Beer</v>
      </c>
      <c r="O109" s="134">
        <v>2313</v>
      </c>
      <c r="P109" s="134">
        <v>2012.45</v>
      </c>
      <c r="Q109" s="134">
        <v>2904.95</v>
      </c>
      <c r="R109" s="134">
        <v>2924.05</v>
      </c>
      <c r="S109" s="134">
        <v>1711.55</v>
      </c>
      <c r="T109" s="134">
        <v>2177.58</v>
      </c>
      <c r="U109" s="134">
        <v>1985.45</v>
      </c>
      <c r="V109" s="134">
        <v>1922.05</v>
      </c>
      <c r="W109" s="134">
        <v>1433.8</v>
      </c>
      <c r="X109" s="134">
        <v>3398.75</v>
      </c>
      <c r="Y109" s="134">
        <v>2183.85</v>
      </c>
      <c r="Z109" s="134">
        <v>2845.4</v>
      </c>
      <c r="AA109" s="134">
        <f t="shared" si="33"/>
        <v>27812.880000000001</v>
      </c>
      <c r="AB109" s="138">
        <f t="shared" si="34"/>
        <v>7.4476204130213761E-2</v>
      </c>
      <c r="AC109" s="136"/>
      <c r="AD109" s="134">
        <v>28733.939021999999</v>
      </c>
      <c r="AE109" s="138">
        <f t="shared" si="35"/>
        <v>5.5557507589095459E-2</v>
      </c>
      <c r="AF109" s="137">
        <f t="shared" si="36"/>
        <v>-921.05902199999764</v>
      </c>
      <c r="AG109" s="134">
        <v>9386.59</v>
      </c>
      <c r="AH109" s="138">
        <f t="shared" si="37"/>
        <v>6.7113427433037734E-2</v>
      </c>
      <c r="AI109" s="137">
        <f t="shared" si="38"/>
        <v>18426.29</v>
      </c>
    </row>
    <row r="110" spans="1:35" x14ac:dyDescent="0.25">
      <c r="A110" s="11"/>
      <c r="B110" s="11"/>
      <c r="C110" s="204"/>
      <c r="D110" s="11"/>
      <c r="E110" s="11"/>
      <c r="F110" s="11"/>
      <c r="G110" s="11"/>
      <c r="H110" s="181" t="s">
        <v>323</v>
      </c>
      <c r="I110" s="118"/>
      <c r="J110" s="118"/>
      <c r="K110" s="11"/>
      <c r="L110" s="86" t="str">
        <f>IF(_epmOfflineCondition_,"465300",_xll.EVPRO($B$1,H110,"JDEID"))</f>
        <v>465300</v>
      </c>
      <c r="M110" s="86" t="str">
        <f>IF(_epmOfflineCondition_,"",IF(AND(I110="N",J110="N"),_xll.EVPRO($B$1,H110,"PSFTID"),""))</f>
        <v/>
      </c>
      <c r="N110" s="86" t="str">
        <f>IF(_epmOfflineCondition_,"Private Dining Beer",IF(_xll.EVDES(H110,$B$1)="#NODATA","",_xll.EVDES(H110,$B$1)))</f>
        <v>Private Dining Beer</v>
      </c>
      <c r="O110" s="134"/>
      <c r="P110" s="134"/>
      <c r="Q110" s="134"/>
      <c r="R110" s="134"/>
      <c r="S110" s="134"/>
      <c r="T110" s="134"/>
      <c r="U110" s="134"/>
      <c r="V110" s="134"/>
      <c r="W110" s="134"/>
      <c r="X110" s="134"/>
      <c r="Y110" s="134"/>
      <c r="Z110" s="134"/>
      <c r="AA110" s="134">
        <f t="shared" si="33"/>
        <v>0</v>
      </c>
      <c r="AB110" s="138" t="str">
        <f t="shared" si="34"/>
        <v/>
      </c>
      <c r="AC110" s="136"/>
      <c r="AD110" s="134"/>
      <c r="AE110" s="138" t="str">
        <f t="shared" si="35"/>
        <v/>
      </c>
      <c r="AF110" s="137">
        <f t="shared" si="36"/>
        <v>0</v>
      </c>
      <c r="AG110" s="134"/>
      <c r="AH110" s="138" t="str">
        <f t="shared" si="37"/>
        <v/>
      </c>
      <c r="AI110" s="137">
        <f t="shared" si="38"/>
        <v>0</v>
      </c>
    </row>
    <row r="111" spans="1:35" x14ac:dyDescent="0.25">
      <c r="A111" s="11"/>
      <c r="B111" s="11"/>
      <c r="C111" s="204"/>
      <c r="D111" s="11"/>
      <c r="E111" s="11"/>
      <c r="F111" s="11"/>
      <c r="G111" s="11"/>
      <c r="H111" s="181" t="s">
        <v>342</v>
      </c>
      <c r="I111" s="118"/>
      <c r="J111" s="118"/>
      <c r="K111" s="11"/>
      <c r="L111" s="86" t="str">
        <f>IF(_epmOfflineCondition_,"",_xll.EVPRO($B$1,H111,"JDEID"))</f>
        <v/>
      </c>
      <c r="M111" s="86" t="str">
        <f>IF(_epmOfflineCondition_,"",IF(AND(I111="N",J111="N"),_xll.EVPRO($B$1,H111,"PSFTID"),""))</f>
        <v/>
      </c>
      <c r="N111" s="102" t="str">
        <f>IF(_epmOfflineCondition_,"Beer Revenue",IF(_xll.EVDES(H111,$B$1)="#NODATA","",_xll.EVDES(H111,$B$1)))</f>
        <v>Beer Revenue</v>
      </c>
      <c r="O111" s="158">
        <v>2320</v>
      </c>
      <c r="P111" s="158">
        <v>2109.4499999999998</v>
      </c>
      <c r="Q111" s="158">
        <v>2942.95</v>
      </c>
      <c r="R111" s="158">
        <v>2941.05</v>
      </c>
      <c r="S111" s="158">
        <v>1797.55</v>
      </c>
      <c r="T111" s="158">
        <v>2196.58</v>
      </c>
      <c r="U111" s="158">
        <v>2044.45</v>
      </c>
      <c r="V111" s="158">
        <v>1931.05</v>
      </c>
      <c r="W111" s="158">
        <v>1433.8</v>
      </c>
      <c r="X111" s="158">
        <v>3398.75</v>
      </c>
      <c r="Y111" s="158">
        <v>2183.85</v>
      </c>
      <c r="Z111" s="158">
        <v>2845.4</v>
      </c>
      <c r="AA111" s="158">
        <f t="shared" si="33"/>
        <v>28144.880000000001</v>
      </c>
      <c r="AB111" s="159">
        <f t="shared" si="34"/>
        <v>7.5365220290037227E-2</v>
      </c>
      <c r="AC111" s="136"/>
      <c r="AD111" s="158">
        <v>31722.829870000001</v>
      </c>
      <c r="AE111" s="159">
        <f t="shared" si="35"/>
        <v>6.133657344719444E-2</v>
      </c>
      <c r="AF111" s="160">
        <f t="shared" si="36"/>
        <v>-3577.9498700000004</v>
      </c>
      <c r="AG111" s="158">
        <v>9510.59</v>
      </c>
      <c r="AH111" s="159">
        <f t="shared" si="37"/>
        <v>6.8000018303811527E-2</v>
      </c>
      <c r="AI111" s="160">
        <f t="shared" si="38"/>
        <v>18634.29</v>
      </c>
    </row>
    <row r="112" spans="1:35" x14ac:dyDescent="0.25">
      <c r="A112" s="11"/>
      <c r="B112" s="11"/>
      <c r="C112" s="204"/>
      <c r="D112" s="11"/>
      <c r="E112" s="11"/>
      <c r="F112" s="11"/>
      <c r="G112" s="11"/>
      <c r="H112" s="181"/>
      <c r="I112" s="118"/>
      <c r="J112" s="118"/>
      <c r="K112" s="11"/>
      <c r="L112" s="86"/>
      <c r="M112" s="86"/>
      <c r="N112" s="49"/>
      <c r="O112" s="166"/>
      <c r="P112" s="167"/>
      <c r="Q112" s="167"/>
      <c r="R112" s="167"/>
      <c r="S112" s="167"/>
      <c r="T112" s="167"/>
      <c r="U112" s="167"/>
      <c r="V112" s="167"/>
      <c r="W112" s="167"/>
      <c r="X112" s="167"/>
      <c r="Y112" s="167"/>
      <c r="Z112" s="167"/>
      <c r="AA112" s="167"/>
      <c r="AB112" s="168"/>
      <c r="AC112" s="136"/>
      <c r="AD112" s="166"/>
      <c r="AE112" s="167"/>
      <c r="AF112" s="168"/>
      <c r="AG112" s="166"/>
      <c r="AH112" s="167"/>
      <c r="AI112" s="168"/>
    </row>
    <row r="113" spans="1:35" x14ac:dyDescent="0.25">
      <c r="A113" s="11"/>
      <c r="B113" s="11"/>
      <c r="C113" s="204"/>
      <c r="D113" s="11"/>
      <c r="E113" s="11"/>
      <c r="F113" s="11"/>
      <c r="G113" s="11"/>
      <c r="H113" s="181"/>
      <c r="I113" s="118"/>
      <c r="J113" s="118"/>
      <c r="K113" s="11"/>
      <c r="L113" s="86"/>
      <c r="M113" s="86"/>
      <c r="N113" s="49" t="s">
        <v>338</v>
      </c>
      <c r="O113" s="154"/>
      <c r="P113" s="155"/>
      <c r="Q113" s="155"/>
      <c r="R113" s="155"/>
      <c r="S113" s="155"/>
      <c r="T113" s="155"/>
      <c r="U113" s="155"/>
      <c r="V113" s="155"/>
      <c r="W113" s="155"/>
      <c r="X113" s="155"/>
      <c r="Y113" s="155"/>
      <c r="Z113" s="155"/>
      <c r="AA113" s="155"/>
      <c r="AB113" s="156"/>
      <c r="AC113" s="136"/>
      <c r="AD113" s="154"/>
      <c r="AE113" s="155"/>
      <c r="AF113" s="156"/>
      <c r="AG113" s="154"/>
      <c r="AH113" s="155"/>
      <c r="AI113" s="156"/>
    </row>
    <row r="114" spans="1:35" x14ac:dyDescent="0.25">
      <c r="A114" s="11"/>
      <c r="B114" s="11"/>
      <c r="C114" s="204"/>
      <c r="D114" s="11"/>
      <c r="E114" s="11"/>
      <c r="F114" s="11"/>
      <c r="G114" s="11"/>
      <c r="H114" s="181" t="s">
        <v>296</v>
      </c>
      <c r="I114" s="118"/>
      <c r="J114" s="118"/>
      <c r="K114" s="11"/>
      <c r="L114" s="86" t="str">
        <f>IF(_epmOfflineCondition_,"461400",_xll.EVPRO($B$1,H114,"JDEID"))</f>
        <v>461400</v>
      </c>
      <c r="M114" s="86" t="str">
        <f>IF(_epmOfflineCondition_,"",IF(AND(I114="N",J114="N"),_xll.EVPRO($B$1,H114,"PSFTID"),""))</f>
        <v/>
      </c>
      <c r="N114" s="86" t="str">
        <f>IF(_epmOfflineCondition_,"Breakfast Wine",IF(_xll.EVDES(H114,$B$1)="#NODATA","",_xll.EVDES(H114,$B$1)))</f>
        <v>Breakfast Wine</v>
      </c>
      <c r="O114" s="134">
        <v>9</v>
      </c>
      <c r="P114" s="134">
        <v>43</v>
      </c>
      <c r="Q114" s="134"/>
      <c r="R114" s="134"/>
      <c r="S114" s="134">
        <v>9</v>
      </c>
      <c r="T114" s="134">
        <v>45</v>
      </c>
      <c r="U114" s="134">
        <v>10</v>
      </c>
      <c r="V114" s="134">
        <v>20</v>
      </c>
      <c r="W114" s="134"/>
      <c r="X114" s="134"/>
      <c r="Y114" s="134"/>
      <c r="Z114" s="134"/>
      <c r="AA114" s="134">
        <f t="shared" ref="AA114:AA119" si="39">SUM(O114:Z114)</f>
        <v>136</v>
      </c>
      <c r="AB114" s="138">
        <f t="shared" ref="AB114:AB119" si="40">IF(AA114=0,"",IFERROR(AA114/AA$19,""))</f>
        <v>3.6417529438551743E-4</v>
      </c>
      <c r="AC114" s="136"/>
      <c r="AD114" s="134"/>
      <c r="AE114" s="138" t="str">
        <f t="shared" ref="AE114:AE119" si="41">IF(AD114=0,"",IFERROR(AD114/AD$19,""))</f>
        <v/>
      </c>
      <c r="AF114" s="137">
        <f t="shared" ref="AF114:AF119" si="42">IF(AND($AA114="",AD114=""),"",$AA114-AD114)</f>
        <v>136</v>
      </c>
      <c r="AG114" s="134">
        <v>173</v>
      </c>
      <c r="AH114" s="138">
        <f t="shared" ref="AH114:AH119" si="43">IF(AG114=0,"",IFERROR(AG114/AG$19,""))</f>
        <v>1.2369372632570004E-3</v>
      </c>
      <c r="AI114" s="137">
        <f t="shared" ref="AI114:AI119" si="44">IF(AND($AA114="",AG114=""),"",$AA114-AG114)</f>
        <v>-37</v>
      </c>
    </row>
    <row r="115" spans="1:35" x14ac:dyDescent="0.25">
      <c r="A115" s="11"/>
      <c r="B115" s="11"/>
      <c r="C115" s="204"/>
      <c r="D115" s="11"/>
      <c r="E115" s="11"/>
      <c r="F115" s="11"/>
      <c r="G115" s="11"/>
      <c r="H115" s="181" t="s">
        <v>303</v>
      </c>
      <c r="I115" s="118"/>
      <c r="J115" s="118"/>
      <c r="K115" s="11"/>
      <c r="L115" s="86" t="str">
        <f>IF(_epmOfflineCondition_,"462400",_xll.EVPRO($B$1,H115,"JDEID"))</f>
        <v>462400</v>
      </c>
      <c r="M115" s="86" t="str">
        <f>IF(_epmOfflineCondition_,"",IF(AND(I115="N",J115="N"),_xll.EVPRO($B$1,H115,"PSFTID"),""))</f>
        <v/>
      </c>
      <c r="N115" s="86" t="str">
        <f>IF(_epmOfflineCondition_,"Lunch Wine",IF(_xll.EVDES(H115,$B$1)="#NODATA","",_xll.EVDES(H115,$B$1)))</f>
        <v>Lunch Wine</v>
      </c>
      <c r="O115" s="134"/>
      <c r="P115" s="134"/>
      <c r="Q115" s="134"/>
      <c r="R115" s="134"/>
      <c r="S115" s="134"/>
      <c r="T115" s="134"/>
      <c r="U115" s="134"/>
      <c r="V115" s="134"/>
      <c r="W115" s="134"/>
      <c r="X115" s="134"/>
      <c r="Y115" s="134"/>
      <c r="Z115" s="134"/>
      <c r="AA115" s="134">
        <f t="shared" si="39"/>
        <v>0</v>
      </c>
      <c r="AB115" s="138" t="str">
        <f t="shared" si="40"/>
        <v/>
      </c>
      <c r="AC115" s="136"/>
      <c r="AD115" s="134">
        <v>15746.582399999999</v>
      </c>
      <c r="AE115" s="138">
        <f t="shared" si="41"/>
        <v>3.0446256272782489E-2</v>
      </c>
      <c r="AF115" s="137">
        <f t="shared" si="42"/>
        <v>-15746.582399999999</v>
      </c>
      <c r="AG115" s="134"/>
      <c r="AH115" s="138" t="str">
        <f t="shared" si="43"/>
        <v/>
      </c>
      <c r="AI115" s="137">
        <f t="shared" si="44"/>
        <v>0</v>
      </c>
    </row>
    <row r="116" spans="1:35" x14ac:dyDescent="0.25">
      <c r="A116" s="11"/>
      <c r="B116" s="11"/>
      <c r="C116" s="204"/>
      <c r="D116" s="11"/>
      <c r="E116" s="11"/>
      <c r="F116" s="11"/>
      <c r="G116" s="11"/>
      <c r="H116" s="181" t="s">
        <v>304</v>
      </c>
      <c r="I116" s="118"/>
      <c r="J116" s="118"/>
      <c r="K116" s="11"/>
      <c r="L116" s="86" t="str">
        <f>IF(_epmOfflineCondition_,"463400",_xll.EVPRO($B$1,H116,"JDEID"))</f>
        <v>463400</v>
      </c>
      <c r="M116" s="86" t="str">
        <f>IF(_epmOfflineCondition_,"",IF(AND(I116="N",J116="N"),_xll.EVPRO($B$1,H116,"PSFTID"),""))</f>
        <v/>
      </c>
      <c r="N116" s="86" t="str">
        <f>IF(_epmOfflineCondition_,"Dinner Wine",IF(_xll.EVDES(H116,$B$1)="#NODATA","",_xll.EVDES(H116,$B$1)))</f>
        <v>Dinner Wine</v>
      </c>
      <c r="O116" s="134"/>
      <c r="P116" s="134"/>
      <c r="Q116" s="134"/>
      <c r="R116" s="134"/>
      <c r="S116" s="134"/>
      <c r="T116" s="134"/>
      <c r="U116" s="134"/>
      <c r="V116" s="134"/>
      <c r="W116" s="134"/>
      <c r="X116" s="134"/>
      <c r="Y116" s="134"/>
      <c r="Z116" s="134"/>
      <c r="AA116" s="134">
        <f t="shared" si="39"/>
        <v>0</v>
      </c>
      <c r="AB116" s="138" t="str">
        <f t="shared" si="40"/>
        <v/>
      </c>
      <c r="AC116" s="136"/>
      <c r="AD116" s="134"/>
      <c r="AE116" s="138" t="str">
        <f t="shared" si="41"/>
        <v/>
      </c>
      <c r="AF116" s="137">
        <f t="shared" si="42"/>
        <v>0</v>
      </c>
      <c r="AG116" s="134"/>
      <c r="AH116" s="138" t="str">
        <f t="shared" si="43"/>
        <v/>
      </c>
      <c r="AI116" s="137">
        <f t="shared" si="44"/>
        <v>0</v>
      </c>
    </row>
    <row r="117" spans="1:35" x14ac:dyDescent="0.25">
      <c r="A117" s="11"/>
      <c r="B117" s="11"/>
      <c r="C117" s="204"/>
      <c r="D117" s="11"/>
      <c r="E117" s="11"/>
      <c r="F117" s="11"/>
      <c r="G117" s="11"/>
      <c r="H117" s="181" t="s">
        <v>309</v>
      </c>
      <c r="I117" s="118"/>
      <c r="J117" s="118"/>
      <c r="K117" s="11"/>
      <c r="L117" s="86" t="str">
        <f>IF(_epmOfflineCondition_,"464400",_xll.EVPRO($B$1,H117,"JDEID"))</f>
        <v>464400</v>
      </c>
      <c r="M117" s="86" t="str">
        <f>IF(_epmOfflineCondition_,"",IF(AND(I117="N",J117="N"),_xll.EVPRO($B$1,H117,"PSFTID"),""))</f>
        <v/>
      </c>
      <c r="N117" s="86" t="str">
        <f>IF(_epmOfflineCondition_,"Bar Wine",IF(_xll.EVDES(H117,$B$1)="#NODATA","",_xll.EVDES(H117,$B$1)))</f>
        <v>Bar Wine</v>
      </c>
      <c r="O117" s="134">
        <v>4009.51</v>
      </c>
      <c r="P117" s="134">
        <v>6603.65</v>
      </c>
      <c r="Q117" s="134">
        <v>5904</v>
      </c>
      <c r="R117" s="134">
        <v>3569.2</v>
      </c>
      <c r="S117" s="134">
        <v>3654</v>
      </c>
      <c r="T117" s="134">
        <v>2494.21</v>
      </c>
      <c r="U117" s="134">
        <v>1933.65</v>
      </c>
      <c r="V117" s="134">
        <v>2165.2399999999998</v>
      </c>
      <c r="W117" s="134">
        <v>1970.6</v>
      </c>
      <c r="X117" s="134">
        <v>3312.5</v>
      </c>
      <c r="Y117" s="134">
        <v>3835.2</v>
      </c>
      <c r="Z117" s="134">
        <v>4016.2</v>
      </c>
      <c r="AA117" s="134">
        <f t="shared" si="39"/>
        <v>43467.959999999992</v>
      </c>
      <c r="AB117" s="138">
        <f t="shared" si="40"/>
        <v>0.11639674359807274</v>
      </c>
      <c r="AC117" s="136"/>
      <c r="AD117" s="134">
        <v>151354.5822</v>
      </c>
      <c r="AE117" s="138">
        <f t="shared" si="41"/>
        <v>0.29264638387318398</v>
      </c>
      <c r="AF117" s="137">
        <f t="shared" si="42"/>
        <v>-107886.62220000001</v>
      </c>
      <c r="AG117" s="134">
        <v>11797.2</v>
      </c>
      <c r="AH117" s="138">
        <f t="shared" si="43"/>
        <v>8.4349111457199338E-2</v>
      </c>
      <c r="AI117" s="137">
        <f t="shared" si="44"/>
        <v>31670.759999999991</v>
      </c>
    </row>
    <row r="118" spans="1:35" x14ac:dyDescent="0.25">
      <c r="A118" s="11"/>
      <c r="B118" s="11"/>
      <c r="C118" s="204"/>
      <c r="D118" s="11"/>
      <c r="E118" s="11"/>
      <c r="F118" s="11"/>
      <c r="G118" s="11"/>
      <c r="H118" s="181" t="s">
        <v>322</v>
      </c>
      <c r="I118" s="118"/>
      <c r="J118" s="118"/>
      <c r="K118" s="11"/>
      <c r="L118" s="86" t="str">
        <f>IF(_epmOfflineCondition_,"465400",_xll.EVPRO($B$1,H118,"JDEID"))</f>
        <v>465400</v>
      </c>
      <c r="M118" s="86" t="str">
        <f>IF(_epmOfflineCondition_,"",IF(AND(I118="N",J118="N"),_xll.EVPRO($B$1,H118,"PSFTID"),""))</f>
        <v/>
      </c>
      <c r="N118" s="86" t="str">
        <f>IF(_epmOfflineCondition_,"Private Dining Wine",IF(_xll.EVDES(H118,$B$1)="#NODATA","",_xll.EVDES(H118,$B$1)))</f>
        <v>Private Dining Wine</v>
      </c>
      <c r="O118" s="134"/>
      <c r="P118" s="134"/>
      <c r="Q118" s="134"/>
      <c r="R118" s="134"/>
      <c r="S118" s="134"/>
      <c r="T118" s="134"/>
      <c r="U118" s="134"/>
      <c r="V118" s="134"/>
      <c r="W118" s="134"/>
      <c r="X118" s="134"/>
      <c r="Y118" s="134"/>
      <c r="Z118" s="134"/>
      <c r="AA118" s="134">
        <f t="shared" si="39"/>
        <v>0</v>
      </c>
      <c r="AB118" s="138" t="str">
        <f t="shared" si="40"/>
        <v/>
      </c>
      <c r="AC118" s="136"/>
      <c r="AD118" s="134"/>
      <c r="AE118" s="138" t="str">
        <f t="shared" si="41"/>
        <v/>
      </c>
      <c r="AF118" s="137">
        <f t="shared" si="42"/>
        <v>0</v>
      </c>
      <c r="AG118" s="134"/>
      <c r="AH118" s="138" t="str">
        <f t="shared" si="43"/>
        <v/>
      </c>
      <c r="AI118" s="137">
        <f t="shared" si="44"/>
        <v>0</v>
      </c>
    </row>
    <row r="119" spans="1:35" x14ac:dyDescent="0.25">
      <c r="A119" s="11"/>
      <c r="B119" s="11"/>
      <c r="C119" s="204"/>
      <c r="D119" s="11"/>
      <c r="E119" s="11"/>
      <c r="F119" s="11"/>
      <c r="G119" s="11"/>
      <c r="H119" s="181" t="s">
        <v>341</v>
      </c>
      <c r="I119" s="118"/>
      <c r="J119" s="118"/>
      <c r="K119" s="11"/>
      <c r="L119" s="86" t="str">
        <f>IF(_epmOfflineCondition_,"",_xll.EVPRO($B$1,H119,"JDEID"))</f>
        <v/>
      </c>
      <c r="M119" s="86" t="str">
        <f>IF(_epmOfflineCondition_,"",IF(AND(I119="N",J119="N"),_xll.EVPRO($B$1,H119,"PSFTID"),""))</f>
        <v/>
      </c>
      <c r="N119" s="102" t="str">
        <f>IF(_epmOfflineCondition_,"Wine Revenue",IF(_xll.EVDES(H119,$B$1)="#NODATA","",_xll.EVDES(H119,$B$1)))</f>
        <v>Wine Revenue</v>
      </c>
      <c r="O119" s="158">
        <v>4018.51</v>
      </c>
      <c r="P119" s="158">
        <v>6646.65</v>
      </c>
      <c r="Q119" s="158">
        <v>5904</v>
      </c>
      <c r="R119" s="158">
        <v>3569.2</v>
      </c>
      <c r="S119" s="158">
        <v>3663</v>
      </c>
      <c r="T119" s="158">
        <v>2539.21</v>
      </c>
      <c r="U119" s="158">
        <v>1943.65</v>
      </c>
      <c r="V119" s="158">
        <v>2185.2399999999998</v>
      </c>
      <c r="W119" s="158">
        <v>1970.6</v>
      </c>
      <c r="X119" s="158">
        <v>3312.5</v>
      </c>
      <c r="Y119" s="158">
        <v>3835.2</v>
      </c>
      <c r="Z119" s="158">
        <v>4016.2</v>
      </c>
      <c r="AA119" s="158">
        <f t="shared" si="39"/>
        <v>43603.959999999992</v>
      </c>
      <c r="AB119" s="159">
        <f t="shared" si="40"/>
        <v>0.11676091889245827</v>
      </c>
      <c r="AC119" s="136"/>
      <c r="AD119" s="158">
        <v>167101.16459999999</v>
      </c>
      <c r="AE119" s="159">
        <f t="shared" si="41"/>
        <v>0.32309264014596645</v>
      </c>
      <c r="AF119" s="160">
        <f t="shared" si="42"/>
        <v>-123497.2046</v>
      </c>
      <c r="AG119" s="158">
        <v>11970.2</v>
      </c>
      <c r="AH119" s="159">
        <f t="shared" si="43"/>
        <v>8.5586048720456345E-2</v>
      </c>
      <c r="AI119" s="160">
        <f t="shared" si="44"/>
        <v>31633.759999999991</v>
      </c>
    </row>
    <row r="120" spans="1:35" x14ac:dyDescent="0.25">
      <c r="A120" s="11"/>
      <c r="B120" s="11"/>
      <c r="C120" s="204"/>
      <c r="D120" s="11"/>
      <c r="E120" s="11"/>
      <c r="F120" s="11"/>
      <c r="G120" s="11"/>
      <c r="H120" s="181"/>
      <c r="I120" s="118"/>
      <c r="J120" s="118"/>
      <c r="K120" s="11"/>
      <c r="L120" s="86"/>
      <c r="M120" s="86"/>
      <c r="N120" s="11"/>
      <c r="O120" s="166"/>
      <c r="P120" s="167"/>
      <c r="Q120" s="167"/>
      <c r="R120" s="167"/>
      <c r="S120" s="167"/>
      <c r="T120" s="167"/>
      <c r="U120" s="167"/>
      <c r="V120" s="167"/>
      <c r="W120" s="167"/>
      <c r="X120" s="167"/>
      <c r="Y120" s="167"/>
      <c r="Z120" s="167"/>
      <c r="AA120" s="167"/>
      <c r="AB120" s="168"/>
      <c r="AC120" s="136"/>
      <c r="AD120" s="166"/>
      <c r="AE120" s="167"/>
      <c r="AF120" s="168"/>
      <c r="AG120" s="166"/>
      <c r="AH120" s="167"/>
      <c r="AI120" s="168"/>
    </row>
    <row r="121" spans="1:35" x14ac:dyDescent="0.25">
      <c r="A121" s="11"/>
      <c r="B121" s="11"/>
      <c r="C121" s="204"/>
      <c r="D121" s="11"/>
      <c r="E121" s="11"/>
      <c r="F121" s="11"/>
      <c r="G121" s="11"/>
      <c r="H121" s="84" t="s">
        <v>267</v>
      </c>
      <c r="I121" s="118"/>
      <c r="J121" s="118"/>
      <c r="K121" s="11"/>
      <c r="L121" s="86" t="str">
        <f>IF(_epmOfflineCondition_,"",_xll.EVPRO($B$1,H121,"JDEID"))</f>
        <v/>
      </c>
      <c r="M121" s="86" t="str">
        <f>IF(_epmOfflineCondition_,"",IF(AND(I121="N",J121="N"),_xll.EVPRO($B$1,H121,"PSFTID"),""))</f>
        <v/>
      </c>
      <c r="N121" s="86" t="str">
        <f>IF(_epmOfflineCondition_,"Breakfast  Beverage Revenue",IF(_xll.EVDES(H121,$B$1)="#NODATA","",_xll.EVDES(H121,$B$1)))</f>
        <v>Breakfast  Beverage Revenue</v>
      </c>
      <c r="O121" s="134">
        <f t="shared" ref="O121:Z121" si="45">O98+O106+O114</f>
        <v>216</v>
      </c>
      <c r="P121" s="134">
        <f t="shared" si="45"/>
        <v>390</v>
      </c>
      <c r="Q121" s="134">
        <f t="shared" si="45"/>
        <v>409</v>
      </c>
      <c r="R121" s="134">
        <f t="shared" si="45"/>
        <v>268</v>
      </c>
      <c r="S121" s="134">
        <f t="shared" si="45"/>
        <v>464</v>
      </c>
      <c r="T121" s="134">
        <f t="shared" si="45"/>
        <v>319</v>
      </c>
      <c r="U121" s="134">
        <f t="shared" si="45"/>
        <v>349</v>
      </c>
      <c r="V121" s="134">
        <f t="shared" si="45"/>
        <v>267</v>
      </c>
      <c r="W121" s="134">
        <f t="shared" si="45"/>
        <v>176</v>
      </c>
      <c r="X121" s="134">
        <f t="shared" si="45"/>
        <v>0</v>
      </c>
      <c r="Y121" s="134">
        <f t="shared" si="45"/>
        <v>0</v>
      </c>
      <c r="Z121" s="134">
        <f t="shared" si="45"/>
        <v>0</v>
      </c>
      <c r="AA121" s="134">
        <f t="shared" ref="AA121:AA126" si="46">SUM(O121:Z121)</f>
        <v>2858</v>
      </c>
      <c r="AB121" s="138">
        <f t="shared" ref="AB121:AB126" si="47">IF(AA121=0,"",IFERROR(AA121/AA$19,""))</f>
        <v>7.6530367011309469E-3</v>
      </c>
      <c r="AC121" s="136"/>
      <c r="AD121" s="134">
        <f>AD98+AD106+AD114</f>
        <v>0</v>
      </c>
      <c r="AE121" s="138" t="str">
        <f t="shared" ref="AE121:AE126" si="48">IF(AD121=0,"",IFERROR(AD121/AD$19,""))</f>
        <v/>
      </c>
      <c r="AF121" s="137">
        <f t="shared" ref="AF121:AF126" si="49">IF(AND($AA121="",AD121=""),"",$AA121-AD121)</f>
        <v>2858</v>
      </c>
      <c r="AG121" s="134">
        <f>AG98+AG106+AG114</f>
        <v>411</v>
      </c>
      <c r="AH121" s="138">
        <f t="shared" ref="AH121:AH126" si="50">IF(AG121=0,"",IFERROR(AG121/AG$19,""))</f>
        <v>2.938619741032527E-3</v>
      </c>
      <c r="AI121" s="137">
        <f t="shared" ref="AI121:AI126" si="51">IF(AND($AA121="",AG121=""),"",$AA121-AG121)</f>
        <v>2447</v>
      </c>
    </row>
    <row r="122" spans="1:35" x14ac:dyDescent="0.25">
      <c r="A122" s="11"/>
      <c r="B122" s="11"/>
      <c r="C122" s="204"/>
      <c r="D122" s="11"/>
      <c r="E122" s="11"/>
      <c r="F122" s="11"/>
      <c r="G122" s="11"/>
      <c r="H122" s="84" t="s">
        <v>268</v>
      </c>
      <c r="I122" s="118"/>
      <c r="J122" s="118"/>
      <c r="K122" s="11"/>
      <c r="L122" s="86" t="str">
        <f>IF(_epmOfflineCondition_,"",_xll.EVPRO($B$1,H122,"JDEID"))</f>
        <v/>
      </c>
      <c r="M122" s="86" t="str">
        <f>IF(_epmOfflineCondition_,"",IF(AND(I122="N",J122="N"),_xll.EVPRO($B$1,H122,"PSFTID"),""))</f>
        <v/>
      </c>
      <c r="N122" s="86" t="str">
        <f>IF(_epmOfflineCondition_,"Lunch Beverage Revenue",IF(_xll.EVDES(H122,$B$1)="#NODATA","",_xll.EVDES(H122,$B$1)))</f>
        <v>Lunch Beverage Revenue</v>
      </c>
      <c r="O122" s="134">
        <f t="shared" ref="O122:Z122" si="52">O99+O107+O115</f>
        <v>0</v>
      </c>
      <c r="P122" s="134">
        <f t="shared" si="52"/>
        <v>0</v>
      </c>
      <c r="Q122" s="134">
        <f t="shared" si="52"/>
        <v>0</v>
      </c>
      <c r="R122" s="134">
        <f t="shared" si="52"/>
        <v>0</v>
      </c>
      <c r="S122" s="134">
        <f t="shared" si="52"/>
        <v>0</v>
      </c>
      <c r="T122" s="134">
        <f t="shared" si="52"/>
        <v>0</v>
      </c>
      <c r="U122" s="134">
        <f t="shared" si="52"/>
        <v>0</v>
      </c>
      <c r="V122" s="134">
        <f t="shared" si="52"/>
        <v>0</v>
      </c>
      <c r="W122" s="134">
        <f t="shared" si="52"/>
        <v>0</v>
      </c>
      <c r="X122" s="134">
        <f t="shared" si="52"/>
        <v>0</v>
      </c>
      <c r="Y122" s="134">
        <f t="shared" si="52"/>
        <v>0</v>
      </c>
      <c r="Z122" s="134">
        <f t="shared" si="52"/>
        <v>0</v>
      </c>
      <c r="AA122" s="134">
        <f t="shared" si="46"/>
        <v>0</v>
      </c>
      <c r="AB122" s="138" t="str">
        <f t="shared" si="47"/>
        <v/>
      </c>
      <c r="AC122" s="136"/>
      <c r="AD122" s="134">
        <f>AD99+AD107+AD115</f>
        <v>34018.598048</v>
      </c>
      <c r="AE122" s="138">
        <f t="shared" si="48"/>
        <v>6.5775476093795832E-2</v>
      </c>
      <c r="AF122" s="137">
        <f t="shared" si="49"/>
        <v>-34018.598048</v>
      </c>
      <c r="AG122" s="134">
        <f>AG99+AG107+AG115</f>
        <v>0</v>
      </c>
      <c r="AH122" s="138" t="str">
        <f t="shared" si="50"/>
        <v/>
      </c>
      <c r="AI122" s="137">
        <f t="shared" si="51"/>
        <v>0</v>
      </c>
    </row>
    <row r="123" spans="1:35" x14ac:dyDescent="0.25">
      <c r="A123" s="11"/>
      <c r="B123" s="11"/>
      <c r="C123" s="204"/>
      <c r="D123" s="11"/>
      <c r="E123" s="11"/>
      <c r="F123" s="11"/>
      <c r="G123" s="11"/>
      <c r="H123" s="181" t="s">
        <v>269</v>
      </c>
      <c r="I123" s="118"/>
      <c r="J123" s="118"/>
      <c r="K123" s="11"/>
      <c r="L123" s="86" t="str">
        <f>IF(_epmOfflineCondition_,"",_xll.EVPRO($B$1,H123,"JDEID"))</f>
        <v/>
      </c>
      <c r="M123" s="86" t="str">
        <f>IF(_epmOfflineCondition_,"",IF(AND(I123="N",J123="N"),_xll.EVPRO($B$1,H123,"PSFTID"),""))</f>
        <v/>
      </c>
      <c r="N123" s="86" t="str">
        <f>IF(_epmOfflineCondition_,"Dinner Beverage Revenue",IF(_xll.EVDES(H123,$B$1)="#NODATA","",_xll.EVDES(H123,$B$1)))</f>
        <v>Dinner Beverage Revenue</v>
      </c>
      <c r="O123" s="134">
        <f t="shared" ref="O123:Z123" si="53">O100+O108+O116</f>
        <v>0</v>
      </c>
      <c r="P123" s="134">
        <f t="shared" si="53"/>
        <v>0</v>
      </c>
      <c r="Q123" s="134">
        <f t="shared" si="53"/>
        <v>0</v>
      </c>
      <c r="R123" s="134">
        <f t="shared" si="53"/>
        <v>0</v>
      </c>
      <c r="S123" s="134">
        <f t="shared" si="53"/>
        <v>0</v>
      </c>
      <c r="T123" s="134">
        <f t="shared" si="53"/>
        <v>0</v>
      </c>
      <c r="U123" s="134">
        <f t="shared" si="53"/>
        <v>0</v>
      </c>
      <c r="V123" s="134">
        <f t="shared" si="53"/>
        <v>0</v>
      </c>
      <c r="W123" s="134">
        <f t="shared" si="53"/>
        <v>0</v>
      </c>
      <c r="X123" s="134">
        <f t="shared" si="53"/>
        <v>0</v>
      </c>
      <c r="Y123" s="134">
        <f t="shared" si="53"/>
        <v>0</v>
      </c>
      <c r="Z123" s="134">
        <f t="shared" si="53"/>
        <v>0</v>
      </c>
      <c r="AA123" s="134">
        <f t="shared" si="46"/>
        <v>0</v>
      </c>
      <c r="AB123" s="138" t="str">
        <f t="shared" si="47"/>
        <v/>
      </c>
      <c r="AC123" s="136"/>
      <c r="AD123" s="134">
        <f>AD100+AD108+AD116</f>
        <v>0</v>
      </c>
      <c r="AE123" s="138" t="str">
        <f t="shared" si="48"/>
        <v/>
      </c>
      <c r="AF123" s="137">
        <f t="shared" si="49"/>
        <v>0</v>
      </c>
      <c r="AG123" s="134">
        <f>AG100+AG108+AG116</f>
        <v>0</v>
      </c>
      <c r="AH123" s="138" t="str">
        <f t="shared" si="50"/>
        <v/>
      </c>
      <c r="AI123" s="137">
        <f t="shared" si="51"/>
        <v>0</v>
      </c>
    </row>
    <row r="124" spans="1:35" x14ac:dyDescent="0.25">
      <c r="A124" s="11"/>
      <c r="B124" s="11"/>
      <c r="C124" s="204"/>
      <c r="D124" s="11"/>
      <c r="E124" s="11"/>
      <c r="F124" s="11"/>
      <c r="G124" s="11"/>
      <c r="H124" s="181" t="s">
        <v>270</v>
      </c>
      <c r="I124" s="118"/>
      <c r="J124" s="118"/>
      <c r="K124" s="11"/>
      <c r="L124" s="86" t="str">
        <f>IF(_epmOfflineCondition_,"",_xll.EVPRO($B$1,H124,"JDEID"))</f>
        <v/>
      </c>
      <c r="M124" s="86" t="str">
        <f>IF(_epmOfflineCondition_,"",IF(AND(I124="N",J124="N"),_xll.EVPRO($B$1,H124,"PSFTID"),""))</f>
        <v/>
      </c>
      <c r="N124" s="86" t="str">
        <f>IF(_epmOfflineCondition_,"Bar Beverage Revenue",IF(_xll.EVDES(H124,$B$1)="#NODATA","",_xll.EVDES(H124,$B$1)))</f>
        <v>Bar Beverage Revenue</v>
      </c>
      <c r="O124" s="134">
        <f t="shared" ref="O124:Z124" si="54">O101+O109+O117</f>
        <v>19200.91</v>
      </c>
      <c r="P124" s="134">
        <f t="shared" si="54"/>
        <v>23776.400000000001</v>
      </c>
      <c r="Q124" s="134">
        <f t="shared" si="54"/>
        <v>22733.55</v>
      </c>
      <c r="R124" s="134">
        <f t="shared" si="54"/>
        <v>19358.05</v>
      </c>
      <c r="S124" s="134">
        <f t="shared" si="54"/>
        <v>16860.05</v>
      </c>
      <c r="T124" s="134">
        <f t="shared" si="54"/>
        <v>16725.96</v>
      </c>
      <c r="U124" s="134">
        <f t="shared" si="54"/>
        <v>14619.9</v>
      </c>
      <c r="V124" s="134">
        <f t="shared" si="54"/>
        <v>15416.009999999998</v>
      </c>
      <c r="W124" s="134">
        <f t="shared" si="54"/>
        <v>12355</v>
      </c>
      <c r="X124" s="134">
        <f t="shared" si="54"/>
        <v>17298.7</v>
      </c>
      <c r="Y124" s="134">
        <f t="shared" si="54"/>
        <v>18707.25</v>
      </c>
      <c r="Z124" s="134">
        <f t="shared" si="54"/>
        <v>23954.400000000001</v>
      </c>
      <c r="AA124" s="134">
        <f t="shared" si="46"/>
        <v>221006.18000000002</v>
      </c>
      <c r="AB124" s="138">
        <f t="shared" si="47"/>
        <v>0.5918014019302843</v>
      </c>
      <c r="AC124" s="136"/>
      <c r="AD124" s="134">
        <f>AD101+AD109+AD117</f>
        <v>326987.89132200001</v>
      </c>
      <c r="AE124" s="138">
        <f t="shared" si="48"/>
        <v>0.63223605506210423</v>
      </c>
      <c r="AF124" s="137">
        <f t="shared" si="49"/>
        <v>-105981.71132199999</v>
      </c>
      <c r="AG124" s="134">
        <f>AG101+AG109+AG117</f>
        <v>75340.36</v>
      </c>
      <c r="AH124" s="138">
        <f t="shared" si="50"/>
        <v>0.5386780272323537</v>
      </c>
      <c r="AI124" s="137">
        <f t="shared" si="51"/>
        <v>145665.82</v>
      </c>
    </row>
    <row r="125" spans="1:35" x14ac:dyDescent="0.25">
      <c r="A125" s="11"/>
      <c r="B125" s="11"/>
      <c r="C125" s="204"/>
      <c r="D125" s="11"/>
      <c r="E125" s="11"/>
      <c r="F125" s="11"/>
      <c r="G125" s="11"/>
      <c r="H125" s="181" t="s">
        <v>271</v>
      </c>
      <c r="I125" s="118"/>
      <c r="J125" s="118"/>
      <c r="K125" s="11"/>
      <c r="L125" s="86" t="str">
        <f>IF(_epmOfflineCondition_,"",_xll.EVPRO($B$1,H125,"JDEID"))</f>
        <v/>
      </c>
      <c r="M125" s="86" t="str">
        <f>IF(_epmOfflineCondition_,"",IF(AND(I125="N",J125="N"),_xll.EVPRO($B$1,H125,"PSFTID"),""))</f>
        <v/>
      </c>
      <c r="N125" s="86" t="str">
        <f>IF(_epmOfflineCondition_,"Private Dining Beverage Revenue",IF(_xll.EVDES(H125,$B$1)="#NODATA","",_xll.EVDES(H125,$B$1)))</f>
        <v>Private Dining Beverage Revenue</v>
      </c>
      <c r="O125" s="134">
        <f t="shared" ref="O125:Z125" si="55">O102+O110+O118</f>
        <v>0</v>
      </c>
      <c r="P125" s="134">
        <f t="shared" si="55"/>
        <v>0</v>
      </c>
      <c r="Q125" s="134">
        <f t="shared" si="55"/>
        <v>0</v>
      </c>
      <c r="R125" s="134">
        <f t="shared" si="55"/>
        <v>0</v>
      </c>
      <c r="S125" s="134">
        <f t="shared" si="55"/>
        <v>0</v>
      </c>
      <c r="T125" s="134">
        <f t="shared" si="55"/>
        <v>0</v>
      </c>
      <c r="U125" s="134">
        <f t="shared" si="55"/>
        <v>0</v>
      </c>
      <c r="V125" s="134">
        <f t="shared" si="55"/>
        <v>0</v>
      </c>
      <c r="W125" s="134">
        <f t="shared" si="55"/>
        <v>0</v>
      </c>
      <c r="X125" s="134">
        <f t="shared" si="55"/>
        <v>0</v>
      </c>
      <c r="Y125" s="134">
        <f t="shared" si="55"/>
        <v>0</v>
      </c>
      <c r="Z125" s="134">
        <f t="shared" si="55"/>
        <v>0</v>
      </c>
      <c r="AA125" s="134">
        <f t="shared" si="46"/>
        <v>0</v>
      </c>
      <c r="AB125" s="138" t="str">
        <f t="shared" si="47"/>
        <v/>
      </c>
      <c r="AC125" s="136"/>
      <c r="AD125" s="134">
        <f>AD102+AD110+AD118</f>
        <v>0</v>
      </c>
      <c r="AE125" s="138" t="str">
        <f t="shared" si="48"/>
        <v/>
      </c>
      <c r="AF125" s="137">
        <f t="shared" si="49"/>
        <v>0</v>
      </c>
      <c r="AG125" s="134">
        <f>AG102+AG110+AG118</f>
        <v>0</v>
      </c>
      <c r="AH125" s="138" t="str">
        <f t="shared" si="50"/>
        <v/>
      </c>
      <c r="AI125" s="137">
        <f t="shared" si="51"/>
        <v>0</v>
      </c>
    </row>
    <row r="126" spans="1:35" x14ac:dyDescent="0.25">
      <c r="A126" s="11"/>
      <c r="B126" s="11"/>
      <c r="C126" s="204"/>
      <c r="D126" s="11"/>
      <c r="E126" s="11"/>
      <c r="F126" s="11"/>
      <c r="G126" s="11"/>
      <c r="H126" s="84" t="s">
        <v>272</v>
      </c>
      <c r="I126" s="118"/>
      <c r="J126" s="118"/>
      <c r="K126" s="11"/>
      <c r="L126" s="86" t="str">
        <f>IF(_epmOfflineCondition_,"",_xll.EVPRO($B$1,H126,"JDEID"))</f>
        <v/>
      </c>
      <c r="M126" s="86" t="str">
        <f>IF(_epmOfflineCondition_,"",IF(AND(I126="N",J126="N"),_xll.EVPRO($B$1,H126,"PSFTID"),""))</f>
        <v/>
      </c>
      <c r="N126" s="102" t="str">
        <f>IF(_epmOfflineCondition_,"Total Beverage Revenue",IF(_xll.EVDES(H126,$B$1)="#NODATA","",_xll.EVDES(H126,$B$1)))</f>
        <v>Total Beverage Revenue</v>
      </c>
      <c r="O126" s="158">
        <f t="shared" ref="O126:Z126" si="56">SUM(O121:O125)</f>
        <v>19416.91</v>
      </c>
      <c r="P126" s="158">
        <f t="shared" si="56"/>
        <v>24166.400000000001</v>
      </c>
      <c r="Q126" s="158">
        <f t="shared" si="56"/>
        <v>23142.55</v>
      </c>
      <c r="R126" s="158">
        <f t="shared" si="56"/>
        <v>19626.05</v>
      </c>
      <c r="S126" s="158">
        <f t="shared" si="56"/>
        <v>17324.05</v>
      </c>
      <c r="T126" s="158">
        <f t="shared" si="56"/>
        <v>17044.96</v>
      </c>
      <c r="U126" s="158">
        <f t="shared" si="56"/>
        <v>14968.9</v>
      </c>
      <c r="V126" s="158">
        <f t="shared" si="56"/>
        <v>15683.009999999998</v>
      </c>
      <c r="W126" s="158">
        <f t="shared" si="56"/>
        <v>12531</v>
      </c>
      <c r="X126" s="158">
        <f t="shared" si="56"/>
        <v>17298.7</v>
      </c>
      <c r="Y126" s="158">
        <f t="shared" si="56"/>
        <v>18707.25</v>
      </c>
      <c r="Z126" s="158">
        <f t="shared" si="56"/>
        <v>23954.400000000001</v>
      </c>
      <c r="AA126" s="158">
        <f t="shared" si="46"/>
        <v>223864.18000000002</v>
      </c>
      <c r="AB126" s="159">
        <f t="shared" si="47"/>
        <v>0.59945443863141523</v>
      </c>
      <c r="AC126" s="136"/>
      <c r="AD126" s="158">
        <f>SUM(AD121:AD125)</f>
        <v>361006.48937000002</v>
      </c>
      <c r="AE126" s="159">
        <f t="shared" si="48"/>
        <v>0.69801153115590009</v>
      </c>
      <c r="AF126" s="160">
        <f t="shared" si="49"/>
        <v>-137142.30937</v>
      </c>
      <c r="AG126" s="158">
        <f>SUM(AG121:AG125)</f>
        <v>75751.360000000001</v>
      </c>
      <c r="AH126" s="159">
        <f t="shared" si="50"/>
        <v>0.54161664697338618</v>
      </c>
      <c r="AI126" s="160">
        <f t="shared" si="51"/>
        <v>148112.82</v>
      </c>
    </row>
    <row r="127" spans="1:35" x14ac:dyDescent="0.25">
      <c r="A127" s="11"/>
      <c r="B127" s="11"/>
      <c r="C127" s="204"/>
      <c r="D127" s="11"/>
      <c r="E127" s="11"/>
      <c r="F127" s="11"/>
      <c r="G127" s="11"/>
      <c r="H127" s="181"/>
      <c r="I127" s="118"/>
      <c r="J127" s="118"/>
      <c r="K127" s="11"/>
      <c r="L127" s="11"/>
      <c r="M127" s="11"/>
      <c r="N127" s="11"/>
      <c r="O127" s="506">
        <f t="shared" ref="O127:AA127" si="57">O103+O111+O119-O126</f>
        <v>0</v>
      </c>
      <c r="P127" s="506">
        <f t="shared" si="57"/>
        <v>0</v>
      </c>
      <c r="Q127" s="506">
        <f t="shared" si="57"/>
        <v>0</v>
      </c>
      <c r="R127" s="506">
        <f t="shared" si="57"/>
        <v>0</v>
      </c>
      <c r="S127" s="506">
        <f t="shared" si="57"/>
        <v>0</v>
      </c>
      <c r="T127" s="506">
        <f t="shared" si="57"/>
        <v>0</v>
      </c>
      <c r="U127" s="506">
        <f t="shared" si="57"/>
        <v>0</v>
      </c>
      <c r="V127" s="506">
        <f t="shared" si="57"/>
        <v>0</v>
      </c>
      <c r="W127" s="506">
        <f t="shared" si="57"/>
        <v>0</v>
      </c>
      <c r="X127" s="506">
        <f t="shared" si="57"/>
        <v>0</v>
      </c>
      <c r="Y127" s="506">
        <f t="shared" si="57"/>
        <v>0</v>
      </c>
      <c r="Z127" s="506">
        <f t="shared" si="57"/>
        <v>0</v>
      </c>
      <c r="AA127" s="506">
        <f t="shared" si="57"/>
        <v>0</v>
      </c>
      <c r="AB127" s="138"/>
      <c r="AC127" s="136"/>
      <c r="AD127" s="506">
        <f>AD103+AD111+AD119-AD126</f>
        <v>0</v>
      </c>
      <c r="AE127" s="138"/>
      <c r="AF127" s="134"/>
      <c r="AG127" s="506">
        <f>AG103+AG111+AG119-AG126</f>
        <v>0</v>
      </c>
      <c r="AH127" s="138"/>
      <c r="AI127" s="134"/>
    </row>
    <row r="128" spans="1:35" x14ac:dyDescent="0.25">
      <c r="A128" s="11"/>
      <c r="B128" s="11"/>
      <c r="C128" s="204"/>
      <c r="D128" s="11"/>
      <c r="E128" s="11"/>
      <c r="F128" s="11"/>
      <c r="G128" s="11"/>
      <c r="H128" s="181"/>
      <c r="I128" s="118"/>
      <c r="J128" s="118"/>
      <c r="K128" s="11"/>
      <c r="L128" s="11"/>
      <c r="M128" s="11"/>
      <c r="N128" s="11"/>
      <c r="O128" s="166"/>
      <c r="P128" s="167"/>
      <c r="Q128" s="167"/>
      <c r="R128" s="167"/>
      <c r="S128" s="167"/>
      <c r="T128" s="167"/>
      <c r="U128" s="167"/>
      <c r="V128" s="167"/>
      <c r="W128" s="167"/>
      <c r="X128" s="167"/>
      <c r="Y128" s="167"/>
      <c r="Z128" s="167"/>
      <c r="AA128" s="167"/>
      <c r="AB128" s="168"/>
      <c r="AC128" s="136"/>
      <c r="AD128" s="166"/>
      <c r="AE128" s="167"/>
      <c r="AF128" s="168"/>
      <c r="AG128" s="166"/>
      <c r="AH128" s="167"/>
      <c r="AI128" s="168"/>
    </row>
    <row r="129" spans="1:35" ht="15.75" x14ac:dyDescent="0.25">
      <c r="A129" s="11"/>
      <c r="B129" s="11"/>
      <c r="C129" s="204"/>
      <c r="D129" s="11"/>
      <c r="E129" s="11"/>
      <c r="F129" s="11"/>
      <c r="G129" s="11"/>
      <c r="H129" s="181" t="s">
        <v>281</v>
      </c>
      <c r="I129" s="118"/>
      <c r="J129" s="118"/>
      <c r="K129" s="11"/>
      <c r="L129" s="11"/>
      <c r="M129" s="11"/>
      <c r="N129" s="485" t="str">
        <f>IF(_epmOfflineCondition_,"Cost of Sales",IF(_xll.EVDES(H129,$B$1)="#NODATA","",_xll.EVDES(H129,$B$1)))</f>
        <v>Cost of Sales</v>
      </c>
      <c r="O129" s="513"/>
      <c r="P129" s="514"/>
      <c r="Q129" s="514"/>
      <c r="R129" s="514"/>
      <c r="S129" s="514"/>
      <c r="T129" s="514"/>
      <c r="U129" s="514"/>
      <c r="V129" s="514"/>
      <c r="W129" s="514"/>
      <c r="X129" s="514"/>
      <c r="Y129" s="514"/>
      <c r="Z129" s="514"/>
      <c r="AA129" s="514"/>
      <c r="AB129" s="515"/>
      <c r="AC129" s="136"/>
      <c r="AD129" s="513"/>
      <c r="AE129" s="514"/>
      <c r="AF129" s="514"/>
      <c r="AG129" s="514"/>
      <c r="AH129" s="514"/>
      <c r="AI129" s="515"/>
    </row>
    <row r="130" spans="1:35" x14ac:dyDescent="0.25">
      <c r="A130" s="11"/>
      <c r="B130" s="11"/>
      <c r="C130" s="204"/>
      <c r="D130" s="11"/>
      <c r="E130" s="11"/>
      <c r="F130" s="11"/>
      <c r="G130" s="11"/>
      <c r="H130" s="181">
        <v>561100</v>
      </c>
      <c r="I130" s="118"/>
      <c r="J130" s="118"/>
      <c r="K130" s="11"/>
      <c r="L130" s="86" t="str">
        <f>IF(_epmOfflineCondition_,"561100",_xll.EVPRO($B$1,H130,"JDEID"))</f>
        <v>561100</v>
      </c>
      <c r="M130" s="86" t="str">
        <f>IF(_epmOfflineCondition_,"",IF(AND(I130="N",J130="N"),_xll.EVPRO($B$1,H130,"PSFTID"),""))</f>
        <v/>
      </c>
      <c r="N130" s="86" t="str">
        <f>IF(_epmOfflineCondition_,"Cost of Food Sales",IF(_xll.EVDES(H130,$B$1)="#NODATA","",_xll.EVDES(H130,$B$1)))</f>
        <v>Cost of Food Sales</v>
      </c>
      <c r="O130" s="134">
        <v>12976.59</v>
      </c>
      <c r="P130" s="134">
        <v>11165.75</v>
      </c>
      <c r="Q130" s="134">
        <v>15482.32</v>
      </c>
      <c r="R130" s="134">
        <v>9523</v>
      </c>
      <c r="S130" s="134">
        <v>10469.41</v>
      </c>
      <c r="T130" s="134">
        <v>12330.05</v>
      </c>
      <c r="U130" s="134">
        <v>7559.73</v>
      </c>
      <c r="V130" s="134">
        <v>9779.7900000000009</v>
      </c>
      <c r="W130" s="134">
        <v>8045.5</v>
      </c>
      <c r="X130" s="134">
        <v>159.34</v>
      </c>
      <c r="Y130" s="134">
        <v>563.07000000000005</v>
      </c>
      <c r="Z130" s="134">
        <v>-596.84</v>
      </c>
      <c r="AA130" s="134">
        <f>SUM(O130:Z130)</f>
        <v>97457.710000000021</v>
      </c>
      <c r="AB130" s="454">
        <f>IF(_epmOfflineCondition_,0.649960458587023,IF(AA130=0,"",IFERROR(AA130/_xll.EVGTS($B$1,1,_xll.EVPRO($B$1,$H130,"COSBASIS"),$B$3,$B$5,$B$6,$B$7,$B$9,AA$16,AA$17,AA$11),"")))</f>
        <v>0.649960458587023</v>
      </c>
      <c r="AC130" s="136"/>
      <c r="AD130" s="134">
        <v>46509.51</v>
      </c>
      <c r="AE130" s="454">
        <f>IF(_epmOfflineCondition_,0.297782377067257,IF(AD130=0,"",IFERROR(AD130/_xll.EVGTS($B$1,1,_xll.EVPRO($B$1,$H130,"COSBASIS"),$B$3,$B$5,$B$6,$B$7,$B$9,AD$16,AD$17,AD$18),"")))</f>
        <v>0.29778237706725702</v>
      </c>
      <c r="AF130" s="137">
        <f t="shared" ref="AF130:AF141" si="58">IF(AND($AA130="",AD130=""),"",$AA130-AD130)</f>
        <v>50948.200000000019</v>
      </c>
      <c r="AG130" s="134">
        <v>51259.360000000001</v>
      </c>
      <c r="AH130" s="454">
        <f>IF(_epmOfflineCondition_,0.794850741882877,IF(AG130=0,"",IFERROR(AG130/_xll.EVGTS($B$1,1,_xll.EVPRO($B$1,$H130,"COSBASIS"),$B$3,$B$5,$B$6,$B$7,$B$9,AG$16,AG$17,AG$18),"")))</f>
        <v>0.79485074188287697</v>
      </c>
      <c r="AI130" s="137">
        <f t="shared" ref="AI130:AI141" si="59">IF(AND($AA130="",AG130=""),"",$AA130-AG130)</f>
        <v>46198.35000000002</v>
      </c>
    </row>
    <row r="131" spans="1:35" x14ac:dyDescent="0.25">
      <c r="A131" s="11"/>
      <c r="B131" s="11"/>
      <c r="C131" s="204"/>
      <c r="D131" s="11"/>
      <c r="E131" s="11"/>
      <c r="F131" s="11"/>
      <c r="G131" s="11"/>
      <c r="H131" s="181" t="s">
        <v>757</v>
      </c>
      <c r="I131" s="118"/>
      <c r="J131" s="118"/>
      <c r="K131" s="11"/>
      <c r="L131" s="86" t="str">
        <f>IF(_epmOfflineCondition_,"",_xll.EVPRO($B$1,H131,"JDEID"))</f>
        <v/>
      </c>
      <c r="M131" s="86" t="str">
        <f>IF(_epmOfflineCondition_,"",IF(AND(I131="N",J131="N"),_xll.EVPRO($B$1,H131,"PSFTID"),""))</f>
        <v/>
      </c>
      <c r="N131" s="488" t="str">
        <f>IF(_epmOfflineCondition_,"Food Cost %",IF(_xll.EVDES(H131,$B$1)="#NODATA","",_xll.EVDES(H131,$B$1)))</f>
        <v>Food Cost %</v>
      </c>
      <c r="O131" s="503">
        <v>0.93359583526984302</v>
      </c>
      <c r="P131" s="503">
        <v>0.65890180573586699</v>
      </c>
      <c r="Q131" s="503">
        <v>0.78309932389405101</v>
      </c>
      <c r="R131" s="503">
        <v>0.52268834042198198</v>
      </c>
      <c r="S131" s="503">
        <v>0.71279681967130504</v>
      </c>
      <c r="T131" s="503">
        <v>0.71135492081953799</v>
      </c>
      <c r="U131" s="503">
        <v>0.46836879784146102</v>
      </c>
      <c r="V131" s="503">
        <v>0.51121963000076898</v>
      </c>
      <c r="W131" s="503">
        <v>0.93922555188475498</v>
      </c>
      <c r="X131" s="503">
        <v>0.30092540132200202</v>
      </c>
      <c r="Y131" s="503">
        <v>0.27796317322407099</v>
      </c>
      <c r="Z131" s="503">
        <v>-0.22142088666295701</v>
      </c>
      <c r="AA131" s="503">
        <v>0.64996045858702201</v>
      </c>
      <c r="AB131" s="454"/>
      <c r="AC131" s="136"/>
      <c r="AD131" s="503">
        <v>0.29778237706725702</v>
      </c>
      <c r="AE131" s="454"/>
      <c r="AF131" s="516">
        <f t="shared" si="58"/>
        <v>0.35217808151976498</v>
      </c>
      <c r="AG131" s="503">
        <v>0.79485074188287697</v>
      </c>
      <c r="AH131" s="454"/>
      <c r="AI131" s="516">
        <f t="shared" si="59"/>
        <v>-0.14489028329585496</v>
      </c>
    </row>
    <row r="132" spans="1:35" x14ac:dyDescent="0.25">
      <c r="A132" s="11"/>
      <c r="B132" s="11"/>
      <c r="C132" s="204"/>
      <c r="D132" s="11"/>
      <c r="E132" s="11"/>
      <c r="F132" s="11"/>
      <c r="G132" s="11"/>
      <c r="H132" s="181" t="s">
        <v>637</v>
      </c>
      <c r="I132" s="118"/>
      <c r="J132" s="118"/>
      <c r="K132" s="11"/>
      <c r="L132" s="86" t="str">
        <f>IF(_epmOfflineCondition_,"",_xll.EVPRO($B$1,H132,"JDEID"))</f>
        <v/>
      </c>
      <c r="M132" s="86" t="str">
        <f>IF(_epmOfflineCondition_,"",IF(AND(I132="N",J132="N"),_xll.EVPRO($B$1,H132,"PSFTID"),""))</f>
        <v/>
      </c>
      <c r="N132" s="86" t="str">
        <f>IF(_epmOfflineCondition_,"Cost of Beverage Sales",IF(_xll.EVDES(H132,$B$1)="#NODATA","",_xll.EVDES(H132,$B$1)))</f>
        <v>Cost of Beverage Sales</v>
      </c>
      <c r="O132" s="134">
        <v>4856.43</v>
      </c>
      <c r="P132" s="134">
        <v>4254.12</v>
      </c>
      <c r="Q132" s="134">
        <v>4061.14</v>
      </c>
      <c r="R132" s="134">
        <v>5250.56</v>
      </c>
      <c r="S132" s="134">
        <v>2456.96</v>
      </c>
      <c r="T132" s="134">
        <v>4084.51</v>
      </c>
      <c r="U132" s="134">
        <v>3978.29</v>
      </c>
      <c r="V132" s="134">
        <v>2928.13</v>
      </c>
      <c r="W132" s="134">
        <v>5208.1499999999996</v>
      </c>
      <c r="X132" s="134">
        <v>3551.82</v>
      </c>
      <c r="Y132" s="134">
        <v>3816.62</v>
      </c>
      <c r="Z132" s="134">
        <v>4685.0600000000004</v>
      </c>
      <c r="AA132" s="134">
        <f>SUM(O132:Z132)</f>
        <v>49131.79</v>
      </c>
      <c r="AB132" s="454">
        <f>IF(_epmOfflineCondition_,0.219471422359754,IF(AA132=0,"",IFERROR(AA132/_xll.EVGTS($B$1,1,_xll.EVPRO($B$1,$H132,"COSBASIS"),$B$3,$B$5,$B$6,$B$7,$B$9,AA$16,AA$17,AA$11),"")))</f>
        <v>0.219471422359754</v>
      </c>
      <c r="AC132" s="136"/>
      <c r="AD132" s="134">
        <v>79770.899999999994</v>
      </c>
      <c r="AE132" s="454">
        <f>IF(_epmOfflineCondition_,0.220968050018186,IF(AD132=0,"",IFERROR(AD132/_xll.EVGTS($B$1,1,_xll.EVPRO($B$1,$H132,"COSBASIS"),$B$3,$B$5,$B$6,$B$7,$B$9,AD$16,AD$17,AD$18),"")))</f>
        <v>0.22096805001818601</v>
      </c>
      <c r="AF132" s="137">
        <f t="shared" si="58"/>
        <v>-30639.109999999993</v>
      </c>
      <c r="AG132" s="134">
        <v>21684.68</v>
      </c>
      <c r="AH132" s="454">
        <f>IF(_epmOfflineCondition_,0.28626126316412,IF(AG132=0,"",IFERROR(AG132/_xll.EVGTS($B$1,1,_xll.EVPRO($B$1,$H132,"COSBASIS"),$B$3,$B$5,$B$6,$B$7,$B$9,AG$16,AG$17,AG$18),"")))</f>
        <v>0.28626126316411998</v>
      </c>
      <c r="AI132" s="137">
        <f t="shared" si="59"/>
        <v>27447.11</v>
      </c>
    </row>
    <row r="133" spans="1:35" x14ac:dyDescent="0.25">
      <c r="A133" s="11"/>
      <c r="B133" s="11"/>
      <c r="C133" s="204"/>
      <c r="D133" s="11"/>
      <c r="E133" s="11"/>
      <c r="F133" s="11"/>
      <c r="G133" s="11"/>
      <c r="H133" s="181" t="s">
        <v>758</v>
      </c>
      <c r="I133" s="118"/>
      <c r="J133" s="118"/>
      <c r="K133" s="11"/>
      <c r="L133" s="86" t="str">
        <f>IF(_epmOfflineCondition_,"",_xll.EVPRO($B$1,H133,"JDEID"))</f>
        <v/>
      </c>
      <c r="M133" s="86" t="str">
        <f>IF(_epmOfflineCondition_,"",IF(AND(I133="N",J133="N"),_xll.EVPRO($B$1,H133,"PSFTID"),""))</f>
        <v/>
      </c>
      <c r="N133" s="488" t="str">
        <f>IF(_epmOfflineCondition_,"Beverage Cost %",IF(_xll.EVDES(H133,$B$1)="#NODATA","",_xll.EVDES(H133,$B$1)))</f>
        <v>Beverage Cost %</v>
      </c>
      <c r="O133" s="503">
        <v>0.25011343205484299</v>
      </c>
      <c r="P133" s="503">
        <v>0.17603449417372899</v>
      </c>
      <c r="Q133" s="503">
        <v>0.175483686974858</v>
      </c>
      <c r="R133" s="503">
        <v>0.26753014488396798</v>
      </c>
      <c r="S133" s="503">
        <v>0.14182364978166201</v>
      </c>
      <c r="T133" s="503">
        <v>0.23963153917638999</v>
      </c>
      <c r="U133" s="503">
        <v>0.26577036388779401</v>
      </c>
      <c r="V133" s="503">
        <v>0.18670714359042001</v>
      </c>
      <c r="W133" s="503">
        <v>0.415621259276993</v>
      </c>
      <c r="X133" s="503">
        <v>0.20532294334256301</v>
      </c>
      <c r="Y133" s="503">
        <v>0.20401822822702401</v>
      </c>
      <c r="Z133" s="503">
        <v>0.19558243996927499</v>
      </c>
      <c r="AA133" s="503">
        <v>0.219471422359754</v>
      </c>
      <c r="AB133" s="454"/>
      <c r="AC133" s="136"/>
      <c r="AD133" s="503">
        <v>0.22096805001818601</v>
      </c>
      <c r="AE133" s="454"/>
      <c r="AF133" s="516">
        <f t="shared" si="58"/>
        <v>-1.4966276584320037E-3</v>
      </c>
      <c r="AG133" s="503">
        <v>0.28626126316411998</v>
      </c>
      <c r="AH133" s="454"/>
      <c r="AI133" s="516">
        <f t="shared" si="59"/>
        <v>-6.678984080436598E-2</v>
      </c>
    </row>
    <row r="134" spans="1:35" x14ac:dyDescent="0.25">
      <c r="A134" s="11"/>
      <c r="B134" s="11"/>
      <c r="C134" s="204"/>
      <c r="D134" s="11"/>
      <c r="E134" s="11"/>
      <c r="F134" s="11"/>
      <c r="G134" s="11"/>
      <c r="H134" s="181" t="s">
        <v>756</v>
      </c>
      <c r="I134" s="118"/>
      <c r="J134" s="118"/>
      <c r="K134" s="11"/>
      <c r="L134" s="86" t="str">
        <f>IF(_epmOfflineCondition_,"561300",_xll.EVPRO($B$1,H134,"JDEID"))</f>
        <v>561300</v>
      </c>
      <c r="M134" s="86" t="str">
        <f>IF(_epmOfflineCondition_,"",IF(AND(I134="N",J134="N"),_xll.EVPRO($B$1,H134,"PSFTID"),""))</f>
        <v/>
      </c>
      <c r="N134" s="86" t="str">
        <f>IF(_epmOfflineCondition_,"Liquor Cost of Sales",IF(_xll.EVDES(H134,$B$1)="#NODATA","",_xll.EVDES(H134,$B$1)))</f>
        <v>Liquor Cost of Sales</v>
      </c>
      <c r="O134" s="134">
        <v>3264.08</v>
      </c>
      <c r="P134" s="134">
        <v>2113.4299999999998</v>
      </c>
      <c r="Q134" s="134">
        <v>2053.13</v>
      </c>
      <c r="R134" s="134">
        <v>3371.27</v>
      </c>
      <c r="S134" s="134">
        <v>2497.4</v>
      </c>
      <c r="T134" s="134">
        <v>1313.72</v>
      </c>
      <c r="U134" s="134">
        <v>2865.11</v>
      </c>
      <c r="V134" s="134">
        <v>2132.66</v>
      </c>
      <c r="W134" s="134">
        <v>3435.89</v>
      </c>
      <c r="X134" s="134">
        <v>2041.53</v>
      </c>
      <c r="Y134" s="134">
        <v>2410.41</v>
      </c>
      <c r="Z134" s="134">
        <v>3250.41</v>
      </c>
      <c r="AA134" s="134">
        <f>SUM(O134:Z134)</f>
        <v>30749.039999999997</v>
      </c>
      <c r="AB134" s="454">
        <f>IF(_epmOfflineCondition_,0.202142926545081,IF(AA134=0,"",IFERROR(AA134/_xll.EVGTS($B$1,1,_xll.EVPRO($B$1,$H134,"COSBASIS"),$B$3,$B$5,$B$6,$B$7,$B$9,AA$16,AA$17,AA$11),"")))</f>
        <v>0.20214292654508101</v>
      </c>
      <c r="AC134" s="136"/>
      <c r="AD134" s="134">
        <v>31835.13</v>
      </c>
      <c r="AE134" s="454">
        <f>IF(_epmOfflineCondition_,0.196292022882181,IF(AD134=0,"",IFERROR(AD134/_xll.EVGTS($B$1,1,_xll.EVPRO($B$1,$H134,"COSBASIS"),$B$3,$B$5,$B$6,$B$7,$B$9,AD$16,AD$17,AD$18),"")))</f>
        <v>0.19629202288218101</v>
      </c>
      <c r="AF134" s="137">
        <f t="shared" si="58"/>
        <v>-1086.0900000000038</v>
      </c>
      <c r="AG134" s="134">
        <v>18775.150000000001</v>
      </c>
      <c r="AH134" s="454">
        <f>IF(_epmOfflineCondition_,0.345954538527972,IF(AG134=0,"",IFERROR(AG134/_xll.EVGTS($B$1,1,_xll.EVPRO($B$1,$H134,"COSBASIS"),$B$3,$B$5,$B$6,$B$7,$B$9,AG$16,AG$17,AG$18),"")))</f>
        <v>0.34595453852797198</v>
      </c>
      <c r="AI134" s="137">
        <f t="shared" si="59"/>
        <v>11973.889999999996</v>
      </c>
    </row>
    <row r="135" spans="1:35" x14ac:dyDescent="0.25">
      <c r="A135" s="11"/>
      <c r="B135" s="11"/>
      <c r="C135" s="204"/>
      <c r="D135" s="11"/>
      <c r="E135" s="11"/>
      <c r="F135" s="11"/>
      <c r="G135" s="11"/>
      <c r="H135" s="181" t="s">
        <v>759</v>
      </c>
      <c r="I135" s="118"/>
      <c r="J135" s="118"/>
      <c r="K135" s="11"/>
      <c r="L135" s="86" t="str">
        <f>IF(_epmOfflineCondition_,"",_xll.EVPRO($B$1,H135,"JDEID"))</f>
        <v/>
      </c>
      <c r="M135" s="86" t="str">
        <f>IF(_epmOfflineCondition_,"",IF(AND(I135="N",J135="N"),_xll.EVPRO($B$1,H135,"PSFTID"),""))</f>
        <v/>
      </c>
      <c r="N135" s="488" t="str">
        <f>IF(_epmOfflineCondition_,"Liquor Cost %",IF(_xll.EVDES(H135,$B$1)="#NODATA","",_xll.EVDES(H135,$B$1)))</f>
        <v>Liquor Cost %</v>
      </c>
      <c r="O135" s="503">
        <v>0.249577930022021</v>
      </c>
      <c r="P135" s="503">
        <v>0.137143988111847</v>
      </c>
      <c r="Q135" s="503">
        <v>0.143619715157111</v>
      </c>
      <c r="R135" s="503">
        <v>0.25703883865261701</v>
      </c>
      <c r="S135" s="503">
        <v>0.21051123192986901</v>
      </c>
      <c r="T135" s="503">
        <v>0.10672693609723501</v>
      </c>
      <c r="U135" s="503">
        <v>0.26091996940113699</v>
      </c>
      <c r="V135" s="503">
        <v>0.18437897692690799</v>
      </c>
      <c r="W135" s="503">
        <v>0.37646987925404901</v>
      </c>
      <c r="X135" s="503">
        <v>0.19282546788886801</v>
      </c>
      <c r="Y135" s="503">
        <v>0.18997257294178799</v>
      </c>
      <c r="Z135" s="503">
        <v>0.19016252457175001</v>
      </c>
      <c r="AA135" s="503">
        <v>0.20214292654508101</v>
      </c>
      <c r="AB135" s="454"/>
      <c r="AC135" s="136"/>
      <c r="AD135" s="503">
        <v>0.19629202288218101</v>
      </c>
      <c r="AE135" s="454"/>
      <c r="AF135" s="516">
        <f t="shared" si="58"/>
        <v>5.8509036629000033E-3</v>
      </c>
      <c r="AG135" s="503">
        <v>0.34595453852797198</v>
      </c>
      <c r="AH135" s="454"/>
      <c r="AI135" s="516">
        <f t="shared" si="59"/>
        <v>-0.14381161198289097</v>
      </c>
    </row>
    <row r="136" spans="1:35" x14ac:dyDescent="0.25">
      <c r="A136" s="11"/>
      <c r="B136" s="11"/>
      <c r="C136" s="204"/>
      <c r="D136" s="11"/>
      <c r="E136" s="11"/>
      <c r="F136" s="11"/>
      <c r="G136" s="11"/>
      <c r="H136" s="181">
        <v>561400</v>
      </c>
      <c r="I136" s="118"/>
      <c r="J136" s="118"/>
      <c r="K136" s="11"/>
      <c r="L136" s="86" t="str">
        <f>IF(_epmOfflineCondition_,"561400",_xll.EVPRO($B$1,H136,"JDEID"))</f>
        <v>561400</v>
      </c>
      <c r="M136" s="86" t="str">
        <f>IF(_epmOfflineCondition_,"",IF(AND(I136="N",J136="N"),_xll.EVPRO($B$1,H136,"PSFTID"),""))</f>
        <v/>
      </c>
      <c r="N136" s="86" t="str">
        <f>IF(_epmOfflineCondition_,"Beer Cost of Sales",IF(_xll.EVDES(H136,$B$1)="#NODATA","",_xll.EVDES(H136,$B$1)))</f>
        <v>Beer Cost of Sales</v>
      </c>
      <c r="O136" s="134">
        <v>567.26</v>
      </c>
      <c r="P136" s="134">
        <v>363.95</v>
      </c>
      <c r="Q136" s="134">
        <v>1029.42</v>
      </c>
      <c r="R136" s="134">
        <v>-6.38</v>
      </c>
      <c r="S136" s="134">
        <v>-1624.95</v>
      </c>
      <c r="T136" s="134">
        <v>2251.9</v>
      </c>
      <c r="U136" s="134">
        <v>384.88</v>
      </c>
      <c r="V136" s="134">
        <v>447.82</v>
      </c>
      <c r="W136" s="134">
        <v>203.79</v>
      </c>
      <c r="X136" s="134">
        <v>691.98</v>
      </c>
      <c r="Y136" s="134">
        <v>458.59</v>
      </c>
      <c r="Z136" s="134">
        <v>497.35</v>
      </c>
      <c r="AA136" s="134">
        <f>SUM(O136:Z136)</f>
        <v>5265.6100000000006</v>
      </c>
      <c r="AB136" s="454">
        <f>IF(_epmOfflineCondition_,0.187089445753544,IF(AA136=0,"",IFERROR(AA136/_xll.EVGTS($B$1,1,_xll.EVPRO($B$1,$H136,"COSBASIS"),$B$3,$B$5,$B$6,$B$7,$B$9,AA$16,AA$17,AA$11),"")))</f>
        <v>0.187089445753544</v>
      </c>
      <c r="AC136" s="136"/>
      <c r="AD136" s="134">
        <v>6661.78</v>
      </c>
      <c r="AE136" s="454">
        <f>IF(_epmOfflineCondition_,0.209999550081123,IF(AD136=0,"",IFERROR(AD136/_xll.EVGTS($B$1,1,_xll.EVPRO($B$1,$H136,"COSBASIS"),$B$3,$B$5,$B$6,$B$7,$B$9,AD$16,AD$17,AD$18),"")))</f>
        <v>0.209999550081123</v>
      </c>
      <c r="AF136" s="137">
        <f t="shared" si="58"/>
        <v>-1396.1699999999992</v>
      </c>
      <c r="AG136" s="134">
        <v>1204.48</v>
      </c>
      <c r="AH136" s="454">
        <f>IF(_epmOfflineCondition_,0.126646191245759,IF(AG136=0,"",IFERROR(AG136/_xll.EVGTS($B$1,1,_xll.EVPRO($B$1,$H136,"COSBASIS"),$B$3,$B$5,$B$6,$B$7,$B$9,AG$16,AG$17,AG$18),"")))</f>
        <v>0.12664619124575899</v>
      </c>
      <c r="AI136" s="137">
        <f t="shared" si="59"/>
        <v>4061.1300000000006</v>
      </c>
    </row>
    <row r="137" spans="1:35" x14ac:dyDescent="0.25">
      <c r="A137" s="11"/>
      <c r="B137" s="11"/>
      <c r="C137" s="204"/>
      <c r="D137" s="11"/>
      <c r="E137" s="11"/>
      <c r="F137" s="11"/>
      <c r="G137" s="11"/>
      <c r="H137" s="181" t="s">
        <v>760</v>
      </c>
      <c r="I137" s="118"/>
      <c r="J137" s="118"/>
      <c r="K137" s="11"/>
      <c r="L137" s="86" t="str">
        <f>IF(_epmOfflineCondition_,"",_xll.EVPRO($B$1,H137,"JDEID"))</f>
        <v/>
      </c>
      <c r="M137" s="86" t="str">
        <f>IF(_epmOfflineCondition_,"",IF(AND(I137="N",J137="N"),_xll.EVPRO($B$1,H137,"PSFTID"),""))</f>
        <v/>
      </c>
      <c r="N137" s="488" t="str">
        <f>IF(_epmOfflineCondition_,"Beer Cost %",IF(_xll.EVDES(H137,$B$1)="#NODATA","",_xll.EVDES(H137,$B$1)))</f>
        <v>Beer Cost %</v>
      </c>
      <c r="O137" s="503">
        <v>0.24450862068965501</v>
      </c>
      <c r="P137" s="503">
        <v>0.17253312474815699</v>
      </c>
      <c r="Q137" s="503">
        <v>0.34979187549907398</v>
      </c>
      <c r="R137" s="503">
        <v>-2.1692932796110202E-3</v>
      </c>
      <c r="S137" s="503">
        <v>-0.90398041779088201</v>
      </c>
      <c r="T137" s="503">
        <v>1.02518460515893</v>
      </c>
      <c r="U137" s="503">
        <v>0.18825601017388499</v>
      </c>
      <c r="V137" s="503">
        <v>0.23190492219259001</v>
      </c>
      <c r="W137" s="503">
        <v>0.14213279397405501</v>
      </c>
      <c r="X137" s="503">
        <v>0.20359838175799899</v>
      </c>
      <c r="Y137" s="503">
        <v>0.209991528722211</v>
      </c>
      <c r="Z137" s="503">
        <v>0.174790890560202</v>
      </c>
      <c r="AA137" s="503">
        <v>0.187089445753544</v>
      </c>
      <c r="AB137" s="454"/>
      <c r="AC137" s="136"/>
      <c r="AD137" s="503">
        <v>0.209999550081123</v>
      </c>
      <c r="AE137" s="454"/>
      <c r="AF137" s="516">
        <f t="shared" si="58"/>
        <v>-2.2910104327579006E-2</v>
      </c>
      <c r="AG137" s="503">
        <v>0.12664619124575899</v>
      </c>
      <c r="AH137" s="454"/>
      <c r="AI137" s="516">
        <f t="shared" si="59"/>
        <v>6.044325450778501E-2</v>
      </c>
    </row>
    <row r="138" spans="1:35" x14ac:dyDescent="0.25">
      <c r="A138" s="11"/>
      <c r="B138" s="11"/>
      <c r="C138" s="11"/>
      <c r="D138" s="11"/>
      <c r="E138" s="11"/>
      <c r="F138" s="11"/>
      <c r="G138" s="11"/>
      <c r="H138" s="181">
        <v>561500</v>
      </c>
      <c r="I138" s="118"/>
      <c r="J138" s="118"/>
      <c r="K138" s="11"/>
      <c r="L138" s="86" t="str">
        <f>IF(_epmOfflineCondition_,"561500",_xll.EVPRO($B$1,H138,"JDEID"))</f>
        <v>561500</v>
      </c>
      <c r="M138" s="86" t="str">
        <f>IF(_epmOfflineCondition_,"",IF(AND(I138="N",J138="N"),_xll.EVPRO($B$1,H138,"PSFTID"),""))</f>
        <v/>
      </c>
      <c r="N138" s="86" t="str">
        <f>IF(_epmOfflineCondition_,"Wine Cost of Sales",IF(_xll.EVDES(H138,$B$1)="#NODATA","",_xll.EVDES(H138,$B$1)))</f>
        <v>Wine Cost of Sales</v>
      </c>
      <c r="O138" s="134">
        <v>1025.0899999999999</v>
      </c>
      <c r="P138" s="134">
        <v>1776.74</v>
      </c>
      <c r="Q138" s="134">
        <v>978.59</v>
      </c>
      <c r="R138" s="134">
        <v>1885.67</v>
      </c>
      <c r="S138" s="134">
        <v>1584.51</v>
      </c>
      <c r="T138" s="134">
        <v>518.89</v>
      </c>
      <c r="U138" s="134">
        <v>728.3</v>
      </c>
      <c r="V138" s="134">
        <v>347.65</v>
      </c>
      <c r="W138" s="134">
        <v>1568.47</v>
      </c>
      <c r="X138" s="134">
        <v>818.31</v>
      </c>
      <c r="Y138" s="134">
        <v>947.62</v>
      </c>
      <c r="Z138" s="134">
        <v>937.3</v>
      </c>
      <c r="AA138" s="134">
        <f>SUM(O138:Z138)</f>
        <v>13117.14</v>
      </c>
      <c r="AB138" s="454">
        <f>IF(_epmOfflineCondition_,0.300824512269069,IF(AA138=0,"",IFERROR(AA138/_xll.EVGTS($B$1,1,_xll.EVPRO($B$1,$H138,"COSBASIS"),$B$3,$B$5,$B$6,$B$7,$B$9,AA$16,AA$17,AA$11),"")))</f>
        <v>0.30082451226906898</v>
      </c>
      <c r="AC138" s="136"/>
      <c r="AD138" s="134">
        <v>41273.99</v>
      </c>
      <c r="AE138" s="454">
        <f>IF(_epmOfflineCondition_,0.247000014026234,IF(AD138=0,"",IFERROR(AD138/_xll.EVGTS($B$1,1,_xll.EVPRO($B$1,$H138,"COSBASIS"),$B$3,$B$5,$B$6,$B$7,$B$9,AD$16,AD$17,AD$18),"")))</f>
        <v>0.247000014026234</v>
      </c>
      <c r="AF138" s="137">
        <f t="shared" si="58"/>
        <v>-28156.85</v>
      </c>
      <c r="AG138" s="134">
        <v>1705.05</v>
      </c>
      <c r="AH138" s="454">
        <f>IF(_epmOfflineCondition_,0.142441229052146,IF(AG138=0,"",IFERROR(AG138/_xll.EVGTS($B$1,1,_xll.EVPRO($B$1,$H138,"COSBASIS"),$B$3,$B$5,$B$6,$B$7,$B$9,AG$16,AG$17,AG$18),"")))</f>
        <v>0.14244122905214601</v>
      </c>
      <c r="AI138" s="137">
        <f t="shared" si="59"/>
        <v>11412.09</v>
      </c>
    </row>
    <row r="139" spans="1:35" x14ac:dyDescent="0.25">
      <c r="A139" s="11"/>
      <c r="B139" s="11"/>
      <c r="C139" s="204"/>
      <c r="D139" s="11"/>
      <c r="E139" s="11"/>
      <c r="F139" s="11"/>
      <c r="G139" s="11"/>
      <c r="H139" s="181" t="s">
        <v>761</v>
      </c>
      <c r="I139" s="118"/>
      <c r="J139" s="118"/>
      <c r="K139" s="11"/>
      <c r="L139" s="86" t="str">
        <f>IF(_epmOfflineCondition_,"",_xll.EVPRO($B$1,H139,"JDEID"))</f>
        <v/>
      </c>
      <c r="M139" s="86" t="str">
        <f>IF(_epmOfflineCondition_,"",IF(AND(I139="N",J139="N"),_xll.EVPRO($B$1,H139,"PSFTID"),""))</f>
        <v/>
      </c>
      <c r="N139" s="488" t="str">
        <f>IF(_epmOfflineCondition_,"Wine Cost %",IF(_xll.EVDES(H139,$B$1)="#NODATA","",_xll.EVDES(H139,$B$1)))</f>
        <v>Wine Cost %</v>
      </c>
      <c r="O139" s="503">
        <v>0.25509206148547597</v>
      </c>
      <c r="P139" s="503">
        <v>0.26731360911135699</v>
      </c>
      <c r="Q139" s="503">
        <v>0.16575033875338799</v>
      </c>
      <c r="R139" s="503">
        <v>0.528317269976465</v>
      </c>
      <c r="S139" s="503">
        <v>0.43257166257166302</v>
      </c>
      <c r="T139" s="503">
        <v>0.20435095955041099</v>
      </c>
      <c r="U139" s="503">
        <v>0.37470738044400997</v>
      </c>
      <c r="V139" s="503">
        <v>0.15909007706247399</v>
      </c>
      <c r="W139" s="503">
        <v>0.79593524814777195</v>
      </c>
      <c r="X139" s="503">
        <v>0.24703698113207501</v>
      </c>
      <c r="Y139" s="503">
        <v>0.247084897788903</v>
      </c>
      <c r="Z139" s="503">
        <v>0.233379811762362</v>
      </c>
      <c r="AA139" s="503">
        <v>0.30082451226906898</v>
      </c>
      <c r="AB139" s="454"/>
      <c r="AC139" s="136"/>
      <c r="AD139" s="503">
        <v>0.247000014026234</v>
      </c>
      <c r="AE139" s="454"/>
      <c r="AF139" s="516">
        <f t="shared" si="58"/>
        <v>5.3824498242834973E-2</v>
      </c>
      <c r="AG139" s="503">
        <v>0.14244122905214601</v>
      </c>
      <c r="AH139" s="454"/>
      <c r="AI139" s="516">
        <f t="shared" si="59"/>
        <v>0.15838328321692297</v>
      </c>
    </row>
    <row r="140" spans="1:35" x14ac:dyDescent="0.25">
      <c r="A140" s="11"/>
      <c r="B140" s="11"/>
      <c r="C140" s="204"/>
      <c r="D140" s="11"/>
      <c r="E140" s="11"/>
      <c r="F140" s="11"/>
      <c r="G140" s="11"/>
      <c r="H140" s="181" t="s">
        <v>286</v>
      </c>
      <c r="I140" s="118"/>
      <c r="J140" s="118"/>
      <c r="K140" s="11"/>
      <c r="L140" s="86" t="str">
        <f>IF(_epmOfflineCondition_,"",_xll.EVPRO($B$1,H140,"JDEID"))</f>
        <v/>
      </c>
      <c r="M140" s="86" t="str">
        <f>IF(_epmOfflineCondition_,"",IF(AND(I140="N",J140="N"),_xll.EVPRO($B$1,H140,"PSFTID"),""))</f>
        <v/>
      </c>
      <c r="N140" s="86" t="str">
        <f>IF(_epmOfflineCondition_,"Total Cost of Food &amp; Beverage Sales",IF(_xll.EVDES(H140,$B$1)="#NODATA","",_xll.EVDES(H140,$B$1)))</f>
        <v>Total Cost of Food &amp; Beverage Sales</v>
      </c>
      <c r="O140" s="134">
        <v>17833.02</v>
      </c>
      <c r="P140" s="134">
        <v>15419.87</v>
      </c>
      <c r="Q140" s="134">
        <v>19543.46</v>
      </c>
      <c r="R140" s="134">
        <v>14773.56</v>
      </c>
      <c r="S140" s="134">
        <v>12926.37</v>
      </c>
      <c r="T140" s="134">
        <v>16414.560000000001</v>
      </c>
      <c r="U140" s="134">
        <v>11538.02</v>
      </c>
      <c r="V140" s="134">
        <v>12707.92</v>
      </c>
      <c r="W140" s="134">
        <v>13253.65</v>
      </c>
      <c r="X140" s="134">
        <v>3711.16</v>
      </c>
      <c r="Y140" s="134">
        <v>4379.6899999999996</v>
      </c>
      <c r="Z140" s="134">
        <v>4088.22</v>
      </c>
      <c r="AA140" s="134">
        <f>SUM(O140:Z140)</f>
        <v>146589.5</v>
      </c>
      <c r="AB140" s="454">
        <f>IF(_epmOfflineCondition_,0.392531428796513,IF(AA140=0,"",IFERROR(AA140/_xll.EVGTS($B$1,1,_xll.EVPRO($B$1,$H140,"COSBASIS"),$B$3,$B$5,$B$6,$B$7,$B$9,AA$16,AA$17,AA$11),"")))</f>
        <v>0.39253142879651298</v>
      </c>
      <c r="AC140" s="136"/>
      <c r="AD140" s="134">
        <v>126280.41</v>
      </c>
      <c r="AE140" s="454">
        <f>IF(_epmOfflineCondition_,0.244165091029025,IF(AD140=0,"",IFERROR(AD140/_xll.EVGTS($B$1,1,_xll.EVPRO($B$1,$H140,"COSBASIS"),$B$3,$B$5,$B$6,$B$7,$B$9,AD$16,AD$17,AD$18),"")))</f>
        <v>0.24416509102902501</v>
      </c>
      <c r="AF140" s="137">
        <f t="shared" si="58"/>
        <v>20309.089999999997</v>
      </c>
      <c r="AG140" s="134">
        <v>72944.039999999994</v>
      </c>
      <c r="AH140" s="454">
        <f>IF(_epmOfflineCondition_,0.521544515656122,IF(AG140=0,"",IFERROR(AG140/_xll.EVGTS($B$1,1,_xll.EVPRO($B$1,$H140,"COSBASIS"),$B$3,$B$5,$B$6,$B$7,$B$9,AG$16,AG$17,AG$18),"")))</f>
        <v>0.52154451565612203</v>
      </c>
      <c r="AI140" s="137">
        <f t="shared" si="59"/>
        <v>73645.460000000006</v>
      </c>
    </row>
    <row r="141" spans="1:35" x14ac:dyDescent="0.25">
      <c r="A141" s="11"/>
      <c r="B141" s="11"/>
      <c r="C141" s="204"/>
      <c r="D141" s="11"/>
      <c r="E141" s="11"/>
      <c r="F141" s="11"/>
      <c r="G141" s="11"/>
      <c r="H141" s="181"/>
      <c r="I141" s="118"/>
      <c r="J141" s="118"/>
      <c r="K141" s="11"/>
      <c r="L141" s="86"/>
      <c r="M141" s="86"/>
      <c r="N141" s="488" t="s">
        <v>763</v>
      </c>
      <c r="O141" s="503">
        <f t="shared" ref="O141:AA141" si="60">IFERROR(O140/O85,"")</f>
        <v>0.53526106741736601</v>
      </c>
      <c r="P141" s="503">
        <f t="shared" si="60"/>
        <v>0.37506616008795401</v>
      </c>
      <c r="Q141" s="503">
        <f t="shared" si="60"/>
        <v>0.45541922843177096</v>
      </c>
      <c r="R141" s="503">
        <f t="shared" si="60"/>
        <v>0.39214091587034172</v>
      </c>
      <c r="S141" s="503">
        <f t="shared" si="60"/>
        <v>0.40665522594893205</v>
      </c>
      <c r="T141" s="503">
        <f t="shared" si="60"/>
        <v>0.47775310606053994</v>
      </c>
      <c r="U141" s="503">
        <f t="shared" si="60"/>
        <v>0.37088473116689624</v>
      </c>
      <c r="V141" s="503">
        <f t="shared" si="60"/>
        <v>0.36503039641148849</v>
      </c>
      <c r="W141" s="503">
        <f t="shared" si="60"/>
        <v>0.62659945697061847</v>
      </c>
      <c r="X141" s="503">
        <f t="shared" si="60"/>
        <v>0.20816234953612814</v>
      </c>
      <c r="Y141" s="503">
        <f t="shared" si="60"/>
        <v>0.21124297314178636</v>
      </c>
      <c r="Z141" s="503">
        <f t="shared" si="60"/>
        <v>0.15340470320714147</v>
      </c>
      <c r="AA141" s="503">
        <f t="shared" si="60"/>
        <v>0.39253142879651332</v>
      </c>
      <c r="AB141" s="454"/>
      <c r="AC141" s="136"/>
      <c r="AD141" s="503">
        <f>IFERROR(AD140/AD85,"")</f>
        <v>0.24416509102902512</v>
      </c>
      <c r="AE141" s="454"/>
      <c r="AF141" s="516">
        <f t="shared" si="58"/>
        <v>0.1483663377674882</v>
      </c>
      <c r="AG141" s="503">
        <f>IFERROR(AG140/AG85,"")</f>
        <v>0.52154451565612225</v>
      </c>
      <c r="AH141" s="454"/>
      <c r="AI141" s="516">
        <f t="shared" si="59"/>
        <v>-0.12901308685960894</v>
      </c>
    </row>
    <row r="142" spans="1:35" x14ac:dyDescent="0.25">
      <c r="A142" s="11"/>
      <c r="B142" s="11"/>
      <c r="C142" s="204"/>
      <c r="D142" s="11"/>
      <c r="E142" s="11"/>
      <c r="F142" s="11"/>
      <c r="G142" s="11"/>
      <c r="H142" s="11"/>
      <c r="I142" s="55"/>
      <c r="J142" s="55"/>
      <c r="K142" s="11"/>
      <c r="L142" s="11"/>
      <c r="M142" s="11"/>
      <c r="N142" s="11"/>
      <c r="O142" s="136"/>
      <c r="P142" s="136"/>
      <c r="Q142" s="136"/>
      <c r="R142" s="136"/>
      <c r="S142" s="136"/>
      <c r="T142" s="136"/>
      <c r="U142" s="136"/>
      <c r="V142" s="136"/>
      <c r="W142" s="136"/>
      <c r="X142" s="136"/>
      <c r="Y142" s="136"/>
      <c r="Z142" s="136"/>
      <c r="AA142" s="136"/>
      <c r="AB142" s="136"/>
      <c r="AC142" s="136"/>
      <c r="AD142" s="136"/>
      <c r="AE142" s="136"/>
      <c r="AF142" s="136"/>
      <c r="AG142" s="136"/>
      <c r="AH142" s="136"/>
      <c r="AI142" s="136"/>
    </row>
    <row r="143" spans="1:35" x14ac:dyDescent="0.25">
      <c r="A143" s="11"/>
      <c r="B143" s="11"/>
      <c r="C143" s="204"/>
      <c r="D143" s="11"/>
      <c r="E143" s="11"/>
      <c r="F143" s="11"/>
      <c r="G143" s="11"/>
      <c r="H143" s="181"/>
      <c r="I143" s="118"/>
      <c r="J143" s="118"/>
      <c r="K143" s="11"/>
      <c r="L143" s="11"/>
      <c r="M143" s="11"/>
      <c r="N143" s="100" t="str">
        <f>N85&amp;" - Check"</f>
        <v>Total Food &amp; Beverage Revenue - Check</v>
      </c>
      <c r="O143" s="506">
        <f t="shared" ref="O143:AA143" si="61">O39+O49+O59+O69+O79+O83-O85</f>
        <v>0</v>
      </c>
      <c r="P143" s="506">
        <f t="shared" si="61"/>
        <v>0</v>
      </c>
      <c r="Q143" s="506">
        <f t="shared" si="61"/>
        <v>0</v>
      </c>
      <c r="R143" s="506">
        <f t="shared" si="61"/>
        <v>0</v>
      </c>
      <c r="S143" s="506">
        <f t="shared" si="61"/>
        <v>0</v>
      </c>
      <c r="T143" s="506">
        <f t="shared" si="61"/>
        <v>0</v>
      </c>
      <c r="U143" s="506">
        <f t="shared" si="61"/>
        <v>0</v>
      </c>
      <c r="V143" s="506">
        <f t="shared" si="61"/>
        <v>0</v>
      </c>
      <c r="W143" s="506">
        <f t="shared" si="61"/>
        <v>0</v>
      </c>
      <c r="X143" s="506">
        <f t="shared" si="61"/>
        <v>0</v>
      </c>
      <c r="Y143" s="506">
        <f t="shared" si="61"/>
        <v>0</v>
      </c>
      <c r="Z143" s="506">
        <f t="shared" si="61"/>
        <v>0</v>
      </c>
      <c r="AA143" s="506">
        <f t="shared" si="61"/>
        <v>0</v>
      </c>
      <c r="AB143" s="138"/>
      <c r="AC143" s="136"/>
      <c r="AD143" s="506">
        <f>AD39+AD49+AD59+AD69+AD79+AD83-AD85</f>
        <v>0</v>
      </c>
      <c r="AE143" s="138"/>
      <c r="AF143" s="134"/>
      <c r="AG143" s="506">
        <f>AG39+AG49+AG59+AG69+AG79+AG83-AG85</f>
        <v>0</v>
      </c>
      <c r="AH143" s="138"/>
      <c r="AI143" s="134"/>
    </row>
    <row r="144" spans="1:35" x14ac:dyDescent="0.25">
      <c r="A144" s="11"/>
      <c r="B144" s="11"/>
      <c r="C144" s="204"/>
      <c r="D144" s="11"/>
      <c r="E144" s="11"/>
      <c r="F144" s="11"/>
      <c r="G144" s="11"/>
      <c r="H144" s="181"/>
      <c r="I144" s="118"/>
      <c r="J144" s="118"/>
      <c r="K144" s="11"/>
      <c r="L144" s="11"/>
      <c r="M144" s="11"/>
      <c r="N144" s="100" t="str">
        <f>N87&amp;" - Check"</f>
        <v>Total Customers - Check</v>
      </c>
      <c r="O144" s="506">
        <f t="shared" ref="O144:AA144" si="62">O41+O51+O61+O71+O80-O87</f>
        <v>0</v>
      </c>
      <c r="P144" s="506">
        <f t="shared" si="62"/>
        <v>0</v>
      </c>
      <c r="Q144" s="506">
        <f t="shared" si="62"/>
        <v>0</v>
      </c>
      <c r="R144" s="506">
        <f t="shared" si="62"/>
        <v>0</v>
      </c>
      <c r="S144" s="506">
        <f t="shared" si="62"/>
        <v>0</v>
      </c>
      <c r="T144" s="506">
        <f t="shared" si="62"/>
        <v>0</v>
      </c>
      <c r="U144" s="506">
        <f t="shared" si="62"/>
        <v>0</v>
      </c>
      <c r="V144" s="506">
        <f t="shared" si="62"/>
        <v>0</v>
      </c>
      <c r="W144" s="506">
        <f t="shared" si="62"/>
        <v>0</v>
      </c>
      <c r="X144" s="506">
        <f t="shared" si="62"/>
        <v>0</v>
      </c>
      <c r="Y144" s="506">
        <f t="shared" si="62"/>
        <v>0</v>
      </c>
      <c r="Z144" s="506">
        <f t="shared" si="62"/>
        <v>0</v>
      </c>
      <c r="AA144" s="506">
        <f t="shared" si="62"/>
        <v>0</v>
      </c>
      <c r="AB144" s="138"/>
      <c r="AC144" s="136"/>
      <c r="AD144" s="506">
        <f>AD41+AD51+AD61+AD71+AD80-AD87</f>
        <v>0</v>
      </c>
      <c r="AE144" s="138"/>
      <c r="AF144" s="134"/>
      <c r="AG144" s="506">
        <f>AG41+AG51+AG61+AG71+AG80-AG87</f>
        <v>0</v>
      </c>
      <c r="AH144" s="138"/>
      <c r="AI144" s="134"/>
    </row>
    <row r="145" spans="1:35" x14ac:dyDescent="0.25">
      <c r="A145" s="11"/>
      <c r="B145" s="11"/>
      <c r="C145" s="204"/>
      <c r="D145" s="11"/>
      <c r="E145" s="11"/>
      <c r="F145" s="11"/>
      <c r="G145" s="11"/>
      <c r="H145" s="181"/>
      <c r="I145" s="118"/>
      <c r="J145" s="118"/>
      <c r="K145" s="11"/>
      <c r="L145" s="11"/>
      <c r="M145" s="11"/>
      <c r="N145" s="100" t="str">
        <f>N88&amp;" - Check"</f>
        <v>Total Average Check - Check</v>
      </c>
      <c r="O145" s="505">
        <f t="shared" ref="O145:AA145" si="63">IFERROR(O$85/O87,"")-O88</f>
        <v>0</v>
      </c>
      <c r="P145" s="505">
        <f t="shared" si="63"/>
        <v>0</v>
      </c>
      <c r="Q145" s="505">
        <f t="shared" si="63"/>
        <v>-2.3092638912203256E-14</v>
      </c>
      <c r="R145" s="505">
        <f t="shared" si="63"/>
        <v>1.4210854715202004E-14</v>
      </c>
      <c r="S145" s="505">
        <f t="shared" si="63"/>
        <v>0</v>
      </c>
      <c r="T145" s="505">
        <f t="shared" si="63"/>
        <v>2.8421709430404007E-14</v>
      </c>
      <c r="U145" s="505">
        <f t="shared" si="63"/>
        <v>3.730349362740526E-14</v>
      </c>
      <c r="V145" s="505">
        <f t="shared" si="63"/>
        <v>0</v>
      </c>
      <c r="W145" s="505">
        <f t="shared" si="63"/>
        <v>3.1974423109204508E-14</v>
      </c>
      <c r="X145" s="505">
        <f t="shared" si="63"/>
        <v>0</v>
      </c>
      <c r="Y145" s="505">
        <f t="shared" si="63"/>
        <v>0</v>
      </c>
      <c r="Z145" s="505">
        <f t="shared" si="63"/>
        <v>-4.2632564145606011E-14</v>
      </c>
      <c r="AA145" s="505">
        <f t="shared" si="63"/>
        <v>0</v>
      </c>
      <c r="AB145" s="138"/>
      <c r="AC145" s="136"/>
      <c r="AD145" s="505">
        <f>IFERROR(AD$85/AD87,"")-AD88</f>
        <v>0</v>
      </c>
      <c r="AE145" s="138"/>
      <c r="AF145" s="134"/>
      <c r="AG145" s="505">
        <f>IFERROR(AG$85/AG87,"")-AG88</f>
        <v>2.1316282072803006E-14</v>
      </c>
      <c r="AH145" s="138"/>
      <c r="AI145" s="134"/>
    </row>
    <row r="146" spans="1:35" x14ac:dyDescent="0.25">
      <c r="A146" s="11"/>
      <c r="B146" s="11"/>
      <c r="C146" s="204"/>
      <c r="D146" s="11"/>
      <c r="E146" s="11"/>
      <c r="F146" s="11"/>
      <c r="G146" s="11"/>
      <c r="H146" s="181"/>
      <c r="I146" s="118"/>
      <c r="J146" s="118"/>
      <c r="K146" s="11"/>
      <c r="L146" s="11"/>
      <c r="M146" s="11"/>
      <c r="N146" s="100" t="s">
        <v>769</v>
      </c>
      <c r="O146" s="506">
        <f t="shared" ref="O146:AA146" si="64">(O130+O132)-O140</f>
        <v>0</v>
      </c>
      <c r="P146" s="506">
        <f t="shared" si="64"/>
        <v>0</v>
      </c>
      <c r="Q146" s="506">
        <f t="shared" si="64"/>
        <v>0</v>
      </c>
      <c r="R146" s="506">
        <f t="shared" si="64"/>
        <v>0</v>
      </c>
      <c r="S146" s="506">
        <f t="shared" si="64"/>
        <v>0</v>
      </c>
      <c r="T146" s="506">
        <f t="shared" si="64"/>
        <v>0</v>
      </c>
      <c r="U146" s="506">
        <f t="shared" si="64"/>
        <v>0</v>
      </c>
      <c r="V146" s="506">
        <f t="shared" si="64"/>
        <v>0</v>
      </c>
      <c r="W146" s="506">
        <f t="shared" si="64"/>
        <v>0</v>
      </c>
      <c r="X146" s="506">
        <f t="shared" si="64"/>
        <v>0</v>
      </c>
      <c r="Y146" s="506">
        <f t="shared" si="64"/>
        <v>0</v>
      </c>
      <c r="Z146" s="506">
        <f t="shared" si="64"/>
        <v>0</v>
      </c>
      <c r="AA146" s="506">
        <f t="shared" si="64"/>
        <v>0</v>
      </c>
      <c r="AB146" s="138"/>
      <c r="AC146" s="136"/>
      <c r="AD146" s="506">
        <f>(AD130+AD132)-AD140</f>
        <v>0</v>
      </c>
      <c r="AE146" s="138"/>
      <c r="AF146" s="134"/>
      <c r="AG146" s="506">
        <f>(AG130+AG132)-AG140</f>
        <v>0</v>
      </c>
      <c r="AH146" s="138"/>
      <c r="AI146" s="134"/>
    </row>
    <row r="147" spans="1:35" x14ac:dyDescent="0.25">
      <c r="A147" s="11"/>
      <c r="B147" s="11"/>
      <c r="C147" s="204"/>
      <c r="D147" s="11"/>
      <c r="E147" s="11"/>
      <c r="F147" s="11"/>
      <c r="G147" s="11"/>
      <c r="H147" s="11"/>
      <c r="I147" s="55"/>
      <c r="J147" s="55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</row>
    <row r="148" spans="1:35" x14ac:dyDescent="0.25">
      <c r="A148" s="11"/>
      <c r="B148" s="11"/>
      <c r="C148" s="204"/>
      <c r="D148" s="11"/>
      <c r="E148" s="11"/>
      <c r="F148" s="11"/>
      <c r="G148" s="11"/>
      <c r="H148" s="11"/>
      <c r="I148" s="55"/>
      <c r="J148" s="55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</row>
    <row r="149" spans="1:35" x14ac:dyDescent="0.25">
      <c r="A149" s="11"/>
      <c r="B149" s="11"/>
      <c r="C149" s="204"/>
      <c r="D149" s="11"/>
      <c r="E149" s="11"/>
      <c r="F149" s="11"/>
      <c r="G149" s="11"/>
      <c r="H149" s="11"/>
      <c r="I149" s="55"/>
      <c r="J149" s="55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</row>
    <row r="150" spans="1:35" x14ac:dyDescent="0.25">
      <c r="A150" s="11"/>
      <c r="B150" s="11"/>
      <c r="C150" s="204"/>
      <c r="D150" s="11"/>
      <c r="E150" s="11"/>
      <c r="F150" s="11"/>
      <c r="G150" s="11"/>
      <c r="H150" s="11"/>
      <c r="I150" s="55"/>
      <c r="J150" s="55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</row>
    <row r="151" spans="1:35" x14ac:dyDescent="0.25">
      <c r="A151" s="11"/>
      <c r="B151" s="11"/>
      <c r="C151" s="204"/>
      <c r="D151" s="11"/>
      <c r="E151" s="11"/>
      <c r="F151" s="11"/>
      <c r="G151" s="11"/>
      <c r="H151" s="11"/>
      <c r="I151" s="55"/>
      <c r="J151" s="55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</row>
    <row r="152" spans="1:35" x14ac:dyDescent="0.25">
      <c r="A152" s="11"/>
      <c r="B152" s="11"/>
      <c r="C152" s="204"/>
      <c r="D152" s="11"/>
      <c r="E152" s="11"/>
      <c r="F152" s="11"/>
      <c r="G152" s="11"/>
      <c r="H152" s="11"/>
      <c r="I152" s="55"/>
      <c r="J152" s="55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</row>
    <row r="153" spans="1:35" x14ac:dyDescent="0.25">
      <c r="A153" s="11"/>
      <c r="B153" s="11"/>
      <c r="C153" s="204"/>
      <c r="D153" s="11"/>
      <c r="E153" s="11"/>
      <c r="F153" s="11"/>
      <c r="G153" s="11"/>
      <c r="H153" s="11"/>
      <c r="I153" s="55"/>
      <c r="J153" s="55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</row>
    <row r="154" spans="1:35" x14ac:dyDescent="0.25">
      <c r="A154" s="11"/>
      <c r="B154" s="11"/>
      <c r="C154" s="11"/>
      <c r="D154" s="11"/>
      <c r="E154" s="11"/>
      <c r="F154" s="11"/>
      <c r="G154" s="11"/>
      <c r="H154" s="11"/>
      <c r="I154" s="55"/>
      <c r="J154" s="55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</row>
    <row r="155" spans="1:35" x14ac:dyDescent="0.25">
      <c r="A155" s="11"/>
      <c r="B155" s="11"/>
      <c r="C155" s="11"/>
      <c r="D155" s="11"/>
      <c r="E155" s="11"/>
      <c r="F155" s="11"/>
      <c r="G155" s="11"/>
      <c r="H155" s="11"/>
      <c r="I155" s="55"/>
      <c r="J155" s="55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</row>
    <row r="156" spans="1:35" x14ac:dyDescent="0.25">
      <c r="A156" s="11"/>
      <c r="B156" s="11"/>
      <c r="C156" s="11"/>
      <c r="D156" s="11"/>
      <c r="E156" s="11"/>
      <c r="F156" s="11"/>
      <c r="G156" s="11"/>
      <c r="H156" s="11"/>
      <c r="I156" s="55"/>
      <c r="J156" s="55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</row>
    <row r="157" spans="1:35" x14ac:dyDescent="0.25">
      <c r="A157" s="11"/>
      <c r="B157" s="11"/>
      <c r="C157" s="11"/>
      <c r="D157" s="11"/>
      <c r="E157" s="11"/>
      <c r="F157" s="11"/>
      <c r="G157" s="11"/>
      <c r="H157" s="11"/>
      <c r="I157" s="55"/>
      <c r="J157" s="55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</row>
    <row r="158" spans="1:35" x14ac:dyDescent="0.25">
      <c r="A158" s="11"/>
      <c r="B158" s="11"/>
      <c r="C158" s="11"/>
      <c r="D158" s="11"/>
      <c r="E158" s="11"/>
      <c r="F158" s="11"/>
      <c r="G158" s="11"/>
      <c r="H158" s="11"/>
      <c r="I158" s="55"/>
      <c r="J158" s="55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</row>
    <row r="159" spans="1:35" x14ac:dyDescent="0.25">
      <c r="A159" s="11"/>
      <c r="B159" s="11"/>
      <c r="C159" s="11"/>
      <c r="D159" s="11"/>
      <c r="E159" s="11"/>
      <c r="F159" s="11"/>
      <c r="G159" s="11"/>
      <c r="H159" s="11"/>
      <c r="I159" s="55"/>
      <c r="J159" s="55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</row>
    <row r="160" spans="1:35" x14ac:dyDescent="0.25">
      <c r="A160" s="11"/>
      <c r="B160" s="11"/>
      <c r="C160" s="11"/>
      <c r="D160" s="11"/>
      <c r="E160" s="11"/>
      <c r="F160" s="11"/>
      <c r="G160" s="11"/>
      <c r="H160" s="11"/>
      <c r="I160" s="55"/>
      <c r="J160" s="55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</row>
    <row r="161" spans="1:35" x14ac:dyDescent="0.25">
      <c r="A161" s="11"/>
      <c r="B161" s="11"/>
      <c r="C161" s="11"/>
      <c r="D161" s="11"/>
      <c r="E161" s="11"/>
      <c r="F161" s="11"/>
      <c r="G161" s="11"/>
      <c r="H161" s="11"/>
      <c r="I161" s="55"/>
      <c r="J161" s="55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</row>
    <row r="162" spans="1:35" x14ac:dyDescent="0.25">
      <c r="A162" s="11"/>
      <c r="B162" s="11"/>
      <c r="C162" s="11"/>
      <c r="D162" s="11"/>
      <c r="E162" s="11"/>
      <c r="F162" s="11"/>
      <c r="G162" s="11"/>
      <c r="H162" s="11"/>
      <c r="I162" s="55"/>
      <c r="J162" s="55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</row>
    <row r="163" spans="1:35" x14ac:dyDescent="0.25">
      <c r="A163" s="11"/>
      <c r="B163" s="11"/>
      <c r="C163" s="11"/>
      <c r="D163" s="11"/>
      <c r="E163" s="11"/>
      <c r="F163" s="11"/>
      <c r="G163" s="11"/>
      <c r="H163" s="11"/>
      <c r="I163" s="55"/>
      <c r="J163" s="55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</row>
    <row r="164" spans="1:35" x14ac:dyDescent="0.25">
      <c r="A164" s="11"/>
      <c r="B164" s="11"/>
      <c r="C164" s="11"/>
      <c r="D164" s="11"/>
      <c r="E164" s="11"/>
      <c r="F164" s="11"/>
      <c r="G164" s="11"/>
      <c r="H164" s="11"/>
      <c r="I164" s="55"/>
      <c r="J164" s="55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</row>
    <row r="165" spans="1:35" x14ac:dyDescent="0.25">
      <c r="A165" s="11"/>
      <c r="B165" s="11"/>
      <c r="C165" s="11"/>
      <c r="D165" s="11"/>
      <c r="E165" s="11"/>
      <c r="F165" s="11"/>
      <c r="G165" s="11"/>
      <c r="H165" s="11"/>
      <c r="I165" s="55"/>
      <c r="J165" s="55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</row>
    <row r="166" spans="1:35" x14ac:dyDescent="0.25">
      <c r="A166" s="11"/>
      <c r="B166" s="11"/>
      <c r="C166" s="11"/>
      <c r="D166" s="11"/>
      <c r="E166" s="11"/>
      <c r="F166" s="11"/>
      <c r="G166" s="11"/>
      <c r="H166" s="11"/>
      <c r="I166" s="55"/>
      <c r="J166" s="55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</row>
    <row r="167" spans="1:35" x14ac:dyDescent="0.25">
      <c r="A167" s="11"/>
      <c r="B167" s="11"/>
      <c r="C167" s="11"/>
      <c r="D167" s="11"/>
      <c r="E167" s="11"/>
      <c r="F167" s="11"/>
      <c r="G167" s="11"/>
      <c r="H167" s="11"/>
      <c r="I167" s="55"/>
      <c r="J167" s="55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</row>
    <row r="168" spans="1:35" x14ac:dyDescent="0.25">
      <c r="A168" s="11"/>
      <c r="B168" s="11"/>
      <c r="C168" s="11"/>
      <c r="D168" s="11"/>
      <c r="E168" s="11"/>
      <c r="F168" s="11"/>
      <c r="G168" s="11"/>
      <c r="H168" s="11"/>
      <c r="I168" s="55"/>
      <c r="J168" s="55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</row>
    <row r="169" spans="1:35" x14ac:dyDescent="0.25">
      <c r="A169" s="11"/>
      <c r="B169" s="11"/>
      <c r="C169" s="11"/>
      <c r="D169" s="11"/>
      <c r="E169" s="11"/>
      <c r="F169" s="11"/>
      <c r="G169" s="11"/>
      <c r="H169" s="11"/>
      <c r="I169" s="263"/>
      <c r="J169" s="11"/>
      <c r="K169" s="263"/>
      <c r="L169" s="263"/>
      <c r="M169" s="263"/>
      <c r="N169" s="11"/>
      <c r="O169" s="263"/>
      <c r="P169" s="263"/>
      <c r="Q169" s="263"/>
      <c r="R169" s="263"/>
      <c r="S169" s="263"/>
      <c r="T169" s="263"/>
      <c r="U169" s="263"/>
      <c r="V169" s="263"/>
      <c r="W169" s="263"/>
      <c r="X169" s="263"/>
      <c r="Y169" s="263"/>
      <c r="Z169" s="263"/>
      <c r="AA169" s="263"/>
      <c r="AB169" s="11"/>
      <c r="AC169" s="11"/>
      <c r="AD169" s="263"/>
      <c r="AE169" s="11"/>
      <c r="AF169" s="263"/>
      <c r="AG169" s="11"/>
      <c r="AH169" s="263"/>
      <c r="AI169" s="11"/>
    </row>
    <row r="170" spans="1:35" x14ac:dyDescent="0.25">
      <c r="A170" s="11"/>
      <c r="B170" s="11"/>
      <c r="C170" s="11"/>
      <c r="D170" s="11"/>
      <c r="E170" s="11"/>
      <c r="F170" s="11"/>
      <c r="G170" s="11"/>
      <c r="H170" s="11"/>
      <c r="I170" s="55"/>
      <c r="J170" s="55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</row>
    <row r="171" spans="1:35" x14ac:dyDescent="0.25">
      <c r="A171" s="11"/>
      <c r="B171" s="11"/>
      <c r="C171" s="11"/>
      <c r="D171" s="11"/>
      <c r="E171" s="11"/>
      <c r="F171" s="11"/>
      <c r="G171" s="11"/>
      <c r="H171" s="11"/>
      <c r="I171" s="55"/>
      <c r="J171" s="55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</row>
    <row r="172" spans="1:35" x14ac:dyDescent="0.25">
      <c r="A172" s="11"/>
      <c r="B172" s="11"/>
      <c r="C172" s="11"/>
      <c r="D172" s="11"/>
      <c r="E172" s="11"/>
      <c r="F172" s="11"/>
      <c r="G172" s="11"/>
      <c r="H172" s="11"/>
      <c r="I172" s="55"/>
      <c r="J172" s="55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</row>
    <row r="173" spans="1:35" x14ac:dyDescent="0.25">
      <c r="A173" s="11"/>
      <c r="B173" s="11"/>
      <c r="C173" s="11"/>
      <c r="D173" s="11"/>
      <c r="E173" s="11"/>
      <c r="F173" s="11"/>
      <c r="G173" s="11"/>
      <c r="H173" s="11"/>
      <c r="I173" s="263"/>
      <c r="J173" s="11"/>
      <c r="K173" s="263"/>
      <c r="L173" s="263"/>
      <c r="M173" s="263"/>
      <c r="N173" s="11"/>
      <c r="O173" s="263"/>
      <c r="P173" s="263"/>
      <c r="Q173" s="263"/>
      <c r="R173" s="263"/>
      <c r="S173" s="263"/>
      <c r="T173" s="263"/>
      <c r="U173" s="263"/>
      <c r="V173" s="263"/>
      <c r="W173" s="263"/>
      <c r="X173" s="263"/>
      <c r="Y173" s="263"/>
      <c r="Z173" s="263"/>
      <c r="AA173" s="263"/>
      <c r="AB173" s="11"/>
      <c r="AC173" s="11"/>
      <c r="AD173" s="263"/>
      <c r="AE173" s="11"/>
      <c r="AF173" s="263"/>
      <c r="AG173" s="11"/>
      <c r="AH173" s="263"/>
      <c r="AI173" s="11"/>
    </row>
    <row r="174" spans="1:35" x14ac:dyDescent="0.25">
      <c r="A174" s="11"/>
      <c r="B174" s="11"/>
      <c r="C174" s="11"/>
      <c r="D174" s="11"/>
      <c r="E174" s="11"/>
      <c r="F174" s="11"/>
      <c r="G174" s="11"/>
      <c r="H174" s="11"/>
      <c r="I174" s="55"/>
      <c r="J174" s="55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</row>
    <row r="175" spans="1:35" x14ac:dyDescent="0.25">
      <c r="A175" s="11"/>
      <c r="B175" s="11"/>
      <c r="C175" s="11"/>
      <c r="D175" s="11"/>
      <c r="E175" s="11"/>
      <c r="F175" s="11"/>
      <c r="G175" s="11"/>
      <c r="H175" s="11"/>
      <c r="I175" s="55"/>
      <c r="J175" s="55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</row>
    <row r="176" spans="1:35" x14ac:dyDescent="0.25">
      <c r="A176" s="11"/>
      <c r="B176" s="11"/>
      <c r="C176" s="11"/>
      <c r="D176" s="11"/>
      <c r="E176" s="11"/>
      <c r="F176" s="11"/>
      <c r="G176" s="11"/>
      <c r="H176" s="11"/>
      <c r="I176" s="55"/>
      <c r="J176" s="55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</row>
    <row r="177" spans="1:35" x14ac:dyDescent="0.25">
      <c r="A177" s="11"/>
      <c r="B177" s="11"/>
      <c r="C177" s="11"/>
      <c r="D177" s="11"/>
      <c r="E177" s="11"/>
      <c r="F177" s="11"/>
      <c r="G177" s="11"/>
      <c r="H177" s="11"/>
      <c r="I177" s="55"/>
      <c r="J177" s="55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</row>
    <row r="178" spans="1:35" x14ac:dyDescent="0.25">
      <c r="A178" s="11"/>
      <c r="B178" s="11"/>
      <c r="C178" s="11"/>
      <c r="D178" s="11"/>
      <c r="E178" s="11"/>
      <c r="F178" s="11"/>
      <c r="G178" s="11"/>
      <c r="H178" s="11"/>
      <c r="I178" s="55"/>
      <c r="J178" s="55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</row>
    <row r="179" spans="1:35" x14ac:dyDescent="0.25">
      <c r="A179" s="11"/>
      <c r="B179" s="11"/>
      <c r="C179" s="11"/>
      <c r="D179" s="11"/>
      <c r="E179" s="11"/>
      <c r="F179" s="11"/>
      <c r="G179" s="11"/>
      <c r="H179" s="11"/>
      <c r="I179" s="55"/>
      <c r="J179" s="55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</row>
    <row r="180" spans="1:35" x14ac:dyDescent="0.25">
      <c r="A180" s="11"/>
      <c r="B180" s="11"/>
      <c r="C180" s="11"/>
      <c r="D180" s="11"/>
      <c r="E180" s="11"/>
      <c r="F180" s="11"/>
      <c r="G180" s="11"/>
      <c r="H180" s="11"/>
      <c r="I180" s="55"/>
      <c r="J180" s="55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</row>
    <row r="181" spans="1:35" x14ac:dyDescent="0.25">
      <c r="A181" s="11"/>
      <c r="B181" s="11"/>
      <c r="C181" s="11"/>
      <c r="D181" s="11"/>
      <c r="E181" s="11"/>
      <c r="F181" s="11"/>
      <c r="G181" s="11"/>
      <c r="H181" s="11"/>
      <c r="I181" s="55"/>
      <c r="J181" s="55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</row>
    <row r="182" spans="1:35" x14ac:dyDescent="0.25">
      <c r="A182" s="11"/>
      <c r="B182" s="11"/>
      <c r="C182" s="11"/>
      <c r="D182" s="11"/>
      <c r="E182" s="11"/>
      <c r="F182" s="11"/>
      <c r="G182" s="11"/>
      <c r="H182" s="11"/>
      <c r="I182" s="55"/>
      <c r="J182" s="55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</row>
    <row r="183" spans="1:35" x14ac:dyDescent="0.25">
      <c r="A183" s="11"/>
      <c r="B183" s="11"/>
      <c r="C183" s="11"/>
      <c r="D183" s="11"/>
      <c r="E183" s="11"/>
      <c r="F183" s="11"/>
      <c r="G183" s="11"/>
      <c r="H183" s="11"/>
      <c r="I183" s="55"/>
      <c r="J183" s="55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</row>
    <row r="184" spans="1:35" x14ac:dyDescent="0.25">
      <c r="A184" s="11"/>
      <c r="B184" s="11"/>
      <c r="C184" s="11"/>
      <c r="D184" s="11"/>
      <c r="E184" s="11"/>
      <c r="F184" s="11"/>
      <c r="G184" s="11"/>
      <c r="H184" s="11"/>
      <c r="I184" s="55"/>
      <c r="J184" s="55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</row>
    <row r="185" spans="1:35" x14ac:dyDescent="0.25">
      <c r="A185" s="11"/>
      <c r="B185" s="11"/>
      <c r="C185" s="11"/>
      <c r="D185" s="11"/>
      <c r="E185" s="11"/>
      <c r="F185" s="11"/>
      <c r="G185" s="11"/>
      <c r="H185" s="11"/>
      <c r="I185" s="55"/>
      <c r="J185" s="55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</row>
    <row r="186" spans="1:35" x14ac:dyDescent="0.25">
      <c r="A186" s="11"/>
      <c r="B186" s="11"/>
      <c r="C186" s="11"/>
      <c r="D186" s="11"/>
      <c r="E186" s="11"/>
      <c r="F186" s="11"/>
      <c r="G186" s="11"/>
      <c r="H186" s="11"/>
      <c r="I186" s="55"/>
      <c r="J186" s="55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</row>
    <row r="187" spans="1:35" x14ac:dyDescent="0.25">
      <c r="A187" s="11"/>
      <c r="B187" s="11"/>
      <c r="C187" s="11"/>
      <c r="D187" s="11"/>
      <c r="E187" s="11"/>
      <c r="F187" s="11"/>
      <c r="G187" s="11"/>
      <c r="H187" s="11"/>
      <c r="I187" s="55"/>
      <c r="J187" s="55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</row>
    <row r="188" spans="1:35" x14ac:dyDescent="0.25">
      <c r="A188" s="11"/>
      <c r="B188" s="11"/>
      <c r="C188" s="11"/>
      <c r="D188" s="11"/>
      <c r="E188" s="11"/>
      <c r="F188" s="11"/>
      <c r="G188" s="11"/>
      <c r="H188" s="11"/>
      <c r="I188" s="55"/>
      <c r="J188" s="55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</row>
    <row r="189" spans="1:35" x14ac:dyDescent="0.25">
      <c r="A189" s="11"/>
      <c r="B189" s="11"/>
      <c r="C189" s="11"/>
      <c r="D189" s="11"/>
      <c r="E189" s="11"/>
      <c r="F189" s="11"/>
      <c r="G189" s="11"/>
      <c r="H189" s="11"/>
      <c r="I189" s="55"/>
      <c r="J189" s="55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</row>
    <row r="190" spans="1:35" x14ac:dyDescent="0.25">
      <c r="A190" s="11"/>
      <c r="B190" s="11"/>
      <c r="C190" s="11"/>
      <c r="D190" s="11"/>
      <c r="E190" s="11"/>
      <c r="F190" s="11"/>
      <c r="G190" s="11"/>
      <c r="H190" s="11"/>
      <c r="I190" s="55"/>
      <c r="J190" s="55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</row>
    <row r="191" spans="1:35" x14ac:dyDescent="0.25">
      <c r="A191" s="11"/>
      <c r="B191" s="11"/>
      <c r="C191" s="11"/>
      <c r="D191" s="11"/>
      <c r="E191" s="11"/>
      <c r="F191" s="11"/>
      <c r="G191" s="11"/>
      <c r="H191" s="11"/>
      <c r="I191" s="55"/>
      <c r="J191" s="55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</row>
    <row r="192" spans="1:35" x14ac:dyDescent="0.25">
      <c r="A192" s="11"/>
      <c r="B192" s="11"/>
      <c r="C192" s="11"/>
      <c r="D192" s="11"/>
      <c r="E192" s="11"/>
      <c r="F192" s="11"/>
      <c r="G192" s="11"/>
      <c r="H192" s="11"/>
      <c r="I192" s="55"/>
      <c r="J192" s="55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</row>
    <row r="193" spans="1:35" x14ac:dyDescent="0.25">
      <c r="A193" s="11"/>
      <c r="B193" s="11"/>
      <c r="C193" s="11"/>
      <c r="D193" s="11"/>
      <c r="E193" s="11"/>
      <c r="F193" s="11"/>
      <c r="G193" s="11"/>
      <c r="H193" s="11"/>
      <c r="I193" s="55"/>
      <c r="J193" s="55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</row>
    <row r="194" spans="1:35" x14ac:dyDescent="0.25">
      <c r="A194" s="11"/>
      <c r="B194" s="11"/>
      <c r="C194" s="11"/>
      <c r="D194" s="11"/>
      <c r="E194" s="11"/>
      <c r="F194" s="11"/>
      <c r="G194" s="11"/>
      <c r="H194" s="11"/>
      <c r="I194" s="55"/>
      <c r="J194" s="55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</row>
    <row r="195" spans="1:35" x14ac:dyDescent="0.25">
      <c r="A195" s="11"/>
      <c r="B195" s="11"/>
      <c r="C195" s="11"/>
      <c r="D195" s="11"/>
      <c r="E195" s="11"/>
      <c r="F195" s="11"/>
      <c r="G195" s="11"/>
      <c r="H195" s="11"/>
      <c r="I195" s="55"/>
      <c r="J195" s="55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</row>
    <row r="196" spans="1:35" x14ac:dyDescent="0.25">
      <c r="A196" s="11"/>
      <c r="B196" s="11"/>
      <c r="C196" s="11"/>
      <c r="D196" s="11"/>
      <c r="E196" s="11"/>
      <c r="F196" s="11"/>
      <c r="G196" s="11"/>
      <c r="H196" s="11"/>
      <c r="I196" s="55"/>
      <c r="J196" s="55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</row>
    <row r="197" spans="1:35" x14ac:dyDescent="0.25">
      <c r="A197" s="11"/>
      <c r="B197" s="11"/>
      <c r="C197" s="11"/>
      <c r="D197" s="11"/>
      <c r="E197" s="11"/>
      <c r="F197" s="11"/>
      <c r="G197" s="11"/>
      <c r="H197" s="11"/>
      <c r="I197" s="55"/>
      <c r="J197" s="55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</row>
    <row r="198" spans="1:35" x14ac:dyDescent="0.25">
      <c r="A198" s="11"/>
      <c r="B198" s="11"/>
      <c r="C198" s="11"/>
      <c r="D198" s="11"/>
      <c r="E198" s="11"/>
      <c r="F198" s="11"/>
      <c r="G198" s="11"/>
      <c r="H198" s="11"/>
      <c r="I198" s="55"/>
      <c r="J198" s="55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</row>
    <row r="199" spans="1:35" x14ac:dyDescent="0.25">
      <c r="A199" s="11"/>
      <c r="B199" s="11"/>
      <c r="C199" s="11"/>
      <c r="D199" s="11"/>
      <c r="E199" s="11"/>
      <c r="F199" s="11"/>
      <c r="G199" s="11"/>
      <c r="H199" s="11"/>
      <c r="I199" s="55"/>
      <c r="J199" s="55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</row>
    <row r="200" spans="1:35" x14ac:dyDescent="0.25">
      <c r="A200" s="11"/>
      <c r="B200" s="11"/>
      <c r="C200" s="11"/>
      <c r="D200" s="11"/>
      <c r="E200" s="11"/>
      <c r="F200" s="11"/>
      <c r="G200" s="11"/>
      <c r="H200" s="11"/>
      <c r="I200" s="55"/>
      <c r="J200" s="55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</row>
    <row r="201" spans="1:35" x14ac:dyDescent="0.25">
      <c r="A201" s="11"/>
      <c r="B201" s="11"/>
      <c r="C201" s="11"/>
      <c r="D201" s="11"/>
      <c r="E201" s="11"/>
      <c r="F201" s="11"/>
      <c r="G201" s="11"/>
      <c r="H201" s="11"/>
      <c r="I201" s="55"/>
      <c r="J201" s="55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</row>
    <row r="202" spans="1:35" x14ac:dyDescent="0.25">
      <c r="A202" s="11"/>
      <c r="B202" s="11"/>
      <c r="C202" s="11"/>
      <c r="D202" s="11"/>
      <c r="E202" s="11"/>
      <c r="F202" s="11"/>
      <c r="G202" s="11"/>
      <c r="H202" s="11"/>
      <c r="I202" s="55"/>
      <c r="J202" s="55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</row>
    <row r="203" spans="1:35" x14ac:dyDescent="0.25">
      <c r="A203" s="11"/>
      <c r="B203" s="11"/>
      <c r="C203" s="11"/>
      <c r="D203" s="11"/>
      <c r="E203" s="11"/>
      <c r="F203" s="11"/>
      <c r="G203" s="11"/>
      <c r="H203" s="11"/>
      <c r="I203" s="55"/>
      <c r="J203" s="55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</row>
    <row r="204" spans="1:35" x14ac:dyDescent="0.25">
      <c r="A204" s="11"/>
      <c r="B204" s="11"/>
      <c r="C204" s="11"/>
      <c r="D204" s="11"/>
      <c r="E204" s="11"/>
      <c r="F204" s="11"/>
      <c r="G204" s="11"/>
      <c r="H204" s="11"/>
      <c r="I204" s="55"/>
      <c r="J204" s="55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</row>
    <row r="205" spans="1:35" x14ac:dyDescent="0.25">
      <c r="A205" s="11"/>
      <c r="B205" s="11"/>
      <c r="C205" s="11"/>
      <c r="D205" s="11"/>
      <c r="E205" s="11"/>
      <c r="F205" s="11"/>
      <c r="G205" s="11"/>
      <c r="H205" s="11"/>
      <c r="I205" s="55"/>
      <c r="J205" s="55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</row>
    <row r="206" spans="1:35" x14ac:dyDescent="0.25">
      <c r="A206" s="11"/>
      <c r="B206" s="11"/>
      <c r="C206" s="11"/>
      <c r="D206" s="11"/>
      <c r="E206" s="11"/>
      <c r="F206" s="11"/>
      <c r="G206" s="11"/>
      <c r="H206" s="11"/>
      <c r="I206" s="55"/>
      <c r="J206" s="55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</row>
    <row r="207" spans="1:35" x14ac:dyDescent="0.25">
      <c r="A207" s="11"/>
      <c r="B207" s="11"/>
      <c r="C207" s="11"/>
      <c r="D207" s="11"/>
      <c r="E207" s="263"/>
      <c r="F207" s="11"/>
      <c r="G207" s="11"/>
      <c r="H207" s="11"/>
      <c r="I207" s="55"/>
      <c r="J207" s="55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</row>
    <row r="208" spans="1:35" x14ac:dyDescent="0.25">
      <c r="A208" s="11"/>
      <c r="B208" s="11"/>
      <c r="C208" s="11"/>
      <c r="D208" s="11"/>
      <c r="E208" s="11"/>
      <c r="F208" s="11"/>
      <c r="G208" s="11"/>
      <c r="H208" s="11"/>
      <c r="I208" s="55"/>
      <c r="J208" s="55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</row>
    <row r="209" spans="1:35" x14ac:dyDescent="0.25">
      <c r="A209" s="11"/>
      <c r="B209" s="11"/>
      <c r="C209" s="11"/>
      <c r="D209" s="11"/>
      <c r="E209" s="11"/>
      <c r="F209" s="11"/>
      <c r="G209" s="11"/>
      <c r="H209" s="11"/>
      <c r="I209" s="55"/>
      <c r="J209" s="55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</row>
    <row r="210" spans="1:35" x14ac:dyDescent="0.25">
      <c r="A210" s="11"/>
      <c r="B210" s="11"/>
      <c r="C210" s="11"/>
      <c r="D210" s="11"/>
      <c r="E210" s="11"/>
      <c r="F210" s="11"/>
      <c r="G210" s="11"/>
      <c r="H210" s="11"/>
      <c r="I210" s="55"/>
      <c r="J210" s="55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</row>
    <row r="211" spans="1:35" x14ac:dyDescent="0.25">
      <c r="A211" s="11"/>
      <c r="B211" s="11"/>
      <c r="C211" s="11"/>
      <c r="D211" s="11"/>
      <c r="E211" s="263"/>
      <c r="F211" s="11"/>
      <c r="G211" s="11"/>
      <c r="H211" s="11"/>
      <c r="I211" s="55"/>
      <c r="J211" s="55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</row>
  </sheetData>
  <sheetProtection algorithmName="SHA-512" hashValue="TSz50Z6E5RREyZ88jK7uClFeXIC531ktC3yjOcb609cT5DlBpIj6au3Zw/SW0zBcCSKnaUGySMyWJRchvVrwZA==" saltValue="jsrSopFOt4smL6nvE1e8Bg==" spinCount="100000" sheet="1" scenarios="1"/>
  <mergeCells count="2">
    <mergeCell ref="AD31:AE31"/>
    <mergeCell ref="AG31:AH31"/>
  </mergeCells>
  <conditionalFormatting sqref="AD43 AF43:AG43 O43:AA43">
    <cfRule type="expression" dxfId="44" priority="15">
      <formula>ROUND(O42,2)&lt;&gt;ROUND(O43,2)</formula>
    </cfRule>
  </conditionalFormatting>
  <conditionalFormatting sqref="N43">
    <cfRule type="expression" dxfId="43" priority="14">
      <formula>$G43&lt;&gt;0</formula>
    </cfRule>
  </conditionalFormatting>
  <conditionalFormatting sqref="O53:AA53 AD53 AF53:AG53">
    <cfRule type="expression" dxfId="42" priority="13">
      <formula>ROUND(O52,2)&lt;&gt;ROUND(O53,2)</formula>
    </cfRule>
  </conditionalFormatting>
  <conditionalFormatting sqref="N53">
    <cfRule type="expression" dxfId="41" priority="12">
      <formula>$G53&lt;&gt;0</formula>
    </cfRule>
  </conditionalFormatting>
  <conditionalFormatting sqref="O63:AA63 AD63 AF63:AG63">
    <cfRule type="expression" dxfId="40" priority="11">
      <formula>ROUND(O62,2)&lt;&gt;ROUND(O63,2)</formula>
    </cfRule>
  </conditionalFormatting>
  <conditionalFormatting sqref="N63">
    <cfRule type="expression" dxfId="39" priority="10">
      <formula>$G63&lt;&gt;0</formula>
    </cfRule>
  </conditionalFormatting>
  <conditionalFormatting sqref="O73:AA73 AD73 AF73:AG73">
    <cfRule type="expression" dxfId="38" priority="9">
      <formula>ROUND(O72,2)&lt;&gt;ROUND(O73,2)</formula>
    </cfRule>
  </conditionalFormatting>
  <conditionalFormatting sqref="N73">
    <cfRule type="expression" dxfId="37" priority="8">
      <formula>$G73&lt;&gt;0</formula>
    </cfRule>
  </conditionalFormatting>
  <conditionalFormatting sqref="N82">
    <cfRule type="expression" dxfId="36" priority="7">
      <formula>$G82&lt;&gt;0</formula>
    </cfRule>
  </conditionalFormatting>
  <conditionalFormatting sqref="AD82 AF82:AG82 O82:AA82">
    <cfRule type="expression" dxfId="35" priority="6">
      <formula>ROUND(O81,2)&lt;&gt;ROUND(O82,2)</formula>
    </cfRule>
  </conditionalFormatting>
  <conditionalFormatting sqref="AI43">
    <cfRule type="expression" dxfId="34" priority="5">
      <formula>ROUND(AI42,2)&lt;&gt;ROUND(AI43,2)</formula>
    </cfRule>
  </conditionalFormatting>
  <conditionalFormatting sqref="AI53">
    <cfRule type="expression" dxfId="33" priority="4">
      <formula>ROUND(AI52,2)&lt;&gt;ROUND(AI53,2)</formula>
    </cfRule>
  </conditionalFormatting>
  <conditionalFormatting sqref="AI63">
    <cfRule type="expression" dxfId="32" priority="3">
      <formula>ROUND(AI62,2)&lt;&gt;ROUND(AI63,2)</formula>
    </cfRule>
  </conditionalFormatting>
  <conditionalFormatting sqref="AI73">
    <cfRule type="expression" dxfId="31" priority="2">
      <formula>ROUND(AI72,2)&lt;&gt;ROUND(AI73,2)</formula>
    </cfRule>
  </conditionalFormatting>
  <conditionalFormatting sqref="AI82">
    <cfRule type="expression" dxfId="30" priority="1">
      <formula>ROUND(AI81,2)&lt;&gt;ROUND(AI82,2)</formula>
    </cfRule>
  </conditionalFormatting>
  <dataValidations disablePrompts="1" count="2">
    <dataValidation type="list" allowBlank="1" sqref="B29" xr:uid="{00000000-0002-0000-1000-000000000000}">
      <formula1>"SELF,ALL,BAS,DEP,BASMEMBERS,MEMBERS,NOEXPAND,GDEP"</formula1>
    </dataValidation>
    <dataValidation type="list" allowBlank="1" sqref="B28" xr:uid="{00000000-0002-0000-1000-000001000000}">
      <formula1>"ACCOUNT,BUSINESSUNIT,CATEGORY,DATASRC,DEPARTMENT,INTCO,MEASURES,RPTCURRENCY,TIME"</formula1>
    </dataValidation>
  </dataValidations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rowBreaks count="1" manualBreakCount="1">
    <brk id="95" min="13" max="34" man="1"/>
  </rowBreaks>
  <customProperties>
    <customPr name="EpmWorksheetKeyString_GUID" r:id="rId2"/>
    <customPr name="FPMExcelClientCellBasedFunctionStatus" r:id="rId3"/>
    <customPr name="FPMExcelClientRefreshTime" r:id="rId4"/>
  </customProperties>
  <legacyDrawing r:id="rId5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9">
    <tabColor theme="6" tint="0.39997558519241921"/>
    <pageSetUpPr fitToPage="1"/>
  </sheetPr>
  <dimension ref="A1:AO174"/>
  <sheetViews>
    <sheetView topLeftCell="K1" zoomScale="85" zoomScaleNormal="85" workbookViewId="0">
      <pane xSplit="4" ySplit="32" topLeftCell="O33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3" width="9.7109375" style="1" hidden="1" customWidth="1" outlineLevel="1"/>
    <col min="14" max="14" width="36.7109375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40" width="0" style="1" hidden="1" customWidth="1" outlineLevel="1"/>
    <col min="41" max="41" width="9.140625" style="1" collapsed="1"/>
    <col min="42" max="16384" width="9.140625" style="1"/>
  </cols>
  <sheetData>
    <row r="1" spans="1:41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</row>
    <row r="2" spans="1:41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</row>
    <row r="3" spans="1:41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11"/>
      <c r="H4" s="11"/>
      <c r="I4" s="55"/>
      <c r="J4" s="55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11"/>
      <c r="H5" s="11"/>
      <c r="I5" s="55"/>
      <c r="J5" s="55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idden="1" outlineLevel="1" x14ac:dyDescent="0.25">
      <c r="A6" s="49" t="s">
        <v>52</v>
      </c>
      <c r="B6" s="52" t="s">
        <v>346</v>
      </c>
      <c r="C6" s="11" t="str">
        <f>IF(_epmOfflineCondition_,"In Room Dining",_xll.EVDES(B6,$B$1))</f>
        <v>In Room Dining</v>
      </c>
      <c r="D6" s="11"/>
      <c r="E6" s="54" t="str">
        <f>IF(_epmOfflineCondition_,"D2147",_xll.EVPRO($B$1,$B$6,$F$6))</f>
        <v>D2147</v>
      </c>
      <c r="F6" s="11" t="s">
        <v>278</v>
      </c>
      <c r="G6" s="11"/>
      <c r="H6" s="11"/>
      <c r="I6" s="55"/>
      <c r="J6" s="55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11"/>
      <c r="H7" s="11"/>
      <c r="I7" s="55"/>
      <c r="J7" s="55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11"/>
      <c r="H8" s="11"/>
      <c r="I8" s="55"/>
      <c r="J8" s="55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59" t="str">
        <f>IF(SetUp!$O$1=TRUE,"TRAILING12",IF(AA17="CURRENT","ROLLINGFORECAST","PERIODIC"))</f>
        <v>PERIODIC</v>
      </c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11"/>
      <c r="M12" s="11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  <c r="AJ12" s="11"/>
      <c r="AK12" s="11"/>
      <c r="AL12" s="11"/>
      <c r="AM12" s="11"/>
      <c r="AN12" s="11"/>
      <c r="AO12" s="11"/>
    </row>
    <row r="13" spans="1:41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11"/>
      <c r="M13" s="11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  <c r="AJ13" s="11"/>
      <c r="AK13" s="11"/>
      <c r="AL13" s="11"/>
      <c r="AM13" s="11"/>
      <c r="AN13" s="11"/>
      <c r="AO13" s="11"/>
    </row>
    <row r="14" spans="1:41" hidden="1" outlineLevel="1" x14ac:dyDescent="0.25">
      <c r="A14" s="56" t="str">
        <f>IF(_epmOfflineCondition_,"Evdre:Ok",_xll.EVDRE($B$1,A17:B24,A27:B33))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11"/>
      <c r="M14" s="11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  <c r="AJ14" s="11"/>
      <c r="AK14" s="11"/>
      <c r="AL14" s="11"/>
      <c r="AM14" s="11"/>
      <c r="AN14" s="11"/>
      <c r="AO14" s="11"/>
    </row>
    <row r="15" spans="1:41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11"/>
      <c r="M15" s="11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  <c r="AJ15" s="11"/>
      <c r="AK15" s="11"/>
      <c r="AL15" s="11"/>
      <c r="AM15" s="11"/>
      <c r="AN15" s="11"/>
      <c r="AO15" s="11"/>
    </row>
    <row r="16" spans="1:41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11"/>
      <c r="M16" s="11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  <c r="AJ16" s="11"/>
      <c r="AK16" s="11"/>
      <c r="AL16" s="11"/>
      <c r="AM16" s="11"/>
      <c r="AN16" s="11"/>
      <c r="AO16" s="11"/>
    </row>
    <row r="17" spans="1:41" hidden="1" outlineLevel="1" x14ac:dyDescent="0.25">
      <c r="A17" s="61" t="s">
        <v>2</v>
      </c>
      <c r="B17" s="62" t="str">
        <f>IF(_epmOfflineCondition_,"'IRD'!$B$2:$B$10",_xll.EVRNG($B$2:$B$10))</f>
        <v>'IRD'!$B$2:$B$10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11"/>
      <c r="M17" s="11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 t="str">
        <f>Z17</f>
        <v>ACTUAL_CON</v>
      </c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  <c r="AJ17" s="11"/>
      <c r="AK17" s="11"/>
      <c r="AL17" s="11"/>
      <c r="AM17" s="11"/>
      <c r="AN17" s="11"/>
      <c r="AO17" s="11"/>
    </row>
    <row r="18" spans="1:41" hidden="1" outlineLevel="1" x14ac:dyDescent="0.25">
      <c r="A18" s="61" t="s">
        <v>3</v>
      </c>
      <c r="B18" s="62" t="str">
        <f>IF(_epmOfflineCondition_,"'IRD'!$O$16:$AN$18",_xll.EVRNG($O$16:$AN$18))</f>
        <v>'IRD'!$O$16:$AN$18</v>
      </c>
      <c r="C18" s="11"/>
      <c r="D18" s="11"/>
      <c r="E18" s="11"/>
      <c r="F18" s="11"/>
      <c r="G18" s="11"/>
      <c r="H18" s="11"/>
      <c r="I18" s="55"/>
      <c r="J18" s="55"/>
      <c r="K18" s="11"/>
      <c r="L18" s="11"/>
      <c r="M18" s="11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11"/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  <c r="AJ18" s="11"/>
      <c r="AK18" s="11"/>
      <c r="AL18" s="11"/>
      <c r="AM18" s="11"/>
      <c r="AN18" s="11"/>
      <c r="AO18" s="11"/>
    </row>
    <row r="19" spans="1:41" hidden="1" outlineLevel="1" x14ac:dyDescent="0.25">
      <c r="A19" s="61" t="s">
        <v>4</v>
      </c>
      <c r="B19" s="62" t="str">
        <f>IF(_epmOfflineCondition_,"'IRD'!$H$35:$H$51",_xll.EVRNG(H35:H51))</f>
        <v>'IRD'!$H$35:$H$51</v>
      </c>
      <c r="C19" s="11"/>
      <c r="D19" s="11"/>
      <c r="E19" s="11"/>
      <c r="F19" s="11"/>
      <c r="G19" s="63" t="str">
        <f>$B$6</f>
        <v>D_RS_CON</v>
      </c>
      <c r="H19" s="63">
        <v>400000</v>
      </c>
      <c r="I19" s="64"/>
      <c r="J19" s="64"/>
      <c r="K19" s="63"/>
      <c r="L19" s="63"/>
      <c r="M19" s="63"/>
      <c r="N19" s="63" t="str">
        <f>IF(_epmOfflineCondition_,"Total Revenue",_xll.EVDES(H19))</f>
        <v>Total Revenue</v>
      </c>
      <c r="O19" s="65">
        <f>IF(_epmOfflineCondition_,0,_xll.EVGTS($B$1,1,$B$3,$B$5,$B$7,$B$9,O$16,O$17,O$18,$G$19,$H$19))</f>
        <v>0</v>
      </c>
      <c r="P19" s="65">
        <f>IF(_epmOfflineCondition_,0,_xll.EVGTS($B$1,1,$B$3,$B$5,$B$7,$B$9,P$16,P$17,P$18,$G$19,$H$19))</f>
        <v>0</v>
      </c>
      <c r="Q19" s="65">
        <f>IF(_epmOfflineCondition_,0,_xll.EVGTS($B$1,1,$B$3,$B$5,$B$7,$B$9,Q$16,Q$17,Q$18,$G$19,$H$19))</f>
        <v>0</v>
      </c>
      <c r="R19" s="65">
        <f>IF(_epmOfflineCondition_,0,_xll.EVGTS($B$1,1,$B$3,$B$5,$B$7,$B$9,R$16,R$17,R$18,$G$19,$H$19))</f>
        <v>0</v>
      </c>
      <c r="S19" s="65">
        <f>IF(_epmOfflineCondition_,0,_xll.EVGTS($B$1,1,$B$3,$B$5,$B$7,$B$9,S$16,S$17,S$18,$G$19,$H$19))</f>
        <v>0</v>
      </c>
      <c r="T19" s="65">
        <f>IF(_epmOfflineCondition_,0,_xll.EVGTS($B$1,1,$B$3,$B$5,$B$7,$B$9,T$16,T$17,T$18,$G$19,$H$19))</f>
        <v>0</v>
      </c>
      <c r="U19" s="65">
        <f>IF(_epmOfflineCondition_,0,_xll.EVGTS($B$1,1,$B$3,$B$5,$B$7,$B$9,U$16,U$17,U$18,$G$19,$H$19))</f>
        <v>0</v>
      </c>
      <c r="V19" s="65">
        <f>IF(_epmOfflineCondition_,0,_xll.EVGTS($B$1,1,$B$3,$B$5,$B$7,$B$9,V$16,V$17,V$18,$G$19,$H$19))</f>
        <v>0</v>
      </c>
      <c r="W19" s="65">
        <f>IF(_epmOfflineCondition_,0,_xll.EVGTS($B$1,1,$B$3,$B$5,$B$7,$B$9,W$16,W$17,W$18,$G$19,$H$19))</f>
        <v>0</v>
      </c>
      <c r="X19" s="65">
        <f>IF(_epmOfflineCondition_,0,_xll.EVGTS($B$1,1,$B$3,$B$5,$B$7,$B$9,X$16,X$17,X$18,$G$19,$H$19))</f>
        <v>0</v>
      </c>
      <c r="Y19" s="65">
        <f>IF(_epmOfflineCondition_,5677.44,_xll.EVGTS($B$1,1,$B$3,$B$5,$B$7,$B$9,Y$16,Y$17,Y$18,$G$19,$H$19))</f>
        <v>5677.44</v>
      </c>
      <c r="Z19" s="65">
        <f>IF(_epmOfflineCondition_,8787.92,_xll.EVGTS($B$1,1,$B$3,$B$5,$B$7,$B$9,Z$16,Z$17,Z$18,$G$19,$H$19))</f>
        <v>8787.92</v>
      </c>
      <c r="AA19" s="65">
        <f>SUM(O19:Z19)</f>
        <v>14465.36</v>
      </c>
      <c r="AB19" s="63"/>
      <c r="AC19" s="63"/>
      <c r="AD19" s="65">
        <f>IF(_epmOfflineCondition_,100881.2,_xll.EVGTS($B$1,1,$B$3,$B$5,$B$7,$B$9,AD$16,AD$17,AD$18,$G$19,$H$19))</f>
        <v>100881.2</v>
      </c>
      <c r="AE19" s="63"/>
      <c r="AF19" s="63"/>
      <c r="AG19" s="65">
        <f>IF(_epmOfflineCondition_,0,_xll.EVGTS($B$1,1,$B$3,$B$5,$B$7,$B$9,AG$16,AG$17,AG$18,$G$19,$H$19))</f>
        <v>0</v>
      </c>
      <c r="AH19" s="63"/>
      <c r="AI19" s="63"/>
      <c r="AJ19" s="11"/>
      <c r="AK19" s="11"/>
      <c r="AL19" s="11"/>
      <c r="AM19" s="11"/>
      <c r="AN19" s="11"/>
      <c r="AO19" s="11"/>
    </row>
    <row r="20" spans="1:41" hidden="1" outlineLevel="1" x14ac:dyDescent="0.25">
      <c r="A20" s="61" t="s">
        <v>5</v>
      </c>
      <c r="B20" s="62"/>
      <c r="C20" s="11"/>
      <c r="D20" s="11"/>
      <c r="E20" s="11"/>
      <c r="F20" s="11"/>
      <c r="G20" s="63" t="str">
        <f>$B$6</f>
        <v>D_RS_CON</v>
      </c>
      <c r="H20" s="63">
        <v>946000</v>
      </c>
      <c r="I20" s="64"/>
      <c r="J20" s="64"/>
      <c r="K20" s="63"/>
      <c r="L20" s="64"/>
      <c r="M20" s="64"/>
      <c r="N20" s="63" t="str">
        <f>IF(_epmOfflineCondition_,"Total Customers",_xll.EVDES(H20))</f>
        <v>Total Customers</v>
      </c>
      <c r="O20" s="65">
        <f>IF(_epmOfflineCondition_,0,_xll.EVGTS($B$1,1,$B$3,$B$5,$B$7,$B$9,O$16,O$17,O$18,$G$20,$H$20))</f>
        <v>0</v>
      </c>
      <c r="P20" s="65">
        <f>IF(_epmOfflineCondition_,0,_xll.EVGTS($B$1,1,$B$3,$B$5,$B$7,$B$9,P$16,P$17,P$18,$G$20,$H$20))</f>
        <v>0</v>
      </c>
      <c r="Q20" s="65">
        <f>IF(_epmOfflineCondition_,0,_xll.EVGTS($B$1,1,$B$3,$B$5,$B$7,$B$9,Q$16,Q$17,Q$18,$G$20,$H$20))</f>
        <v>0</v>
      </c>
      <c r="R20" s="65">
        <f>IF(_epmOfflineCondition_,0,_xll.EVGTS($B$1,1,$B$3,$B$5,$B$7,$B$9,R$16,R$17,R$18,$G$20,$H$20))</f>
        <v>0</v>
      </c>
      <c r="S20" s="65">
        <f>IF(_epmOfflineCondition_,0,_xll.EVGTS($B$1,1,$B$3,$B$5,$B$7,$B$9,S$16,S$17,S$18,$G$20,$H$20))</f>
        <v>0</v>
      </c>
      <c r="T20" s="65">
        <f>IF(_epmOfflineCondition_,0,_xll.EVGTS($B$1,1,$B$3,$B$5,$B$7,$B$9,T$16,T$17,T$18,$G$20,$H$20))</f>
        <v>0</v>
      </c>
      <c r="U20" s="65">
        <f>IF(_epmOfflineCondition_,0,_xll.EVGTS($B$1,1,$B$3,$B$5,$B$7,$B$9,U$16,U$17,U$18,$G$20,$H$20))</f>
        <v>0</v>
      </c>
      <c r="V20" s="65">
        <f>IF(_epmOfflineCondition_,0,_xll.EVGTS($B$1,1,$B$3,$B$5,$B$7,$B$9,V$16,V$17,V$18,$G$20,$H$20))</f>
        <v>0</v>
      </c>
      <c r="W20" s="65">
        <f>IF(_epmOfflineCondition_,0,_xll.EVGTS($B$1,1,$B$3,$B$5,$B$7,$B$9,W$16,W$17,W$18,$G$20,$H$20))</f>
        <v>0</v>
      </c>
      <c r="X20" s="65">
        <f>IF(_epmOfflineCondition_,0,_xll.EVGTS($B$1,1,$B$3,$B$5,$B$7,$B$9,X$16,X$17,X$18,$G$20,$H$20))</f>
        <v>0</v>
      </c>
      <c r="Y20" s="65">
        <f>IF(_epmOfflineCondition_,224,_xll.EVGTS($B$1,1,$B$3,$B$5,$B$7,$B$9,Y$16,Y$17,Y$18,$G$20,$H$20))</f>
        <v>224</v>
      </c>
      <c r="Z20" s="65">
        <f>IF(_epmOfflineCondition_,340,_xll.EVGTS($B$1,1,$B$3,$B$5,$B$7,$B$9,Z$16,Z$17,Z$18,$G$20,$H$20))</f>
        <v>340</v>
      </c>
      <c r="AA20" s="65">
        <f>SUM(O20:Z20)</f>
        <v>564</v>
      </c>
      <c r="AB20" s="63"/>
      <c r="AC20" s="63"/>
      <c r="AD20" s="65">
        <f>IF(_epmOfflineCondition_,2927,_xll.EVGTS($B$1,1,$B$3,$B$5,$B$7,$B$9,AD$16,AD$17,AD$18,$G$20,$H$20))</f>
        <v>2927</v>
      </c>
      <c r="AE20" s="63"/>
      <c r="AF20" s="63"/>
      <c r="AG20" s="65">
        <f>IF(_epmOfflineCondition_,0,_xll.EVGTS($B$1,1,$B$3,$B$5,$B$7,$B$9,AG$16,AG$17,AG$18,$G$20,$H$20))</f>
        <v>0</v>
      </c>
      <c r="AH20" s="63"/>
      <c r="AI20" s="63"/>
      <c r="AJ20" s="11"/>
      <c r="AK20" s="11"/>
      <c r="AL20" s="11"/>
      <c r="AM20" s="11"/>
      <c r="AN20" s="11"/>
      <c r="AO20" s="11"/>
    </row>
    <row r="21" spans="1:41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idden="1" outlineLevel="1" x14ac:dyDescent="0.25">
      <c r="A22" s="61" t="s">
        <v>7</v>
      </c>
      <c r="B22" s="62" t="str">
        <f>IF(_epmOfflineCondition_,"'IRD'!$A$36:$F$44",_xll.EVRNG(A36:F44))</f>
        <v>'IRD'!$A$36:$F$44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idden="1" outlineLevel="1" x14ac:dyDescent="0.25">
      <c r="A23" s="61" t="s">
        <v>47</v>
      </c>
      <c r="B23" s="62" t="str">
        <f>IF(_epmOfflineCondition_,"'IRD'!$A$125:$B$146",_xll.EVRNG($A$125:$B$146))</f>
        <v>'IRD'!$A$125:$B$146</v>
      </c>
      <c r="C23" s="11"/>
      <c r="D23" s="11"/>
      <c r="E23" s="11"/>
      <c r="F23" s="11"/>
      <c r="G23" s="11"/>
      <c r="H23" s="11"/>
      <c r="I23" s="55"/>
      <c r="J23" s="55"/>
      <c r="K23" s="6"/>
      <c r="L23" s="6"/>
      <c r="M23" s="6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380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22.5" x14ac:dyDescent="0.3">
      <c r="A26" s="57" t="s">
        <v>9</v>
      </c>
      <c r="B26" s="58" t="s">
        <v>10</v>
      </c>
      <c r="C26" s="11"/>
      <c r="D26" s="11"/>
      <c r="E26" s="11"/>
      <c r="F26" s="11"/>
      <c r="G26" s="11"/>
      <c r="H26" s="11"/>
      <c r="I26" s="55"/>
      <c r="J26" s="55"/>
      <c r="K26" s="11"/>
      <c r="L26" s="11"/>
      <c r="M26" s="11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8" x14ac:dyDescent="0.25">
      <c r="A27" s="61" t="s">
        <v>11</v>
      </c>
      <c r="B27" s="62" t="s">
        <v>21</v>
      </c>
      <c r="C27" s="11"/>
      <c r="D27" s="11"/>
      <c r="E27" s="11"/>
      <c r="F27" s="11"/>
      <c r="G27" s="11"/>
      <c r="H27" s="11"/>
      <c r="I27" s="55"/>
      <c r="J27" s="55"/>
      <c r="K27" s="11"/>
      <c r="L27" s="11"/>
      <c r="M27" s="11"/>
      <c r="N27" s="67" t="str">
        <f>IF(_epmOfflineCondition_,"In Room Dining Department",IF(_xll.EVDES(B6,$B$1)="#NODATA","",_xll.EVDES(B6,$B$1)&amp;" Department"))</f>
        <v>In Room Dining Department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x14ac:dyDescent="0.25">
      <c r="A28" s="61" t="s">
        <v>12</v>
      </c>
      <c r="B28" s="62" t="s">
        <v>22</v>
      </c>
      <c r="C28" s="11"/>
      <c r="D28" s="11"/>
      <c r="E28" s="11"/>
      <c r="F28" s="11"/>
      <c r="G28" s="11"/>
      <c r="H28" s="11"/>
      <c r="I28" s="55"/>
      <c r="J28" s="55"/>
      <c r="K28" s="11"/>
      <c r="L28" s="11"/>
      <c r="M28" s="11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" customHeight="1" x14ac:dyDescent="0.25">
      <c r="A29" s="61" t="s">
        <v>13</v>
      </c>
      <c r="B29" s="62" t="str">
        <f>"DEP(REV_F) AND "&amp;$E$6&amp;"=Y,REV_F,BEV,DEP(REV_BEV) AND "&amp;$E$6&amp;"=Y,REV_BEV,ALLOW_FB,REV_FB,OTHR_REV,DEP(REV_OTHR) AND "&amp;$E$6&amp;"=Y,REV_OTHR,400000"</f>
        <v>DEP(REV_F) AND D2147=Y,REV_F,BEV,DEP(REV_BEV) AND D2147=Y,REV_BEV,ALLOW_FB,REV_FB,OTHR_REV,DEP(REV_OTHR) AND D2147=Y,REV_OTHR,400000</v>
      </c>
      <c r="C29" s="11"/>
      <c r="D29" s="11"/>
      <c r="E29" s="11"/>
      <c r="F29" s="11"/>
      <c r="G29" s="11"/>
      <c r="H29" s="11"/>
      <c r="I29" s="55"/>
      <c r="J29" s="55"/>
      <c r="K29" s="11"/>
      <c r="L29" s="11"/>
      <c r="M29" s="11"/>
      <c r="N29" s="68" t="str">
        <f>IF(_epmOfflineCondition_,"Local Currency",_xll.EVDES(B9,B1))</f>
        <v>Local Currency</v>
      </c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x14ac:dyDescent="0.25">
      <c r="A30" s="61" t="s">
        <v>14</v>
      </c>
      <c r="B30" s="62"/>
      <c r="C30" s="11"/>
      <c r="D30" s="11"/>
      <c r="E30" s="11"/>
      <c r="F30" s="11"/>
      <c r="G30" s="11"/>
      <c r="H30" s="11"/>
      <c r="I30" s="55"/>
      <c r="J30" s="55"/>
      <c r="K30" s="11"/>
      <c r="L30" s="11"/>
      <c r="M30" s="11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  <c r="AJ30" s="69" t="s">
        <v>752</v>
      </c>
      <c r="AK30" s="70"/>
      <c r="AL30" s="71"/>
      <c r="AM30" s="70" t="s">
        <v>751</v>
      </c>
      <c r="AN30" s="70"/>
      <c r="AO30" s="11"/>
    </row>
    <row r="31" spans="1:41" x14ac:dyDescent="0.25">
      <c r="A31" s="61" t="s">
        <v>15</v>
      </c>
      <c r="B31" s="62"/>
      <c r="C31" s="11"/>
      <c r="D31" s="11"/>
      <c r="E31" s="11"/>
      <c r="F31" s="11"/>
      <c r="G31" s="72"/>
      <c r="H31" s="11"/>
      <c r="I31" s="55"/>
      <c r="J31" s="55"/>
      <c r="K31" s="55"/>
      <c r="L31" s="55"/>
      <c r="M31" s="55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  <c r="AJ31" s="73" t="str">
        <f>IF(_epmOfflineCondition_,"2019",_xll.EVPRO($B$1,AA$16,"YEAR"))</f>
        <v>2019</v>
      </c>
      <c r="AK31" s="76" t="str">
        <f>IF(_epmOfflineCondition_,"2019",_xll.EVPRO($B$1,AD$16,"YEAR"))</f>
        <v>2019</v>
      </c>
      <c r="AL31" s="76" t="str">
        <f>IF(_epmOfflineCondition_,"2018",_xll.EVPRO($B$1,AG$16,"YEAR"))</f>
        <v>2018</v>
      </c>
      <c r="AM31" s="73" t="str">
        <f>"vs "&amp;AK31</f>
        <v>vs 2019</v>
      </c>
      <c r="AN31" s="73" t="str">
        <f>"vs "&amp;AL31</f>
        <v>vs 2018</v>
      </c>
      <c r="AO31" s="11"/>
    </row>
    <row r="32" spans="1:41" s="8" customFormat="1" ht="30" customHeight="1" x14ac:dyDescent="0.25">
      <c r="A32" s="77" t="s">
        <v>16</v>
      </c>
      <c r="B32" s="78"/>
      <c r="C32" s="79"/>
      <c r="D32" s="79"/>
      <c r="E32" s="79"/>
      <c r="F32" s="79"/>
      <c r="G32" s="359"/>
      <c r="H32" s="80"/>
      <c r="I32" s="81"/>
      <c r="J32" s="81"/>
      <c r="K32" s="174" t="s">
        <v>117</v>
      </c>
      <c r="L32" s="174"/>
      <c r="M32" s="174"/>
      <c r="N32" s="82" t="s">
        <v>120</v>
      </c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  <c r="AJ32" s="83" t="str">
        <f>Z32</f>
        <v>Actual</v>
      </c>
      <c r="AK32" s="76" t="str">
        <f>AD32</f>
        <v>Budget</v>
      </c>
      <c r="AL32" s="83" t="str">
        <f>AG32</f>
        <v>Actual</v>
      </c>
      <c r="AM32" s="73" t="s">
        <v>748</v>
      </c>
      <c r="AN32" s="73" t="s">
        <v>748</v>
      </c>
      <c r="AO32" s="79"/>
    </row>
    <row r="33" spans="1:41" x14ac:dyDescent="0.25">
      <c r="A33" s="61" t="s">
        <v>17</v>
      </c>
      <c r="B33" s="62"/>
      <c r="C33" s="11"/>
      <c r="D33" s="11"/>
      <c r="E33" s="11"/>
      <c r="F33" s="11"/>
      <c r="G33" s="11"/>
      <c r="H33" s="11" t="s">
        <v>69</v>
      </c>
      <c r="I33" s="55" t="str">
        <f>IF(_epmOfflineCondition_,"B1",_xll.EVPRO($B$1,$H33,"STYLE"))</f>
        <v>B1</v>
      </c>
      <c r="J33" s="55" t="str">
        <f>IF(_epmOfflineCondition_,"Y",_xll.EVPRO($B$1,$H33,"CALC"))</f>
        <v>Y</v>
      </c>
      <c r="K33" s="11"/>
      <c r="L33" s="11"/>
      <c r="M33" s="11"/>
      <c r="N33" s="101" t="str">
        <f>IF(_epmOfflineCondition_,"Revenues",IF(_xll.EVDES(H33,$B$1)="#NODATA","",_xll.EVDES(H33,$B$1)))</f>
        <v>Revenues</v>
      </c>
      <c r="O33" s="125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7"/>
      <c r="AC33" s="11"/>
      <c r="AD33" s="125"/>
      <c r="AE33" s="126"/>
      <c r="AF33" s="127"/>
      <c r="AG33" s="125"/>
      <c r="AH33" s="126"/>
      <c r="AI33" s="127"/>
      <c r="AJ33" s="11"/>
      <c r="AK33" s="11"/>
      <c r="AL33" s="11"/>
      <c r="AM33" s="11"/>
      <c r="AN33" s="11"/>
      <c r="AO33" s="11"/>
    </row>
    <row r="34" spans="1:41" x14ac:dyDescent="0.25">
      <c r="A34" s="11"/>
      <c r="B34" s="11"/>
      <c r="C34" s="11"/>
      <c r="D34" s="11"/>
      <c r="E34" s="11"/>
      <c r="F34" s="11"/>
      <c r="G34" s="11"/>
      <c r="H34" s="11" t="s">
        <v>259</v>
      </c>
      <c r="I34" s="55" t="str">
        <f>IF(_epmOfflineCondition_,"B1",_xll.EVPRO($B$1,$H34,"STYLE"))</f>
        <v>B1</v>
      </c>
      <c r="J34" s="55" t="str">
        <f>IF(_epmOfflineCondition_,"Y",_xll.EVPRO($B$1,$H34,"CALC"))</f>
        <v>Y</v>
      </c>
      <c r="K34" s="11"/>
      <c r="L34" s="129" t="s">
        <v>364</v>
      </c>
      <c r="M34" s="129" t="s">
        <v>783</v>
      </c>
      <c r="N34" s="49" t="str">
        <f>IF(_epmOfflineCondition_,"Food Revenue",IF(_xll.EVDES(H34,$B$1)="#NODATA","",_xll.EVDES(H34,$B$1)))</f>
        <v>Food Revenue</v>
      </c>
      <c r="O34" s="199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114"/>
      <c r="AC34" s="11"/>
      <c r="AD34" s="199"/>
      <c r="AE34" s="200"/>
      <c r="AF34" s="114"/>
      <c r="AG34" s="199"/>
      <c r="AH34" s="200"/>
      <c r="AI34" s="114"/>
      <c r="AJ34" s="11"/>
      <c r="AK34" s="11"/>
      <c r="AL34" s="11"/>
      <c r="AM34" s="11"/>
      <c r="AN34" s="11"/>
      <c r="AO34" s="11"/>
    </row>
    <row r="35" spans="1:41" x14ac:dyDescent="0.25">
      <c r="A35" s="93" t="s">
        <v>92</v>
      </c>
      <c r="B35" s="94" t="s">
        <v>93</v>
      </c>
      <c r="C35" s="94" t="s">
        <v>94</v>
      </c>
      <c r="D35" s="94" t="s">
        <v>95</v>
      </c>
      <c r="E35" s="94" t="s">
        <v>96</v>
      </c>
      <c r="F35" s="95" t="s">
        <v>97</v>
      </c>
      <c r="G35" s="11"/>
      <c r="H35" s="84" t="s">
        <v>260</v>
      </c>
      <c r="I35" s="118" t="str">
        <f>IF(_epmOfflineCondition_,"T5",_xll.EVPRO($B$1,$H35,"STYLE"))</f>
        <v>T5</v>
      </c>
      <c r="J35" s="118" t="str">
        <f>IF(_epmOfflineCondition_,"Y",_xll.EVPRO($B$1,$H35,"CALC"))</f>
        <v>Y</v>
      </c>
      <c r="K35" s="175" t="str">
        <f t="shared" ref="K35:K51" si="0">IF(AND(I35&gt;="T5"),"&gt;","")</f>
        <v>&gt;</v>
      </c>
      <c r="L35" s="86" t="str">
        <f>IF(_epmOfflineCondition_,"461100",_xll.EVPRO($B$1,H35,"JDEID"))</f>
        <v>461100</v>
      </c>
      <c r="M35" s="86" t="str">
        <f>IF(_epmOfflineCondition_,"",IF(AND(I35="N",J35="N"),_xll.EVPRO($B$1,H35,"PSFTID"),""))</f>
        <v/>
      </c>
      <c r="N35" s="86" t="str">
        <f>IF(_epmOfflineCondition_,"Breakfast Food",IF(_xll.EVDES(H35,$B$1)="#NODATA","",_xll.EVDES(H35,$B$1)))</f>
        <v>Breakfast Food</v>
      </c>
      <c r="O35" s="558"/>
      <c r="P35" s="559"/>
      <c r="Q35" s="559"/>
      <c r="R35" s="559"/>
      <c r="S35" s="559"/>
      <c r="T35" s="559"/>
      <c r="U35" s="559"/>
      <c r="V35" s="559"/>
      <c r="W35" s="559"/>
      <c r="X35" s="559"/>
      <c r="Y35" s="559">
        <v>1582</v>
      </c>
      <c r="Z35" s="559">
        <v>2452</v>
      </c>
      <c r="AA35" s="223">
        <f t="shared" ref="AA35:AA51" si="1">IF($I35="B1","",SUM(O35:Z35))</f>
        <v>4034</v>
      </c>
      <c r="AB35" s="560">
        <f t="shared" ref="AB35:AB51" si="2">IF(AA35=0,"",IFERROR(AA35/AA$19,""))</f>
        <v>0.27887311480668298</v>
      </c>
      <c r="AC35" s="455"/>
      <c r="AD35" s="559">
        <v>31423.014999999999</v>
      </c>
      <c r="AE35" s="560">
        <f t="shared" ref="AE35:AE51" si="3">IF(AD35=0,"",IFERROR(AD35/AD$19,""))</f>
        <v>0.31148534117357846</v>
      </c>
      <c r="AF35" s="561">
        <f t="shared" ref="AF35:AF51" si="4">IF(AND($AA35="",AD35=""),"",$AA35-AD35)</f>
        <v>-27389.014999999999</v>
      </c>
      <c r="AG35" s="559"/>
      <c r="AH35" s="560" t="str">
        <f t="shared" ref="AH35:AH51" si="5">IF(AG35=0,"",IFERROR(AG35/AG$19,""))</f>
        <v/>
      </c>
      <c r="AI35" s="562">
        <f t="shared" ref="AI35:AI51" si="6">IF(AND($AA35="",AG35=""),"",$AA35-AG35)</f>
        <v>4034</v>
      </c>
      <c r="AJ35" s="458">
        <f t="shared" ref="AJ35:AJ51" si="7">IFERROR(AA35/AA$20,0)</f>
        <v>7.1524822695035457</v>
      </c>
      <c r="AK35" s="459">
        <f t="shared" ref="AK35:AK51" si="8">IFERROR(AD35/AD$20,0)</f>
        <v>10.735570550051246</v>
      </c>
      <c r="AL35" s="460">
        <f t="shared" ref="AL35:AL51" si="9">IFERROR(AG35/AG$20,0)</f>
        <v>0</v>
      </c>
      <c r="AM35" s="461" t="str">
        <f t="shared" ref="AM35:AM51" si="10">+IFERROR(ROUND(($AB35-AE35)*100,2)&amp;" pts.",0)</f>
        <v>-3.26 pts.</v>
      </c>
      <c r="AN35" s="462">
        <f t="shared" ref="AN35:AN51" si="11">+IFERROR(ROUND(($AB35-AH35)*100,2)&amp;" pts.",0)</f>
        <v>0</v>
      </c>
      <c r="AO35" s="11"/>
    </row>
    <row r="36" spans="1:41" x14ac:dyDescent="0.25">
      <c r="A36" s="11"/>
      <c r="B36" s="11"/>
      <c r="C36" s="11"/>
      <c r="D36" s="11"/>
      <c r="E36" s="11"/>
      <c r="F36" s="11"/>
      <c r="G36" s="11"/>
      <c r="H36" s="84" t="s">
        <v>261</v>
      </c>
      <c r="I36" s="118" t="str">
        <f>IF(_epmOfflineCondition_,"T5",_xll.EVPRO($B$1,$H36,"STYLE"))</f>
        <v>T5</v>
      </c>
      <c r="J36" s="118" t="str">
        <f>IF(_epmOfflineCondition_,"Y",_xll.EVPRO($B$1,$H36,"CALC"))</f>
        <v>Y</v>
      </c>
      <c r="K36" s="175" t="str">
        <f t="shared" si="0"/>
        <v>&gt;</v>
      </c>
      <c r="L36" s="86" t="str">
        <f>IF(_epmOfflineCondition_,"462100",_xll.EVPRO($B$1,H36,"JDEID"))</f>
        <v>462100</v>
      </c>
      <c r="M36" s="86" t="str">
        <f>IF(_epmOfflineCondition_,"",IF(AND(I36="N",J36="N"),_xll.EVPRO($B$1,H36,"PSFTID"),""))</f>
        <v/>
      </c>
      <c r="N36" s="86" t="str">
        <f>IF(_epmOfflineCondition_,"Lunch Food",IF(_xll.EVDES(H36,$B$1)="#NODATA","",_xll.EVDES(H36,$B$1)))</f>
        <v>Lunch Food</v>
      </c>
      <c r="O36" s="558"/>
      <c r="P36" s="559"/>
      <c r="Q36" s="559"/>
      <c r="R36" s="559"/>
      <c r="S36" s="559"/>
      <c r="T36" s="559"/>
      <c r="U36" s="559"/>
      <c r="V36" s="559"/>
      <c r="W36" s="559"/>
      <c r="X36" s="559"/>
      <c r="Y36" s="559">
        <v>671</v>
      </c>
      <c r="Z36" s="559">
        <v>1309</v>
      </c>
      <c r="AA36" s="223">
        <f t="shared" si="1"/>
        <v>1980</v>
      </c>
      <c r="AB36" s="560">
        <f t="shared" si="2"/>
        <v>0.13687872268647305</v>
      </c>
      <c r="AC36" s="455"/>
      <c r="AD36" s="559">
        <v>6855.9480000000003</v>
      </c>
      <c r="AE36" s="560">
        <f t="shared" si="3"/>
        <v>6.7960611095030599E-2</v>
      </c>
      <c r="AF36" s="561">
        <f t="shared" si="4"/>
        <v>-4875.9480000000003</v>
      </c>
      <c r="AG36" s="559"/>
      <c r="AH36" s="560" t="str">
        <f t="shared" si="5"/>
        <v/>
      </c>
      <c r="AI36" s="562">
        <f t="shared" si="6"/>
        <v>1980</v>
      </c>
      <c r="AJ36" s="458">
        <f t="shared" si="7"/>
        <v>3.5106382978723403</v>
      </c>
      <c r="AK36" s="459">
        <f t="shared" si="8"/>
        <v>2.3423122651178683</v>
      </c>
      <c r="AL36" s="460">
        <f t="shared" si="9"/>
        <v>0</v>
      </c>
      <c r="AM36" s="461" t="str">
        <f t="shared" si="10"/>
        <v>6.89 pts.</v>
      </c>
      <c r="AN36" s="462">
        <f t="shared" si="11"/>
        <v>0</v>
      </c>
      <c r="AO36" s="11"/>
    </row>
    <row r="37" spans="1:41" x14ac:dyDescent="0.25">
      <c r="A37" s="11" t="s">
        <v>209</v>
      </c>
      <c r="B37" s="11" t="s">
        <v>21</v>
      </c>
      <c r="C37" s="391"/>
      <c r="D37" s="11" t="s">
        <v>590</v>
      </c>
      <c r="E37" s="11"/>
      <c r="F37" s="11" t="s">
        <v>99</v>
      </c>
      <c r="G37" s="11"/>
      <c r="H37" s="84" t="s">
        <v>262</v>
      </c>
      <c r="I37" s="118" t="str">
        <f>IF(_epmOfflineCondition_,"T5",_xll.EVPRO($B$1,$H37,"STYLE"))</f>
        <v>T5</v>
      </c>
      <c r="J37" s="118" t="str">
        <f>IF(_epmOfflineCondition_,"Y",_xll.EVPRO($B$1,$H37,"CALC"))</f>
        <v>Y</v>
      </c>
      <c r="K37" s="175" t="str">
        <f t="shared" si="0"/>
        <v>&gt;</v>
      </c>
      <c r="L37" s="86" t="str">
        <f>IF(_epmOfflineCondition_,"463100",_xll.EVPRO($B$1,H37,"JDEID"))</f>
        <v>463100</v>
      </c>
      <c r="M37" s="86" t="str">
        <f>IF(_epmOfflineCondition_,"",IF(AND(I37="N",J37="N"),_xll.EVPRO($B$1,H37,"PSFTID"),""))</f>
        <v/>
      </c>
      <c r="N37" s="86" t="str">
        <f>IF(_epmOfflineCondition_,"Dinner Food",IF(_xll.EVDES(H37,$B$1)="#NODATA","",_xll.EVDES(H37,$B$1)))</f>
        <v>Dinner Food</v>
      </c>
      <c r="O37" s="463"/>
      <c r="P37" s="229"/>
      <c r="Q37" s="229"/>
      <c r="R37" s="229"/>
      <c r="S37" s="229"/>
      <c r="T37" s="229"/>
      <c r="U37" s="229"/>
      <c r="V37" s="229"/>
      <c r="W37" s="229"/>
      <c r="X37" s="229"/>
      <c r="Y37" s="229">
        <v>1748</v>
      </c>
      <c r="Z37" s="229">
        <v>2425</v>
      </c>
      <c r="AA37" s="229">
        <f t="shared" si="1"/>
        <v>4173</v>
      </c>
      <c r="AB37" s="464">
        <f t="shared" si="2"/>
        <v>0.28848227766194551</v>
      </c>
      <c r="AC37" s="455"/>
      <c r="AD37" s="229">
        <v>15147.362999999999</v>
      </c>
      <c r="AE37" s="464">
        <f t="shared" si="3"/>
        <v>0.15015050376085931</v>
      </c>
      <c r="AF37" s="465">
        <f t="shared" si="4"/>
        <v>-10974.362999999999</v>
      </c>
      <c r="AG37" s="229"/>
      <c r="AH37" s="464" t="str">
        <f t="shared" si="5"/>
        <v/>
      </c>
      <c r="AI37" s="466">
        <f t="shared" si="6"/>
        <v>4173</v>
      </c>
      <c r="AJ37" s="467">
        <f t="shared" si="7"/>
        <v>7.3989361702127656</v>
      </c>
      <c r="AK37" s="468">
        <f t="shared" si="8"/>
        <v>5.1750471472497432</v>
      </c>
      <c r="AL37" s="469">
        <f t="shared" si="9"/>
        <v>0</v>
      </c>
      <c r="AM37" s="470" t="str">
        <f t="shared" si="10"/>
        <v>13.83 pts.</v>
      </c>
      <c r="AN37" s="471">
        <f t="shared" si="11"/>
        <v>0</v>
      </c>
      <c r="AO37" s="11"/>
    </row>
    <row r="38" spans="1:41" x14ac:dyDescent="0.25">
      <c r="A38" s="11" t="s">
        <v>105</v>
      </c>
      <c r="B38" s="11"/>
      <c r="C38" s="100" t="s">
        <v>101</v>
      </c>
      <c r="D38" s="11" t="s">
        <v>106</v>
      </c>
      <c r="E38" s="11"/>
      <c r="F38" s="11" t="s">
        <v>98</v>
      </c>
      <c r="G38" s="11"/>
      <c r="H38" s="84" t="s">
        <v>265</v>
      </c>
      <c r="I38" s="184" t="str">
        <f>IF(_epmOfflineCondition_,"T4",_xll.EVPRO($B$1,$H38,"STYLE"))</f>
        <v>T4</v>
      </c>
      <c r="J38" s="184" t="str">
        <f>IF(_epmOfflineCondition_,"Y",_xll.EVPRO($B$1,$H38,"CALC"))</f>
        <v>Y</v>
      </c>
      <c r="K38" s="185" t="str">
        <f t="shared" si="0"/>
        <v/>
      </c>
      <c r="L38" s="186" t="str">
        <f>IF(_epmOfflineCondition_,"",_xll.EVPRO($B$1,H38,"JDEID"))</f>
        <v/>
      </c>
      <c r="M38" s="186" t="str">
        <f>IF(_epmOfflineCondition_,"",IF(AND(I38="N",J38="N"),_xll.EVPRO($B$1,H38,"PSFTID"),""))</f>
        <v/>
      </c>
      <c r="N38" s="186" t="str">
        <f>IF(_epmOfflineCondition_,"Total Food Revenue",IF(_xll.EVDES(H38,$B$1)="#NODATA","",_xll.EVDES(H38,$B$1)))</f>
        <v>Total Food Revenue</v>
      </c>
      <c r="O38" s="472"/>
      <c r="P38" s="236"/>
      <c r="Q38" s="236"/>
      <c r="R38" s="236"/>
      <c r="S38" s="236"/>
      <c r="T38" s="236"/>
      <c r="U38" s="236"/>
      <c r="V38" s="236"/>
      <c r="W38" s="236"/>
      <c r="X38" s="236"/>
      <c r="Y38" s="236">
        <v>4001</v>
      </c>
      <c r="Z38" s="236">
        <v>6186</v>
      </c>
      <c r="AA38" s="236">
        <f t="shared" si="1"/>
        <v>10187</v>
      </c>
      <c r="AB38" s="237">
        <f t="shared" si="2"/>
        <v>0.70423411515510159</v>
      </c>
      <c r="AC38" s="238"/>
      <c r="AD38" s="236">
        <v>53426.326000000001</v>
      </c>
      <c r="AE38" s="237">
        <f t="shared" si="3"/>
        <v>0.52959645602946837</v>
      </c>
      <c r="AF38" s="239">
        <f t="shared" si="4"/>
        <v>-43239.326000000001</v>
      </c>
      <c r="AG38" s="236"/>
      <c r="AH38" s="237" t="str">
        <f t="shared" si="5"/>
        <v/>
      </c>
      <c r="AI38" s="473">
        <f t="shared" si="6"/>
        <v>10187</v>
      </c>
      <c r="AJ38" s="215">
        <f t="shared" si="7"/>
        <v>18.062056737588652</v>
      </c>
      <c r="AK38" s="216">
        <f t="shared" si="8"/>
        <v>18.252929962418857</v>
      </c>
      <c r="AL38" s="218">
        <f t="shared" si="9"/>
        <v>0</v>
      </c>
      <c r="AM38" s="423" t="str">
        <f t="shared" si="10"/>
        <v>17.46 pts.</v>
      </c>
      <c r="AN38" s="474">
        <f t="shared" si="11"/>
        <v>0</v>
      </c>
      <c r="AO38" s="11"/>
    </row>
    <row r="39" spans="1:41" x14ac:dyDescent="0.25">
      <c r="A39" s="11" t="s">
        <v>104</v>
      </c>
      <c r="B39" s="11"/>
      <c r="C39" s="100" t="s">
        <v>101</v>
      </c>
      <c r="D39" s="11" t="s">
        <v>106</v>
      </c>
      <c r="E39" s="11"/>
      <c r="F39" s="11" t="s">
        <v>98</v>
      </c>
      <c r="G39" s="11"/>
      <c r="H39" s="84" t="s">
        <v>266</v>
      </c>
      <c r="I39" s="184" t="str">
        <f>IF(_epmOfflineCondition_,"B1",_xll.EVPRO($B$1,$H39,"STYLE"))</f>
        <v>B1</v>
      </c>
      <c r="J39" s="184" t="str">
        <f>IF(_epmOfflineCondition_,"Y",_xll.EVPRO($B$1,$H39,"CALC"))</f>
        <v>Y</v>
      </c>
      <c r="K39" s="185" t="str">
        <f t="shared" si="0"/>
        <v/>
      </c>
      <c r="L39" s="186" t="str">
        <f>IF(_epmOfflineCondition_,"",_xll.EVPRO($B$1,H39,"JDEID"))</f>
        <v/>
      </c>
      <c r="M39" s="186" t="str">
        <f>IF(_epmOfflineCondition_,"",IF(AND(I39="N",J39="N"),_xll.EVPRO($B$1,H39,"PSFTID"),""))</f>
        <v/>
      </c>
      <c r="N39" s="186" t="str">
        <f>IF(_epmOfflineCondition_,"Beverage Revenue",IF(_xll.EVDES(H39,$B$1)="#NODATA","",_xll.EVDES(H39,$B$1)))</f>
        <v>Beverage Revenue</v>
      </c>
      <c r="O39" s="563"/>
      <c r="P39" s="240"/>
      <c r="Q39" s="240"/>
      <c r="R39" s="240"/>
      <c r="S39" s="240"/>
      <c r="T39" s="240"/>
      <c r="U39" s="240"/>
      <c r="V39" s="240"/>
      <c r="W39" s="240"/>
      <c r="X39" s="240"/>
      <c r="Y39" s="240"/>
      <c r="Z39" s="240"/>
      <c r="AA39" s="241" t="str">
        <f t="shared" si="1"/>
        <v/>
      </c>
      <c r="AB39" s="242" t="str">
        <f t="shared" si="2"/>
        <v/>
      </c>
      <c r="AC39" s="477"/>
      <c r="AD39" s="240"/>
      <c r="AE39" s="242" t="str">
        <f t="shared" si="3"/>
        <v/>
      </c>
      <c r="AF39" s="243" t="str">
        <f t="shared" si="4"/>
        <v/>
      </c>
      <c r="AG39" s="240"/>
      <c r="AH39" s="242" t="str">
        <f t="shared" si="5"/>
        <v/>
      </c>
      <c r="AI39" s="564" t="str">
        <f t="shared" si="6"/>
        <v/>
      </c>
      <c r="AJ39" s="244">
        <f t="shared" si="7"/>
        <v>0</v>
      </c>
      <c r="AK39" s="245">
        <f t="shared" si="8"/>
        <v>0</v>
      </c>
      <c r="AL39" s="247">
        <f t="shared" si="9"/>
        <v>0</v>
      </c>
      <c r="AM39" s="425">
        <f t="shared" si="10"/>
        <v>0</v>
      </c>
      <c r="AN39" s="480">
        <f t="shared" si="11"/>
        <v>0</v>
      </c>
      <c r="AO39" s="11"/>
    </row>
    <row r="40" spans="1:41" x14ac:dyDescent="0.25">
      <c r="A40" s="11" t="s">
        <v>100</v>
      </c>
      <c r="B40" s="11"/>
      <c r="C40" s="49" t="s">
        <v>101</v>
      </c>
      <c r="D40" s="11" t="s">
        <v>106</v>
      </c>
      <c r="E40" s="11"/>
      <c r="F40" s="11" t="s">
        <v>98</v>
      </c>
      <c r="G40" s="11"/>
      <c r="H40" s="84" t="s">
        <v>267</v>
      </c>
      <c r="I40" s="118" t="str">
        <f>IF(_epmOfflineCondition_,"T5",_xll.EVPRO($B$1,$H40,"STYLE"))</f>
        <v>T5</v>
      </c>
      <c r="J40" s="118" t="str">
        <f>IF(_epmOfflineCondition_,"Y",_xll.EVPRO($B$1,$H40,"CALC"))</f>
        <v>Y</v>
      </c>
      <c r="K40" s="175" t="str">
        <f t="shared" si="0"/>
        <v>&gt;</v>
      </c>
      <c r="L40" s="86" t="str">
        <f>IF(_epmOfflineCondition_,"",_xll.EVPRO($B$1,H40,"JDEID"))</f>
        <v/>
      </c>
      <c r="M40" s="86" t="str">
        <f>IF(_epmOfflineCondition_,"",IF(AND(I40="N",J40="N"),_xll.EVPRO($B$1,H40,"PSFTID"),""))</f>
        <v/>
      </c>
      <c r="N40" s="86" t="str">
        <f>IF(_epmOfflineCondition_,"Breakfast  Beverage Revenue",IF(_xll.EVDES(H40,$B$1)="#NODATA","",_xll.EVDES(H40,$B$1)))</f>
        <v>Breakfast  Beverage Revenue</v>
      </c>
      <c r="O40" s="558"/>
      <c r="P40" s="559"/>
      <c r="Q40" s="559"/>
      <c r="R40" s="559"/>
      <c r="S40" s="559"/>
      <c r="T40" s="559"/>
      <c r="U40" s="559"/>
      <c r="V40" s="559"/>
      <c r="W40" s="559"/>
      <c r="X40" s="559"/>
      <c r="Y40" s="559">
        <v>20</v>
      </c>
      <c r="Z40" s="559">
        <v>24</v>
      </c>
      <c r="AA40" s="223">
        <f t="shared" si="1"/>
        <v>44</v>
      </c>
      <c r="AB40" s="560">
        <f t="shared" si="2"/>
        <v>3.0417493930327347E-3</v>
      </c>
      <c r="AC40" s="455"/>
      <c r="AD40" s="559">
        <v>3221.9850000000001</v>
      </c>
      <c r="AE40" s="560">
        <f t="shared" si="3"/>
        <v>3.1938408742164054E-2</v>
      </c>
      <c r="AF40" s="561">
        <f t="shared" si="4"/>
        <v>-3177.9850000000001</v>
      </c>
      <c r="AG40" s="559"/>
      <c r="AH40" s="560" t="str">
        <f t="shared" si="5"/>
        <v/>
      </c>
      <c r="AI40" s="562">
        <f t="shared" si="6"/>
        <v>44</v>
      </c>
      <c r="AJ40" s="458">
        <f t="shared" si="7"/>
        <v>7.8014184397163122E-2</v>
      </c>
      <c r="AK40" s="459">
        <f t="shared" si="8"/>
        <v>1.1007806627946704</v>
      </c>
      <c r="AL40" s="460">
        <f t="shared" si="9"/>
        <v>0</v>
      </c>
      <c r="AM40" s="461" t="str">
        <f t="shared" si="10"/>
        <v>-2.89 pts.</v>
      </c>
      <c r="AN40" s="462">
        <f t="shared" si="11"/>
        <v>0</v>
      </c>
      <c r="AO40" s="11"/>
    </row>
    <row r="41" spans="1:41" x14ac:dyDescent="0.25">
      <c r="A41" s="11" t="s">
        <v>102</v>
      </c>
      <c r="B41" s="11"/>
      <c r="C41" s="102" t="s">
        <v>101</v>
      </c>
      <c r="D41" s="11" t="s">
        <v>106</v>
      </c>
      <c r="E41" s="11"/>
      <c r="F41" s="11" t="s">
        <v>98</v>
      </c>
      <c r="G41" s="11"/>
      <c r="H41" s="84" t="s">
        <v>268</v>
      </c>
      <c r="I41" s="118" t="str">
        <f>IF(_epmOfflineCondition_,"T5",_xll.EVPRO($B$1,$H41,"STYLE"))</f>
        <v>T5</v>
      </c>
      <c r="J41" s="118" t="str">
        <f>IF(_epmOfflineCondition_,"Y",_xll.EVPRO($B$1,$H41,"CALC"))</f>
        <v>Y</v>
      </c>
      <c r="K41" s="175" t="str">
        <f t="shared" si="0"/>
        <v>&gt;</v>
      </c>
      <c r="L41" s="86" t="str">
        <f>IF(_epmOfflineCondition_,"",_xll.EVPRO($B$1,H41,"JDEID"))</f>
        <v/>
      </c>
      <c r="M41" s="86" t="str">
        <f>IF(_epmOfflineCondition_,"",IF(AND(I41="N",J41="N"),_xll.EVPRO($B$1,H41,"PSFTID"),""))</f>
        <v/>
      </c>
      <c r="N41" s="86" t="str">
        <f>IF(_epmOfflineCondition_,"Lunch Beverage Revenue",IF(_xll.EVDES(H41,$B$1)="#NODATA","",_xll.EVDES(H41,$B$1)))</f>
        <v>Lunch Beverage Revenue</v>
      </c>
      <c r="O41" s="558"/>
      <c r="P41" s="559"/>
      <c r="Q41" s="559"/>
      <c r="R41" s="559"/>
      <c r="S41" s="559"/>
      <c r="T41" s="559"/>
      <c r="U41" s="559"/>
      <c r="V41" s="559"/>
      <c r="W41" s="559"/>
      <c r="X41" s="559"/>
      <c r="Y41" s="559">
        <v>62</v>
      </c>
      <c r="Z41" s="559">
        <v>226</v>
      </c>
      <c r="AA41" s="223">
        <f t="shared" si="1"/>
        <v>288</v>
      </c>
      <c r="AB41" s="560">
        <f t="shared" si="2"/>
        <v>1.9909632390759716E-2</v>
      </c>
      <c r="AC41" s="455"/>
      <c r="AD41" s="559">
        <v>5024.0519999999997</v>
      </c>
      <c r="AE41" s="560">
        <f t="shared" si="3"/>
        <v>4.9801667704190672E-2</v>
      </c>
      <c r="AF41" s="561">
        <f t="shared" si="4"/>
        <v>-4736.0519999999997</v>
      </c>
      <c r="AG41" s="559"/>
      <c r="AH41" s="560" t="str">
        <f t="shared" si="5"/>
        <v/>
      </c>
      <c r="AI41" s="562">
        <f t="shared" si="6"/>
        <v>288</v>
      </c>
      <c r="AJ41" s="458">
        <f t="shared" si="7"/>
        <v>0.51063829787234039</v>
      </c>
      <c r="AK41" s="459">
        <f t="shared" si="8"/>
        <v>1.7164509736932012</v>
      </c>
      <c r="AL41" s="460">
        <f t="shared" si="9"/>
        <v>0</v>
      </c>
      <c r="AM41" s="461" t="str">
        <f t="shared" si="10"/>
        <v>-2.99 pts.</v>
      </c>
      <c r="AN41" s="462">
        <f t="shared" si="11"/>
        <v>0</v>
      </c>
      <c r="AO41" s="11"/>
    </row>
    <row r="42" spans="1:41" x14ac:dyDescent="0.25">
      <c r="A42" s="11" t="s">
        <v>102</v>
      </c>
      <c r="B42" s="11"/>
      <c r="C42" s="192" t="s">
        <v>101</v>
      </c>
      <c r="D42" s="11" t="s">
        <v>107</v>
      </c>
      <c r="E42" s="11"/>
      <c r="F42" s="11" t="s">
        <v>99</v>
      </c>
      <c r="G42" s="11"/>
      <c r="H42" s="84" t="s">
        <v>269</v>
      </c>
      <c r="I42" s="118" t="str">
        <f>IF(_epmOfflineCondition_,"T5",_xll.EVPRO($B$1,$H42,"STYLE"))</f>
        <v>T5</v>
      </c>
      <c r="J42" s="118" t="str">
        <f>IF(_epmOfflineCondition_,"Y",_xll.EVPRO($B$1,$H42,"CALC"))</f>
        <v>Y</v>
      </c>
      <c r="K42" s="175" t="str">
        <f t="shared" si="0"/>
        <v>&gt;</v>
      </c>
      <c r="L42" s="86" t="str">
        <f>IF(_epmOfflineCondition_,"",_xll.EVPRO($B$1,H42,"JDEID"))</f>
        <v/>
      </c>
      <c r="M42" s="86" t="str">
        <f>IF(_epmOfflineCondition_,"",IF(AND(I42="N",J42="N"),_xll.EVPRO($B$1,H42,"PSFTID"),""))</f>
        <v/>
      </c>
      <c r="N42" s="86" t="str">
        <f>IF(_epmOfflineCondition_,"Dinner Beverage Revenue",IF(_xll.EVDES(H42,$B$1)="#NODATA","",_xll.EVDES(H42,$B$1)))</f>
        <v>Dinner Beverage Revenue</v>
      </c>
      <c r="O42" s="463"/>
      <c r="P42" s="229"/>
      <c r="Q42" s="229"/>
      <c r="R42" s="229"/>
      <c r="S42" s="229"/>
      <c r="T42" s="229"/>
      <c r="U42" s="229"/>
      <c r="V42" s="229"/>
      <c r="W42" s="229"/>
      <c r="X42" s="229"/>
      <c r="Y42" s="229">
        <v>275</v>
      </c>
      <c r="Z42" s="229">
        <v>321</v>
      </c>
      <c r="AA42" s="229">
        <f t="shared" si="1"/>
        <v>596</v>
      </c>
      <c r="AB42" s="464">
        <f t="shared" si="2"/>
        <v>4.1201878141988862E-2</v>
      </c>
      <c r="AC42" s="455"/>
      <c r="AD42" s="229">
        <v>11417.637000000001</v>
      </c>
      <c r="AE42" s="464">
        <f t="shared" si="3"/>
        <v>0.1131790363318438</v>
      </c>
      <c r="AF42" s="465">
        <f t="shared" si="4"/>
        <v>-10821.637000000001</v>
      </c>
      <c r="AG42" s="229"/>
      <c r="AH42" s="464" t="str">
        <f t="shared" si="5"/>
        <v/>
      </c>
      <c r="AI42" s="466">
        <f t="shared" si="6"/>
        <v>596</v>
      </c>
      <c r="AJ42" s="467">
        <f t="shared" si="7"/>
        <v>1.0567375886524824</v>
      </c>
      <c r="AK42" s="468">
        <f t="shared" si="8"/>
        <v>3.9007984284250088</v>
      </c>
      <c r="AL42" s="469">
        <f t="shared" si="9"/>
        <v>0</v>
      </c>
      <c r="AM42" s="470" t="str">
        <f t="shared" si="10"/>
        <v>-7.2 pts.</v>
      </c>
      <c r="AN42" s="471">
        <f t="shared" si="11"/>
        <v>0</v>
      </c>
      <c r="AO42" s="11"/>
    </row>
    <row r="43" spans="1:41" x14ac:dyDescent="0.25">
      <c r="A43" s="11" t="s">
        <v>108</v>
      </c>
      <c r="B43" s="11"/>
      <c r="C43" s="102" t="s">
        <v>101</v>
      </c>
      <c r="D43" s="11" t="s">
        <v>106</v>
      </c>
      <c r="E43" s="11"/>
      <c r="F43" s="11" t="s">
        <v>98</v>
      </c>
      <c r="G43" s="11"/>
      <c r="H43" s="84" t="s">
        <v>272</v>
      </c>
      <c r="I43" s="184" t="str">
        <f>IF(_epmOfflineCondition_,"T4",_xll.EVPRO($B$1,$H43,"STYLE"))</f>
        <v>T4</v>
      </c>
      <c r="J43" s="184" t="str">
        <f>IF(_epmOfflineCondition_,"Y",_xll.EVPRO($B$1,$H43,"CALC"))</f>
        <v>Y</v>
      </c>
      <c r="K43" s="185" t="str">
        <f t="shared" si="0"/>
        <v/>
      </c>
      <c r="L43" s="186" t="str">
        <f>IF(_epmOfflineCondition_,"",_xll.EVPRO($B$1,H43,"JDEID"))</f>
        <v/>
      </c>
      <c r="M43" s="186" t="str">
        <f>IF(_epmOfflineCondition_,"",IF(AND(I43="N",J43="N"),_xll.EVPRO($B$1,H43,"PSFTID"),""))</f>
        <v/>
      </c>
      <c r="N43" s="186" t="str">
        <f>IF(_epmOfflineCondition_,"Total Beverage Revenue",IF(_xll.EVDES(H43,$B$1)="#NODATA","",_xll.EVDES(H43,$B$1)))</f>
        <v>Total Beverage Revenue</v>
      </c>
      <c r="O43" s="472"/>
      <c r="P43" s="236"/>
      <c r="Q43" s="236"/>
      <c r="R43" s="236"/>
      <c r="S43" s="236"/>
      <c r="T43" s="236"/>
      <c r="U43" s="236"/>
      <c r="V43" s="236"/>
      <c r="W43" s="236"/>
      <c r="X43" s="236"/>
      <c r="Y43" s="236">
        <v>357</v>
      </c>
      <c r="Z43" s="236">
        <v>571</v>
      </c>
      <c r="AA43" s="236">
        <f t="shared" si="1"/>
        <v>928</v>
      </c>
      <c r="AB43" s="237">
        <f t="shared" si="2"/>
        <v>6.4153259925781317E-2</v>
      </c>
      <c r="AC43" s="238"/>
      <c r="AD43" s="236">
        <v>19663.673999999999</v>
      </c>
      <c r="AE43" s="237">
        <f t="shared" si="3"/>
        <v>0.19491911277819851</v>
      </c>
      <c r="AF43" s="239">
        <f t="shared" si="4"/>
        <v>-18735.673999999999</v>
      </c>
      <c r="AG43" s="236"/>
      <c r="AH43" s="237" t="str">
        <f t="shared" si="5"/>
        <v/>
      </c>
      <c r="AI43" s="473">
        <f t="shared" si="6"/>
        <v>928</v>
      </c>
      <c r="AJ43" s="215">
        <f t="shared" si="7"/>
        <v>1.6453900709219857</v>
      </c>
      <c r="AK43" s="216">
        <f t="shared" si="8"/>
        <v>6.7180300649128801</v>
      </c>
      <c r="AL43" s="218">
        <f t="shared" si="9"/>
        <v>0</v>
      </c>
      <c r="AM43" s="423" t="str">
        <f t="shared" si="10"/>
        <v>-13.08 pts.</v>
      </c>
      <c r="AN43" s="474">
        <f t="shared" si="11"/>
        <v>0</v>
      </c>
      <c r="AO43" s="11"/>
    </row>
    <row r="44" spans="1:41" x14ac:dyDescent="0.25">
      <c r="A44" s="11" t="s">
        <v>108</v>
      </c>
      <c r="B44" s="11"/>
      <c r="C44" s="192" t="s">
        <v>101</v>
      </c>
      <c r="D44" s="11" t="s">
        <v>107</v>
      </c>
      <c r="E44" s="11"/>
      <c r="F44" s="11" t="s">
        <v>99</v>
      </c>
      <c r="G44" s="11"/>
      <c r="H44" s="84" t="s">
        <v>486</v>
      </c>
      <c r="I44" s="118" t="str">
        <f>IF(_epmOfflineCondition_,"T5",_xll.EVPRO($B$1,$H44,"STYLE"))</f>
        <v>T5</v>
      </c>
      <c r="J44" s="118" t="str">
        <f>IF(_epmOfflineCondition_,"Y",_xll.EVPRO($B$1,$H44,"CALC"))</f>
        <v>Y</v>
      </c>
      <c r="K44" s="175" t="str">
        <f t="shared" si="0"/>
        <v>&gt;</v>
      </c>
      <c r="L44" s="86" t="str">
        <f>IF(_epmOfflineCondition_,"",_xll.EVPRO($B$1,H44,"JDEID"))</f>
        <v/>
      </c>
      <c r="M44" s="86" t="str">
        <f>IF(_epmOfflineCondition_,"",IF(AND(I44="N",J44="N"),_xll.EVPRO($B$1,H44,"PSFTID"),""))</f>
        <v/>
      </c>
      <c r="N44" s="86" t="str">
        <f>IF(_epmOfflineCondition_,"Food &amp; Beverage: Allowances",IF(_xll.EVDES(H44,$B$1)="#NODATA","",_xll.EVDES(H44,$B$1)))</f>
        <v>Food &amp; Beverage: Allowances</v>
      </c>
      <c r="O44" s="530"/>
      <c r="P44" s="248"/>
      <c r="Q44" s="248"/>
      <c r="R44" s="248"/>
      <c r="S44" s="248"/>
      <c r="T44" s="248"/>
      <c r="U44" s="248"/>
      <c r="V44" s="248"/>
      <c r="W44" s="248"/>
      <c r="X44" s="248"/>
      <c r="Y44" s="248"/>
      <c r="Z44" s="248"/>
      <c r="AA44" s="248">
        <f t="shared" si="1"/>
        <v>0</v>
      </c>
      <c r="AB44" s="249" t="str">
        <f t="shared" si="2"/>
        <v/>
      </c>
      <c r="AC44" s="477"/>
      <c r="AD44" s="248"/>
      <c r="AE44" s="249" t="str">
        <f t="shared" si="3"/>
        <v/>
      </c>
      <c r="AF44" s="250">
        <f t="shared" si="4"/>
        <v>0</v>
      </c>
      <c r="AG44" s="248"/>
      <c r="AH44" s="249" t="str">
        <f t="shared" si="5"/>
        <v/>
      </c>
      <c r="AI44" s="531">
        <f t="shared" si="6"/>
        <v>0</v>
      </c>
      <c r="AJ44" s="532">
        <f t="shared" si="7"/>
        <v>0</v>
      </c>
      <c r="AK44" s="533">
        <f t="shared" si="8"/>
        <v>0</v>
      </c>
      <c r="AL44" s="534">
        <f t="shared" si="9"/>
        <v>0</v>
      </c>
      <c r="AM44" s="535">
        <f t="shared" si="10"/>
        <v>0</v>
      </c>
      <c r="AN44" s="536">
        <f t="shared" si="11"/>
        <v>0</v>
      </c>
      <c r="AO44" s="11"/>
    </row>
    <row r="45" spans="1:41" x14ac:dyDescent="0.25">
      <c r="A45" s="11"/>
      <c r="B45" s="11"/>
      <c r="C45" s="11"/>
      <c r="D45" s="11"/>
      <c r="E45" s="11"/>
      <c r="F45" s="11"/>
      <c r="G45" s="11"/>
      <c r="H45" s="84" t="s">
        <v>273</v>
      </c>
      <c r="I45" s="184" t="str">
        <f>IF(_epmOfflineCondition_,"T4",_xll.EVPRO($B$1,$H45,"STYLE"))</f>
        <v>T4</v>
      </c>
      <c r="J45" s="184" t="str">
        <f>IF(_epmOfflineCondition_,"Y",_xll.EVPRO($B$1,$H45,"CALC"))</f>
        <v>Y</v>
      </c>
      <c r="K45" s="185" t="str">
        <f t="shared" si="0"/>
        <v/>
      </c>
      <c r="L45" s="186" t="str">
        <f>IF(_epmOfflineCondition_,"",_xll.EVPRO($B$1,H45,"JDEID"))</f>
        <v/>
      </c>
      <c r="M45" s="186" t="str">
        <f>IF(_epmOfflineCondition_,"",IF(AND(I45="N",J45="N"),_xll.EVPRO($B$1,H45,"PSFTID"),""))</f>
        <v/>
      </c>
      <c r="N45" s="186" t="str">
        <f>IF(_epmOfflineCondition_,"Total Food &amp; Beverage Revenue",IF(_xll.EVDES(H45,$B$1)="#NODATA","",_xll.EVDES(H45,$B$1)))</f>
        <v>Total Food &amp; Beverage Revenue</v>
      </c>
      <c r="O45" s="472"/>
      <c r="P45" s="236"/>
      <c r="Q45" s="236"/>
      <c r="R45" s="236"/>
      <c r="S45" s="236"/>
      <c r="T45" s="236"/>
      <c r="U45" s="236"/>
      <c r="V45" s="236"/>
      <c r="W45" s="236"/>
      <c r="X45" s="236"/>
      <c r="Y45" s="236">
        <v>4358</v>
      </c>
      <c r="Z45" s="236">
        <v>6757</v>
      </c>
      <c r="AA45" s="236">
        <f t="shared" si="1"/>
        <v>11115</v>
      </c>
      <c r="AB45" s="237">
        <f t="shared" si="2"/>
        <v>0.76838737508088284</v>
      </c>
      <c r="AC45" s="238"/>
      <c r="AD45" s="236">
        <v>73090</v>
      </c>
      <c r="AE45" s="237">
        <f t="shared" si="3"/>
        <v>0.72451556880766688</v>
      </c>
      <c r="AF45" s="239">
        <f t="shared" si="4"/>
        <v>-61975</v>
      </c>
      <c r="AG45" s="236"/>
      <c r="AH45" s="237" t="str">
        <f t="shared" si="5"/>
        <v/>
      </c>
      <c r="AI45" s="473">
        <f t="shared" si="6"/>
        <v>11115</v>
      </c>
      <c r="AJ45" s="215">
        <f t="shared" si="7"/>
        <v>19.707446808510639</v>
      </c>
      <c r="AK45" s="216">
        <f t="shared" si="8"/>
        <v>24.970960027331738</v>
      </c>
      <c r="AL45" s="218">
        <f t="shared" si="9"/>
        <v>0</v>
      </c>
      <c r="AM45" s="423" t="str">
        <f t="shared" si="10"/>
        <v>4.39 pts.</v>
      </c>
      <c r="AN45" s="474">
        <f t="shared" si="11"/>
        <v>0</v>
      </c>
      <c r="AO45" s="11"/>
    </row>
    <row r="46" spans="1:41" x14ac:dyDescent="0.25">
      <c r="A46" s="11"/>
      <c r="B46" s="11"/>
      <c r="C46" s="11"/>
      <c r="D46" s="11"/>
      <c r="E46" s="11"/>
      <c r="F46" s="11"/>
      <c r="G46" s="11"/>
      <c r="H46" s="84" t="s">
        <v>279</v>
      </c>
      <c r="I46" s="184" t="str">
        <f>IF(_epmOfflineCondition_,"B1",_xll.EVPRO($B$1,$H46,"STYLE"))</f>
        <v>B1</v>
      </c>
      <c r="J46" s="184" t="str">
        <f>IF(_epmOfflineCondition_,"Y",_xll.EVPRO($B$1,$H46,"CALC"))</f>
        <v>Y</v>
      </c>
      <c r="K46" s="185" t="str">
        <f t="shared" si="0"/>
        <v/>
      </c>
      <c r="L46" s="186" t="str">
        <f>IF(_epmOfflineCondition_,"",_xll.EVPRO($B$1,H46,"JDEID"))</f>
        <v/>
      </c>
      <c r="M46" s="186" t="str">
        <f>IF(_epmOfflineCondition_,"",IF(AND(I46="N",J46="N"),_xll.EVPRO($B$1,H46,"PSFTID"),""))</f>
        <v/>
      </c>
      <c r="N46" s="186" t="str">
        <f>IF(_epmOfflineCondition_,"Other Revenue",IF(_xll.EVDES(H46,$B$1)="#NODATA","",_xll.EVDES(H46,$B$1)))</f>
        <v>Other Revenue</v>
      </c>
      <c r="O46" s="563"/>
      <c r="P46" s="240"/>
      <c r="Q46" s="240"/>
      <c r="R46" s="240"/>
      <c r="S46" s="240"/>
      <c r="T46" s="240"/>
      <c r="U46" s="240"/>
      <c r="V46" s="240"/>
      <c r="W46" s="240"/>
      <c r="X46" s="240"/>
      <c r="Y46" s="240"/>
      <c r="Z46" s="240"/>
      <c r="AA46" s="241" t="str">
        <f t="shared" si="1"/>
        <v/>
      </c>
      <c r="AB46" s="242" t="str">
        <f t="shared" si="2"/>
        <v/>
      </c>
      <c r="AC46" s="477"/>
      <c r="AD46" s="240"/>
      <c r="AE46" s="242" t="str">
        <f t="shared" si="3"/>
        <v/>
      </c>
      <c r="AF46" s="243" t="str">
        <f t="shared" si="4"/>
        <v/>
      </c>
      <c r="AG46" s="240"/>
      <c r="AH46" s="242" t="str">
        <f t="shared" si="5"/>
        <v/>
      </c>
      <c r="AI46" s="564" t="str">
        <f t="shared" si="6"/>
        <v/>
      </c>
      <c r="AJ46" s="244">
        <f t="shared" si="7"/>
        <v>0</v>
      </c>
      <c r="AK46" s="245">
        <f t="shared" si="8"/>
        <v>0</v>
      </c>
      <c r="AL46" s="247">
        <f t="shared" si="9"/>
        <v>0</v>
      </c>
      <c r="AM46" s="425">
        <f t="shared" si="10"/>
        <v>0</v>
      </c>
      <c r="AN46" s="480">
        <f t="shared" si="11"/>
        <v>0</v>
      </c>
      <c r="AO46" s="11"/>
    </row>
    <row r="47" spans="1:41" x14ac:dyDescent="0.25">
      <c r="A47" s="56" t="str">
        <f>IF(_epmOfflineCondition_,"Evdre:Ok",_xll.EVDRE($B$1,A50:B57,A60:B66))</f>
        <v>Evdre:Ok</v>
      </c>
      <c r="B47" s="11"/>
      <c r="C47" s="11"/>
      <c r="D47" s="11"/>
      <c r="E47" s="11"/>
      <c r="F47" s="11"/>
      <c r="G47" s="11"/>
      <c r="H47" s="84" t="s">
        <v>282</v>
      </c>
      <c r="I47" s="118" t="str">
        <f>IF(_epmOfflineCondition_,"T5",_xll.EVPRO($B$1,$H47,"STYLE"))</f>
        <v>T5</v>
      </c>
      <c r="J47" s="118" t="str">
        <f>IF(_epmOfflineCondition_,"Y",_xll.EVPRO($B$1,$H47,"CALC"))</f>
        <v>Y</v>
      </c>
      <c r="K47" s="175" t="str">
        <f t="shared" si="0"/>
        <v>&gt;</v>
      </c>
      <c r="L47" s="86" t="str">
        <f>IF(_epmOfflineCondition_,"",_xll.EVPRO($B$1,H47,"JDEID"))</f>
        <v/>
      </c>
      <c r="M47" s="86" t="str">
        <f>IF(_epmOfflineCondition_,"",IF(AND(I47="N",J47="N"),_xll.EVPRO($B$1,H47,"PSFTID"),""))</f>
        <v/>
      </c>
      <c r="N47" s="86" t="str">
        <f>IF(_epmOfflineCondition_,"Surcharges &amp; Services Charges",IF(_xll.EVDES(H47,$B$1)="#NODATA","",_xll.EVDES(H47,$B$1)))</f>
        <v>Surcharges &amp; Services Charges</v>
      </c>
      <c r="O47" s="558"/>
      <c r="P47" s="559"/>
      <c r="Q47" s="559"/>
      <c r="R47" s="559"/>
      <c r="S47" s="559"/>
      <c r="T47" s="559"/>
      <c r="U47" s="559"/>
      <c r="V47" s="559"/>
      <c r="W47" s="559"/>
      <c r="X47" s="559"/>
      <c r="Y47" s="559">
        <v>1319.44</v>
      </c>
      <c r="Z47" s="559">
        <v>2030.92</v>
      </c>
      <c r="AA47" s="223">
        <f t="shared" si="1"/>
        <v>3350.36</v>
      </c>
      <c r="AB47" s="560">
        <f t="shared" si="2"/>
        <v>0.2316126249191171</v>
      </c>
      <c r="AC47" s="455"/>
      <c r="AD47" s="559">
        <v>27791.200000000001</v>
      </c>
      <c r="AE47" s="560">
        <f t="shared" si="3"/>
        <v>0.27548443119233318</v>
      </c>
      <c r="AF47" s="561">
        <f t="shared" si="4"/>
        <v>-24440.84</v>
      </c>
      <c r="AG47" s="559"/>
      <c r="AH47" s="560" t="str">
        <f t="shared" si="5"/>
        <v/>
      </c>
      <c r="AI47" s="562">
        <f t="shared" si="6"/>
        <v>3350.36</v>
      </c>
      <c r="AJ47" s="458">
        <f t="shared" si="7"/>
        <v>5.940354609929078</v>
      </c>
      <c r="AK47" s="459">
        <f t="shared" si="8"/>
        <v>9.4947728049197124</v>
      </c>
      <c r="AL47" s="460">
        <f t="shared" si="9"/>
        <v>0</v>
      </c>
      <c r="AM47" s="461" t="str">
        <f t="shared" si="10"/>
        <v>-4.39 pts.</v>
      </c>
      <c r="AN47" s="462">
        <f t="shared" si="11"/>
        <v>0</v>
      </c>
      <c r="AO47" s="11"/>
    </row>
    <row r="48" spans="1:41" x14ac:dyDescent="0.25">
      <c r="A48" s="11"/>
      <c r="B48" s="11"/>
      <c r="C48" s="11"/>
      <c r="D48" s="11"/>
      <c r="E48" s="11"/>
      <c r="F48" s="11"/>
      <c r="G48" s="11"/>
      <c r="H48" s="84" t="s">
        <v>283</v>
      </c>
      <c r="I48" s="118" t="str">
        <f>IF(_epmOfflineCondition_,"T5",_xll.EVPRO($B$1,$H48,"STYLE"))</f>
        <v>T5</v>
      </c>
      <c r="J48" s="118" t="str">
        <f>IF(_epmOfflineCondition_,"Y",_xll.EVPRO($B$1,$H48,"CALC"))</f>
        <v>Y</v>
      </c>
      <c r="K48" s="175" t="str">
        <f t="shared" si="0"/>
        <v>&gt;</v>
      </c>
      <c r="L48" s="86" t="str">
        <f>IF(_epmOfflineCondition_,"",_xll.EVPRO($B$1,H48,"JDEID"))</f>
        <v/>
      </c>
      <c r="M48" s="86" t="str">
        <f>IF(_epmOfflineCondition_,"",IF(AND(I48="N",J48="N"),_xll.EVPRO($B$1,H48,"PSFTID"),""))</f>
        <v/>
      </c>
      <c r="N48" s="86" t="str">
        <f>IF(_epmOfflineCondition_,"Miscellaneous Other Revenue",IF(_xll.EVDES(H48,$B$1)="#NODATA","",_xll.EVDES(H48,$B$1)))</f>
        <v>Miscellaneous Other Revenue</v>
      </c>
      <c r="O48" s="558"/>
      <c r="P48" s="559"/>
      <c r="Q48" s="559"/>
      <c r="R48" s="559"/>
      <c r="S48" s="559"/>
      <c r="T48" s="559"/>
      <c r="U48" s="559"/>
      <c r="V48" s="559"/>
      <c r="W48" s="559"/>
      <c r="X48" s="559"/>
      <c r="Y48" s="559"/>
      <c r="Z48" s="559"/>
      <c r="AA48" s="223">
        <f t="shared" si="1"/>
        <v>0</v>
      </c>
      <c r="AB48" s="560" t="str">
        <f t="shared" si="2"/>
        <v/>
      </c>
      <c r="AC48" s="455"/>
      <c r="AD48" s="559"/>
      <c r="AE48" s="560" t="str">
        <f t="shared" si="3"/>
        <v/>
      </c>
      <c r="AF48" s="561">
        <f t="shared" si="4"/>
        <v>0</v>
      </c>
      <c r="AG48" s="559"/>
      <c r="AH48" s="560" t="str">
        <f t="shared" si="5"/>
        <v/>
      </c>
      <c r="AI48" s="562">
        <f t="shared" si="6"/>
        <v>0</v>
      </c>
      <c r="AJ48" s="458">
        <f t="shared" si="7"/>
        <v>0</v>
      </c>
      <c r="AK48" s="459">
        <f t="shared" si="8"/>
        <v>0</v>
      </c>
      <c r="AL48" s="460">
        <f t="shared" si="9"/>
        <v>0</v>
      </c>
      <c r="AM48" s="461">
        <f t="shared" si="10"/>
        <v>0</v>
      </c>
      <c r="AN48" s="462">
        <f t="shared" si="11"/>
        <v>0</v>
      </c>
      <c r="AO48" s="11"/>
    </row>
    <row r="49" spans="1:41" x14ac:dyDescent="0.25">
      <c r="A49" s="57" t="s">
        <v>0</v>
      </c>
      <c r="B49" s="58" t="s">
        <v>1</v>
      </c>
      <c r="C49" s="11"/>
      <c r="D49" s="11"/>
      <c r="E49" s="11"/>
      <c r="F49" s="11"/>
      <c r="G49" s="11"/>
      <c r="H49" s="84" t="s">
        <v>473</v>
      </c>
      <c r="I49" s="118" t="str">
        <f>IF(_epmOfflineCondition_,"N",_xll.EVPRO($B$1,$H49,"STYLE"))</f>
        <v>N</v>
      </c>
      <c r="J49" s="118" t="str">
        <f>IF(_epmOfflineCondition_,"N",_xll.EVPRO($B$1,$H49,"CALC"))</f>
        <v>N</v>
      </c>
      <c r="K49" s="175" t="str">
        <f t="shared" si="0"/>
        <v/>
      </c>
      <c r="L49" s="86" t="str">
        <f>IF(_epmOfflineCondition_,"468990",_xll.EVPRO($B$1,H49,"JDEID"))</f>
        <v>468990</v>
      </c>
      <c r="M49" s="86" t="str">
        <f>IF(_epmOfflineCondition_,"206022",IF(AND(I49="N",J49="N"),_xll.EVPRO($B$1,H49,"PSFTID"),""))</f>
        <v>206022</v>
      </c>
      <c r="N49" s="86" t="str">
        <f>IF(_epmOfflineCondition_,"Other Revenue: Allowances",IF(_xll.EVDES(H49,$B$1)="#NODATA","",_xll.EVDES(H49,$B$1)))</f>
        <v>Other Revenue: Allowances</v>
      </c>
      <c r="O49" s="463"/>
      <c r="P49" s="229"/>
      <c r="Q49" s="229"/>
      <c r="R49" s="229"/>
      <c r="S49" s="229"/>
      <c r="T49" s="229"/>
      <c r="U49" s="229"/>
      <c r="V49" s="229"/>
      <c r="W49" s="229"/>
      <c r="X49" s="229"/>
      <c r="Y49" s="229"/>
      <c r="Z49" s="229"/>
      <c r="AA49" s="229">
        <f t="shared" si="1"/>
        <v>0</v>
      </c>
      <c r="AB49" s="464" t="str">
        <f t="shared" si="2"/>
        <v/>
      </c>
      <c r="AC49" s="455"/>
      <c r="AD49" s="229"/>
      <c r="AE49" s="464" t="str">
        <f t="shared" si="3"/>
        <v/>
      </c>
      <c r="AF49" s="465">
        <f t="shared" si="4"/>
        <v>0</v>
      </c>
      <c r="AG49" s="229"/>
      <c r="AH49" s="464" t="str">
        <f t="shared" si="5"/>
        <v/>
      </c>
      <c r="AI49" s="466">
        <f t="shared" si="6"/>
        <v>0</v>
      </c>
      <c r="AJ49" s="467">
        <f t="shared" si="7"/>
        <v>0</v>
      </c>
      <c r="AK49" s="468">
        <f t="shared" si="8"/>
        <v>0</v>
      </c>
      <c r="AL49" s="469">
        <f t="shared" si="9"/>
        <v>0</v>
      </c>
      <c r="AM49" s="470">
        <f t="shared" si="10"/>
        <v>0</v>
      </c>
      <c r="AN49" s="471">
        <f t="shared" si="11"/>
        <v>0</v>
      </c>
      <c r="AO49" s="11"/>
    </row>
    <row r="50" spans="1:41" x14ac:dyDescent="0.25">
      <c r="A50" s="61" t="s">
        <v>2</v>
      </c>
      <c r="B50" s="62" t="str">
        <f>IF(_epmOfflineCondition_,"'IRD'!$B$2:$B$10",_xll.EVRNG($B$2:$B$10))</f>
        <v>'IRD'!$B$2:$B$10</v>
      </c>
      <c r="C50" s="11"/>
      <c r="D50" s="11"/>
      <c r="E50" s="11"/>
      <c r="F50" s="11"/>
      <c r="G50" s="11"/>
      <c r="H50" s="84" t="s">
        <v>277</v>
      </c>
      <c r="I50" s="184" t="str">
        <f>IF(_epmOfflineCondition_,"T4",_xll.EVPRO($B$1,$H50,"STYLE"))</f>
        <v>T4</v>
      </c>
      <c r="J50" s="184" t="str">
        <f>IF(_epmOfflineCondition_,"Y",_xll.EVPRO($B$1,$H50,"CALC"))</f>
        <v>Y</v>
      </c>
      <c r="K50" s="185" t="str">
        <f t="shared" si="0"/>
        <v/>
      </c>
      <c r="L50" s="186" t="str">
        <f>IF(_epmOfflineCondition_,"",_xll.EVPRO($B$1,H50,"JDEID"))</f>
        <v/>
      </c>
      <c r="M50" s="186" t="str">
        <f>IF(_epmOfflineCondition_,"",IF(AND(I50="N",J50="N"),_xll.EVPRO($B$1,H50,"PSFTID"),""))</f>
        <v/>
      </c>
      <c r="N50" s="186" t="str">
        <f>IF(_epmOfflineCondition_,"Total Other Revenue",IF(_xll.EVDES(H50,$B$1)="#NODATA","",_xll.EVDES(H50,$B$1)))</f>
        <v>Total Other Revenue</v>
      </c>
      <c r="O50" s="481"/>
      <c r="P50" s="210"/>
      <c r="Q50" s="210"/>
      <c r="R50" s="210"/>
      <c r="S50" s="210"/>
      <c r="T50" s="210"/>
      <c r="U50" s="210"/>
      <c r="V50" s="210"/>
      <c r="W50" s="210"/>
      <c r="X50" s="210"/>
      <c r="Y50" s="210">
        <v>1319.44</v>
      </c>
      <c r="Z50" s="210">
        <v>2030.92</v>
      </c>
      <c r="AA50" s="210">
        <f t="shared" si="1"/>
        <v>3350.36</v>
      </c>
      <c r="AB50" s="211">
        <f t="shared" si="2"/>
        <v>0.2316126249191171</v>
      </c>
      <c r="AC50" s="251"/>
      <c r="AD50" s="210">
        <v>27791.200000000001</v>
      </c>
      <c r="AE50" s="211">
        <f t="shared" si="3"/>
        <v>0.27548443119233318</v>
      </c>
      <c r="AF50" s="252">
        <f t="shared" si="4"/>
        <v>-24440.84</v>
      </c>
      <c r="AG50" s="210"/>
      <c r="AH50" s="211" t="str">
        <f t="shared" si="5"/>
        <v/>
      </c>
      <c r="AI50" s="482">
        <f t="shared" si="6"/>
        <v>3350.36</v>
      </c>
      <c r="AJ50" s="253">
        <f t="shared" si="7"/>
        <v>5.940354609929078</v>
      </c>
      <c r="AK50" s="254">
        <f t="shared" si="8"/>
        <v>9.4947728049197124</v>
      </c>
      <c r="AL50" s="256">
        <f t="shared" si="9"/>
        <v>0</v>
      </c>
      <c r="AM50" s="427" t="str">
        <f t="shared" si="10"/>
        <v>-4.39 pts.</v>
      </c>
      <c r="AN50" s="483">
        <f t="shared" si="11"/>
        <v>0</v>
      </c>
      <c r="AO50" s="11"/>
    </row>
    <row r="51" spans="1:41" x14ac:dyDescent="0.25">
      <c r="A51" s="61" t="s">
        <v>3</v>
      </c>
      <c r="B51" s="62" t="str">
        <f>IF(_epmOfflineCondition_,"'IRD'!$O$16:$AN$18",_xll.EVRNG($O$16:$AN$18))</f>
        <v>'IRD'!$O$16:$AN$18</v>
      </c>
      <c r="C51" s="11"/>
      <c r="D51" s="11"/>
      <c r="E51" s="11"/>
      <c r="F51" s="11"/>
      <c r="G51" s="11"/>
      <c r="H51" s="84" t="s">
        <v>280</v>
      </c>
      <c r="I51" s="184" t="str">
        <f>IF(_epmOfflineCondition_,"T3",_xll.EVPRO($B$1,$H51,"STYLE"))</f>
        <v>T3</v>
      </c>
      <c r="J51" s="184" t="str">
        <f>IF(_epmOfflineCondition_,"Y",_xll.EVPRO($B$1,$H51,"CALC"))</f>
        <v>Y</v>
      </c>
      <c r="K51" s="185" t="str">
        <f t="shared" si="0"/>
        <v/>
      </c>
      <c r="L51" s="186" t="str">
        <f>IF(_epmOfflineCondition_,"400000",_xll.EVPRO($B$1,H51,"JDEID"))</f>
        <v>400000</v>
      </c>
      <c r="M51" s="186" t="str">
        <f>IF(_epmOfflineCondition_,"",IF(AND(I51="N",J51="N"),_xll.EVPRO($B$1,H51,"PSFTID"),""))</f>
        <v/>
      </c>
      <c r="N51" s="186" t="str">
        <f>IF(_epmOfflineCondition_,"Total Revenue",IF(_xll.EVDES(H51,$B$1)="#NODATA","",_xll.EVDES(H51,$B$1)))</f>
        <v>Total Revenue</v>
      </c>
      <c r="O51" s="472"/>
      <c r="P51" s="236"/>
      <c r="Q51" s="236"/>
      <c r="R51" s="236"/>
      <c r="S51" s="236"/>
      <c r="T51" s="236"/>
      <c r="U51" s="236"/>
      <c r="V51" s="236"/>
      <c r="W51" s="236"/>
      <c r="X51" s="236"/>
      <c r="Y51" s="236">
        <v>5677.44</v>
      </c>
      <c r="Z51" s="236">
        <v>8787.92</v>
      </c>
      <c r="AA51" s="236">
        <f t="shared" si="1"/>
        <v>14465.36</v>
      </c>
      <c r="AB51" s="237">
        <f t="shared" si="2"/>
        <v>1</v>
      </c>
      <c r="AC51" s="238"/>
      <c r="AD51" s="236">
        <v>100881.2</v>
      </c>
      <c r="AE51" s="237">
        <f t="shared" si="3"/>
        <v>1</v>
      </c>
      <c r="AF51" s="239">
        <f t="shared" si="4"/>
        <v>-86415.84</v>
      </c>
      <c r="AG51" s="236"/>
      <c r="AH51" s="237" t="str">
        <f t="shared" si="5"/>
        <v/>
      </c>
      <c r="AI51" s="473">
        <f t="shared" si="6"/>
        <v>14465.36</v>
      </c>
      <c r="AJ51" s="215">
        <f t="shared" si="7"/>
        <v>25.647801418439716</v>
      </c>
      <c r="AK51" s="216">
        <f t="shared" si="8"/>
        <v>34.465732832251454</v>
      </c>
      <c r="AL51" s="218">
        <f t="shared" si="9"/>
        <v>0</v>
      </c>
      <c r="AM51" s="423" t="str">
        <f t="shared" si="10"/>
        <v>0 pts.</v>
      </c>
      <c r="AN51" s="474">
        <f t="shared" si="11"/>
        <v>0</v>
      </c>
      <c r="AO51" s="11"/>
    </row>
    <row r="52" spans="1:41" x14ac:dyDescent="0.25">
      <c r="A52" s="61" t="s">
        <v>4</v>
      </c>
      <c r="B52" s="62" t="str">
        <f>IF(_epmOfflineCondition_,"'IRD'!$H$55:$H$61",_xll.EVRNG(H55:H61))</f>
        <v>'IRD'!$H$55:$H$61</v>
      </c>
      <c r="C52" s="11"/>
      <c r="D52" s="11"/>
      <c r="E52" s="11"/>
      <c r="F52" s="11"/>
      <c r="G52" s="11"/>
      <c r="H52" s="11"/>
      <c r="I52" s="55"/>
      <c r="J52" s="55"/>
      <c r="K52" s="11"/>
      <c r="L52" s="11"/>
      <c r="M52" s="11"/>
      <c r="N52" s="11"/>
      <c r="O52" s="389"/>
      <c r="P52" s="390"/>
      <c r="Q52" s="390"/>
      <c r="R52" s="390"/>
      <c r="S52" s="390"/>
      <c r="T52" s="390"/>
      <c r="U52" s="390"/>
      <c r="V52" s="390"/>
      <c r="W52" s="390"/>
      <c r="X52" s="390"/>
      <c r="Y52" s="390"/>
      <c r="Z52" s="390"/>
      <c r="AA52" s="390"/>
      <c r="AB52" s="114"/>
      <c r="AC52" s="11"/>
      <c r="AD52" s="199"/>
      <c r="AE52" s="200"/>
      <c r="AF52" s="114"/>
      <c r="AG52" s="200"/>
      <c r="AH52" s="200"/>
      <c r="AI52" s="114"/>
      <c r="AJ52" s="11"/>
      <c r="AK52" s="11"/>
      <c r="AL52" s="11"/>
      <c r="AM52" s="11"/>
      <c r="AN52" s="11"/>
      <c r="AO52" s="11"/>
    </row>
    <row r="53" spans="1:41" x14ac:dyDescent="0.25">
      <c r="A53" s="61" t="s">
        <v>5</v>
      </c>
      <c r="B53" s="62"/>
      <c r="C53" s="11"/>
      <c r="D53" s="11"/>
      <c r="E53" s="11"/>
      <c r="F53" s="380"/>
      <c r="G53" s="11"/>
      <c r="H53" s="11" t="s">
        <v>281</v>
      </c>
      <c r="I53" s="55" t="str">
        <f>IF(_epmOfflineCondition_,"B1",_xll.EVPRO($B$1,$H53,"STYLE"))</f>
        <v>B1</v>
      </c>
      <c r="J53" s="55" t="str">
        <f>IF(_epmOfflineCondition_,"Y",_xll.EVPRO($B$1,$H53,"CALC"))</f>
        <v>Y</v>
      </c>
      <c r="K53" s="11"/>
      <c r="L53" s="11"/>
      <c r="M53" s="11"/>
      <c r="N53" s="101" t="str">
        <f>IF(_epmOfflineCondition_,"Cost of Sales",IF(_xll.EVDES(H53,$B$1)="#NODATA","",_xll.EVDES(H53,$B$1)))</f>
        <v>Cost of Sales</v>
      </c>
      <c r="O53" s="199"/>
      <c r="P53" s="200"/>
      <c r="Q53" s="200"/>
      <c r="R53" s="200"/>
      <c r="S53" s="200"/>
      <c r="T53" s="200"/>
      <c r="U53" s="200"/>
      <c r="V53" s="200"/>
      <c r="W53" s="200"/>
      <c r="X53" s="200"/>
      <c r="Y53" s="200"/>
      <c r="Z53" s="200"/>
      <c r="AA53" s="200"/>
      <c r="AB53" s="406"/>
      <c r="AC53" s="11"/>
      <c r="AD53" s="407"/>
      <c r="AE53" s="408"/>
      <c r="AF53" s="114"/>
      <c r="AG53" s="200"/>
      <c r="AH53" s="408"/>
      <c r="AI53" s="114"/>
      <c r="AJ53" s="11"/>
      <c r="AK53" s="11"/>
      <c r="AL53" s="11"/>
      <c r="AM53" s="11"/>
      <c r="AN53" s="11"/>
      <c r="AO53" s="11"/>
    </row>
    <row r="54" spans="1:41" x14ac:dyDescent="0.25">
      <c r="A54" s="61" t="s">
        <v>6</v>
      </c>
      <c r="B54" s="62"/>
      <c r="C54" s="11"/>
      <c r="D54" s="11"/>
      <c r="E54" s="11"/>
      <c r="F54" s="380"/>
      <c r="G54" s="11"/>
      <c r="H54" s="11" t="s">
        <v>284</v>
      </c>
      <c r="I54" s="55" t="str">
        <f>IF(_epmOfflineCondition_,"B1",_xll.EVPRO($B$1,$H54,"STYLE"))</f>
        <v>B1</v>
      </c>
      <c r="J54" s="55" t="str">
        <f>IF(_epmOfflineCondition_,"Y",_xll.EVPRO($B$1,$H54,"CALC"))</f>
        <v>Y</v>
      </c>
      <c r="K54" s="11"/>
      <c r="L54" s="11"/>
      <c r="M54" s="11"/>
      <c r="N54" s="49" t="str">
        <f>IF(_epmOfflineCondition_,"Cost of Food &amp; Beverage Sales",IF(_xll.EVDES(H54,$B$1)="#NODATA","",_xll.EVDES(H54,$B$1)))</f>
        <v>Cost of Food &amp; Beverage Sales</v>
      </c>
      <c r="O54" s="199"/>
      <c r="P54" s="200"/>
      <c r="Q54" s="200"/>
      <c r="R54" s="200"/>
      <c r="S54" s="200"/>
      <c r="T54" s="200"/>
      <c r="U54" s="200"/>
      <c r="V54" s="200"/>
      <c r="W54" s="200"/>
      <c r="X54" s="200"/>
      <c r="Y54" s="200"/>
      <c r="Z54" s="200"/>
      <c r="AA54" s="200"/>
      <c r="AB54" s="114"/>
      <c r="AC54" s="11"/>
      <c r="AD54" s="199"/>
      <c r="AE54" s="200"/>
      <c r="AF54" s="114"/>
      <c r="AG54" s="200"/>
      <c r="AH54" s="200"/>
      <c r="AI54" s="114"/>
      <c r="AJ54" s="11"/>
      <c r="AK54" s="11"/>
      <c r="AL54" s="11"/>
      <c r="AM54" s="11"/>
      <c r="AN54" s="11"/>
      <c r="AO54" s="11"/>
    </row>
    <row r="55" spans="1:41" x14ac:dyDescent="0.25">
      <c r="A55" s="61" t="s">
        <v>7</v>
      </c>
      <c r="B55" s="62" t="str">
        <f>IF(_epmOfflineCondition_,"'IRD'!$A$69:$F$77",_xll.EVRNG(A69:F77))</f>
        <v>'IRD'!$A$69:$F$77</v>
      </c>
      <c r="C55" s="11"/>
      <c r="D55" s="11"/>
      <c r="E55" s="11"/>
      <c r="F55" s="380"/>
      <c r="G55" s="11"/>
      <c r="H55" s="84" t="s">
        <v>285</v>
      </c>
      <c r="I55" s="118" t="str">
        <f>IF(_epmOfflineCondition_,"T5",_xll.EVPRO($B$1,$H55,"STYLE"))</f>
        <v>T5</v>
      </c>
      <c r="J55" s="118" t="str">
        <f>IF(_epmOfflineCondition_,"Y",_xll.EVPRO($B$1,$H55,"CALC"))</f>
        <v>Y</v>
      </c>
      <c r="K55" s="175" t="str">
        <f t="shared" ref="K55:K63" si="12">IF(AND(I55&gt;="T5"),"&gt;","")</f>
        <v>&gt;</v>
      </c>
      <c r="L55" s="86" t="str">
        <f>IF(_epmOfflineCondition_,"561100",_xll.EVPRO($B$1,H55,"JDEID"))</f>
        <v>561100</v>
      </c>
      <c r="M55" s="86" t="str">
        <f>IF(_epmOfflineCondition_,"",IF(AND(I55="N",J55="N"),_xll.EVPRO($B$1,H55,"PSFTID"),""))</f>
        <v/>
      </c>
      <c r="N55" s="86" t="str">
        <f>IF(_epmOfflineCondition_,"Cost of Food Sales",IF(_xll.EVDES(H55,$B$1)="#NODATA","",_xll.EVDES(H55,$B$1)))</f>
        <v>Cost of Food Sales</v>
      </c>
      <c r="O55" s="558"/>
      <c r="P55" s="559"/>
      <c r="Q55" s="559"/>
      <c r="R55" s="559"/>
      <c r="S55" s="559"/>
      <c r="T55" s="559"/>
      <c r="U55" s="559"/>
      <c r="V55" s="559"/>
      <c r="W55" s="559"/>
      <c r="X55" s="559"/>
      <c r="Y55" s="559">
        <v>1160.29</v>
      </c>
      <c r="Z55" s="559">
        <v>1793.94</v>
      </c>
      <c r="AA55" s="223">
        <f t="shared" ref="AA55:AA61" si="13">IF($I55="B1","",SUM(O55:Z55))</f>
        <v>2954.23</v>
      </c>
      <c r="AB55" s="560">
        <f>IF(_epmOfflineCondition_,0.29,IF(AA55=0,"",IFERROR(AA55/_xll.EVGTS($B$1,1,_xll.EVPRO($B$1,$H55,"COSBASIS"),$B$3,$B$5,$B$6,$B$7,$B$9,AA$16,AA$17,AA$11),"")))</f>
        <v>0.28999999999999998</v>
      </c>
      <c r="AC55" s="455"/>
      <c r="AD55" s="559">
        <v>15493.64</v>
      </c>
      <c r="AE55" s="560">
        <f>IF(_epmOfflineCondition_,0.290000102196808,IF(AD55=0,"",IFERROR(AD55/_xll.EVGTS($B$1,1,_xll.EVPRO($B$1,$H55,"COSBASIS"),$B$3,$B$5,$B$6,$B$7,$B$9,AD$16,AD$17,AD$18),"")))</f>
        <v>0.290000102196808</v>
      </c>
      <c r="AF55" s="561">
        <f t="shared" ref="AF55:AF63" si="14">IF(AND($AA55="",AD55=""),"",$AA55-AD55)</f>
        <v>-12539.41</v>
      </c>
      <c r="AG55" s="559"/>
      <c r="AH55" s="560" t="str">
        <f>IF(_epmOfflineCondition_,"",IF(AG55=0,"",IFERROR(AG55/_xll.EVGTS($B$1,1,_xll.EVPRO($B$1,$H55,"COSBASIS"),$B$3,$B$5,$B$6,$B$7,$B$9,AG$16,AG$17,AG$18),"")))</f>
        <v/>
      </c>
      <c r="AI55" s="562">
        <f t="shared" ref="AI55:AI63" si="15">IF(AND($AA55="",AG55=""),"",$AA55-AG55)</f>
        <v>2954.23</v>
      </c>
      <c r="AJ55" s="458">
        <f t="shared" ref="AJ55:AJ63" si="16">IFERROR(AA55/AA$20,0)</f>
        <v>5.2379964539007089</v>
      </c>
      <c r="AK55" s="459">
        <f t="shared" ref="AK55:AK63" si="17">IFERROR(AD55/AD$20,0)</f>
        <v>5.2933515544926548</v>
      </c>
      <c r="AL55" s="460">
        <f t="shared" ref="AL55:AL63" si="18">IFERROR(AG55/AG$20,0)</f>
        <v>0</v>
      </c>
      <c r="AM55" s="461" t="str">
        <f t="shared" ref="AM55:AM63" si="19">+IFERROR(ROUND(($AB55-AE55)*100,2)&amp;" pts.",0)</f>
        <v>0 pts.</v>
      </c>
      <c r="AN55" s="462">
        <f t="shared" ref="AN55:AN63" si="20">+IFERROR(ROUND(($AB55-AH55)*100,2)&amp;" pts.",0)</f>
        <v>0</v>
      </c>
      <c r="AO55" s="11"/>
    </row>
    <row r="56" spans="1:41" x14ac:dyDescent="0.25">
      <c r="A56" s="61" t="s">
        <v>47</v>
      </c>
      <c r="B56" s="62" t="str">
        <f>IF(_epmOfflineCondition_,"'IRD'!$A$125:$B$146",_xll.EVRNG($A$125:$B$146))</f>
        <v>'IRD'!$A$125:$B$146</v>
      </c>
      <c r="C56" s="11"/>
      <c r="D56" s="11"/>
      <c r="E56" s="11"/>
      <c r="F56" s="11"/>
      <c r="G56" s="11"/>
      <c r="H56" s="84" t="s">
        <v>637</v>
      </c>
      <c r="I56" s="118" t="str">
        <f>IF(_epmOfflineCondition_,"T5",_xll.EVPRO($B$1,$H56,"STYLE"))</f>
        <v>T5</v>
      </c>
      <c r="J56" s="118" t="str">
        <f>IF(_epmOfflineCondition_,"Y",_xll.EVPRO($B$1,$H56,"CALC"))</f>
        <v>Y</v>
      </c>
      <c r="K56" s="175" t="str">
        <f t="shared" si="12"/>
        <v>&gt;</v>
      </c>
      <c r="L56" s="86" t="str">
        <f>IF(_epmOfflineCondition_,"",_xll.EVPRO($B$1,H56,"JDEID"))</f>
        <v/>
      </c>
      <c r="M56" s="86" t="str">
        <f>IF(_epmOfflineCondition_,"",IF(AND(I56="N",J56="N"),_xll.EVPRO($B$1,H56,"PSFTID"),""))</f>
        <v/>
      </c>
      <c r="N56" s="86" t="str">
        <f>IF(_epmOfflineCondition_,"Cost of Beverage Sales",IF(_xll.EVDES(H56,$B$1)="#NODATA","",_xll.EVDES(H56,$B$1)))</f>
        <v>Cost of Beverage Sales</v>
      </c>
      <c r="O56" s="463"/>
      <c r="P56" s="229"/>
      <c r="Q56" s="229"/>
      <c r="R56" s="229"/>
      <c r="S56" s="229"/>
      <c r="T56" s="229"/>
      <c r="U56" s="229"/>
      <c r="V56" s="229"/>
      <c r="W56" s="229"/>
      <c r="X56" s="229"/>
      <c r="Y56" s="229">
        <v>80.680000000000007</v>
      </c>
      <c r="Z56" s="229">
        <v>126.83</v>
      </c>
      <c r="AA56" s="229">
        <f t="shared" si="13"/>
        <v>207.51</v>
      </c>
      <c r="AB56" s="464">
        <f>IF(_epmOfflineCondition_,0.223609913793103,IF(AA56=0,"",IFERROR(AA56/_xll.EVGTS($B$1,1,_xll.EVPRO($B$1,$H56,"COSBASIS"),$B$3,$B$5,$B$6,$B$7,$B$9,AA$16,AA$17,AA$11),"")))</f>
        <v>0.22360991379310299</v>
      </c>
      <c r="AC56" s="455"/>
      <c r="AD56" s="229">
        <v>4230.99</v>
      </c>
      <c r="AE56" s="464">
        <f>IF(_epmOfflineCondition_,0.215167826724548,IF(AD56=0,"",IFERROR(AD56/_xll.EVGTS($B$1,1,_xll.EVPRO($B$1,$H56,"COSBASIS"),$B$3,$B$5,$B$6,$B$7,$B$9,AD$16,AD$17,AD$18),"")))</f>
        <v>0.21516782672454801</v>
      </c>
      <c r="AF56" s="465">
        <f t="shared" si="14"/>
        <v>-4023.4799999999996</v>
      </c>
      <c r="AG56" s="229"/>
      <c r="AH56" s="464" t="str">
        <f>IF(_epmOfflineCondition_,"",IF(AG56=0,"",IFERROR(AG56/_xll.EVGTS($B$1,1,_xll.EVPRO($B$1,$H56,"COSBASIS"),$B$3,$B$5,$B$6,$B$7,$B$9,AG$16,AG$17,AG$18),"")))</f>
        <v/>
      </c>
      <c r="AI56" s="466">
        <f t="shared" si="15"/>
        <v>207.51</v>
      </c>
      <c r="AJ56" s="467">
        <f t="shared" si="16"/>
        <v>0.36792553191489358</v>
      </c>
      <c r="AK56" s="468">
        <f t="shared" si="17"/>
        <v>1.4455039289374785</v>
      </c>
      <c r="AL56" s="469">
        <f t="shared" si="18"/>
        <v>0</v>
      </c>
      <c r="AM56" s="470" t="str">
        <f t="shared" si="19"/>
        <v>0.84 pts.</v>
      </c>
      <c r="AN56" s="471">
        <f t="shared" si="20"/>
        <v>0</v>
      </c>
      <c r="AO56" s="11"/>
    </row>
    <row r="57" spans="1:41" x14ac:dyDescent="0.25">
      <c r="A57" s="61" t="s">
        <v>8</v>
      </c>
      <c r="B57" s="62"/>
      <c r="C57" s="11"/>
      <c r="D57" s="11"/>
      <c r="E57" s="11"/>
      <c r="F57" s="11"/>
      <c r="G57" s="11"/>
      <c r="H57" s="84" t="s">
        <v>286</v>
      </c>
      <c r="I57" s="184" t="str">
        <f>IF(_epmOfflineCondition_,"T4",_xll.EVPRO($B$1,$H57,"STYLE"))</f>
        <v>T4</v>
      </c>
      <c r="J57" s="184" t="str">
        <f>IF(_epmOfflineCondition_,"Y",_xll.EVPRO($B$1,$H57,"CALC"))</f>
        <v>Y</v>
      </c>
      <c r="K57" s="185" t="str">
        <f t="shared" si="12"/>
        <v/>
      </c>
      <c r="L57" s="186" t="str">
        <f>IF(_epmOfflineCondition_,"",_xll.EVPRO($B$1,H57,"JDEID"))</f>
        <v/>
      </c>
      <c r="M57" s="186" t="str">
        <f>IF(_epmOfflineCondition_,"",IF(AND(I57="N",J57="N"),_xll.EVPRO($B$1,H57,"PSFTID"),""))</f>
        <v/>
      </c>
      <c r="N57" s="186" t="str">
        <f>IF(_epmOfflineCondition_,"Total Cost of Food &amp; Beverage Sales",IF(_xll.EVDES(H57,$B$1)="#NODATA","",_xll.EVDES(H57,$B$1)))</f>
        <v>Total Cost of Food &amp; Beverage Sales</v>
      </c>
      <c r="O57" s="472"/>
      <c r="P57" s="236"/>
      <c r="Q57" s="236"/>
      <c r="R57" s="236"/>
      <c r="S57" s="236"/>
      <c r="T57" s="236"/>
      <c r="U57" s="236"/>
      <c r="V57" s="236"/>
      <c r="W57" s="236"/>
      <c r="X57" s="236"/>
      <c r="Y57" s="236">
        <v>1240.97</v>
      </c>
      <c r="Z57" s="236">
        <v>1920.77</v>
      </c>
      <c r="AA57" s="236">
        <f t="shared" si="13"/>
        <v>3161.74</v>
      </c>
      <c r="AB57" s="237">
        <f>IF(_epmOfflineCondition_,0.284457040035987,IF(AA57=0,"",IFERROR(AA57/_xll.EVGTS($B$1,1,_xll.EVPRO($B$1,$H57,"COSBASIS"),$B$3,$B$5,$B$6,$B$7,$B$9,AA$16,AA$17,AA$11),"")))</f>
        <v>0.28445704003598699</v>
      </c>
      <c r="AC57" s="238"/>
      <c r="AD57" s="236">
        <v>19724.63</v>
      </c>
      <c r="AE57" s="237">
        <f>IF(_epmOfflineCondition_,0.26986769735942,IF(AD57=0,"",IFERROR(AD57/_xll.EVGTS($B$1,1,_xll.EVPRO($B$1,$H57,"COSBASIS"),$B$3,$B$5,$B$6,$B$7,$B$9,AD$16,AD$17,AD$18),"")))</f>
        <v>0.26986769735942001</v>
      </c>
      <c r="AF57" s="239">
        <f t="shared" si="14"/>
        <v>-16562.89</v>
      </c>
      <c r="AG57" s="236"/>
      <c r="AH57" s="237" t="str">
        <f>IF(_epmOfflineCondition_,"",IF(AG57=0,"",IFERROR(AG57/_xll.EVGTS($B$1,1,_xll.EVPRO($B$1,$H57,"COSBASIS"),$B$3,$B$5,$B$6,$B$7,$B$9,AG$16,AG$17,AG$18),"")))</f>
        <v/>
      </c>
      <c r="AI57" s="473">
        <f t="shared" si="15"/>
        <v>3161.74</v>
      </c>
      <c r="AJ57" s="215">
        <f t="shared" si="16"/>
        <v>5.6059219858156029</v>
      </c>
      <c r="AK57" s="216">
        <f t="shared" si="17"/>
        <v>6.7388554834301333</v>
      </c>
      <c r="AL57" s="218">
        <f t="shared" si="18"/>
        <v>0</v>
      </c>
      <c r="AM57" s="423" t="str">
        <f t="shared" si="19"/>
        <v>1.46 pts.</v>
      </c>
      <c r="AN57" s="474">
        <f t="shared" si="20"/>
        <v>0</v>
      </c>
      <c r="AO57" s="11"/>
    </row>
    <row r="58" spans="1:41" x14ac:dyDescent="0.25">
      <c r="A58" s="11"/>
      <c r="B58" s="11"/>
      <c r="C58" s="11"/>
      <c r="D58" s="11"/>
      <c r="E58" s="11"/>
      <c r="F58" s="11"/>
      <c r="G58" s="72"/>
      <c r="H58" s="84" t="s">
        <v>287</v>
      </c>
      <c r="I58" s="184" t="str">
        <f>IF(_epmOfflineCondition_,"B1",_xll.EVPRO($B$1,$H58,"STYLE"))</f>
        <v>B1</v>
      </c>
      <c r="J58" s="184" t="str">
        <f>IF(_epmOfflineCondition_,"Y",_xll.EVPRO($B$1,$H58,"CALC"))</f>
        <v>Y</v>
      </c>
      <c r="K58" s="185" t="str">
        <f t="shared" si="12"/>
        <v/>
      </c>
      <c r="L58" s="186" t="str">
        <f>IF(_epmOfflineCondition_,"",_xll.EVPRO($B$1,H58,"JDEID"))</f>
        <v/>
      </c>
      <c r="M58" s="186" t="str">
        <f>IF(_epmOfflineCondition_,"",IF(AND(I58="N",J58="N"),_xll.EVPRO($B$1,H58,"PSFTID"),""))</f>
        <v/>
      </c>
      <c r="N58" s="186" t="str">
        <f>IF(_epmOfflineCondition_,"Cost of Other Revenue",IF(_xll.EVDES(H58,$B$1)="#NODATA","",_xll.EVDES(H58,$B$1)))</f>
        <v>Cost of Other Revenue</v>
      </c>
      <c r="O58" s="563"/>
      <c r="P58" s="240"/>
      <c r="Q58" s="240"/>
      <c r="R58" s="240"/>
      <c r="S58" s="240"/>
      <c r="T58" s="240"/>
      <c r="U58" s="240"/>
      <c r="V58" s="240"/>
      <c r="W58" s="240"/>
      <c r="X58" s="240"/>
      <c r="Y58" s="240"/>
      <c r="Z58" s="240"/>
      <c r="AA58" s="241" t="str">
        <f t="shared" si="13"/>
        <v/>
      </c>
      <c r="AB58" s="242" t="str">
        <f>IF(_epmOfflineCondition_,"",IF(AA58=0,"",IFERROR(AA58/_xll.EVGTS($B$1,1,_xll.EVPRO($B$1,$H58,"COSBASIS"),$B$3,$B$5,$B$6,$B$7,$B$9,AA$16,AA$17,AA$11),"")))</f>
        <v/>
      </c>
      <c r="AC58" s="477"/>
      <c r="AD58" s="240"/>
      <c r="AE58" s="242" t="str">
        <f>IF(_epmOfflineCondition_,"",IF(AD58=0,"",IFERROR(AD58/_xll.EVGTS($B$1,1,_xll.EVPRO($B$1,$H58,"COSBASIS"),$B$3,$B$5,$B$6,$B$7,$B$9,AD$16,AD$17,AD$18),"")))</f>
        <v/>
      </c>
      <c r="AF58" s="243" t="str">
        <f t="shared" si="14"/>
        <v/>
      </c>
      <c r="AG58" s="240"/>
      <c r="AH58" s="242" t="str">
        <f>IF(_epmOfflineCondition_,"",IF(AG58=0,"",IFERROR(AG58/_xll.EVGTS($B$1,1,_xll.EVPRO($B$1,$H58,"COSBASIS"),$B$3,$B$5,$B$6,$B$7,$B$9,AG$16,AG$17,AG$18),"")))</f>
        <v/>
      </c>
      <c r="AI58" s="564" t="str">
        <f t="shared" si="15"/>
        <v/>
      </c>
      <c r="AJ58" s="244">
        <f t="shared" si="16"/>
        <v>0</v>
      </c>
      <c r="AK58" s="245">
        <f t="shared" si="17"/>
        <v>0</v>
      </c>
      <c r="AL58" s="247">
        <f t="shared" si="18"/>
        <v>0</v>
      </c>
      <c r="AM58" s="425">
        <f t="shared" si="19"/>
        <v>0</v>
      </c>
      <c r="AN58" s="480">
        <f t="shared" si="20"/>
        <v>0</v>
      </c>
      <c r="AO58" s="11"/>
    </row>
    <row r="59" spans="1:41" x14ac:dyDescent="0.25">
      <c r="A59" s="57" t="s">
        <v>9</v>
      </c>
      <c r="B59" s="58" t="s">
        <v>10</v>
      </c>
      <c r="C59" s="11"/>
      <c r="D59" s="11"/>
      <c r="E59" s="11"/>
      <c r="F59" s="11"/>
      <c r="G59" s="11"/>
      <c r="H59" s="84" t="s">
        <v>640</v>
      </c>
      <c r="I59" s="118" t="str">
        <f>IF(_epmOfflineCondition_,"T5",_xll.EVPRO($B$1,$H59,"STYLE"))</f>
        <v>T5</v>
      </c>
      <c r="J59" s="118" t="str">
        <f>IF(_epmOfflineCondition_,"Y",_xll.EVPRO($B$1,$H59,"CALC"))</f>
        <v>Y</v>
      </c>
      <c r="K59" s="175" t="str">
        <f t="shared" si="12"/>
        <v>&gt;</v>
      </c>
      <c r="L59" s="86" t="str">
        <f>IF(_epmOfflineCondition_,"",_xll.EVPRO($B$1,H59,"JDEID"))</f>
        <v/>
      </c>
      <c r="M59" s="86" t="str">
        <f>IF(_epmOfflineCondition_,"",IF(AND(I59="N",J59="N"),_xll.EVPRO($B$1,H59,"PSFTID"),""))</f>
        <v/>
      </c>
      <c r="N59" s="86" t="str">
        <f>IF(_epmOfflineCondition_,"Miscellaneous Cost",IF(_xll.EVDES(H59,$B$1)="#NODATA","",_xll.EVDES(H59,$B$1)))</f>
        <v>Miscellaneous Cost</v>
      </c>
      <c r="O59" s="463"/>
      <c r="P59" s="229"/>
      <c r="Q59" s="229"/>
      <c r="R59" s="229"/>
      <c r="S59" s="229"/>
      <c r="T59" s="229"/>
      <c r="U59" s="229"/>
      <c r="V59" s="229"/>
      <c r="W59" s="229"/>
      <c r="X59" s="229"/>
      <c r="Y59" s="229"/>
      <c r="Z59" s="229"/>
      <c r="AA59" s="229">
        <f t="shared" si="13"/>
        <v>0</v>
      </c>
      <c r="AB59" s="464" t="str">
        <f>IF(_epmOfflineCondition_,"",IF(AA59=0,"",IFERROR(AA59/_xll.EVGTS($B$1,1,_xll.EVPRO($B$1,$H59,"COSBASIS"),$B$3,$B$5,$B$6,$B$7,$B$9,AA$16,AA$17,AA$11),"")))</f>
        <v/>
      </c>
      <c r="AC59" s="455"/>
      <c r="AD59" s="229"/>
      <c r="AE59" s="464" t="str">
        <f>IF(_epmOfflineCondition_,"",IF(AD59=0,"",IFERROR(AD59/_xll.EVGTS($B$1,1,_xll.EVPRO($B$1,$H59,"COSBASIS"),$B$3,$B$5,$B$6,$B$7,$B$9,AD$16,AD$17,AD$18),"")))</f>
        <v/>
      </c>
      <c r="AF59" s="465">
        <f t="shared" si="14"/>
        <v>0</v>
      </c>
      <c r="AG59" s="229"/>
      <c r="AH59" s="464" t="str">
        <f>IF(_epmOfflineCondition_,"",IF(AG59=0,"",IFERROR(AG59/_xll.EVGTS($B$1,1,_xll.EVPRO($B$1,$H59,"COSBASIS"),$B$3,$B$5,$B$6,$B$7,$B$9,AG$16,AG$17,AG$18),"")))</f>
        <v/>
      </c>
      <c r="AI59" s="466">
        <f t="shared" si="15"/>
        <v>0</v>
      </c>
      <c r="AJ59" s="467">
        <f t="shared" si="16"/>
        <v>0</v>
      </c>
      <c r="AK59" s="468">
        <f t="shared" si="17"/>
        <v>0</v>
      </c>
      <c r="AL59" s="469">
        <f t="shared" si="18"/>
        <v>0</v>
      </c>
      <c r="AM59" s="470">
        <f t="shared" si="19"/>
        <v>0</v>
      </c>
      <c r="AN59" s="471">
        <f t="shared" si="20"/>
        <v>0</v>
      </c>
      <c r="AO59" s="11"/>
    </row>
    <row r="60" spans="1:41" x14ac:dyDescent="0.25">
      <c r="A60" s="61" t="s">
        <v>11</v>
      </c>
      <c r="B60" s="62" t="s">
        <v>21</v>
      </c>
      <c r="C60" s="11"/>
      <c r="D60" s="11"/>
      <c r="E60" s="11"/>
      <c r="F60" s="11"/>
      <c r="G60" s="11"/>
      <c r="H60" s="84" t="s">
        <v>288</v>
      </c>
      <c r="I60" s="184" t="str">
        <f>IF(_epmOfflineCondition_,"T4",_xll.EVPRO($B$1,$H60,"STYLE"))</f>
        <v>T4</v>
      </c>
      <c r="J60" s="184" t="str">
        <f>IF(_epmOfflineCondition_,"Y",_xll.EVPRO($B$1,$H60,"CALC"))</f>
        <v>Y</v>
      </c>
      <c r="K60" s="185" t="str">
        <f t="shared" si="12"/>
        <v/>
      </c>
      <c r="L60" s="186" t="str">
        <f>IF(_epmOfflineCondition_,"",_xll.EVPRO($B$1,H60,"JDEID"))</f>
        <v/>
      </c>
      <c r="M60" s="186" t="str">
        <f>IF(_epmOfflineCondition_,"",IF(AND(I60="N",J60="N"),_xll.EVPRO($B$1,H60,"PSFTID"),""))</f>
        <v/>
      </c>
      <c r="N60" s="186" t="str">
        <f>IF(_epmOfflineCondition_,"Total Cost of Other Revenue",IF(_xll.EVDES(H60,$B$1)="#NODATA","",_xll.EVDES(H60,$B$1)))</f>
        <v>Total Cost of Other Revenue</v>
      </c>
      <c r="O60" s="481"/>
      <c r="P60" s="210"/>
      <c r="Q60" s="210"/>
      <c r="R60" s="210"/>
      <c r="S60" s="210"/>
      <c r="T60" s="210"/>
      <c r="U60" s="210"/>
      <c r="V60" s="210"/>
      <c r="W60" s="210"/>
      <c r="X60" s="210"/>
      <c r="Y60" s="210"/>
      <c r="Z60" s="210"/>
      <c r="AA60" s="210">
        <f t="shared" si="13"/>
        <v>0</v>
      </c>
      <c r="AB60" s="211" t="str">
        <f>IF(_epmOfflineCondition_,"",IF(AA60=0,"",IFERROR(AA60/_xll.EVGTS($B$1,1,_xll.EVPRO($B$1,$H60,"COSBASIS"),$B$3,$B$5,$B$6,$B$7,$B$9,AA$16,AA$17,AA$11),"")))</f>
        <v/>
      </c>
      <c r="AC60" s="251"/>
      <c r="AD60" s="210"/>
      <c r="AE60" s="211" t="str">
        <f>IF(_epmOfflineCondition_,"",IF(AD60=0,"",IFERROR(AD60/_xll.EVGTS($B$1,1,_xll.EVPRO($B$1,$H60,"COSBASIS"),$B$3,$B$5,$B$6,$B$7,$B$9,AD$16,AD$17,AD$18),"")))</f>
        <v/>
      </c>
      <c r="AF60" s="252">
        <f t="shared" si="14"/>
        <v>0</v>
      </c>
      <c r="AG60" s="210"/>
      <c r="AH60" s="211" t="str">
        <f>IF(_epmOfflineCondition_,"",IF(AG60=0,"",IFERROR(AG60/_xll.EVGTS($B$1,1,_xll.EVPRO($B$1,$H60,"COSBASIS"),$B$3,$B$5,$B$6,$B$7,$B$9,AG$16,AG$17,AG$18),"")))</f>
        <v/>
      </c>
      <c r="AI60" s="482">
        <f t="shared" si="15"/>
        <v>0</v>
      </c>
      <c r="AJ60" s="253">
        <f t="shared" si="16"/>
        <v>0</v>
      </c>
      <c r="AK60" s="254">
        <f t="shared" si="17"/>
        <v>0</v>
      </c>
      <c r="AL60" s="256">
        <f t="shared" si="18"/>
        <v>0</v>
      </c>
      <c r="AM60" s="427">
        <f t="shared" si="19"/>
        <v>0</v>
      </c>
      <c r="AN60" s="483">
        <f t="shared" si="20"/>
        <v>0</v>
      </c>
      <c r="AO60" s="11"/>
    </row>
    <row r="61" spans="1:41" x14ac:dyDescent="0.25">
      <c r="A61" s="61" t="s">
        <v>12</v>
      </c>
      <c r="B61" s="62" t="s">
        <v>22</v>
      </c>
      <c r="C61" s="11"/>
      <c r="D61" s="11"/>
      <c r="E61" s="11"/>
      <c r="F61" s="11"/>
      <c r="G61" s="11"/>
      <c r="H61" s="84" t="s">
        <v>289</v>
      </c>
      <c r="I61" s="184" t="str">
        <f>IF(_epmOfflineCondition_,"T3",_xll.EVPRO($B$1,$H61,"STYLE"))</f>
        <v>T3</v>
      </c>
      <c r="J61" s="184" t="str">
        <f>IF(_epmOfflineCondition_,"Y",_xll.EVPRO($B$1,$H61,"CALC"))</f>
        <v>Y</v>
      </c>
      <c r="K61" s="185" t="str">
        <f t="shared" si="12"/>
        <v/>
      </c>
      <c r="L61" s="186" t="str">
        <f>IF(_epmOfflineCondition_,"500001",_xll.EVPRO($B$1,H61,"JDEID"))</f>
        <v>500001</v>
      </c>
      <c r="M61" s="186" t="str">
        <f>IF(_epmOfflineCondition_,"",IF(AND(I61="N",J61="N"),_xll.EVPRO($B$1,H61,"PSFTID"),""))</f>
        <v/>
      </c>
      <c r="N61" s="186" t="str">
        <f>IF(_epmOfflineCondition_,"Total Cost of Sales",IF(_xll.EVDES(H61,$B$1)="#NODATA","",_xll.EVDES(H61,$B$1)))</f>
        <v>Total Cost of Sales</v>
      </c>
      <c r="O61" s="472"/>
      <c r="P61" s="236"/>
      <c r="Q61" s="236"/>
      <c r="R61" s="236"/>
      <c r="S61" s="236"/>
      <c r="T61" s="236"/>
      <c r="U61" s="236"/>
      <c r="V61" s="236"/>
      <c r="W61" s="236"/>
      <c r="X61" s="236"/>
      <c r="Y61" s="236">
        <v>1240.97</v>
      </c>
      <c r="Z61" s="236">
        <v>1920.77</v>
      </c>
      <c r="AA61" s="236">
        <f t="shared" si="13"/>
        <v>3161.74</v>
      </c>
      <c r="AB61" s="237">
        <f>IF(_epmOfflineCondition_,0.21857319831653,IF(AA61=0,"",IFERROR(AA61/_xll.EVGTS($B$1,1,_xll.EVPRO($B$1,$H61,"COSBASIS"),$B$3,$B$5,$B$6,$B$7,$B$9,AA$16,AA$17,AA$11),"")))</f>
        <v>0.21857319831652999</v>
      </c>
      <c r="AC61" s="238"/>
      <c r="AD61" s="236">
        <v>19724.63</v>
      </c>
      <c r="AE61" s="237">
        <f>IF(_epmOfflineCondition_,0.195523348255175,IF(AD61=0,"",IFERROR(AD61/_xll.EVGTS($B$1,1,_xll.EVPRO($B$1,$H61,"COSBASIS"),$B$3,$B$5,$B$6,$B$7,$B$9,AD$16,AD$17,AD$18),"")))</f>
        <v>0.19552334825517501</v>
      </c>
      <c r="AF61" s="239">
        <f t="shared" si="14"/>
        <v>-16562.89</v>
      </c>
      <c r="AG61" s="236"/>
      <c r="AH61" s="237" t="str">
        <f>IF(_epmOfflineCondition_,"",IF(AG61=0,"",IFERROR(AG61/_xll.EVGTS($B$1,1,_xll.EVPRO($B$1,$H61,"COSBASIS"),$B$3,$B$5,$B$6,$B$7,$B$9,AG$16,AG$17,AG$18),"")))</f>
        <v/>
      </c>
      <c r="AI61" s="473">
        <f t="shared" si="15"/>
        <v>3161.74</v>
      </c>
      <c r="AJ61" s="215">
        <f t="shared" si="16"/>
        <v>5.6059219858156029</v>
      </c>
      <c r="AK61" s="216">
        <f t="shared" si="17"/>
        <v>6.7388554834301333</v>
      </c>
      <c r="AL61" s="218">
        <f t="shared" si="18"/>
        <v>0</v>
      </c>
      <c r="AM61" s="423" t="str">
        <f t="shared" si="19"/>
        <v>2.3 pts.</v>
      </c>
      <c r="AN61" s="474">
        <f t="shared" si="20"/>
        <v>0</v>
      </c>
      <c r="AO61" s="11"/>
    </row>
    <row r="62" spans="1:41" x14ac:dyDescent="0.25">
      <c r="A62" s="61" t="s">
        <v>13</v>
      </c>
      <c r="B62" s="62" t="str">
        <f>"DEP(COS_FB) AND "&amp;$E$6&amp;"=Y,COS_FB,COSOTH,DEP(COS_OTHR) AND "&amp;$E$6&amp;"=Y,COS_OTHR,500001"</f>
        <v>DEP(COS_FB) AND D2147=Y,COS_FB,COSOTH,DEP(COS_OTHR) AND D2147=Y,COS_OTHR,500001</v>
      </c>
      <c r="C62" s="11"/>
      <c r="D62" s="11"/>
      <c r="E62" s="11"/>
      <c r="F62" s="11"/>
      <c r="G62" s="11"/>
      <c r="H62" s="181" t="s">
        <v>175</v>
      </c>
      <c r="I62" s="85" t="str">
        <f>IF(_epmOfflineCondition_,"B1",_xll.EVPRO($B$1,$H62,"STYLE"))</f>
        <v>B1</v>
      </c>
      <c r="J62" s="85" t="str">
        <f>IF(_epmOfflineCondition_,"Y",_xll.EVPRO($B$1,$H62,"CALC"))</f>
        <v>Y</v>
      </c>
      <c r="K62" s="261" t="str">
        <f t="shared" si="12"/>
        <v/>
      </c>
      <c r="L62" s="261"/>
      <c r="M62" s="261"/>
      <c r="N62" s="102" t="str">
        <f>IF(_epmOfflineCondition_,"BLANKROW",IF(_xll.EVDES(H62,$B$1)="#NODATA","",_xll.EVDES(H62,$B$1)))</f>
        <v>BLANKROW</v>
      </c>
      <c r="O62" s="201"/>
      <c r="P62" s="201"/>
      <c r="Q62" s="201"/>
      <c r="R62" s="201"/>
      <c r="S62" s="201"/>
      <c r="T62" s="201"/>
      <c r="U62" s="201"/>
      <c r="V62" s="201"/>
      <c r="W62" s="201"/>
      <c r="X62" s="201"/>
      <c r="Y62" s="201"/>
      <c r="Z62" s="201"/>
      <c r="AA62" s="201"/>
      <c r="AB62" s="202" t="str">
        <f>IF(_epmOfflineCondition_,"",IF(O62=0,"",IFERROR(O62/_xll.EVGTS($B$1,1,INDEX($C$152:$C$175,MATCH($H62,$A$152:$A$175,0)),$B$3,$B$5,$B$6,$B$7,$B$9,O$16,O$17,O$18),"")))</f>
        <v/>
      </c>
      <c r="AC62" s="11"/>
      <c r="AD62" s="201"/>
      <c r="AE62" s="202" t="str">
        <f>IF(_epmOfflineCondition_,"",IF(AD62=0,"",IFERROR(AD62/_xll.EVGTS($B$1,1,INDEX($C$152:$C$175,MATCH($H62,$A$152:$A$175,0)),$B$3,$B$5,$B$6,$B$7,$B$9,AD$16,AD$17,AD$18),"")))</f>
        <v/>
      </c>
      <c r="AF62" s="203" t="str">
        <f t="shared" si="14"/>
        <v/>
      </c>
      <c r="AG62" s="201"/>
      <c r="AH62" s="202" t="str">
        <f>IF(_epmOfflineCondition_,"",IF(AG62=0,"",IFERROR(AG62/_xll.EVGTS($B$1,1,INDEX($C$152:$C$175,MATCH($H62,$A$152:$A$175,0)),$B$3,$B$5,$B$6,$B$7,$B$9,AG$16,AG$17,AG$18),"")))</f>
        <v/>
      </c>
      <c r="AI62" s="203" t="str">
        <f t="shared" si="15"/>
        <v/>
      </c>
      <c r="AJ62" s="518">
        <f t="shared" si="16"/>
        <v>0</v>
      </c>
      <c r="AK62" s="519">
        <f t="shared" si="17"/>
        <v>0</v>
      </c>
      <c r="AL62" s="520">
        <f t="shared" si="18"/>
        <v>0</v>
      </c>
      <c r="AM62" s="521">
        <f t="shared" si="19"/>
        <v>0</v>
      </c>
      <c r="AN62" s="522">
        <f t="shared" si="20"/>
        <v>0</v>
      </c>
      <c r="AO62" s="11"/>
    </row>
    <row r="63" spans="1:41" x14ac:dyDescent="0.25">
      <c r="A63" s="61" t="s">
        <v>14</v>
      </c>
      <c r="B63" s="62"/>
      <c r="C63" s="11"/>
      <c r="D63" s="11"/>
      <c r="E63" s="11"/>
      <c r="F63" s="11"/>
      <c r="G63" s="11"/>
      <c r="H63" s="181" t="s">
        <v>292</v>
      </c>
      <c r="I63" s="85" t="str">
        <f>IF(_epmOfflineCondition_,"T3",_xll.EVPRO($B$1,$H63,"STYLE"))</f>
        <v>T3</v>
      </c>
      <c r="J63" s="85" t="str">
        <f>IF(_epmOfflineCondition_,"Y",_xll.EVPRO($B$1,$H63,"CALC"))</f>
        <v>Y</v>
      </c>
      <c r="K63" s="261" t="str">
        <f t="shared" si="12"/>
        <v/>
      </c>
      <c r="L63" s="261"/>
      <c r="M63" s="261"/>
      <c r="N63" s="102" t="str">
        <f>IF(_epmOfflineCondition_,"Gross Profit",IF(_xll.EVDES(H63,$B$1)="#NODATA","",_xll.EVDES(H63,$B$1)))</f>
        <v>Gross Profit</v>
      </c>
      <c r="O63" s="119">
        <f t="shared" ref="O63:Z63" si="21">SUMIF($H$35:$H$61,"400000",O35:O61)-SUMIF($H$35:$H$61,"500001",O35:O61)</f>
        <v>0</v>
      </c>
      <c r="P63" s="119">
        <f t="shared" si="21"/>
        <v>0</v>
      </c>
      <c r="Q63" s="119">
        <f t="shared" si="21"/>
        <v>0</v>
      </c>
      <c r="R63" s="119">
        <f t="shared" si="21"/>
        <v>0</v>
      </c>
      <c r="S63" s="119">
        <f t="shared" si="21"/>
        <v>0</v>
      </c>
      <c r="T63" s="119">
        <f t="shared" si="21"/>
        <v>0</v>
      </c>
      <c r="U63" s="119">
        <f t="shared" si="21"/>
        <v>0</v>
      </c>
      <c r="V63" s="119">
        <f t="shared" si="21"/>
        <v>0</v>
      </c>
      <c r="W63" s="119">
        <f t="shared" si="21"/>
        <v>0</v>
      </c>
      <c r="X63" s="119">
        <f t="shared" si="21"/>
        <v>0</v>
      </c>
      <c r="Y63" s="119">
        <f t="shared" si="21"/>
        <v>4436.4699999999993</v>
      </c>
      <c r="Z63" s="119">
        <f t="shared" si="21"/>
        <v>6867.15</v>
      </c>
      <c r="AA63" s="119">
        <f>IF($I63="B1","",SUM(O63:Z63))</f>
        <v>11303.619999999999</v>
      </c>
      <c r="AB63" s="188">
        <f>IF(AA63=0,"",IFERROR(AA63/AA$19,""))</f>
        <v>0.7814268016834699</v>
      </c>
      <c r="AC63" s="11"/>
      <c r="AD63" s="119">
        <f>SUMIF($H$35:$H$61,"400000",AD35:AD61)-SUMIF($H$35:$H$61,"500001",AD35:AD61)</f>
        <v>81156.569999999992</v>
      </c>
      <c r="AE63" s="188">
        <f>IF(AD63=0,"",IFERROR(AD63/AD$19,""))</f>
        <v>0.80447665174482452</v>
      </c>
      <c r="AF63" s="121">
        <f t="shared" si="14"/>
        <v>-69852.95</v>
      </c>
      <c r="AG63" s="119">
        <f>SUMIF($H$35:$H$61,"400000",AG35:AG61)-SUMIF($H$35:$H$61,"500001",AG35:AG61)</f>
        <v>0</v>
      </c>
      <c r="AH63" s="188" t="str">
        <f>IF(AG63=0,"",IFERROR(AG63/AG$19,""))</f>
        <v/>
      </c>
      <c r="AI63" s="121">
        <f t="shared" si="15"/>
        <v>11303.619999999999</v>
      </c>
      <c r="AJ63" s="384">
        <f t="shared" si="16"/>
        <v>20.041879432624111</v>
      </c>
      <c r="AK63" s="385">
        <f t="shared" si="17"/>
        <v>27.726877348821315</v>
      </c>
      <c r="AL63" s="386">
        <f t="shared" si="18"/>
        <v>0</v>
      </c>
      <c r="AM63" s="387" t="str">
        <f t="shared" si="19"/>
        <v>-2.3 pts.</v>
      </c>
      <c r="AN63" s="539">
        <f t="shared" si="20"/>
        <v>0</v>
      </c>
      <c r="AO63" s="11"/>
    </row>
    <row r="64" spans="1:41" x14ac:dyDescent="0.25">
      <c r="A64" s="61" t="s">
        <v>15</v>
      </c>
      <c r="B64" s="62"/>
      <c r="C64" s="11"/>
      <c r="D64" s="11"/>
      <c r="E64" s="11"/>
      <c r="F64" s="11"/>
      <c r="G64" s="11"/>
      <c r="H64" s="11"/>
      <c r="I64" s="55"/>
      <c r="J64" s="55"/>
      <c r="K64" s="11"/>
      <c r="L64" s="11"/>
      <c r="M64" s="11"/>
      <c r="N64" s="11"/>
      <c r="O64" s="389"/>
      <c r="P64" s="390"/>
      <c r="Q64" s="390"/>
      <c r="R64" s="390"/>
      <c r="S64" s="390"/>
      <c r="T64" s="390"/>
      <c r="U64" s="390"/>
      <c r="V64" s="390"/>
      <c r="W64" s="390"/>
      <c r="X64" s="390"/>
      <c r="Y64" s="390"/>
      <c r="Z64" s="390"/>
      <c r="AA64" s="390"/>
      <c r="AB64" s="114"/>
      <c r="AC64" s="11"/>
      <c r="AD64" s="199"/>
      <c r="AE64" s="200"/>
      <c r="AF64" s="114"/>
      <c r="AG64" s="200"/>
      <c r="AH64" s="200"/>
      <c r="AI64" s="114"/>
      <c r="AJ64" s="11"/>
      <c r="AK64" s="11"/>
      <c r="AL64" s="11"/>
      <c r="AM64" s="11"/>
      <c r="AN64" s="11"/>
      <c r="AO64" s="11"/>
    </row>
    <row r="65" spans="1:41" x14ac:dyDescent="0.25">
      <c r="A65" s="61" t="s">
        <v>16</v>
      </c>
      <c r="B65" s="62"/>
      <c r="C65" s="11"/>
      <c r="D65" s="11"/>
      <c r="E65" s="11"/>
      <c r="F65" s="11"/>
      <c r="G65" s="11"/>
      <c r="H65" s="11" t="s">
        <v>73</v>
      </c>
      <c r="I65" s="55" t="str">
        <f>IF(_epmOfflineCondition_,"B1",_xll.EVPRO($B$1,$H65,"STYLE"))</f>
        <v>B1</v>
      </c>
      <c r="J65" s="55" t="str">
        <f>IF(_epmOfflineCondition_,"Y",_xll.EVPRO($B$1,$H65,"CALC"))</f>
        <v>Y</v>
      </c>
      <c r="K65" s="11"/>
      <c r="L65" s="11"/>
      <c r="M65" s="11"/>
      <c r="N65" s="101" t="str">
        <f>IF(_epmOfflineCondition_,"Labor &amp; Related Expenses",IF(_xll.EVDES(H65,$B$1)="#NODATA","",_xll.EVDES(H65,$B$1)))</f>
        <v>Labor &amp; Related Expenses</v>
      </c>
      <c r="O65" s="199"/>
      <c r="P65" s="200"/>
      <c r="Q65" s="200"/>
      <c r="R65" s="200"/>
      <c r="S65" s="200"/>
      <c r="T65" s="200"/>
      <c r="U65" s="200"/>
      <c r="V65" s="200"/>
      <c r="W65" s="200"/>
      <c r="X65" s="200"/>
      <c r="Y65" s="200"/>
      <c r="Z65" s="200"/>
      <c r="AA65" s="200"/>
      <c r="AB65" s="406"/>
      <c r="AC65" s="11"/>
      <c r="AD65" s="407"/>
      <c r="AE65" s="408"/>
      <c r="AF65" s="114"/>
      <c r="AG65" s="200"/>
      <c r="AH65" s="408"/>
      <c r="AI65" s="114"/>
      <c r="AJ65" s="11"/>
      <c r="AK65" s="11"/>
      <c r="AL65" s="11"/>
      <c r="AM65" s="11"/>
      <c r="AN65" s="11"/>
      <c r="AO65" s="11"/>
    </row>
    <row r="66" spans="1:41" x14ac:dyDescent="0.25">
      <c r="A66" s="61" t="s">
        <v>17</v>
      </c>
      <c r="B66" s="62"/>
      <c r="C66" s="11"/>
      <c r="D66" s="11"/>
      <c r="E66" s="11"/>
      <c r="F66" s="11"/>
      <c r="G66" s="11"/>
      <c r="H66" s="11" t="s">
        <v>74</v>
      </c>
      <c r="I66" s="55" t="str">
        <f>IF(_epmOfflineCondition_,"B1",_xll.EVPRO($B$1,$H66,"STYLE"))</f>
        <v>B1</v>
      </c>
      <c r="J66" s="55" t="str">
        <f>IF(_epmOfflineCondition_,"Y",_xll.EVPRO($B$1,$H66,"CALC"))</f>
        <v>Y</v>
      </c>
      <c r="K66" s="11"/>
      <c r="L66" s="11"/>
      <c r="M66" s="11"/>
      <c r="N66" s="49" t="str">
        <f>IF(_epmOfflineCondition_,"Salaries &amp; Wages",IF(_xll.EVDES(H66,$B$1)="#NODATA","",_xll.EVDES(H66,$B$1)))</f>
        <v>Salaries &amp; Wages</v>
      </c>
      <c r="O66" s="115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7"/>
      <c r="AC66" s="11"/>
      <c r="AD66" s="115"/>
      <c r="AE66" s="116"/>
      <c r="AF66" s="117"/>
      <c r="AG66" s="116"/>
      <c r="AH66" s="116"/>
      <c r="AI66" s="117"/>
      <c r="AJ66" s="11"/>
      <c r="AK66" s="11"/>
      <c r="AL66" s="11"/>
      <c r="AM66" s="11"/>
      <c r="AN66" s="11"/>
      <c r="AO66" s="11"/>
    </row>
    <row r="67" spans="1:41" hidden="1" x14ac:dyDescent="0.25">
      <c r="A67" s="200"/>
      <c r="B67" s="200"/>
      <c r="C67" s="11"/>
      <c r="D67" s="11"/>
      <c r="E67" s="11"/>
      <c r="F67" s="11"/>
      <c r="G67" s="11"/>
      <c r="H67" s="84" t="s">
        <v>668</v>
      </c>
      <c r="I67" s="118" t="str">
        <f>IF(_epmOfflineCondition_,"",_xll.EVPRO($B$1,$H67,"STYLE"))</f>
        <v/>
      </c>
      <c r="J67" s="118" t="str">
        <f>IF(_epmOfflineCondition_,"",_xll.EVPRO($B$1,$H67,"CALC"))</f>
        <v/>
      </c>
      <c r="K67" s="175" t="str">
        <f t="shared" ref="K67:K78" si="22">IF(AND(I67&gt;="T3"),"&gt;","")</f>
        <v/>
      </c>
      <c r="L67" s="86" t="str">
        <f>IF(_epmOfflineCondition_,"",_xll.EVPRO($B$1,H67,"JDEID"))</f>
        <v/>
      </c>
      <c r="M67" s="86" t="str">
        <f>IF(_epmOfflineCondition_,"",IF(AND(I67="N",J67="N"),_xll.EVPRO($B$1,H67,"PSFTID"),""))</f>
        <v/>
      </c>
      <c r="N67" s="86" t="str">
        <f>IF(_epmOfflineCondition_,"",IF(_xll.EVDES(H67,$B$1)="#NODATA","",_xll.EVDES(H67,$B$1)))</f>
        <v/>
      </c>
      <c r="O67" s="228"/>
      <c r="P67" s="228"/>
      <c r="Q67" s="228"/>
      <c r="R67" s="228"/>
      <c r="S67" s="228"/>
      <c r="T67" s="228"/>
      <c r="U67" s="228"/>
      <c r="V67" s="228"/>
      <c r="W67" s="228"/>
      <c r="X67" s="228"/>
      <c r="Y67" s="228"/>
      <c r="Z67" s="228"/>
      <c r="AA67" s="229">
        <f t="shared" ref="AA67:AA78" si="23">IF($I67="B1","",SUM(O67:Z67))</f>
        <v>0</v>
      </c>
      <c r="AB67" s="230" t="str">
        <f t="shared" ref="AB67:AB78" si="24">IF(AA67=0,"",IFERROR(AA67/AA$19,""))</f>
        <v/>
      </c>
      <c r="AC67" s="136"/>
      <c r="AD67" s="228"/>
      <c r="AE67" s="230" t="str">
        <f t="shared" ref="AE67:AE78" si="25">IF(AD67=0,"",IFERROR(AD67/AD$19,""))</f>
        <v/>
      </c>
      <c r="AF67" s="231">
        <f t="shared" ref="AF67:AF78" si="26">IF(AND($AA67="",AD67=""),"",$AA67-AD67)</f>
        <v>0</v>
      </c>
      <c r="AG67" s="228"/>
      <c r="AH67" s="230" t="str">
        <f t="shared" ref="AH67:AH78" si="27">IF(AG67=0,"",IFERROR(AG67/AG$19,""))</f>
        <v/>
      </c>
      <c r="AI67" s="231">
        <f t="shared" ref="AI67:AI78" si="28">IF(AND($AA67="",AG67=""),"",$AA67-AG67)</f>
        <v>0</v>
      </c>
      <c r="AJ67" s="458">
        <f t="shared" ref="AJ67:AJ78" si="29">IFERROR(AA67/AA$20,0)</f>
        <v>0</v>
      </c>
      <c r="AK67" s="459">
        <f t="shared" ref="AK67:AK78" si="30">IFERROR(AD67/AD$20,0)</f>
        <v>0</v>
      </c>
      <c r="AL67" s="460">
        <f t="shared" ref="AL67:AL78" si="31">IFERROR(AG67/AG$20,0)</f>
        <v>0</v>
      </c>
      <c r="AM67" s="461">
        <f t="shared" ref="AM67:AM78" si="32">+IFERROR(ROUND(($AB67-AE67)*100,2)&amp;" pts.",0)</f>
        <v>0</v>
      </c>
      <c r="AN67" s="462">
        <f t="shared" ref="AN67:AN78" si="33">+IFERROR(ROUND(($AB67-AH67)*100,2)&amp;" pts.",0)</f>
        <v>0</v>
      </c>
      <c r="AO67" s="11"/>
    </row>
    <row r="68" spans="1:41" hidden="1" x14ac:dyDescent="0.25">
      <c r="A68" s="93" t="s">
        <v>92</v>
      </c>
      <c r="B68" s="94" t="s">
        <v>93</v>
      </c>
      <c r="C68" s="94" t="s">
        <v>94</v>
      </c>
      <c r="D68" s="94" t="s">
        <v>95</v>
      </c>
      <c r="E68" s="94" t="s">
        <v>96</v>
      </c>
      <c r="F68" s="95" t="s">
        <v>97</v>
      </c>
      <c r="G68" s="11"/>
      <c r="H68" s="84"/>
      <c r="I68" s="118" t="str">
        <f>IF(_epmOfflineCondition_,"",_xll.EVPRO($B$1,$H68,"STYLE"))</f>
        <v/>
      </c>
      <c r="J68" s="118" t="str">
        <f>IF(_epmOfflineCondition_,"",_xll.EVPRO($B$1,$H68,"CALC"))</f>
        <v/>
      </c>
      <c r="K68" s="175" t="str">
        <f t="shared" si="22"/>
        <v/>
      </c>
      <c r="L68" s="86" t="str">
        <f>IF(_epmOfflineCondition_,"",_xll.EVPRO($B$1,H68,"JDEID"))</f>
        <v/>
      </c>
      <c r="M68" s="86" t="str">
        <f>IF(_epmOfflineCondition_,"",IF(AND(I68="N",J68="N"),_xll.EVPRO($B$1,H68,"PSFTID"),""))</f>
        <v/>
      </c>
      <c r="N68" s="86" t="str">
        <f>IF(_epmOfflineCondition_,"",IF(_xll.EVDES(H68,$B$1)="#NODATA","",_xll.EVDES(H68,$B$1)))</f>
        <v/>
      </c>
      <c r="O68" s="228"/>
      <c r="P68" s="228"/>
      <c r="Q68" s="228"/>
      <c r="R68" s="228"/>
      <c r="S68" s="228"/>
      <c r="T68" s="228"/>
      <c r="U68" s="228"/>
      <c r="V68" s="228"/>
      <c r="W68" s="228"/>
      <c r="X68" s="228"/>
      <c r="Y68" s="228"/>
      <c r="Z68" s="228"/>
      <c r="AA68" s="229">
        <f t="shared" si="23"/>
        <v>0</v>
      </c>
      <c r="AB68" s="230" t="str">
        <f t="shared" si="24"/>
        <v/>
      </c>
      <c r="AC68" s="136"/>
      <c r="AD68" s="228"/>
      <c r="AE68" s="230" t="str">
        <f t="shared" si="25"/>
        <v/>
      </c>
      <c r="AF68" s="231">
        <f t="shared" si="26"/>
        <v>0</v>
      </c>
      <c r="AG68" s="228"/>
      <c r="AH68" s="230" t="str">
        <f t="shared" si="27"/>
        <v/>
      </c>
      <c r="AI68" s="231">
        <f t="shared" si="28"/>
        <v>0</v>
      </c>
      <c r="AJ68" s="458">
        <f t="shared" si="29"/>
        <v>0</v>
      </c>
      <c r="AK68" s="459">
        <f t="shared" si="30"/>
        <v>0</v>
      </c>
      <c r="AL68" s="460">
        <f t="shared" si="31"/>
        <v>0</v>
      </c>
      <c r="AM68" s="461">
        <f t="shared" si="32"/>
        <v>0</v>
      </c>
      <c r="AN68" s="462">
        <f t="shared" si="33"/>
        <v>0</v>
      </c>
      <c r="AO68" s="11"/>
    </row>
    <row r="69" spans="1:41" x14ac:dyDescent="0.25">
      <c r="A69" s="11"/>
      <c r="B69" s="11"/>
      <c r="C69" s="11"/>
      <c r="D69" s="11"/>
      <c r="E69" s="11"/>
      <c r="F69" s="11"/>
      <c r="G69" s="11"/>
      <c r="H69" s="84" t="s">
        <v>75</v>
      </c>
      <c r="I69" s="85" t="str">
        <f>IF(_epmOfflineCondition_,"B1",_xll.EVPRO($B$1,$H69,"STYLE"))</f>
        <v>B1</v>
      </c>
      <c r="J69" s="85" t="str">
        <f>IF(_epmOfflineCondition_,"Y",_xll.EVPRO($B$1,$H69,"CALC"))</f>
        <v>Y</v>
      </c>
      <c r="K69" s="261" t="str">
        <f t="shared" si="22"/>
        <v/>
      </c>
      <c r="L69" s="102" t="str">
        <f>IF(_epmOfflineCondition_,"",_xll.EVPRO($B$1,H69,"JDEID"))</f>
        <v/>
      </c>
      <c r="M69" s="86" t="str">
        <f>IF(_epmOfflineCondition_,"",IF(AND(I69="N",J69="N"),_xll.EVPRO($B$1,H69,"PSFTID"),""))</f>
        <v/>
      </c>
      <c r="N69" s="102" t="str">
        <f>IF(_epmOfflineCondition_,"Non-Management",IF(_xll.EVDES(H69,$B$1)="#NODATA","",_xll.EVDES(H69,$B$1)))</f>
        <v>Non-Management</v>
      </c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176" t="str">
        <f t="shared" si="23"/>
        <v/>
      </c>
      <c r="AB69" s="96" t="str">
        <f t="shared" si="24"/>
        <v/>
      </c>
      <c r="AC69" s="11"/>
      <c r="AD69" s="87"/>
      <c r="AE69" s="96" t="str">
        <f t="shared" si="25"/>
        <v/>
      </c>
      <c r="AF69" s="88" t="str">
        <f t="shared" si="26"/>
        <v/>
      </c>
      <c r="AG69" s="87"/>
      <c r="AH69" s="96" t="str">
        <f t="shared" si="27"/>
        <v/>
      </c>
      <c r="AI69" s="88" t="str">
        <f t="shared" si="28"/>
        <v/>
      </c>
      <c r="AJ69" s="393">
        <f t="shared" si="29"/>
        <v>0</v>
      </c>
      <c r="AK69" s="394">
        <f t="shared" si="30"/>
        <v>0</v>
      </c>
      <c r="AL69" s="395">
        <f t="shared" si="31"/>
        <v>0</v>
      </c>
      <c r="AM69" s="396">
        <f t="shared" si="32"/>
        <v>0</v>
      </c>
      <c r="AN69" s="397">
        <f t="shared" si="33"/>
        <v>0</v>
      </c>
      <c r="AO69" s="11"/>
    </row>
    <row r="70" spans="1:41" x14ac:dyDescent="0.25">
      <c r="A70" s="11" t="s">
        <v>209</v>
      </c>
      <c r="B70" s="11" t="s">
        <v>21</v>
      </c>
      <c r="C70" s="391"/>
      <c r="D70" s="11" t="s">
        <v>590</v>
      </c>
      <c r="E70" s="11"/>
      <c r="F70" s="11" t="s">
        <v>99</v>
      </c>
      <c r="G70" s="11"/>
      <c r="H70" s="84" t="s">
        <v>835</v>
      </c>
      <c r="I70" s="118" t="str">
        <f>IF(_epmOfflineCondition_,"T3",_xll.EVPRO($B$1,$H70,"STYLE"))</f>
        <v>T3</v>
      </c>
      <c r="J70" s="118" t="str">
        <f>IF(_epmOfflineCondition_,"Y",_xll.EVPRO($B$1,$H70,"CALC"))</f>
        <v>Y</v>
      </c>
      <c r="K70" s="175" t="str">
        <f t="shared" si="22"/>
        <v>&gt;</v>
      </c>
      <c r="L70" s="86" t="str">
        <f>IF(_epmOfflineCondition_,"",_xll.EVPRO($B$1,H70,"JDEID"))</f>
        <v/>
      </c>
      <c r="M70" s="86" t="str">
        <f>IF(_epmOfflineCondition_,"",IF(AND(I70="N",J70="N"),_xll.EVPRO($B$1,H70,"PSFTID"),""))</f>
        <v/>
      </c>
      <c r="N70" s="86" t="str">
        <f>IF(_epmOfflineCondition_,"F&amp;B Venues",IF(_xll.EVDES(H70,$B$1)="#NODATA","",_xll.EVDES(H70,$B$1)))</f>
        <v>F&amp;B Venues</v>
      </c>
      <c r="O70" s="228"/>
      <c r="P70" s="228"/>
      <c r="Q70" s="228"/>
      <c r="R70" s="228"/>
      <c r="S70" s="228"/>
      <c r="T70" s="228"/>
      <c r="U70" s="228"/>
      <c r="V70" s="228"/>
      <c r="W70" s="228"/>
      <c r="X70" s="228"/>
      <c r="Y70" s="228">
        <v>315</v>
      </c>
      <c r="Z70" s="228">
        <v>485.59</v>
      </c>
      <c r="AA70" s="229">
        <f t="shared" si="23"/>
        <v>800.58999999999992</v>
      </c>
      <c r="AB70" s="230">
        <f t="shared" si="24"/>
        <v>5.5345321512910835E-2</v>
      </c>
      <c r="AC70" s="136"/>
      <c r="AD70" s="228">
        <v>7243.5</v>
      </c>
      <c r="AE70" s="230">
        <f t="shared" si="25"/>
        <v>7.180227832341407E-2</v>
      </c>
      <c r="AF70" s="231">
        <f t="shared" si="26"/>
        <v>-6442.91</v>
      </c>
      <c r="AG70" s="228"/>
      <c r="AH70" s="230" t="str">
        <f t="shared" si="27"/>
        <v/>
      </c>
      <c r="AI70" s="231">
        <f t="shared" si="28"/>
        <v>800.58999999999992</v>
      </c>
      <c r="AJ70" s="467">
        <f t="shared" si="29"/>
        <v>1.4194858156028367</v>
      </c>
      <c r="AK70" s="468">
        <f t="shared" si="30"/>
        <v>2.4747181414417492</v>
      </c>
      <c r="AL70" s="469">
        <f t="shared" si="31"/>
        <v>0</v>
      </c>
      <c r="AM70" s="470" t="str">
        <f t="shared" si="32"/>
        <v>-1.65 pts.</v>
      </c>
      <c r="AN70" s="471">
        <f t="shared" si="33"/>
        <v>0</v>
      </c>
      <c r="AO70" s="11"/>
    </row>
    <row r="71" spans="1:41" x14ac:dyDescent="0.25">
      <c r="A71" s="11" t="s">
        <v>105</v>
      </c>
      <c r="B71" s="11"/>
      <c r="C71" s="100" t="s">
        <v>101</v>
      </c>
      <c r="D71" s="11" t="s">
        <v>106</v>
      </c>
      <c r="E71" s="11"/>
      <c r="F71" s="11" t="s">
        <v>98</v>
      </c>
      <c r="G71" s="11"/>
      <c r="H71" s="84" t="s">
        <v>812</v>
      </c>
      <c r="I71" s="184" t="str">
        <f>IF(_epmOfflineCondition_,"T2",_xll.EVPRO($B$1,$H71,"STYLE"))</f>
        <v>T2</v>
      </c>
      <c r="J71" s="184" t="str">
        <f>IF(_epmOfflineCondition_,"Y",_xll.EVPRO($B$1,$H71,"CALC"))</f>
        <v>Y</v>
      </c>
      <c r="K71" s="185" t="str">
        <f t="shared" si="22"/>
        <v/>
      </c>
      <c r="L71" s="186" t="str">
        <f>IF(_epmOfflineCondition_,"",_xll.EVPRO($B$1,H71,"JDEID"))</f>
        <v/>
      </c>
      <c r="M71" s="186" t="str">
        <f>IF(_epmOfflineCondition_,"",IF(AND(I71="N",J71="N"),_xll.EVPRO($B$1,H71,"PSFTID"),""))</f>
        <v/>
      </c>
      <c r="N71" s="186" t="str">
        <f>IF(_epmOfflineCondition_,"Total Salaries and Wages",IF(_xll.EVDES(H71,$B$1)="#NODATA","",_xll.EVDES(H71,$B$1)))</f>
        <v>Total Salaries and Wages</v>
      </c>
      <c r="O71" s="236"/>
      <c r="P71" s="236"/>
      <c r="Q71" s="236"/>
      <c r="R71" s="236"/>
      <c r="S71" s="236"/>
      <c r="T71" s="236"/>
      <c r="U71" s="236"/>
      <c r="V71" s="236"/>
      <c r="W71" s="236"/>
      <c r="X71" s="236"/>
      <c r="Y71" s="236">
        <v>315</v>
      </c>
      <c r="Z71" s="236">
        <v>485.59</v>
      </c>
      <c r="AA71" s="236">
        <f t="shared" si="23"/>
        <v>800.58999999999992</v>
      </c>
      <c r="AB71" s="237">
        <f t="shared" si="24"/>
        <v>5.5345321512910835E-2</v>
      </c>
      <c r="AC71" s="238"/>
      <c r="AD71" s="236">
        <v>7243.5</v>
      </c>
      <c r="AE71" s="237">
        <f t="shared" si="25"/>
        <v>7.180227832341407E-2</v>
      </c>
      <c r="AF71" s="239">
        <f t="shared" si="26"/>
        <v>-6442.91</v>
      </c>
      <c r="AG71" s="236"/>
      <c r="AH71" s="237" t="str">
        <f t="shared" si="27"/>
        <v/>
      </c>
      <c r="AI71" s="239">
        <f t="shared" si="28"/>
        <v>800.58999999999992</v>
      </c>
      <c r="AJ71" s="215">
        <f t="shared" si="29"/>
        <v>1.4194858156028367</v>
      </c>
      <c r="AK71" s="216">
        <f t="shared" si="30"/>
        <v>2.4747181414417492</v>
      </c>
      <c r="AL71" s="218">
        <f t="shared" si="31"/>
        <v>0</v>
      </c>
      <c r="AM71" s="423" t="str">
        <f t="shared" si="32"/>
        <v>-1.65 pts.</v>
      </c>
      <c r="AN71" s="474">
        <f t="shared" si="33"/>
        <v>0</v>
      </c>
      <c r="AO71" s="11"/>
    </row>
    <row r="72" spans="1:41" x14ac:dyDescent="0.25">
      <c r="A72" s="11" t="s">
        <v>104</v>
      </c>
      <c r="B72" s="11"/>
      <c r="C72" s="100" t="s">
        <v>101</v>
      </c>
      <c r="D72" s="11" t="s">
        <v>106</v>
      </c>
      <c r="E72" s="11"/>
      <c r="F72" s="11" t="s">
        <v>98</v>
      </c>
      <c r="G72" s="11"/>
      <c r="H72" s="84" t="s">
        <v>836</v>
      </c>
      <c r="I72" s="118" t="str">
        <f>IF(_epmOfflineCondition_,"T3",_xll.EVPRO($B$1,$H72,"STYLE"))</f>
        <v>T3</v>
      </c>
      <c r="J72" s="118" t="str">
        <f>IF(_epmOfflineCondition_,"Y",_xll.EVPRO($B$1,$H72,"CALC"))</f>
        <v>Y</v>
      </c>
      <c r="K72" s="175" t="str">
        <f t="shared" si="22"/>
        <v>&gt;</v>
      </c>
      <c r="L72" s="86" t="str">
        <f>IF(_epmOfflineCondition_,"",_xll.EVPRO($B$1,H72,"JDEID"))</f>
        <v/>
      </c>
      <c r="M72" s="86" t="str">
        <f>IF(_epmOfflineCondition_,"",IF(AND(I72="N",J72="N"),_xll.EVPRO($B$1,H72,"PSFTID"),""))</f>
        <v/>
      </c>
      <c r="N72" s="86" t="str">
        <f>IF(_epmOfflineCondition_,"Service Charge Distribution",IF(_xll.EVDES(H72,$B$1)="#NODATA","",_xll.EVDES(H72,$B$1)))</f>
        <v>Service Charge Distribution</v>
      </c>
      <c r="O72" s="248"/>
      <c r="P72" s="248"/>
      <c r="Q72" s="248"/>
      <c r="R72" s="248"/>
      <c r="S72" s="248"/>
      <c r="T72" s="248"/>
      <c r="U72" s="248"/>
      <c r="V72" s="248"/>
      <c r="W72" s="248"/>
      <c r="X72" s="248"/>
      <c r="Y72" s="248">
        <v>784.44</v>
      </c>
      <c r="Z72" s="248">
        <v>1240.92</v>
      </c>
      <c r="AA72" s="248">
        <f t="shared" si="23"/>
        <v>2025.3600000000001</v>
      </c>
      <c r="AB72" s="249">
        <f t="shared" si="24"/>
        <v>0.14001448978801773</v>
      </c>
      <c r="AC72" s="136"/>
      <c r="AD72" s="248">
        <v>13156.2</v>
      </c>
      <c r="AE72" s="249">
        <f t="shared" si="25"/>
        <v>0.13041280238538006</v>
      </c>
      <c r="AF72" s="250">
        <f t="shared" si="26"/>
        <v>-11130.84</v>
      </c>
      <c r="AG72" s="248"/>
      <c r="AH72" s="249" t="str">
        <f t="shared" si="27"/>
        <v/>
      </c>
      <c r="AI72" s="250">
        <f t="shared" si="28"/>
        <v>2025.3600000000001</v>
      </c>
      <c r="AJ72" s="532">
        <f t="shared" si="29"/>
        <v>3.5910638297872342</v>
      </c>
      <c r="AK72" s="533">
        <f t="shared" si="30"/>
        <v>4.4947728049197133</v>
      </c>
      <c r="AL72" s="534">
        <f t="shared" si="31"/>
        <v>0</v>
      </c>
      <c r="AM72" s="535" t="str">
        <f t="shared" si="32"/>
        <v>0.96 pts.</v>
      </c>
      <c r="AN72" s="536">
        <f t="shared" si="33"/>
        <v>0</v>
      </c>
      <c r="AO72" s="11"/>
    </row>
    <row r="73" spans="1:41" x14ac:dyDescent="0.25">
      <c r="A73" s="11" t="s">
        <v>100</v>
      </c>
      <c r="B73" s="11"/>
      <c r="C73" s="49" t="s">
        <v>101</v>
      </c>
      <c r="D73" s="11" t="s">
        <v>106</v>
      </c>
      <c r="E73" s="11"/>
      <c r="F73" s="11" t="s">
        <v>98</v>
      </c>
      <c r="G73" s="11"/>
      <c r="H73" s="84" t="s">
        <v>814</v>
      </c>
      <c r="I73" s="184" t="str">
        <f>IF(_epmOfflineCondition_,"T2",_xll.EVPRO($B$1,$H73,"STYLE"))</f>
        <v>T2</v>
      </c>
      <c r="J73" s="184" t="str">
        <f>IF(_epmOfflineCondition_,"Y",_xll.EVPRO($B$1,$H73,"CALC"))</f>
        <v>Y</v>
      </c>
      <c r="K73" s="185" t="str">
        <f t="shared" si="22"/>
        <v/>
      </c>
      <c r="L73" s="186" t="str">
        <f>IF(_epmOfflineCondition_,"",_xll.EVPRO($B$1,H73,"JDEID"))</f>
        <v/>
      </c>
      <c r="M73" s="186" t="str">
        <f>IF(_epmOfflineCondition_,"",IF(AND(I73="N",J73="N"),_xll.EVPRO($B$1,H73,"PSFTID"),""))</f>
        <v/>
      </c>
      <c r="N73" s="186" t="str">
        <f>IF(_epmOfflineCondition_,"Total Labor Expense",IF(_xll.EVDES(H73,$B$1)="#NODATA","",_xll.EVDES(H73,$B$1)))</f>
        <v>Total Labor Expense</v>
      </c>
      <c r="O73" s="236"/>
      <c r="P73" s="236"/>
      <c r="Q73" s="236"/>
      <c r="R73" s="236"/>
      <c r="S73" s="236"/>
      <c r="T73" s="236"/>
      <c r="U73" s="236"/>
      <c r="V73" s="236"/>
      <c r="W73" s="236"/>
      <c r="X73" s="236"/>
      <c r="Y73" s="236">
        <v>1099.44</v>
      </c>
      <c r="Z73" s="236">
        <v>1726.51</v>
      </c>
      <c r="AA73" s="236">
        <f t="shared" si="23"/>
        <v>2825.95</v>
      </c>
      <c r="AB73" s="237">
        <f t="shared" si="24"/>
        <v>0.19535981130092855</v>
      </c>
      <c r="AC73" s="238"/>
      <c r="AD73" s="236">
        <v>20399.7</v>
      </c>
      <c r="AE73" s="237">
        <f t="shared" si="25"/>
        <v>0.20221508070879413</v>
      </c>
      <c r="AF73" s="239">
        <f t="shared" si="26"/>
        <v>-17573.75</v>
      </c>
      <c r="AG73" s="236"/>
      <c r="AH73" s="237" t="str">
        <f t="shared" si="27"/>
        <v/>
      </c>
      <c r="AI73" s="239">
        <f t="shared" si="28"/>
        <v>2825.95</v>
      </c>
      <c r="AJ73" s="215">
        <f t="shared" si="29"/>
        <v>5.0105496453900704</v>
      </c>
      <c r="AK73" s="216">
        <f t="shared" si="30"/>
        <v>6.9694909463614625</v>
      </c>
      <c r="AL73" s="218">
        <f t="shared" si="31"/>
        <v>0</v>
      </c>
      <c r="AM73" s="423" t="str">
        <f t="shared" si="32"/>
        <v>-0.69 pts.</v>
      </c>
      <c r="AN73" s="474">
        <f t="shared" si="33"/>
        <v>0</v>
      </c>
      <c r="AO73" s="11"/>
    </row>
    <row r="74" spans="1:41" x14ac:dyDescent="0.25">
      <c r="A74" s="11" t="s">
        <v>102</v>
      </c>
      <c r="B74" s="11"/>
      <c r="C74" s="102" t="s">
        <v>101</v>
      </c>
      <c r="D74" s="11" t="s">
        <v>106</v>
      </c>
      <c r="E74" s="11"/>
      <c r="F74" s="11" t="s">
        <v>98</v>
      </c>
      <c r="G74" s="11"/>
      <c r="H74" s="84" t="s">
        <v>815</v>
      </c>
      <c r="I74" s="118" t="str">
        <f>IF(_epmOfflineCondition_,"T3",_xll.EVPRO($B$1,$H74,"STYLE"))</f>
        <v>T3</v>
      </c>
      <c r="J74" s="118" t="str">
        <f>IF(_epmOfflineCondition_,"Y",_xll.EVPRO($B$1,$H74,"CALC"))</f>
        <v>Y</v>
      </c>
      <c r="K74" s="175" t="str">
        <f t="shared" si="22"/>
        <v>&gt;</v>
      </c>
      <c r="L74" s="86" t="str">
        <f>IF(_epmOfflineCondition_,"",_xll.EVPRO($B$1,H74,"JDEID"))</f>
        <v/>
      </c>
      <c r="M74" s="86" t="str">
        <f>IF(_epmOfflineCondition_,"",IF(AND(I74="N",J74="N"),_xll.EVPRO($B$1,H74,"PSFTID"),""))</f>
        <v/>
      </c>
      <c r="N74" s="86" t="str">
        <f>IF(_epmOfflineCondition_,"Payroll Taxes",IF(_xll.EVDES(H74,$B$1)="#NODATA","",_xll.EVDES(H74,$B$1)))</f>
        <v>Payroll Taxes</v>
      </c>
      <c r="O74" s="248"/>
      <c r="P74" s="248"/>
      <c r="Q74" s="248"/>
      <c r="R74" s="248"/>
      <c r="S74" s="248"/>
      <c r="T74" s="248"/>
      <c r="U74" s="248"/>
      <c r="V74" s="248"/>
      <c r="W74" s="248"/>
      <c r="X74" s="248"/>
      <c r="Y74" s="248">
        <v>37.799999999999997</v>
      </c>
      <c r="Z74" s="248">
        <v>58.27</v>
      </c>
      <c r="AA74" s="248">
        <f t="shared" si="23"/>
        <v>96.07</v>
      </c>
      <c r="AB74" s="249">
        <f t="shared" si="24"/>
        <v>6.6413832770148814E-3</v>
      </c>
      <c r="AC74" s="136"/>
      <c r="AD74" s="248">
        <v>2136.3119416935001</v>
      </c>
      <c r="AE74" s="249">
        <f t="shared" si="25"/>
        <v>2.1176511993250477E-2</v>
      </c>
      <c r="AF74" s="250">
        <f t="shared" si="26"/>
        <v>-2040.2419416935002</v>
      </c>
      <c r="AG74" s="248"/>
      <c r="AH74" s="249" t="str">
        <f t="shared" si="27"/>
        <v/>
      </c>
      <c r="AI74" s="250">
        <f t="shared" si="28"/>
        <v>96.07</v>
      </c>
      <c r="AJ74" s="532">
        <f t="shared" si="29"/>
        <v>0.1703368794326241</v>
      </c>
      <c r="AK74" s="533">
        <f t="shared" si="30"/>
        <v>0.72986400467833967</v>
      </c>
      <c r="AL74" s="534">
        <f t="shared" si="31"/>
        <v>0</v>
      </c>
      <c r="AM74" s="535" t="str">
        <f t="shared" si="32"/>
        <v>-1.45 pts.</v>
      </c>
      <c r="AN74" s="536">
        <f t="shared" si="33"/>
        <v>0</v>
      </c>
      <c r="AO74" s="11"/>
    </row>
    <row r="75" spans="1:41" x14ac:dyDescent="0.25">
      <c r="A75" s="11" t="s">
        <v>102</v>
      </c>
      <c r="B75" s="11"/>
      <c r="C75" s="192" t="s">
        <v>101</v>
      </c>
      <c r="D75" s="11" t="s">
        <v>107</v>
      </c>
      <c r="E75" s="11"/>
      <c r="F75" s="11" t="s">
        <v>99</v>
      </c>
      <c r="G75" s="11"/>
      <c r="H75" s="84" t="s">
        <v>816</v>
      </c>
      <c r="I75" s="118" t="str">
        <f>IF(_epmOfflineCondition_,"T3",_xll.EVPRO($B$1,$H75,"STYLE"))</f>
        <v>T3</v>
      </c>
      <c r="J75" s="118" t="str">
        <f>IF(_epmOfflineCondition_,"Y",_xll.EVPRO($B$1,$H75,"CALC"))</f>
        <v>Y</v>
      </c>
      <c r="K75" s="175" t="str">
        <f t="shared" si="22"/>
        <v>&gt;</v>
      </c>
      <c r="L75" s="86" t="str">
        <f>IF(_epmOfflineCondition_,"",_xll.EVPRO($B$1,H75,"JDEID"))</f>
        <v/>
      </c>
      <c r="M75" s="86" t="str">
        <f>IF(_epmOfflineCondition_,"",IF(AND(I75="N",J75="N"),_xll.EVPRO($B$1,H75,"PSFTID"),""))</f>
        <v/>
      </c>
      <c r="N75" s="86" t="str">
        <f>IF(_epmOfflineCondition_,"Supplemental Pay",IF(_xll.EVDES(H75,$B$1)="#NODATA","",_xll.EVDES(H75,$B$1)))</f>
        <v>Supplemental Pay</v>
      </c>
      <c r="O75" s="228"/>
      <c r="P75" s="228"/>
      <c r="Q75" s="228"/>
      <c r="R75" s="228"/>
      <c r="S75" s="228"/>
      <c r="T75" s="228"/>
      <c r="U75" s="228"/>
      <c r="V75" s="228"/>
      <c r="W75" s="228"/>
      <c r="X75" s="228"/>
      <c r="Y75" s="228"/>
      <c r="Z75" s="228"/>
      <c r="AA75" s="229">
        <f t="shared" si="23"/>
        <v>0</v>
      </c>
      <c r="AB75" s="230" t="str">
        <f t="shared" si="24"/>
        <v/>
      </c>
      <c r="AC75" s="136"/>
      <c r="AD75" s="228">
        <v>225.36693548380001</v>
      </c>
      <c r="AE75" s="230">
        <f t="shared" si="25"/>
        <v>2.233983492303819E-3</v>
      </c>
      <c r="AF75" s="231">
        <f t="shared" si="26"/>
        <v>-225.36693548380001</v>
      </c>
      <c r="AG75" s="228"/>
      <c r="AH75" s="230" t="str">
        <f t="shared" si="27"/>
        <v/>
      </c>
      <c r="AI75" s="231">
        <f t="shared" si="28"/>
        <v>0</v>
      </c>
      <c r="AJ75" s="467">
        <f t="shared" si="29"/>
        <v>0</v>
      </c>
      <c r="AK75" s="468">
        <f t="shared" si="30"/>
        <v>7.6995878197403486E-2</v>
      </c>
      <c r="AL75" s="469">
        <f t="shared" si="31"/>
        <v>0</v>
      </c>
      <c r="AM75" s="470">
        <f t="shared" si="32"/>
        <v>0</v>
      </c>
      <c r="AN75" s="471">
        <f t="shared" si="33"/>
        <v>0</v>
      </c>
      <c r="AO75" s="11"/>
    </row>
    <row r="76" spans="1:41" x14ac:dyDescent="0.25">
      <c r="A76" s="11" t="s">
        <v>108</v>
      </c>
      <c r="B76" s="11"/>
      <c r="C76" s="102" t="s">
        <v>101</v>
      </c>
      <c r="D76" s="11" t="s">
        <v>106</v>
      </c>
      <c r="E76" s="11"/>
      <c r="F76" s="11" t="s">
        <v>98</v>
      </c>
      <c r="G76" s="11"/>
      <c r="H76" s="84" t="s">
        <v>817</v>
      </c>
      <c r="I76" s="118" t="str">
        <f>IF(_epmOfflineCondition_,"T3",_xll.EVPRO($B$1,$H76,"STYLE"))</f>
        <v>T3</v>
      </c>
      <c r="J76" s="118" t="str">
        <f>IF(_epmOfflineCondition_,"Y",_xll.EVPRO($B$1,$H76,"CALC"))</f>
        <v>Y</v>
      </c>
      <c r="K76" s="175" t="str">
        <f t="shared" si="22"/>
        <v>&gt;</v>
      </c>
      <c r="L76" s="86" t="str">
        <f>IF(_epmOfflineCondition_,"",_xll.EVPRO($B$1,H76,"JDEID"))</f>
        <v/>
      </c>
      <c r="M76" s="86" t="str">
        <f>IF(_epmOfflineCondition_,"",IF(AND(I76="N",J76="N"),_xll.EVPRO($B$1,H76,"PSFTID"),""))</f>
        <v/>
      </c>
      <c r="N76" s="86" t="str">
        <f>IF(_epmOfflineCondition_,"Employee Benefits",IF(_xll.EVDES(H76,$B$1)="#NODATA","",_xll.EVDES(H76,$B$1)))</f>
        <v>Employee Benefits</v>
      </c>
      <c r="O76" s="228"/>
      <c r="P76" s="228"/>
      <c r="Q76" s="228"/>
      <c r="R76" s="228"/>
      <c r="S76" s="228"/>
      <c r="T76" s="228"/>
      <c r="U76" s="228"/>
      <c r="V76" s="228"/>
      <c r="W76" s="228"/>
      <c r="X76" s="228"/>
      <c r="Y76" s="228"/>
      <c r="Z76" s="228"/>
      <c r="AA76" s="229">
        <f t="shared" si="23"/>
        <v>0</v>
      </c>
      <c r="AB76" s="230" t="str">
        <f t="shared" si="24"/>
        <v/>
      </c>
      <c r="AC76" s="136"/>
      <c r="AD76" s="228">
        <v>181.42725362900001</v>
      </c>
      <c r="AE76" s="230">
        <f t="shared" si="25"/>
        <v>1.7984248168043204E-3</v>
      </c>
      <c r="AF76" s="231">
        <f t="shared" si="26"/>
        <v>-181.42725362900001</v>
      </c>
      <c r="AG76" s="228"/>
      <c r="AH76" s="230" t="str">
        <f t="shared" si="27"/>
        <v/>
      </c>
      <c r="AI76" s="231">
        <f t="shared" si="28"/>
        <v>0</v>
      </c>
      <c r="AJ76" s="467">
        <f t="shared" si="29"/>
        <v>0</v>
      </c>
      <c r="AK76" s="468">
        <f t="shared" si="30"/>
        <v>6.198402925486847E-2</v>
      </c>
      <c r="AL76" s="469">
        <f t="shared" si="31"/>
        <v>0</v>
      </c>
      <c r="AM76" s="470">
        <f t="shared" si="32"/>
        <v>0</v>
      </c>
      <c r="AN76" s="471">
        <f t="shared" si="33"/>
        <v>0</v>
      </c>
      <c r="AO76" s="11"/>
    </row>
    <row r="77" spans="1:41" x14ac:dyDescent="0.25">
      <c r="A77" s="11" t="s">
        <v>108</v>
      </c>
      <c r="B77" s="11"/>
      <c r="C77" s="192" t="s">
        <v>101</v>
      </c>
      <c r="D77" s="11" t="s">
        <v>107</v>
      </c>
      <c r="E77" s="11"/>
      <c r="F77" s="11" t="s">
        <v>99</v>
      </c>
      <c r="G77" s="11"/>
      <c r="H77" s="84" t="s">
        <v>818</v>
      </c>
      <c r="I77" s="184" t="str">
        <f>IF(_epmOfflineCondition_,"T2",_xll.EVPRO($B$1,$H77,"STYLE"))</f>
        <v>T2</v>
      </c>
      <c r="J77" s="184" t="str">
        <f>IF(_epmOfflineCondition_,"Y",_xll.EVPRO($B$1,$H77,"CALC"))</f>
        <v>Y</v>
      </c>
      <c r="K77" s="185" t="str">
        <f t="shared" si="22"/>
        <v/>
      </c>
      <c r="L77" s="186" t="str">
        <f>IF(_epmOfflineCondition_,"",_xll.EVPRO($B$1,H77,"JDEID"))</f>
        <v/>
      </c>
      <c r="M77" s="186" t="str">
        <f>IF(_epmOfflineCondition_,"",IF(AND(I77="N",J77="N"),_xll.EVPRO($B$1,H77,"PSFTID"),""))</f>
        <v/>
      </c>
      <c r="N77" s="186" t="str">
        <f>IF(_epmOfflineCondition_,"Total Payroll Related",IF(_xll.EVDES(H77,$B$1)="#NODATA","",_xll.EVDES(H77,$B$1)))</f>
        <v>Total Payroll Related</v>
      </c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>
        <v>37.799999999999997</v>
      </c>
      <c r="Z77" s="210">
        <v>58.27</v>
      </c>
      <c r="AA77" s="210">
        <f t="shared" si="23"/>
        <v>96.07</v>
      </c>
      <c r="AB77" s="211">
        <f t="shared" si="24"/>
        <v>6.6413832770148814E-3</v>
      </c>
      <c r="AC77" s="251"/>
      <c r="AD77" s="210">
        <v>2543.1061308062999</v>
      </c>
      <c r="AE77" s="211">
        <f t="shared" si="25"/>
        <v>2.5208920302358617E-2</v>
      </c>
      <c r="AF77" s="252">
        <f t="shared" si="26"/>
        <v>-2447.0361308062998</v>
      </c>
      <c r="AG77" s="210"/>
      <c r="AH77" s="211" t="str">
        <f t="shared" si="27"/>
        <v/>
      </c>
      <c r="AI77" s="252">
        <f t="shared" si="28"/>
        <v>96.07</v>
      </c>
      <c r="AJ77" s="253">
        <f t="shared" si="29"/>
        <v>0.1703368794326241</v>
      </c>
      <c r="AK77" s="254">
        <f t="shared" si="30"/>
        <v>0.86884391213061152</v>
      </c>
      <c r="AL77" s="256">
        <f t="shared" si="31"/>
        <v>0</v>
      </c>
      <c r="AM77" s="427" t="str">
        <f t="shared" si="32"/>
        <v>-1.86 pts.</v>
      </c>
      <c r="AN77" s="483">
        <f t="shared" si="33"/>
        <v>0</v>
      </c>
      <c r="AO77" s="11"/>
    </row>
    <row r="78" spans="1:41" x14ac:dyDescent="0.25">
      <c r="A78" s="11"/>
      <c r="B78" s="11"/>
      <c r="C78" s="11"/>
      <c r="D78" s="11"/>
      <c r="E78" s="11"/>
      <c r="F78" s="11"/>
      <c r="G78" s="11"/>
      <c r="H78" s="84" t="s">
        <v>76</v>
      </c>
      <c r="I78" s="184" t="str">
        <f>IF(_epmOfflineCondition_,"T1",_xll.EVPRO($B$1,$H78,"STYLE"))</f>
        <v>T1</v>
      </c>
      <c r="J78" s="184" t="str">
        <f>IF(_epmOfflineCondition_,"Y",_xll.EVPRO($B$1,$H78,"CALC"))</f>
        <v>Y</v>
      </c>
      <c r="K78" s="185" t="str">
        <f t="shared" si="22"/>
        <v/>
      </c>
      <c r="L78" s="186" t="str">
        <f>IF(_epmOfflineCondition_,"600000",_xll.EVPRO($B$1,H78,"JDEID"))</f>
        <v>600000</v>
      </c>
      <c r="M78" s="186" t="str">
        <f>IF(_epmOfflineCondition_,"",IF(AND(I78="N",J78="N"),_xll.EVPRO($B$1,H78,"PSFTID"),""))</f>
        <v/>
      </c>
      <c r="N78" s="186" t="str">
        <f>IF(_epmOfflineCondition_,"Total Labor &amp; Related Exp",IF(_xll.EVDES(H78,$B$1)="#NODATA","",_xll.EVDES(H78,$B$1)))</f>
        <v>Total Labor &amp; Related Exp</v>
      </c>
      <c r="O78" s="210"/>
      <c r="P78" s="210"/>
      <c r="Q78" s="210"/>
      <c r="R78" s="210"/>
      <c r="S78" s="210"/>
      <c r="T78" s="210"/>
      <c r="U78" s="210"/>
      <c r="V78" s="210"/>
      <c r="W78" s="210"/>
      <c r="X78" s="210"/>
      <c r="Y78" s="210">
        <v>1137.24</v>
      </c>
      <c r="Z78" s="210">
        <v>1784.78</v>
      </c>
      <c r="AA78" s="210">
        <f t="shared" si="23"/>
        <v>2922.02</v>
      </c>
      <c r="AB78" s="211">
        <f t="shared" si="24"/>
        <v>0.20200119457794344</v>
      </c>
      <c r="AC78" s="251"/>
      <c r="AD78" s="210">
        <v>22942.806130806301</v>
      </c>
      <c r="AE78" s="211">
        <f t="shared" si="25"/>
        <v>0.22742400101115273</v>
      </c>
      <c r="AF78" s="252">
        <f t="shared" si="26"/>
        <v>-20020.7861308063</v>
      </c>
      <c r="AG78" s="210"/>
      <c r="AH78" s="211" t="str">
        <f t="shared" si="27"/>
        <v/>
      </c>
      <c r="AI78" s="252">
        <f t="shared" si="28"/>
        <v>2922.02</v>
      </c>
      <c r="AJ78" s="253">
        <f t="shared" si="29"/>
        <v>5.1808865248226947</v>
      </c>
      <c r="AK78" s="254">
        <f t="shared" si="30"/>
        <v>7.8383348584920745</v>
      </c>
      <c r="AL78" s="256">
        <f t="shared" si="31"/>
        <v>0</v>
      </c>
      <c r="AM78" s="427" t="str">
        <f t="shared" si="32"/>
        <v>-2.54 pts.</v>
      </c>
      <c r="AN78" s="483">
        <f t="shared" si="33"/>
        <v>0</v>
      </c>
      <c r="AO78" s="11"/>
    </row>
    <row r="79" spans="1:41" x14ac:dyDescent="0.25">
      <c r="A79" s="11"/>
      <c r="B79" s="11"/>
      <c r="C79" s="204"/>
      <c r="D79" s="11"/>
      <c r="E79" s="11"/>
      <c r="F79" s="11"/>
      <c r="G79" s="11"/>
      <c r="H79" s="11"/>
      <c r="I79" s="55"/>
      <c r="J79" s="55"/>
      <c r="K79" s="11"/>
      <c r="L79" s="11"/>
      <c r="M79" s="11"/>
      <c r="N79" s="11"/>
      <c r="O79" s="125"/>
      <c r="P79" s="126"/>
      <c r="Q79" s="126"/>
      <c r="R79" s="126"/>
      <c r="S79" s="126"/>
      <c r="T79" s="126"/>
      <c r="U79" s="126"/>
      <c r="V79" s="126"/>
      <c r="W79" s="126"/>
      <c r="X79" s="126"/>
      <c r="Y79" s="126"/>
      <c r="Z79" s="126"/>
      <c r="AA79" s="126"/>
      <c r="AB79" s="127"/>
      <c r="AC79" s="11"/>
      <c r="AD79" s="125"/>
      <c r="AE79" s="126"/>
      <c r="AF79" s="127"/>
      <c r="AG79" s="125"/>
      <c r="AH79" s="126"/>
      <c r="AI79" s="127"/>
      <c r="AJ79" s="11"/>
      <c r="AK79" s="11"/>
      <c r="AL79" s="11"/>
      <c r="AM79" s="11"/>
      <c r="AN79" s="11"/>
      <c r="AO79" s="11"/>
    </row>
    <row r="80" spans="1:41" x14ac:dyDescent="0.25">
      <c r="A80" s="56" t="str">
        <f>IF(_epmOfflineCondition_,"Evdre:Ok",_xll.EVDRE($B$1,A83:B90,A93:B99))</f>
        <v>Evdre:Ok</v>
      </c>
      <c r="B80" s="11"/>
      <c r="C80" s="11"/>
      <c r="D80" s="11"/>
      <c r="E80" s="11"/>
      <c r="F80" s="11"/>
      <c r="G80" s="11"/>
      <c r="H80" s="11" t="s">
        <v>82</v>
      </c>
      <c r="I80" s="55" t="str">
        <f>IF(_epmOfflineCondition_,"B1",_xll.EVPRO($B$1,$H80,"STYLE"))</f>
        <v>B1</v>
      </c>
      <c r="J80" s="55" t="str">
        <f>IF(_epmOfflineCondition_,"Y",_xll.EVPRO($B$1,$H80,"CALC"))</f>
        <v>Y</v>
      </c>
      <c r="K80" s="11"/>
      <c r="L80" s="11"/>
      <c r="M80" s="11"/>
      <c r="N80" s="101" t="str">
        <f>IF(_epmOfflineCondition_,"Other Expenses",IF(_xll.EVDES(H80,$B$1)="#NODATA","",_xll.EVDES(H80,$B$1)))</f>
        <v>Other Expenses</v>
      </c>
      <c r="O80" s="115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7"/>
      <c r="AC80" s="11"/>
      <c r="AD80" s="115"/>
      <c r="AE80" s="116"/>
      <c r="AF80" s="117"/>
      <c r="AG80" s="115"/>
      <c r="AH80" s="116"/>
      <c r="AI80" s="117"/>
      <c r="AJ80" s="11"/>
      <c r="AK80" s="11"/>
      <c r="AL80" s="11"/>
      <c r="AM80" s="11"/>
      <c r="AN80" s="11"/>
      <c r="AO80" s="11"/>
    </row>
    <row r="81" spans="1:41" x14ac:dyDescent="0.25">
      <c r="A81" s="11"/>
      <c r="B81" s="11"/>
      <c r="C81" s="11"/>
      <c r="D81" s="11"/>
      <c r="E81" s="11"/>
      <c r="F81" s="11"/>
      <c r="G81" s="11"/>
      <c r="H81" s="84" t="s">
        <v>823</v>
      </c>
      <c r="I81" s="118" t="str">
        <f>IF(_epmOfflineCondition_,"N",_xll.EVPRO($B$1,$H81,"STYLE"))</f>
        <v>N</v>
      </c>
      <c r="J81" s="118" t="str">
        <f>IF(_epmOfflineCondition_,"N",_xll.EVPRO($B$1,$H81,"CALC"))</f>
        <v>N</v>
      </c>
      <c r="K81" s="175" t="str">
        <f t="shared" ref="K81:K88" si="34">IF(AND(I81&lt;&gt;"B1",J81="Y"),"&gt;","")</f>
        <v/>
      </c>
      <c r="L81" s="86" t="str">
        <f>IF(_epmOfflineCondition_,"701300",_xll.EVPRO($B$1,H81,"JDEID"))</f>
        <v>701300</v>
      </c>
      <c r="M81" s="86" t="str">
        <f>IF(_epmOfflineCondition_,"690205",IF(AND(I81="N",J81="N"),_xll.EVPRO($B$1,H81,"PSFTID"),""))</f>
        <v>690205</v>
      </c>
      <c r="N81" s="86" t="str">
        <f>IF(_epmOfflineCondition_,"Printing &amp; Stationery",IF(_xll.EVDES(H81,$B$1)="#NODATA","",_xll.EVDES(H81,$B$1)))</f>
        <v>Printing &amp; Stationery</v>
      </c>
      <c r="O81" s="134"/>
      <c r="P81" s="134"/>
      <c r="Q81" s="134"/>
      <c r="R81" s="134"/>
      <c r="S81" s="134"/>
      <c r="T81" s="134"/>
      <c r="U81" s="134"/>
      <c r="V81" s="134"/>
      <c r="W81" s="134"/>
      <c r="X81" s="134"/>
      <c r="Y81" s="134"/>
      <c r="Z81" s="134"/>
      <c r="AA81" s="223">
        <f t="shared" ref="AA81:AA89" si="35">IF($I81="B1","",SUM(O81:Z81))</f>
        <v>0</v>
      </c>
      <c r="AB81" s="138" t="str">
        <f t="shared" ref="AB81:AB89" si="36">IF(AA81=0,"",IFERROR(AA81/AA$19,""))</f>
        <v/>
      </c>
      <c r="AC81" s="136"/>
      <c r="AD81" s="134">
        <v>58.54</v>
      </c>
      <c r="AE81" s="138">
        <f t="shared" ref="AE81:AE89" si="37">IF(AD81=0,"",IFERROR(AD81/AD$19,""))</f>
        <v>5.8028651522781252E-4</v>
      </c>
      <c r="AF81" s="137">
        <f t="shared" ref="AF81:AF89" si="38">IF(AND($AA81="",AD81=""),"",$AA81-AD81)</f>
        <v>-58.54</v>
      </c>
      <c r="AG81" s="134"/>
      <c r="AH81" s="138" t="str">
        <f t="shared" ref="AH81:AH89" si="39">IF(AG81=0,"",IFERROR(AG81/AG$19,""))</f>
        <v/>
      </c>
      <c r="AI81" s="137">
        <f t="shared" ref="AI81:AI89" si="40">IF(AND($AA81="",AG81=""),"",$AA81-AG81)</f>
        <v>0</v>
      </c>
      <c r="AJ81" s="458">
        <f t="shared" ref="AJ81:AJ89" si="41">IFERROR(AA81/AA$20,0)</f>
        <v>0</v>
      </c>
      <c r="AK81" s="459">
        <f t="shared" ref="AK81:AK89" si="42">IFERROR(AD81/AD$20,0)</f>
        <v>0.02</v>
      </c>
      <c r="AL81" s="460">
        <f t="shared" ref="AL81:AL89" si="43">IFERROR(AG81/AG$20,0)</f>
        <v>0</v>
      </c>
      <c r="AM81" s="461">
        <f t="shared" ref="AM81:AM89" si="44">+IFERROR(ROUND(($AB81-AE81)*100,2)&amp;" pts.",0)</f>
        <v>0</v>
      </c>
      <c r="AN81" s="462">
        <f t="shared" ref="AN81:AN89" si="45">+IFERROR(ROUND(($AB81-AH81)*100,2)&amp;" pts.",0)</f>
        <v>0</v>
      </c>
      <c r="AO81" s="11"/>
    </row>
    <row r="82" spans="1:41" x14ac:dyDescent="0.25">
      <c r="A82" s="57" t="s">
        <v>0</v>
      </c>
      <c r="B82" s="58" t="s">
        <v>1</v>
      </c>
      <c r="C82" s="11"/>
      <c r="D82" s="11"/>
      <c r="E82" s="11"/>
      <c r="F82" s="11"/>
      <c r="G82" s="11"/>
      <c r="H82" s="84" t="s">
        <v>792</v>
      </c>
      <c r="I82" s="118" t="str">
        <f>IF(_epmOfflineCondition_,"T4",_xll.EVPRO($B$1,$H82,"STYLE"))</f>
        <v>T4</v>
      </c>
      <c r="J82" s="118" t="str">
        <f>IF(_epmOfflineCondition_,"Y",_xll.EVPRO($B$1,$H82,"CALC"))</f>
        <v>Y</v>
      </c>
      <c r="K82" s="175" t="str">
        <f t="shared" si="34"/>
        <v>&gt;</v>
      </c>
      <c r="L82" s="86" t="str">
        <f>IF(_epmOfflineCondition_,"701500",_xll.EVPRO($B$1,H82,"JDEID"))</f>
        <v>701500</v>
      </c>
      <c r="M82" s="86" t="str">
        <f>IF(_epmOfflineCondition_,"",IF(AND(I82="N",J82="N"),_xll.EVPRO($B$1,H82,"PSFTID"),""))</f>
        <v/>
      </c>
      <c r="N82" s="86" t="str">
        <f>IF(_epmOfflineCondition_,"Operating Supplies",IF(_xll.EVDES(H82,$B$1)="#NODATA","",_xll.EVDES(H82,$B$1)))</f>
        <v>Operating Supplies</v>
      </c>
      <c r="O82" s="134"/>
      <c r="P82" s="134"/>
      <c r="Q82" s="134"/>
      <c r="R82" s="134"/>
      <c r="S82" s="134"/>
      <c r="T82" s="134"/>
      <c r="U82" s="134"/>
      <c r="V82" s="134"/>
      <c r="W82" s="134"/>
      <c r="X82" s="134"/>
      <c r="Y82" s="134">
        <v>23.99</v>
      </c>
      <c r="Z82" s="134"/>
      <c r="AA82" s="223">
        <f t="shared" si="35"/>
        <v>23.99</v>
      </c>
      <c r="AB82" s="138">
        <f t="shared" si="36"/>
        <v>1.658444725883075E-3</v>
      </c>
      <c r="AC82" s="136"/>
      <c r="AD82" s="134">
        <v>175.62</v>
      </c>
      <c r="AE82" s="138">
        <f t="shared" si="37"/>
        <v>1.7408595456834377E-3</v>
      </c>
      <c r="AF82" s="137">
        <f t="shared" si="38"/>
        <v>-151.63</v>
      </c>
      <c r="AG82" s="134">
        <v>15</v>
      </c>
      <c r="AH82" s="138" t="str">
        <f t="shared" si="39"/>
        <v/>
      </c>
      <c r="AI82" s="137">
        <f t="shared" si="40"/>
        <v>8.9899999999999984</v>
      </c>
      <c r="AJ82" s="458">
        <f t="shared" si="41"/>
        <v>4.2535460992907802E-2</v>
      </c>
      <c r="AK82" s="459">
        <f t="shared" si="42"/>
        <v>6.0000000000000005E-2</v>
      </c>
      <c r="AL82" s="460">
        <f t="shared" si="43"/>
        <v>0</v>
      </c>
      <c r="AM82" s="461" t="str">
        <f t="shared" si="44"/>
        <v>-0.01 pts.</v>
      </c>
      <c r="AN82" s="462">
        <f t="shared" si="45"/>
        <v>0</v>
      </c>
      <c r="AO82" s="11"/>
    </row>
    <row r="83" spans="1:41" x14ac:dyDescent="0.25">
      <c r="A83" s="61" t="s">
        <v>2</v>
      </c>
      <c r="B83" s="62" t="str">
        <f>IF(_epmOfflineCondition_,"'IRD'!$B$2:$B$10",_xll.EVRNG($B$2:$B$10))</f>
        <v>'IRD'!$B$2:$B$10</v>
      </c>
      <c r="C83" s="11"/>
      <c r="D83" s="11"/>
      <c r="E83" s="11"/>
      <c r="F83" s="11"/>
      <c r="G83" s="11"/>
      <c r="H83" s="84" t="s">
        <v>824</v>
      </c>
      <c r="I83" s="118" t="str">
        <f>IF(_epmOfflineCondition_,"N",_xll.EVPRO($B$1,$H83,"STYLE"))</f>
        <v>N</v>
      </c>
      <c r="J83" s="118" t="str">
        <f>IF(_epmOfflineCondition_,"N",_xll.EVPRO($B$1,$H83,"CALC"))</f>
        <v>N</v>
      </c>
      <c r="K83" s="175" t="str">
        <f t="shared" si="34"/>
        <v/>
      </c>
      <c r="L83" s="86" t="str">
        <f>IF(_epmOfflineCondition_,"701600",_xll.EVPRO($B$1,H83,"JDEID"))</f>
        <v>701600</v>
      </c>
      <c r="M83" s="86" t="str">
        <f>IF(_epmOfflineCondition_,"590015",IF(AND(I83="N",J83="N"),_xll.EVPRO($B$1,H83,"PSFTID"),""))</f>
        <v>590015</v>
      </c>
      <c r="N83" s="86" t="str">
        <f>IF(_epmOfflineCondition_,"Cleaning Supplies",IF(_xll.EVDES(H83,$B$1)="#NODATA","",_xll.EVDES(H83,$B$1)))</f>
        <v>Cleaning Supplies</v>
      </c>
      <c r="O83" s="134"/>
      <c r="P83" s="134"/>
      <c r="Q83" s="134"/>
      <c r="R83" s="134"/>
      <c r="S83" s="134"/>
      <c r="T83" s="134"/>
      <c r="U83" s="134"/>
      <c r="V83" s="134"/>
      <c r="W83" s="134"/>
      <c r="X83" s="134"/>
      <c r="Y83" s="134"/>
      <c r="Z83" s="134"/>
      <c r="AA83" s="223">
        <f t="shared" si="35"/>
        <v>0</v>
      </c>
      <c r="AB83" s="138" t="str">
        <f t="shared" si="36"/>
        <v/>
      </c>
      <c r="AC83" s="136"/>
      <c r="AD83" s="134">
        <v>175.62</v>
      </c>
      <c r="AE83" s="138">
        <f t="shared" si="37"/>
        <v>1.7408595456834377E-3</v>
      </c>
      <c r="AF83" s="137">
        <f t="shared" si="38"/>
        <v>-175.62</v>
      </c>
      <c r="AG83" s="134"/>
      <c r="AH83" s="138" t="str">
        <f t="shared" si="39"/>
        <v/>
      </c>
      <c r="AI83" s="137">
        <f t="shared" si="40"/>
        <v>0</v>
      </c>
      <c r="AJ83" s="458">
        <f t="shared" si="41"/>
        <v>0</v>
      </c>
      <c r="AK83" s="459">
        <f t="shared" si="42"/>
        <v>6.0000000000000005E-2</v>
      </c>
      <c r="AL83" s="460">
        <f t="shared" si="43"/>
        <v>0</v>
      </c>
      <c r="AM83" s="461">
        <f t="shared" si="44"/>
        <v>0</v>
      </c>
      <c r="AN83" s="462">
        <f t="shared" si="45"/>
        <v>0</v>
      </c>
      <c r="AO83" s="11"/>
    </row>
    <row r="84" spans="1:41" x14ac:dyDescent="0.25">
      <c r="A84" s="61" t="s">
        <v>3</v>
      </c>
      <c r="B84" s="62" t="str">
        <f>IF(_epmOfflineCondition_,"'IRD'!$O$16:$AN$18",_xll.EVRNG($O$16:$AN$18))</f>
        <v>'IRD'!$O$16:$AN$18</v>
      </c>
      <c r="C84" s="11"/>
      <c r="D84" s="11"/>
      <c r="E84" s="11"/>
      <c r="F84" s="11"/>
      <c r="G84" s="11"/>
      <c r="H84" s="84" t="s">
        <v>825</v>
      </c>
      <c r="I84" s="118" t="str">
        <f>IF(_epmOfflineCondition_,"N",_xll.EVPRO($B$1,$H84,"STYLE"))</f>
        <v>N</v>
      </c>
      <c r="J84" s="118" t="str">
        <f>IF(_epmOfflineCondition_,"N",_xll.EVPRO($B$1,$H84,"CALC"))</f>
        <v>N</v>
      </c>
      <c r="K84" s="175" t="str">
        <f t="shared" si="34"/>
        <v/>
      </c>
      <c r="L84" s="86" t="str">
        <f>IF(_epmOfflineCondition_,"701700",_xll.EVPRO($B$1,H84,"JDEID"))</f>
        <v>701700</v>
      </c>
      <c r="M84" s="86" t="str">
        <f>IF(_epmOfflineCondition_,"590026",IF(AND(I84="N",J84="N"),_xll.EVPRO($B$1,H84,"PSFTID"),""))</f>
        <v>590026</v>
      </c>
      <c r="N84" s="86" t="str">
        <f>IF(_epmOfflineCondition_,"Dishwashing Supplies",IF(_xll.EVDES(H84,$B$1)="#NODATA","",_xll.EVDES(H84,$B$1)))</f>
        <v>Dishwashing Supplies</v>
      </c>
      <c r="O84" s="134"/>
      <c r="P84" s="134"/>
      <c r="Q84" s="134"/>
      <c r="R84" s="134"/>
      <c r="S84" s="134"/>
      <c r="T84" s="134"/>
      <c r="U84" s="134"/>
      <c r="V84" s="134"/>
      <c r="W84" s="134"/>
      <c r="X84" s="134"/>
      <c r="Y84" s="134"/>
      <c r="Z84" s="134"/>
      <c r="AA84" s="223">
        <f t="shared" si="35"/>
        <v>0</v>
      </c>
      <c r="AB84" s="138" t="str">
        <f t="shared" si="36"/>
        <v/>
      </c>
      <c r="AC84" s="136"/>
      <c r="AD84" s="134">
        <v>175.62</v>
      </c>
      <c r="AE84" s="138">
        <f t="shared" si="37"/>
        <v>1.7408595456834377E-3</v>
      </c>
      <c r="AF84" s="137">
        <f t="shared" si="38"/>
        <v>-175.62</v>
      </c>
      <c r="AG84" s="134"/>
      <c r="AH84" s="138" t="str">
        <f t="shared" si="39"/>
        <v/>
      </c>
      <c r="AI84" s="137">
        <f t="shared" si="40"/>
        <v>0</v>
      </c>
      <c r="AJ84" s="458">
        <f t="shared" si="41"/>
        <v>0</v>
      </c>
      <c r="AK84" s="459">
        <f t="shared" si="42"/>
        <v>6.0000000000000005E-2</v>
      </c>
      <c r="AL84" s="460">
        <f t="shared" si="43"/>
        <v>0</v>
      </c>
      <c r="AM84" s="461">
        <f t="shared" si="44"/>
        <v>0</v>
      </c>
      <c r="AN84" s="462">
        <f t="shared" si="45"/>
        <v>0</v>
      </c>
      <c r="AO84" s="11"/>
    </row>
    <row r="85" spans="1:41" x14ac:dyDescent="0.25">
      <c r="A85" s="61" t="s">
        <v>4</v>
      </c>
      <c r="B85" s="62" t="str">
        <f>IF(_epmOfflineCondition_,"'IRD'!$H$67:$H$68,'IRD'!$H$70:$H$78,'IRD'!$H$81:$H$88",_xll.EVRNG(H67:H68,H70:H78,H81:H88))</f>
        <v>'IRD'!$H$67:$H$68,'IRD'!$H$70:$H$78,'IRD'!$H$81:$H$88</v>
      </c>
      <c r="C85" s="11"/>
      <c r="D85" s="11"/>
      <c r="E85" s="11"/>
      <c r="F85" s="11"/>
      <c r="G85" s="11"/>
      <c r="H85" s="84" t="s">
        <v>826</v>
      </c>
      <c r="I85" s="118" t="str">
        <f>IF(_epmOfflineCondition_,"N",_xll.EVPRO($B$1,$H85,"STYLE"))</f>
        <v>N</v>
      </c>
      <c r="J85" s="118" t="str">
        <f>IF(_epmOfflineCondition_,"N",_xll.EVPRO($B$1,$H85,"CALC"))</f>
        <v>N</v>
      </c>
      <c r="K85" s="175" t="str">
        <f t="shared" si="34"/>
        <v/>
      </c>
      <c r="L85" s="86" t="str">
        <f>IF(_epmOfflineCondition_,"702000",_xll.EVPRO($B$1,H85,"JDEID"))</f>
        <v>702000</v>
      </c>
      <c r="M85" s="86" t="str">
        <f>IF(_epmOfflineCondition_,"590031",IF(AND(I85="N",J85="N"),_xll.EVPRO($B$1,H85,"PSFTID"),""))</f>
        <v>590031</v>
      </c>
      <c r="N85" s="86" t="str">
        <f>IF(_epmOfflineCondition_,"Paper and Plastics",IF(_xll.EVDES(H85,$B$1)="#NODATA","",_xll.EVDES(H85,$B$1)))</f>
        <v>Paper and Plastics</v>
      </c>
      <c r="O85" s="134"/>
      <c r="P85" s="134"/>
      <c r="Q85" s="134"/>
      <c r="R85" s="134"/>
      <c r="S85" s="134"/>
      <c r="T85" s="134"/>
      <c r="U85" s="134"/>
      <c r="V85" s="134"/>
      <c r="W85" s="134"/>
      <c r="X85" s="134"/>
      <c r="Y85" s="134"/>
      <c r="Z85" s="134"/>
      <c r="AA85" s="223">
        <f t="shared" si="35"/>
        <v>0</v>
      </c>
      <c r="AB85" s="138" t="str">
        <f t="shared" si="36"/>
        <v/>
      </c>
      <c r="AC85" s="136"/>
      <c r="AD85" s="134">
        <v>175.62</v>
      </c>
      <c r="AE85" s="138">
        <f t="shared" si="37"/>
        <v>1.7408595456834377E-3</v>
      </c>
      <c r="AF85" s="137">
        <f t="shared" si="38"/>
        <v>-175.62</v>
      </c>
      <c r="AG85" s="134"/>
      <c r="AH85" s="138" t="str">
        <f t="shared" si="39"/>
        <v/>
      </c>
      <c r="AI85" s="137">
        <f t="shared" si="40"/>
        <v>0</v>
      </c>
      <c r="AJ85" s="458">
        <f t="shared" si="41"/>
        <v>0</v>
      </c>
      <c r="AK85" s="459">
        <f t="shared" si="42"/>
        <v>6.0000000000000005E-2</v>
      </c>
      <c r="AL85" s="460">
        <f t="shared" si="43"/>
        <v>0</v>
      </c>
      <c r="AM85" s="461">
        <f t="shared" si="44"/>
        <v>0</v>
      </c>
      <c r="AN85" s="462">
        <f t="shared" si="45"/>
        <v>0</v>
      </c>
      <c r="AO85" s="11"/>
    </row>
    <row r="86" spans="1:41" x14ac:dyDescent="0.25">
      <c r="A86" s="61" t="s">
        <v>5</v>
      </c>
      <c r="B86" s="62"/>
      <c r="C86" s="11"/>
      <c r="D86" s="11"/>
      <c r="E86" s="11"/>
      <c r="F86" s="11"/>
      <c r="G86" s="11"/>
      <c r="H86" s="84" t="s">
        <v>797</v>
      </c>
      <c r="I86" s="118" t="str">
        <f>IF(_epmOfflineCondition_,"T4",_xll.EVPRO($B$1,$H86,"STYLE"))</f>
        <v>T4</v>
      </c>
      <c r="J86" s="118" t="str">
        <f>IF(_epmOfflineCondition_,"Y",_xll.EVPRO($B$1,$H86,"CALC"))</f>
        <v>Y</v>
      </c>
      <c r="K86" s="175" t="str">
        <f t="shared" si="34"/>
        <v>&gt;</v>
      </c>
      <c r="L86" s="86" t="str">
        <f>IF(_epmOfflineCondition_,"703000",_xll.EVPRO($B$1,H86,"JDEID"))</f>
        <v>703000</v>
      </c>
      <c r="M86" s="86" t="str">
        <f>IF(_epmOfflineCondition_,"",IF(AND(I86="N",J86="N"),_xll.EVPRO($B$1,H86,"PSFTID"),""))</f>
        <v/>
      </c>
      <c r="N86" s="86" t="str">
        <f>IF(_epmOfflineCondition_,"Complimentary Services &amp; Gifts",IF(_xll.EVDES(H86,$B$1)="#NODATA","",_xll.EVDES(H86,$B$1)))</f>
        <v>Complimentary Services &amp; Gifts</v>
      </c>
      <c r="O86" s="134"/>
      <c r="P86" s="134"/>
      <c r="Q86" s="134"/>
      <c r="R86" s="134"/>
      <c r="S86" s="134"/>
      <c r="T86" s="134"/>
      <c r="U86" s="134"/>
      <c r="V86" s="134"/>
      <c r="W86" s="134"/>
      <c r="X86" s="134"/>
      <c r="Y86" s="134"/>
      <c r="Z86" s="134"/>
      <c r="AA86" s="223">
        <f t="shared" si="35"/>
        <v>0</v>
      </c>
      <c r="AB86" s="138" t="str">
        <f t="shared" si="36"/>
        <v/>
      </c>
      <c r="AC86" s="136"/>
      <c r="AD86" s="134">
        <v>27.276710073</v>
      </c>
      <c r="AE86" s="138">
        <f t="shared" si="37"/>
        <v>2.7038447275607347E-4</v>
      </c>
      <c r="AF86" s="137">
        <f t="shared" si="38"/>
        <v>-27.276710073</v>
      </c>
      <c r="AG86" s="134"/>
      <c r="AH86" s="138" t="str">
        <f t="shared" si="39"/>
        <v/>
      </c>
      <c r="AI86" s="137">
        <f t="shared" si="40"/>
        <v>0</v>
      </c>
      <c r="AJ86" s="458">
        <f t="shared" si="41"/>
        <v>0</v>
      </c>
      <c r="AK86" s="459">
        <f t="shared" si="42"/>
        <v>9.3189989999999997E-3</v>
      </c>
      <c r="AL86" s="460">
        <f t="shared" si="43"/>
        <v>0</v>
      </c>
      <c r="AM86" s="461">
        <f t="shared" si="44"/>
        <v>0</v>
      </c>
      <c r="AN86" s="462">
        <f t="shared" si="45"/>
        <v>0</v>
      </c>
      <c r="AO86" s="11"/>
    </row>
    <row r="87" spans="1:41" x14ac:dyDescent="0.25">
      <c r="A87" s="61" t="s">
        <v>6</v>
      </c>
      <c r="B87" s="62"/>
      <c r="C87" s="11"/>
      <c r="D87" s="11"/>
      <c r="E87" s="11"/>
      <c r="F87" s="11"/>
      <c r="G87" s="11"/>
      <c r="H87" s="84" t="s">
        <v>799</v>
      </c>
      <c r="I87" s="118" t="str">
        <f>IF(_epmOfflineCondition_,"N",_xll.EVPRO($B$1,$H87,"STYLE"))</f>
        <v>N</v>
      </c>
      <c r="J87" s="118" t="str">
        <f>IF(_epmOfflineCondition_,"N",_xll.EVPRO($B$1,$H87,"CALC"))</f>
        <v>N</v>
      </c>
      <c r="K87" s="175" t="str">
        <f t="shared" si="34"/>
        <v/>
      </c>
      <c r="L87" s="86" t="str">
        <f>IF(_epmOfflineCondition_,"703200",_xll.EVPRO($B$1,H87,"JDEID"))</f>
        <v>703200</v>
      </c>
      <c r="M87" s="86" t="str">
        <f>IF(_epmOfflineCondition_,"590035",IF(AND(I87="N",J87="N"),_xll.EVPRO($B$1,H87,"PSFTID"),""))</f>
        <v>590035</v>
      </c>
      <c r="N87" s="86" t="str">
        <f>IF(_epmOfflineCondition_,"Uniform Costs",IF(_xll.EVDES(H87,$B$1)="#NODATA","",_xll.EVDES(H87,$B$1)))</f>
        <v>Uniform Costs</v>
      </c>
      <c r="O87" s="134"/>
      <c r="P87" s="134"/>
      <c r="Q87" s="134"/>
      <c r="R87" s="134"/>
      <c r="S87" s="134"/>
      <c r="T87" s="134"/>
      <c r="U87" s="134"/>
      <c r="V87" s="134"/>
      <c r="W87" s="134"/>
      <c r="X87" s="134"/>
      <c r="Y87" s="134"/>
      <c r="Z87" s="134"/>
      <c r="AA87" s="223">
        <f t="shared" si="35"/>
        <v>0</v>
      </c>
      <c r="AB87" s="138" t="str">
        <f t="shared" si="36"/>
        <v/>
      </c>
      <c r="AC87" s="136"/>
      <c r="AD87" s="134">
        <v>117.08</v>
      </c>
      <c r="AE87" s="138">
        <f t="shared" si="37"/>
        <v>1.160573030455625E-3</v>
      </c>
      <c r="AF87" s="137">
        <f t="shared" si="38"/>
        <v>-117.08</v>
      </c>
      <c r="AG87" s="134"/>
      <c r="AH87" s="138" t="str">
        <f t="shared" si="39"/>
        <v/>
      </c>
      <c r="AI87" s="137">
        <f t="shared" si="40"/>
        <v>0</v>
      </c>
      <c r="AJ87" s="458">
        <f t="shared" si="41"/>
        <v>0</v>
      </c>
      <c r="AK87" s="459">
        <f t="shared" si="42"/>
        <v>0.04</v>
      </c>
      <c r="AL87" s="460">
        <f t="shared" si="43"/>
        <v>0</v>
      </c>
      <c r="AM87" s="461">
        <f t="shared" si="44"/>
        <v>0</v>
      </c>
      <c r="AN87" s="462">
        <f t="shared" si="45"/>
        <v>0</v>
      </c>
      <c r="AO87" s="11"/>
    </row>
    <row r="88" spans="1:41" x14ac:dyDescent="0.25">
      <c r="A88" s="61" t="s">
        <v>7</v>
      </c>
      <c r="B88" s="62" t="str">
        <f>IF(_epmOfflineCondition_,"'IRD'!$A$102:$F$108",_xll.EVRNG(A102:F108))</f>
        <v>'IRD'!$A$102:$F$108</v>
      </c>
      <c r="C88" s="11"/>
      <c r="D88" s="11"/>
      <c r="E88" s="11"/>
      <c r="F88" s="11"/>
      <c r="G88" s="11"/>
      <c r="H88" s="84" t="s">
        <v>800</v>
      </c>
      <c r="I88" s="118" t="str">
        <f>IF(_epmOfflineCondition_,"N",_xll.EVPRO($B$1,$H88,"STYLE"))</f>
        <v>N</v>
      </c>
      <c r="J88" s="118" t="str">
        <f>IF(_epmOfflineCondition_,"N",_xll.EVPRO($B$1,$H88,"CALC"))</f>
        <v>N</v>
      </c>
      <c r="K88" s="175" t="str">
        <f t="shared" si="34"/>
        <v/>
      </c>
      <c r="L88" s="86" t="str">
        <f>IF(_epmOfflineCondition_,"703300",_xll.EVPRO($B$1,H88,"JDEID"))</f>
        <v>703300</v>
      </c>
      <c r="M88" s="86" t="str">
        <f>IF(_epmOfflineCondition_,"590115",IF(AND(I88="N",J88="N"),_xll.EVPRO($B$1,H88,"PSFTID"),""))</f>
        <v>590115</v>
      </c>
      <c r="N88" s="86" t="str">
        <f>IF(_epmOfflineCondition_,"Uniforms Laundry",IF(_xll.EVDES(H88,$B$1)="#NODATA","",_xll.EVDES(H88,$B$1)))</f>
        <v>Uniforms Laundry</v>
      </c>
      <c r="O88" s="134"/>
      <c r="P88" s="134"/>
      <c r="Q88" s="134"/>
      <c r="R88" s="134"/>
      <c r="S88" s="134"/>
      <c r="T88" s="134"/>
      <c r="U88" s="134"/>
      <c r="V88" s="134"/>
      <c r="W88" s="134"/>
      <c r="X88" s="134"/>
      <c r="Y88" s="134"/>
      <c r="Z88" s="134"/>
      <c r="AA88" s="223">
        <f t="shared" si="35"/>
        <v>0</v>
      </c>
      <c r="AB88" s="138" t="str">
        <f t="shared" si="36"/>
        <v/>
      </c>
      <c r="AC88" s="136"/>
      <c r="AD88" s="134">
        <v>497.59</v>
      </c>
      <c r="AE88" s="138">
        <f t="shared" si="37"/>
        <v>4.9324353794364065E-3</v>
      </c>
      <c r="AF88" s="137">
        <f t="shared" si="38"/>
        <v>-497.59</v>
      </c>
      <c r="AG88" s="134"/>
      <c r="AH88" s="138" t="str">
        <f t="shared" si="39"/>
        <v/>
      </c>
      <c r="AI88" s="137">
        <f t="shared" si="40"/>
        <v>0</v>
      </c>
      <c r="AJ88" s="458">
        <f t="shared" si="41"/>
        <v>0</v>
      </c>
      <c r="AK88" s="459">
        <f t="shared" si="42"/>
        <v>0.16999999999999998</v>
      </c>
      <c r="AL88" s="460">
        <f t="shared" si="43"/>
        <v>0</v>
      </c>
      <c r="AM88" s="461">
        <f t="shared" si="44"/>
        <v>0</v>
      </c>
      <c r="AN88" s="462">
        <f t="shared" si="45"/>
        <v>0</v>
      </c>
      <c r="AO88" s="11"/>
    </row>
    <row r="89" spans="1:41" x14ac:dyDescent="0.25">
      <c r="A89" s="61" t="s">
        <v>47</v>
      </c>
      <c r="B89" s="62" t="str">
        <f>IF(_epmOfflineCondition_,"'IRD'!$A$125:$B$146",_xll.EVRNG($A$125:$B$146))</f>
        <v>'IRD'!$A$125:$B$146</v>
      </c>
      <c r="C89" s="11"/>
      <c r="D89" s="11"/>
      <c r="E89" s="11"/>
      <c r="F89" s="11"/>
      <c r="G89" s="11"/>
      <c r="H89" s="84" t="s">
        <v>79</v>
      </c>
      <c r="I89" s="132" t="str">
        <f>IF(_epmOfflineCondition_,"T3",_xll.EVPRO($B$1,$H89,"STYLE"))</f>
        <v>T3</v>
      </c>
      <c r="J89" s="132" t="str">
        <f>IF(_epmOfflineCondition_,"Y",_xll.EVPRO($B$1,$H89,"CALC"))</f>
        <v>Y</v>
      </c>
      <c r="K89" s="100"/>
      <c r="L89" s="100"/>
      <c r="M89" s="100"/>
      <c r="N89" s="102" t="str">
        <f>IF(_epmOfflineCondition_,"Total Operations Expense",IF(_xll.EVDES(H89,$B$1)="#NODATA","",_xll.EVDES(H89,$B$1)))</f>
        <v>Total Operations Expense</v>
      </c>
      <c r="O89" s="146"/>
      <c r="P89" s="146"/>
      <c r="Q89" s="146"/>
      <c r="R89" s="146"/>
      <c r="S89" s="146"/>
      <c r="T89" s="146"/>
      <c r="U89" s="146"/>
      <c r="V89" s="146"/>
      <c r="W89" s="146"/>
      <c r="X89" s="146"/>
      <c r="Y89" s="146">
        <v>23.99</v>
      </c>
      <c r="Z89" s="146"/>
      <c r="AA89" s="146">
        <f t="shared" si="35"/>
        <v>23.99</v>
      </c>
      <c r="AB89" s="147">
        <f t="shared" si="36"/>
        <v>1.658444725883075E-3</v>
      </c>
      <c r="AC89" s="136"/>
      <c r="AD89" s="146">
        <v>1402.9667100730001</v>
      </c>
      <c r="AE89" s="147">
        <f t="shared" si="37"/>
        <v>1.3907117580609668E-2</v>
      </c>
      <c r="AF89" s="148">
        <f t="shared" si="38"/>
        <v>-1378.976710073</v>
      </c>
      <c r="AG89" s="146">
        <v>15</v>
      </c>
      <c r="AH89" s="147" t="str">
        <f t="shared" si="39"/>
        <v/>
      </c>
      <c r="AI89" s="148">
        <f t="shared" si="40"/>
        <v>8.9899999999999984</v>
      </c>
      <c r="AJ89" s="431">
        <f t="shared" si="41"/>
        <v>4.2535460992907802E-2</v>
      </c>
      <c r="AK89" s="432">
        <f t="shared" si="42"/>
        <v>0.47931899900000002</v>
      </c>
      <c r="AL89" s="433">
        <f t="shared" si="43"/>
        <v>0</v>
      </c>
      <c r="AM89" s="434" t="str">
        <f t="shared" si="44"/>
        <v>-1.22 pts.</v>
      </c>
      <c r="AN89" s="550">
        <f t="shared" si="45"/>
        <v>0</v>
      </c>
      <c r="AO89" s="11"/>
    </row>
    <row r="90" spans="1:41" x14ac:dyDescent="0.25">
      <c r="A90" s="61" t="s">
        <v>8</v>
      </c>
      <c r="B90" s="62"/>
      <c r="C90" s="11"/>
      <c r="D90" s="11"/>
      <c r="E90" s="11"/>
      <c r="F90" s="11"/>
      <c r="G90" s="11"/>
      <c r="H90" s="11"/>
      <c r="I90" s="55"/>
      <c r="J90" s="55"/>
      <c r="K90" s="11"/>
      <c r="L90" s="11"/>
      <c r="M90" s="11"/>
      <c r="N90" s="11"/>
      <c r="O90" s="136"/>
      <c r="P90" s="136"/>
      <c r="Q90" s="136"/>
      <c r="R90" s="136"/>
      <c r="S90" s="136"/>
      <c r="T90" s="136"/>
      <c r="U90" s="136"/>
      <c r="V90" s="136"/>
      <c r="W90" s="136"/>
      <c r="X90" s="136"/>
      <c r="Y90" s="136"/>
      <c r="Z90" s="136"/>
      <c r="AA90" s="136"/>
      <c r="AB90" s="136"/>
      <c r="AC90" s="136"/>
      <c r="AD90" s="136"/>
      <c r="AE90" s="136"/>
      <c r="AF90" s="136"/>
      <c r="AG90" s="136"/>
      <c r="AH90" s="136"/>
      <c r="AI90" s="136"/>
      <c r="AJ90" s="136"/>
      <c r="AK90" s="136"/>
      <c r="AL90" s="136"/>
      <c r="AM90" s="136"/>
      <c r="AN90" s="136"/>
      <c r="AO90" s="11"/>
    </row>
    <row r="91" spans="1:41" x14ac:dyDescent="0.25">
      <c r="A91" s="11"/>
      <c r="B91" s="11"/>
      <c r="C91" s="11"/>
      <c r="D91" s="11"/>
      <c r="E91" s="11"/>
      <c r="F91" s="11"/>
      <c r="G91" s="11"/>
      <c r="H91" s="84" t="s">
        <v>80</v>
      </c>
      <c r="I91" s="132" t="str">
        <f>IF(_epmOfflineCondition_,"T3",_xll.EVPRO($B$1,$H91,"STYLE"))</f>
        <v>T3</v>
      </c>
      <c r="J91" s="132" t="str">
        <f>IF(_epmOfflineCondition_,"Y",_xll.EVPRO($B$1,$H91,"CALC"))</f>
        <v>Y</v>
      </c>
      <c r="K91" s="102"/>
      <c r="L91" s="102"/>
      <c r="M91" s="102"/>
      <c r="N91" s="102" t="str">
        <f>IF(_epmOfflineCondition_,"Total Expenses",IF(_xll.EVDES(H91,$B$1)="#NODATA","",_xll.EVDES(H91,$B$1)))</f>
        <v>Total Expenses</v>
      </c>
      <c r="O91" s="210"/>
      <c r="P91" s="210"/>
      <c r="Q91" s="210"/>
      <c r="R91" s="210"/>
      <c r="S91" s="210"/>
      <c r="T91" s="210"/>
      <c r="U91" s="210"/>
      <c r="V91" s="210"/>
      <c r="W91" s="210"/>
      <c r="X91" s="210"/>
      <c r="Y91" s="210">
        <v>1161.23</v>
      </c>
      <c r="Z91" s="210">
        <v>1784.78</v>
      </c>
      <c r="AA91" s="210">
        <f>IF($I91="B1","",SUM(O91:Z91))</f>
        <v>2946.01</v>
      </c>
      <c r="AB91" s="211">
        <f>IF(AA91=0,"",IFERROR(AA91/AA$19,""))</f>
        <v>0.20365963930382652</v>
      </c>
      <c r="AC91" s="136"/>
      <c r="AD91" s="210">
        <v>24345.772840879301</v>
      </c>
      <c r="AE91" s="211">
        <f>IF(AD91=0,"",IFERROR(AD91/AD$19,""))</f>
        <v>0.2413311185917624</v>
      </c>
      <c r="AF91" s="212">
        <f>IF(AND($AA91="",AD91=""),"",$AA91-AD91)</f>
        <v>-21399.762840879303</v>
      </c>
      <c r="AG91" s="213">
        <v>15</v>
      </c>
      <c r="AH91" s="214" t="str">
        <f>IF(AG91=0,"",IFERROR(AG91/AG$19,""))</f>
        <v/>
      </c>
      <c r="AI91" s="212">
        <f>IF(AND($AA91="",AG91=""),"",$AA91-AG91)</f>
        <v>2931.01</v>
      </c>
      <c r="AJ91" s="437">
        <f>IFERROR(AA91/AA$20,0)</f>
        <v>5.2234219858156035</v>
      </c>
      <c r="AK91" s="438">
        <f>IFERROR(AD91/AD$20,0)</f>
        <v>8.3176538574920738</v>
      </c>
      <c r="AL91" s="439">
        <f>IFERROR(AG91/AG$20,0)</f>
        <v>0</v>
      </c>
      <c r="AM91" s="440" t="str">
        <f>+IFERROR(ROUND(($AB91-AE91)*100,2)&amp;" pts.",0)</f>
        <v>-3.77 pts.</v>
      </c>
      <c r="AN91" s="551">
        <f>+IFERROR(ROUND(($AB91-AH91)*100,2)&amp;" pts.",0)</f>
        <v>0</v>
      </c>
      <c r="AO91" s="11"/>
    </row>
    <row r="92" spans="1:41" ht="15.75" thickBot="1" x14ac:dyDescent="0.3">
      <c r="A92" s="57" t="s">
        <v>9</v>
      </c>
      <c r="B92" s="58" t="s">
        <v>10</v>
      </c>
      <c r="C92" s="11"/>
      <c r="D92" s="11"/>
      <c r="E92" s="11"/>
      <c r="F92" s="11"/>
      <c r="G92" s="11"/>
      <c r="H92" s="84" t="s">
        <v>81</v>
      </c>
      <c r="I92" s="132" t="str">
        <f>IF(_epmOfflineCondition_,"T3",_xll.EVPRO($B$1,$H92,"STYLE"))</f>
        <v>T3</v>
      </c>
      <c r="J92" s="132" t="str">
        <f>IF(_epmOfflineCondition_,"Y",_xll.EVPRO($B$1,$H92,"CALC"))</f>
        <v>Y</v>
      </c>
      <c r="K92" s="102"/>
      <c r="L92" s="102"/>
      <c r="M92" s="102"/>
      <c r="N92" s="102" t="str">
        <f>IF(_epmOfflineCondition_,"Department Profit (Loss)",IF(_xll.EVDES(H92,$B$1)="#NODATA","",_xll.EVDES(H92,$B$1)))</f>
        <v>Department Profit (Loss)</v>
      </c>
      <c r="O92" s="161"/>
      <c r="P92" s="161"/>
      <c r="Q92" s="161"/>
      <c r="R92" s="161"/>
      <c r="S92" s="161"/>
      <c r="T92" s="161"/>
      <c r="U92" s="161"/>
      <c r="V92" s="161"/>
      <c r="W92" s="161"/>
      <c r="X92" s="161"/>
      <c r="Y92" s="161">
        <v>3275.24</v>
      </c>
      <c r="Z92" s="161">
        <v>5082.37</v>
      </c>
      <c r="AA92" s="161">
        <f>IF($I92="B1","",SUM(O92:Z92))</f>
        <v>8357.61</v>
      </c>
      <c r="AB92" s="162">
        <f>IF(AA92=0,"",IFERROR(AA92/AA$19,""))</f>
        <v>0.57776716237964354</v>
      </c>
      <c r="AC92" s="136"/>
      <c r="AD92" s="161">
        <v>56810.797159120702</v>
      </c>
      <c r="AE92" s="162">
        <f>IF(AD92=0,"",IFERROR(AD92/AD$19,""))</f>
        <v>0.56314553315306226</v>
      </c>
      <c r="AF92" s="163">
        <f>IF(AND($AA92="",AD92=""),"",$AA92-AD92)</f>
        <v>-48453.187159120702</v>
      </c>
      <c r="AG92" s="161">
        <v>-15</v>
      </c>
      <c r="AH92" s="162" t="str">
        <f>IF(AG92=0,"",IFERROR(AG92/AG$19,""))</f>
        <v/>
      </c>
      <c r="AI92" s="163">
        <f>IF(AND($AA92="",AG92=""),"",$AA92-AG92)</f>
        <v>8372.61</v>
      </c>
      <c r="AJ92" s="442">
        <f>IFERROR(AA92/AA$20,0)</f>
        <v>14.818457446808512</v>
      </c>
      <c r="AK92" s="443">
        <f>IFERROR(AD92/AD$20,0)</f>
        <v>19.409223491329247</v>
      </c>
      <c r="AL92" s="444">
        <f>IFERROR(AG92/AG$20,0)</f>
        <v>0</v>
      </c>
      <c r="AM92" s="445" t="str">
        <f>+IFERROR(ROUND(($AB92-AE92)*100,2)&amp;" pts.",0)</f>
        <v>1.46 pts.</v>
      </c>
      <c r="AN92" s="552">
        <f>+IFERROR(ROUND(($AB92-AH92)*100,2)&amp;" pts.",0)</f>
        <v>0</v>
      </c>
      <c r="AO92" s="11"/>
    </row>
    <row r="93" spans="1:41" ht="15.75" thickTop="1" x14ac:dyDescent="0.25">
      <c r="A93" s="61" t="s">
        <v>11</v>
      </c>
      <c r="B93" s="62" t="s">
        <v>21</v>
      </c>
      <c r="C93" s="11"/>
      <c r="D93" s="11"/>
      <c r="E93" s="11"/>
      <c r="F93" s="11"/>
      <c r="G93" s="11"/>
      <c r="H93" s="11"/>
      <c r="I93" s="55"/>
      <c r="J93" s="55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x14ac:dyDescent="0.25">
      <c r="A94" s="61" t="s">
        <v>12</v>
      </c>
      <c r="B94" s="62" t="s">
        <v>22</v>
      </c>
      <c r="C94" s="11"/>
      <c r="D94" s="11"/>
      <c r="E94" s="11"/>
      <c r="F94" s="11"/>
      <c r="G94" s="72"/>
      <c r="H94" s="11"/>
      <c r="I94" s="55"/>
      <c r="J94" s="55"/>
      <c r="K94" s="11"/>
      <c r="L94" s="11"/>
      <c r="M94" s="11"/>
      <c r="N94" s="100" t="str">
        <f>N91&amp;" - Check"</f>
        <v>Total Expenses - Check</v>
      </c>
      <c r="O94" s="205">
        <f t="shared" ref="O94:AA94" si="46">SUMIF($H$35:$H$92,"600000",O$35:O$92)+SUMIF($H$35:$H$92,"700000",O$35:O$92)-SUMIF($H$35:$H$92,"TOTDEPTEXP",O$35:O$92)</f>
        <v>0</v>
      </c>
      <c r="P94" s="205">
        <f t="shared" si="46"/>
        <v>0</v>
      </c>
      <c r="Q94" s="205">
        <f t="shared" si="46"/>
        <v>0</v>
      </c>
      <c r="R94" s="205">
        <f t="shared" si="46"/>
        <v>0</v>
      </c>
      <c r="S94" s="205">
        <f t="shared" si="46"/>
        <v>0</v>
      </c>
      <c r="T94" s="205">
        <f t="shared" si="46"/>
        <v>0</v>
      </c>
      <c r="U94" s="205">
        <f t="shared" si="46"/>
        <v>0</v>
      </c>
      <c r="V94" s="205">
        <f t="shared" si="46"/>
        <v>0</v>
      </c>
      <c r="W94" s="205">
        <f t="shared" si="46"/>
        <v>0</v>
      </c>
      <c r="X94" s="205">
        <f t="shared" si="46"/>
        <v>0</v>
      </c>
      <c r="Y94" s="205">
        <f t="shared" si="46"/>
        <v>0</v>
      </c>
      <c r="Z94" s="205">
        <f t="shared" si="46"/>
        <v>0</v>
      </c>
      <c r="AA94" s="205">
        <f t="shared" si="46"/>
        <v>0</v>
      </c>
      <c r="AB94" s="96"/>
      <c r="AC94" s="11"/>
      <c r="AD94" s="205">
        <f>SUMIF($H$35:$H$92,"600000",AD$35:AD$92)+SUMIF($H$35:$H$92,"700000",AD$35:AD$92)-SUMIF($H$35:$H$92,"TOTDEPTEXP",AD$35:AD$92)</f>
        <v>0</v>
      </c>
      <c r="AE94" s="96"/>
      <c r="AF94" s="87"/>
      <c r="AG94" s="205">
        <f>SUMIF($H$35:$H$92,"600000",AG$35:AG$92)+SUMIF($H$35:$H$92,"700000",AG$35:AG$92)-SUMIF($H$35:$H$92,"TOTDEPTEXP",AG$35:AG$92)</f>
        <v>0</v>
      </c>
      <c r="AH94" s="96"/>
      <c r="AI94" s="87"/>
      <c r="AJ94" s="11"/>
      <c r="AK94" s="11"/>
      <c r="AL94" s="11"/>
      <c r="AM94" s="11"/>
      <c r="AN94" s="11"/>
      <c r="AO94" s="11"/>
    </row>
    <row r="95" spans="1:41" x14ac:dyDescent="0.25">
      <c r="A95" s="61" t="s">
        <v>13</v>
      </c>
      <c r="B95" s="62" t="s">
        <v>738</v>
      </c>
      <c r="C95" s="11"/>
      <c r="D95" s="11"/>
      <c r="E95" s="11"/>
      <c r="F95" s="11"/>
      <c r="G95" s="11"/>
      <c r="H95" s="11"/>
      <c r="I95" s="55"/>
      <c r="J95" s="55"/>
      <c r="K95" s="11"/>
      <c r="L95" s="11"/>
      <c r="M95" s="11"/>
      <c r="N95" s="100" t="str">
        <f>N92&amp;" - Check"</f>
        <v>Department Profit (Loss) - Check</v>
      </c>
      <c r="O95" s="205">
        <f t="shared" ref="O95:AA95" si="47">SUMIF($H$35:$H$92,"KPI_GP",O$35:O$92)-SUMIF($H$35:$H$92,"TOTDEPTEXP",O$35:O$92)-SUMIF($H$35:$H$92,"TOTDEPTPL",O$35:O$92)</f>
        <v>0</v>
      </c>
      <c r="P95" s="205">
        <f t="shared" si="47"/>
        <v>0</v>
      </c>
      <c r="Q95" s="205">
        <f t="shared" si="47"/>
        <v>0</v>
      </c>
      <c r="R95" s="205">
        <f t="shared" si="47"/>
        <v>0</v>
      </c>
      <c r="S95" s="205">
        <f t="shared" si="47"/>
        <v>0</v>
      </c>
      <c r="T95" s="205">
        <f t="shared" si="47"/>
        <v>0</v>
      </c>
      <c r="U95" s="205">
        <f t="shared" si="47"/>
        <v>0</v>
      </c>
      <c r="V95" s="205">
        <f t="shared" si="47"/>
        <v>0</v>
      </c>
      <c r="W95" s="205">
        <f t="shared" si="47"/>
        <v>0</v>
      </c>
      <c r="X95" s="205">
        <f t="shared" si="47"/>
        <v>0</v>
      </c>
      <c r="Y95" s="205">
        <f t="shared" si="47"/>
        <v>0</v>
      </c>
      <c r="Z95" s="205">
        <f t="shared" si="47"/>
        <v>0</v>
      </c>
      <c r="AA95" s="205">
        <f t="shared" si="47"/>
        <v>0</v>
      </c>
      <c r="AB95" s="96"/>
      <c r="AC95" s="11"/>
      <c r="AD95" s="205">
        <f>SUMIF($H$35:$H$92,"KPI_GP",AD$35:AD$92)-SUMIF($H$35:$H$92,"TOTDEPTEXP",AD$35:AD$92)-SUMIF($H$35:$H$92,"TOTDEPTPL",AD$35:AD$92)</f>
        <v>0</v>
      </c>
      <c r="AE95" s="96"/>
      <c r="AF95" s="87"/>
      <c r="AG95" s="205">
        <f>SUMIF($H$35:$H$92,"KPI_GP",AG$35:AG$92)-SUMIF($H$35:$H$92,"TOTDEPTEXP",AG$35:AG$92)-SUMIF($H$35:$H$92,"TOTDEPTPL",AG$35:AG$92)</f>
        <v>0</v>
      </c>
      <c r="AH95" s="96"/>
      <c r="AI95" s="87"/>
      <c r="AJ95" s="11"/>
      <c r="AK95" s="11"/>
      <c r="AL95" s="11"/>
      <c r="AM95" s="11"/>
      <c r="AN95" s="11"/>
      <c r="AO95" s="11"/>
    </row>
    <row r="96" spans="1:41" x14ac:dyDescent="0.25">
      <c r="A96" s="61" t="s">
        <v>14</v>
      </c>
      <c r="B96" s="62"/>
      <c r="C96" s="11"/>
      <c r="D96" s="11"/>
      <c r="E96" s="11"/>
      <c r="F96" s="11"/>
      <c r="G96" s="11"/>
      <c r="H96" s="11"/>
      <c r="I96" s="55"/>
      <c r="J96" s="55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x14ac:dyDescent="0.25">
      <c r="A97" s="61" t="s">
        <v>15</v>
      </c>
      <c r="B97" s="62"/>
      <c r="C97" s="11"/>
      <c r="D97" s="11"/>
      <c r="E97" s="11"/>
      <c r="F97" s="11"/>
      <c r="G97" s="11"/>
      <c r="H97" s="11"/>
      <c r="I97" s="55"/>
      <c r="J97" s="55"/>
      <c r="K97" s="11"/>
      <c r="L97" s="11"/>
      <c r="M97" s="11"/>
      <c r="N97" s="11"/>
      <c r="O97" s="133"/>
      <c r="P97" s="133"/>
      <c r="Q97" s="133"/>
      <c r="R97" s="133"/>
      <c r="S97" s="133"/>
      <c r="T97" s="133"/>
      <c r="U97" s="133"/>
      <c r="V97" s="133"/>
      <c r="W97" s="133"/>
      <c r="X97" s="133"/>
      <c r="Y97" s="133"/>
      <c r="Z97" s="133"/>
      <c r="AA97" s="133"/>
      <c r="AB97" s="11"/>
      <c r="AC97" s="11"/>
      <c r="AD97" s="133"/>
      <c r="AE97" s="11"/>
      <c r="AF97" s="11"/>
      <c r="AG97" s="133"/>
      <c r="AH97" s="11"/>
      <c r="AI97" s="11"/>
      <c r="AJ97" s="11"/>
      <c r="AK97" s="11"/>
      <c r="AL97" s="11"/>
      <c r="AM97" s="11"/>
      <c r="AN97" s="11"/>
      <c r="AO97" s="11"/>
    </row>
    <row r="98" spans="1:41" x14ac:dyDescent="0.25">
      <c r="A98" s="61" t="s">
        <v>16</v>
      </c>
      <c r="B98" s="62" t="s">
        <v>78</v>
      </c>
      <c r="C98" s="11"/>
      <c r="D98" s="11"/>
      <c r="E98" s="11"/>
      <c r="F98" s="11"/>
      <c r="G98" s="11"/>
      <c r="H98" s="11"/>
      <c r="I98" s="55"/>
      <c r="J98" s="55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x14ac:dyDescent="0.25">
      <c r="A99" s="61" t="s">
        <v>17</v>
      </c>
      <c r="B99" s="62"/>
      <c r="C99" s="11"/>
      <c r="D99" s="11"/>
      <c r="E99" s="11"/>
      <c r="F99" s="11"/>
      <c r="G99" s="11"/>
      <c r="H99" s="11"/>
      <c r="I99" s="55"/>
      <c r="J99" s="55"/>
      <c r="K99" s="11"/>
      <c r="L99" s="11"/>
      <c r="M99" s="11"/>
      <c r="N99" s="11"/>
      <c r="O99" s="133"/>
      <c r="P99" s="133"/>
      <c r="Q99" s="133"/>
      <c r="R99" s="133"/>
      <c r="S99" s="133"/>
      <c r="T99" s="133"/>
      <c r="U99" s="133"/>
      <c r="V99" s="133"/>
      <c r="W99" s="133"/>
      <c r="X99" s="133"/>
      <c r="Y99" s="133"/>
      <c r="Z99" s="133"/>
      <c r="AA99" s="133"/>
      <c r="AB99" s="11"/>
      <c r="AC99" s="11"/>
      <c r="AD99" s="133"/>
      <c r="AE99" s="11"/>
      <c r="AF99" s="11"/>
      <c r="AG99" s="133"/>
      <c r="AH99" s="11"/>
      <c r="AI99" s="11"/>
      <c r="AJ99" s="11"/>
      <c r="AK99" s="11"/>
      <c r="AL99" s="11"/>
      <c r="AM99" s="11"/>
      <c r="AN99" s="11"/>
      <c r="AO99" s="11"/>
    </row>
    <row r="100" spans="1:41" x14ac:dyDescent="0.25">
      <c r="A100" s="11"/>
      <c r="B100" s="11"/>
      <c r="C100" s="11"/>
      <c r="D100" s="11"/>
      <c r="E100" s="11"/>
      <c r="F100" s="11"/>
      <c r="G100" s="11"/>
      <c r="H100" s="11"/>
      <c r="I100" s="55"/>
      <c r="J100" s="55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x14ac:dyDescent="0.25">
      <c r="A101" s="93" t="s">
        <v>92</v>
      </c>
      <c r="B101" s="94" t="s">
        <v>93</v>
      </c>
      <c r="C101" s="94" t="s">
        <v>94</v>
      </c>
      <c r="D101" s="94" t="s">
        <v>95</v>
      </c>
      <c r="E101" s="94" t="s">
        <v>96</v>
      </c>
      <c r="F101" s="95" t="s">
        <v>97</v>
      </c>
      <c r="G101" s="11"/>
      <c r="H101" s="11"/>
      <c r="I101" s="55"/>
      <c r="J101" s="55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x14ac:dyDescent="0.25">
      <c r="A102" s="11"/>
      <c r="B102" s="11"/>
      <c r="C102" s="11"/>
      <c r="D102" s="11"/>
      <c r="E102" s="11"/>
      <c r="F102" s="11"/>
      <c r="G102" s="11"/>
      <c r="H102" s="55"/>
      <c r="I102" s="55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x14ac:dyDescent="0.25">
      <c r="A103" s="11" t="s">
        <v>108</v>
      </c>
      <c r="B103" s="11"/>
      <c r="C103" s="100" t="s">
        <v>101</v>
      </c>
      <c r="D103" s="11" t="s">
        <v>106</v>
      </c>
      <c r="E103" s="11"/>
      <c r="F103" s="11" t="s">
        <v>98</v>
      </c>
      <c r="G103" s="11"/>
      <c r="H103" s="55"/>
      <c r="I103" s="55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x14ac:dyDescent="0.25">
      <c r="A104" s="11" t="s">
        <v>100</v>
      </c>
      <c r="B104" s="11"/>
      <c r="C104" s="49" t="s">
        <v>101</v>
      </c>
      <c r="D104" s="11" t="s">
        <v>106</v>
      </c>
      <c r="E104" s="11"/>
      <c r="F104" s="11" t="s">
        <v>98</v>
      </c>
      <c r="G104" s="11"/>
      <c r="H104" s="55"/>
      <c r="I104" s="55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x14ac:dyDescent="0.25">
      <c r="A105" s="11" t="s">
        <v>109</v>
      </c>
      <c r="B105" s="11"/>
      <c r="C105" s="102" t="s">
        <v>101</v>
      </c>
      <c r="D105" s="11" t="s">
        <v>106</v>
      </c>
      <c r="E105" s="11"/>
      <c r="F105" s="11" t="s">
        <v>98</v>
      </c>
      <c r="G105" s="11"/>
      <c r="H105" s="55"/>
      <c r="I105" s="55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x14ac:dyDescent="0.25">
      <c r="A106" s="11" t="s">
        <v>109</v>
      </c>
      <c r="B106" s="11"/>
      <c r="C106" s="192" t="s">
        <v>101</v>
      </c>
      <c r="D106" s="11" t="s">
        <v>107</v>
      </c>
      <c r="E106" s="11"/>
      <c r="F106" s="11" t="s">
        <v>99</v>
      </c>
      <c r="G106" s="11"/>
      <c r="H106" s="55"/>
      <c r="I106" s="55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x14ac:dyDescent="0.25">
      <c r="A107" s="11" t="s">
        <v>110</v>
      </c>
      <c r="B107" s="11"/>
      <c r="C107" s="102" t="s">
        <v>101</v>
      </c>
      <c r="D107" s="11" t="s">
        <v>106</v>
      </c>
      <c r="E107" s="11"/>
      <c r="F107" s="11" t="s">
        <v>98</v>
      </c>
      <c r="G107" s="11"/>
      <c r="H107" s="55"/>
      <c r="I107" s="55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x14ac:dyDescent="0.25">
      <c r="A108" s="11" t="s">
        <v>110</v>
      </c>
      <c r="B108" s="11"/>
      <c r="C108" s="105" t="s">
        <v>101</v>
      </c>
      <c r="D108" s="11" t="s">
        <v>107</v>
      </c>
      <c r="E108" s="11"/>
      <c r="F108" s="11" t="s">
        <v>99</v>
      </c>
      <c r="G108" s="72"/>
      <c r="H108" s="55"/>
      <c r="I108" s="55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x14ac:dyDescent="0.25">
      <c r="A109" s="11"/>
      <c r="B109" s="11"/>
      <c r="C109" s="204"/>
      <c r="D109" s="11"/>
      <c r="E109" s="11"/>
      <c r="F109" s="11"/>
      <c r="G109" s="72"/>
      <c r="H109" s="55"/>
      <c r="I109" s="55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x14ac:dyDescent="0.25">
      <c r="A110" s="11"/>
      <c r="B110" s="11"/>
      <c r="C110" s="11"/>
      <c r="D110" s="11"/>
      <c r="E110" s="11"/>
      <c r="F110" s="11"/>
      <c r="G110" s="11"/>
      <c r="H110" s="55"/>
      <c r="I110" s="55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x14ac:dyDescent="0.25">
      <c r="A111" s="56" t="str">
        <f>IF(_epmOfflineCondition_,"Evdre:Ok",_xll.EVDRE($B$1,A114:B121))</f>
        <v>Evdre:Ok</v>
      </c>
      <c r="B111" s="11" t="s">
        <v>737</v>
      </c>
      <c r="C111" s="11"/>
      <c r="D111" s="11"/>
      <c r="E111" s="11"/>
      <c r="F111" s="11"/>
      <c r="G111" s="11"/>
      <c r="H111" s="55"/>
      <c r="I111" s="55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x14ac:dyDescent="0.25">
      <c r="A112" s="11"/>
      <c r="B112" s="11"/>
      <c r="C112" s="11"/>
      <c r="D112" s="11"/>
      <c r="E112" s="11"/>
      <c r="F112" s="11"/>
      <c r="G112" s="11"/>
      <c r="H112" s="55"/>
      <c r="I112" s="55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x14ac:dyDescent="0.25">
      <c r="A113" s="57" t="s">
        <v>0</v>
      </c>
      <c r="B113" s="58" t="s">
        <v>1</v>
      </c>
      <c r="C113" s="11"/>
      <c r="D113" s="11"/>
      <c r="E113" s="11"/>
      <c r="F113" s="11"/>
      <c r="G113" s="11"/>
      <c r="H113" s="55"/>
      <c r="I113" s="55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  <row r="114" spans="1:41" x14ac:dyDescent="0.25">
      <c r="A114" s="61" t="s">
        <v>2</v>
      </c>
      <c r="B114" s="62" t="str">
        <f>IF(_epmOfflineCondition_,"'IRD'!$B$2:$B$10",_xll.EVRNG($B$2:$B$10))</f>
        <v>'IRD'!$B$2:$B$10</v>
      </c>
      <c r="C114" s="11"/>
      <c r="D114" s="11"/>
      <c r="E114" s="11"/>
      <c r="F114" s="11"/>
      <c r="G114" s="11"/>
      <c r="H114" s="55"/>
      <c r="I114" s="55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x14ac:dyDescent="0.25">
      <c r="A115" s="61" t="s">
        <v>3</v>
      </c>
      <c r="B115" s="62" t="str">
        <f>IF(_epmOfflineCondition_,"'IRD'!$O$16:$AN$18",_xll.EVRNG($O$16:$AN$18))</f>
        <v>'IRD'!$O$16:$AN$18</v>
      </c>
      <c r="C115" s="11"/>
      <c r="D115" s="11"/>
      <c r="E115" s="11"/>
      <c r="F115" s="11"/>
      <c r="G115" s="11"/>
      <c r="H115" s="55"/>
      <c r="I115" s="55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x14ac:dyDescent="0.25">
      <c r="A116" s="61" t="s">
        <v>4</v>
      </c>
      <c r="B116" s="62" t="str">
        <f>IF(_epmOfflineCondition_,"'IRD'!$H$89:$H$92",_xll.EVRNG(H89:H92))</f>
        <v>'IRD'!$H$89:$H$92</v>
      </c>
      <c r="C116" s="11"/>
      <c r="D116" s="11"/>
      <c r="E116" s="11"/>
      <c r="F116" s="11"/>
      <c r="G116" s="11"/>
      <c r="H116" s="55"/>
      <c r="I116" s="55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x14ac:dyDescent="0.25">
      <c r="A117" s="61" t="s">
        <v>5</v>
      </c>
      <c r="B117" s="62"/>
      <c r="C117" s="11"/>
      <c r="D117" s="11"/>
      <c r="E117" s="11"/>
      <c r="F117" s="11"/>
      <c r="G117" s="11"/>
      <c r="H117" s="55"/>
      <c r="I117" s="55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x14ac:dyDescent="0.25">
      <c r="A118" s="61" t="s">
        <v>6</v>
      </c>
      <c r="B118" s="62"/>
      <c r="C118" s="11"/>
      <c r="D118" s="11"/>
      <c r="E118" s="11"/>
      <c r="F118" s="11"/>
      <c r="G118" s="11"/>
      <c r="H118" s="55"/>
      <c r="I118" s="55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x14ac:dyDescent="0.25">
      <c r="A119" s="61" t="s">
        <v>7</v>
      </c>
      <c r="B119" s="62"/>
      <c r="C119" s="11"/>
      <c r="D119" s="11"/>
      <c r="E119" s="11"/>
      <c r="F119" s="11"/>
      <c r="G119" s="11"/>
      <c r="H119" s="55"/>
      <c r="I119" s="55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x14ac:dyDescent="0.25">
      <c r="A120" s="61" t="s">
        <v>47</v>
      </c>
      <c r="B120" s="62" t="str">
        <f>IF(_epmOfflineCondition_,"'IRD'!$A$125:$B$146",_xll.EVRNG($A$125:$B$146))</f>
        <v>'IRD'!$A$125:$B$146</v>
      </c>
      <c r="C120" s="11"/>
      <c r="D120" s="11"/>
      <c r="E120" s="11"/>
      <c r="F120" s="11"/>
      <c r="G120" s="11"/>
      <c r="H120" s="55"/>
      <c r="I120" s="55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x14ac:dyDescent="0.25">
      <c r="A121" s="61" t="s">
        <v>8</v>
      </c>
      <c r="B121" s="62"/>
      <c r="C121" s="11"/>
      <c r="D121" s="11"/>
      <c r="E121" s="11"/>
      <c r="F121" s="11"/>
      <c r="G121" s="11"/>
      <c r="H121" s="55"/>
      <c r="I121" s="55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x14ac:dyDescent="0.25">
      <c r="A122" s="11"/>
      <c r="B122" s="11"/>
      <c r="C122" s="11"/>
      <c r="D122" s="11"/>
      <c r="E122" s="11"/>
      <c r="F122" s="11"/>
      <c r="G122" s="11"/>
      <c r="H122" s="55"/>
      <c r="I122" s="55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x14ac:dyDescent="0.25">
      <c r="A123" s="11"/>
      <c r="B123" s="11"/>
      <c r="C123" s="11"/>
      <c r="D123" s="11"/>
      <c r="E123" s="11"/>
      <c r="F123" s="11"/>
      <c r="G123" s="11"/>
      <c r="H123" s="55"/>
      <c r="I123" s="55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x14ac:dyDescent="0.25">
      <c r="A124" s="57" t="s">
        <v>23</v>
      </c>
      <c r="B124" s="58" t="s">
        <v>24</v>
      </c>
      <c r="C124" s="11"/>
      <c r="D124" s="11"/>
      <c r="E124" s="11"/>
      <c r="F124" s="11"/>
      <c r="G124" s="11"/>
      <c r="H124" s="55"/>
      <c r="I124" s="55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x14ac:dyDescent="0.25">
      <c r="A125" s="61" t="s">
        <v>25</v>
      </c>
      <c r="B125" s="62"/>
      <c r="C125" s="11"/>
      <c r="D125" s="11"/>
      <c r="E125" s="11"/>
      <c r="F125" s="11"/>
      <c r="G125" s="11"/>
      <c r="H125" s="11"/>
      <c r="I125" s="55"/>
      <c r="J125" s="55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x14ac:dyDescent="0.25">
      <c r="A126" s="61" t="s">
        <v>26</v>
      </c>
      <c r="B126" s="62"/>
      <c r="C126" s="11"/>
      <c r="D126" s="11"/>
      <c r="E126" s="11"/>
      <c r="F126" s="11"/>
      <c r="G126" s="11"/>
      <c r="H126" s="11"/>
      <c r="I126" s="55"/>
      <c r="J126" s="55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x14ac:dyDescent="0.25">
      <c r="A127" s="61" t="s">
        <v>27</v>
      </c>
      <c r="B127" s="62"/>
      <c r="C127" s="11"/>
      <c r="D127" s="11"/>
      <c r="E127" s="11"/>
      <c r="F127" s="11"/>
      <c r="G127" s="11"/>
      <c r="H127" s="11"/>
      <c r="I127" s="55"/>
      <c r="J127" s="55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x14ac:dyDescent="0.25">
      <c r="A128" s="61" t="s">
        <v>28</v>
      </c>
      <c r="B128" s="62"/>
      <c r="C128" s="11"/>
      <c r="D128" s="11"/>
      <c r="E128" s="11"/>
      <c r="F128" s="11"/>
      <c r="G128" s="11"/>
      <c r="H128" s="11"/>
      <c r="I128" s="55"/>
      <c r="J128" s="55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</row>
    <row r="129" spans="1:41" x14ac:dyDescent="0.25">
      <c r="A129" s="61" t="s">
        <v>29</v>
      </c>
      <c r="B129" s="62"/>
      <c r="C129" s="11"/>
      <c r="D129" s="11"/>
      <c r="E129" s="11"/>
      <c r="F129" s="11"/>
      <c r="G129" s="11"/>
      <c r="H129" s="11"/>
      <c r="I129" s="55"/>
      <c r="J129" s="55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x14ac:dyDescent="0.25">
      <c r="A130" s="61" t="s">
        <v>30</v>
      </c>
      <c r="B130" s="62" t="s">
        <v>78</v>
      </c>
      <c r="C130" s="11"/>
      <c r="D130" s="11"/>
      <c r="E130" s="11"/>
      <c r="F130" s="11"/>
      <c r="G130" s="11"/>
      <c r="H130" s="11"/>
      <c r="I130" s="55"/>
      <c r="J130" s="55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x14ac:dyDescent="0.25">
      <c r="A131" s="61" t="s">
        <v>31</v>
      </c>
      <c r="B131" s="62" t="s">
        <v>78</v>
      </c>
      <c r="C131" s="11"/>
      <c r="D131" s="11"/>
      <c r="E131" s="11"/>
      <c r="F131" s="11"/>
      <c r="G131" s="11"/>
      <c r="H131" s="11"/>
      <c r="I131" s="55"/>
      <c r="J131" s="55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x14ac:dyDescent="0.25">
      <c r="A132" s="61" t="s">
        <v>32</v>
      </c>
      <c r="B132" s="62"/>
      <c r="C132" s="11"/>
      <c r="D132" s="11"/>
      <c r="E132" s="11"/>
      <c r="F132" s="11"/>
      <c r="G132" s="11"/>
      <c r="H132" s="11"/>
      <c r="I132" s="55"/>
      <c r="J132" s="55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x14ac:dyDescent="0.25">
      <c r="A133" s="61" t="s">
        <v>33</v>
      </c>
      <c r="B133" s="62"/>
      <c r="C133" s="11"/>
      <c r="D133" s="11"/>
      <c r="E133" s="11"/>
      <c r="F133" s="11"/>
      <c r="G133" s="11"/>
      <c r="H133" s="11"/>
      <c r="I133" s="55"/>
      <c r="J133" s="55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x14ac:dyDescent="0.25">
      <c r="A134" s="61" t="s">
        <v>34</v>
      </c>
      <c r="B134" s="62"/>
      <c r="C134" s="11"/>
      <c r="D134" s="11"/>
      <c r="E134" s="11"/>
      <c r="F134" s="11"/>
      <c r="G134" s="11"/>
      <c r="H134" s="11"/>
      <c r="I134" s="55"/>
      <c r="J134" s="55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x14ac:dyDescent="0.25">
      <c r="A135" s="61" t="s">
        <v>35</v>
      </c>
      <c r="B135" s="62"/>
      <c r="C135" s="11"/>
      <c r="D135" s="11"/>
      <c r="E135" s="11"/>
      <c r="F135" s="11"/>
      <c r="G135" s="11"/>
      <c r="H135" s="11"/>
      <c r="I135" s="55"/>
      <c r="J135" s="55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x14ac:dyDescent="0.25">
      <c r="A136" s="61" t="s">
        <v>36</v>
      </c>
      <c r="B136" s="62"/>
      <c r="C136" s="11"/>
      <c r="D136" s="11"/>
      <c r="E136" s="11"/>
      <c r="F136" s="11"/>
      <c r="G136" s="11"/>
      <c r="H136" s="11"/>
      <c r="I136" s="55"/>
      <c r="J136" s="55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x14ac:dyDescent="0.25">
      <c r="A137" s="61" t="s">
        <v>37</v>
      </c>
      <c r="B137" s="62"/>
      <c r="C137" s="11"/>
      <c r="D137" s="11"/>
      <c r="E137" s="11"/>
      <c r="F137" s="11"/>
      <c r="G137" s="11"/>
      <c r="H137" s="11"/>
      <c r="I137" s="55"/>
      <c r="J137" s="55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x14ac:dyDescent="0.25">
      <c r="A138" s="61" t="s">
        <v>38</v>
      </c>
      <c r="B138" s="62"/>
      <c r="C138" s="11"/>
      <c r="D138" s="11"/>
      <c r="E138" s="11"/>
      <c r="F138" s="11"/>
      <c r="G138" s="11"/>
      <c r="H138" s="11"/>
      <c r="I138" s="55"/>
      <c r="J138" s="55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x14ac:dyDescent="0.25">
      <c r="A139" s="61" t="s">
        <v>39</v>
      </c>
      <c r="B139" s="62"/>
      <c r="C139" s="11"/>
      <c r="D139" s="11"/>
      <c r="E139" s="11"/>
      <c r="F139" s="11"/>
      <c r="G139" s="11"/>
      <c r="H139" s="11"/>
      <c r="I139" s="55"/>
      <c r="J139" s="55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x14ac:dyDescent="0.25">
      <c r="A140" s="61" t="s">
        <v>40</v>
      </c>
      <c r="B140" s="62"/>
      <c r="C140" s="11"/>
      <c r="D140" s="11"/>
      <c r="E140" s="11"/>
      <c r="F140" s="11"/>
      <c r="G140" s="11"/>
      <c r="H140" s="11"/>
      <c r="I140" s="55"/>
      <c r="J140" s="55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</row>
    <row r="141" spans="1:41" x14ac:dyDescent="0.25">
      <c r="A141" s="61" t="s">
        <v>41</v>
      </c>
      <c r="B141" s="62"/>
      <c r="C141" s="11"/>
      <c r="D141" s="11"/>
      <c r="E141" s="11"/>
      <c r="F141" s="11"/>
      <c r="G141" s="11"/>
      <c r="H141" s="11"/>
      <c r="I141" s="55"/>
      <c r="J141" s="55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x14ac:dyDescent="0.25">
      <c r="A142" s="61" t="s">
        <v>42</v>
      </c>
      <c r="B142" s="62"/>
      <c r="C142" s="11"/>
      <c r="D142" s="11"/>
      <c r="E142" s="11"/>
      <c r="F142" s="11"/>
      <c r="G142" s="11"/>
      <c r="H142" s="11"/>
      <c r="I142" s="55"/>
      <c r="J142" s="55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</row>
    <row r="143" spans="1:41" x14ac:dyDescent="0.25">
      <c r="A143" s="61" t="s">
        <v>43</v>
      </c>
      <c r="B143" s="62"/>
      <c r="C143" s="11"/>
      <c r="D143" s="11"/>
      <c r="E143" s="11"/>
      <c r="F143" s="11"/>
      <c r="G143" s="11"/>
      <c r="H143" s="11"/>
      <c r="I143" s="55"/>
      <c r="J143" s="55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x14ac:dyDescent="0.25">
      <c r="A144" s="61" t="s">
        <v>44</v>
      </c>
      <c r="B144" s="62"/>
      <c r="C144" s="11"/>
      <c r="D144" s="11"/>
      <c r="E144" s="11"/>
      <c r="F144" s="11"/>
      <c r="G144" s="11"/>
      <c r="H144" s="11"/>
      <c r="I144" s="55"/>
      <c r="J144" s="55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</row>
    <row r="145" spans="1:41" x14ac:dyDescent="0.25">
      <c r="A145" s="61" t="s">
        <v>45</v>
      </c>
      <c r="B145" s="62"/>
      <c r="C145" s="11"/>
      <c r="D145" s="11"/>
      <c r="E145" s="11"/>
      <c r="F145" s="11"/>
      <c r="G145" s="11"/>
      <c r="H145" s="11"/>
      <c r="I145" s="55"/>
      <c r="J145" s="55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</row>
    <row r="146" spans="1:41" x14ac:dyDescent="0.25">
      <c r="A146" s="61" t="s">
        <v>46</v>
      </c>
      <c r="B146" s="62"/>
      <c r="C146" s="11"/>
      <c r="D146" s="11"/>
      <c r="E146" s="11"/>
      <c r="F146" s="11"/>
      <c r="G146" s="11"/>
      <c r="H146" s="11"/>
      <c r="I146" s="55"/>
      <c r="J146" s="55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</row>
    <row r="147" spans="1:41" x14ac:dyDescent="0.25">
      <c r="A147" s="11"/>
      <c r="B147" s="11"/>
      <c r="C147" s="11"/>
      <c r="D147" s="11"/>
      <c r="E147" s="11"/>
      <c r="F147" s="11"/>
      <c r="G147" s="11"/>
      <c r="H147" s="11"/>
      <c r="I147" s="55"/>
      <c r="J147" s="55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</row>
    <row r="148" spans="1:41" x14ac:dyDescent="0.25">
      <c r="A148" s="11"/>
      <c r="B148" s="11"/>
      <c r="C148" s="11"/>
      <c r="D148" s="11"/>
      <c r="E148" s="11"/>
      <c r="F148" s="11"/>
      <c r="G148" s="11"/>
      <c r="H148" s="11"/>
      <c r="I148" s="55"/>
      <c r="J148" s="55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x14ac:dyDescent="0.25">
      <c r="A149" s="11"/>
      <c r="B149" s="11"/>
      <c r="C149" s="11"/>
      <c r="D149" s="11"/>
      <c r="E149" s="11"/>
      <c r="F149" s="11"/>
      <c r="G149" s="11"/>
      <c r="H149" s="11"/>
      <c r="I149" s="55"/>
      <c r="J149" s="55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</row>
    <row r="150" spans="1:41" x14ac:dyDescent="0.25">
      <c r="A150" s="11"/>
      <c r="B150" s="11"/>
      <c r="C150" s="11"/>
      <c r="D150" s="11"/>
      <c r="E150" s="11"/>
      <c r="F150" s="11"/>
      <c r="G150" s="11"/>
      <c r="H150" s="11"/>
      <c r="I150" s="55"/>
      <c r="J150" s="55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x14ac:dyDescent="0.25">
      <c r="A151" s="11"/>
      <c r="B151" s="11"/>
      <c r="C151" s="11"/>
      <c r="D151" s="11"/>
      <c r="E151" s="11"/>
      <c r="F151" s="11"/>
      <c r="G151" s="11"/>
      <c r="H151" s="11"/>
      <c r="I151" s="55"/>
      <c r="J151" s="55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</row>
    <row r="152" spans="1:41" x14ac:dyDescent="0.25">
      <c r="A152" s="11"/>
      <c r="B152" s="11"/>
      <c r="C152" s="11"/>
      <c r="D152" s="11"/>
      <c r="E152" s="11"/>
      <c r="F152" s="11"/>
      <c r="G152" s="11"/>
      <c r="H152" s="11"/>
      <c r="I152" s="55"/>
      <c r="J152" s="55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x14ac:dyDescent="0.25">
      <c r="A153" s="11"/>
      <c r="B153" s="11"/>
      <c r="C153" s="11"/>
      <c r="D153" s="11"/>
      <c r="E153" s="11"/>
      <c r="F153" s="11"/>
      <c r="G153" s="11"/>
      <c r="H153" s="11"/>
      <c r="I153" s="55"/>
      <c r="J153" s="55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x14ac:dyDescent="0.25">
      <c r="A154" s="11"/>
      <c r="B154" s="11"/>
      <c r="C154" s="11"/>
      <c r="D154" s="11"/>
      <c r="E154" s="11"/>
      <c r="F154" s="11"/>
      <c r="G154" s="11"/>
      <c r="H154" s="11"/>
      <c r="I154" s="55"/>
      <c r="J154" s="55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x14ac:dyDescent="0.25">
      <c r="A155" s="11"/>
      <c r="B155" s="11"/>
      <c r="C155" s="11"/>
      <c r="D155" s="11"/>
      <c r="E155" s="11"/>
      <c r="F155" s="11"/>
      <c r="G155" s="11"/>
      <c r="H155" s="11"/>
      <c r="I155" s="55"/>
      <c r="J155" s="55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x14ac:dyDescent="0.25">
      <c r="A156" s="11"/>
      <c r="B156" s="11"/>
      <c r="C156" s="11"/>
      <c r="D156" s="11"/>
      <c r="E156" s="11"/>
      <c r="F156" s="11"/>
      <c r="G156" s="11"/>
      <c r="H156" s="11"/>
      <c r="I156" s="55"/>
      <c r="J156" s="55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x14ac:dyDescent="0.25">
      <c r="A157" s="11"/>
      <c r="B157" s="11"/>
      <c r="C157" s="11"/>
      <c r="D157" s="11"/>
      <c r="E157" s="11"/>
      <c r="F157" s="11"/>
      <c r="G157" s="11"/>
      <c r="H157" s="11"/>
      <c r="I157" s="55"/>
      <c r="J157" s="55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</row>
    <row r="158" spans="1:41" x14ac:dyDescent="0.25">
      <c r="A158" s="11"/>
      <c r="B158" s="11"/>
      <c r="C158" s="11"/>
      <c r="D158" s="11"/>
      <c r="E158" s="11"/>
      <c r="F158" s="11"/>
      <c r="G158" s="11"/>
      <c r="H158" s="11"/>
      <c r="I158" s="55"/>
      <c r="J158" s="55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</row>
    <row r="159" spans="1:41" x14ac:dyDescent="0.25">
      <c r="A159" s="11"/>
      <c r="B159" s="11"/>
      <c r="C159" s="11"/>
      <c r="D159" s="11"/>
      <c r="E159" s="11"/>
      <c r="F159" s="11"/>
      <c r="G159" s="11"/>
      <c r="H159" s="11"/>
      <c r="I159" s="55"/>
      <c r="J159" s="55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</row>
    <row r="160" spans="1:41" x14ac:dyDescent="0.25">
      <c r="A160" s="11"/>
      <c r="B160" s="11"/>
      <c r="C160" s="11"/>
      <c r="D160" s="11"/>
      <c r="E160" s="11"/>
      <c r="F160" s="11"/>
      <c r="G160" s="11"/>
      <c r="H160" s="11"/>
      <c r="I160" s="55"/>
      <c r="J160" s="55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</row>
    <row r="161" spans="1:41" x14ac:dyDescent="0.25">
      <c r="A161" s="11"/>
      <c r="B161" s="11"/>
      <c r="C161" s="11"/>
      <c r="D161" s="11"/>
      <c r="E161" s="11"/>
      <c r="F161" s="11"/>
      <c r="G161" s="11"/>
      <c r="H161" s="11"/>
      <c r="I161" s="55"/>
      <c r="J161" s="55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</row>
    <row r="162" spans="1:41" x14ac:dyDescent="0.25">
      <c r="A162" s="11"/>
      <c r="B162" s="11"/>
      <c r="C162" s="11"/>
      <c r="D162" s="11"/>
      <c r="E162" s="11"/>
      <c r="F162" s="11"/>
      <c r="G162" s="11"/>
      <c r="H162" s="11"/>
      <c r="I162" s="55"/>
      <c r="J162" s="55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</row>
    <row r="163" spans="1:41" x14ac:dyDescent="0.25">
      <c r="A163" s="11"/>
      <c r="B163" s="11"/>
      <c r="C163" s="11"/>
      <c r="D163" s="11"/>
      <c r="E163" s="263"/>
      <c r="F163" s="11"/>
      <c r="G163" s="11"/>
      <c r="H163" s="11"/>
      <c r="I163" s="55"/>
      <c r="J163" s="55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</row>
    <row r="164" spans="1:41" x14ac:dyDescent="0.25">
      <c r="A164" s="11"/>
      <c r="B164" s="11"/>
      <c r="C164" s="11"/>
      <c r="D164" s="11"/>
      <c r="E164" s="11"/>
      <c r="F164" s="11"/>
      <c r="G164" s="11"/>
      <c r="H164" s="11"/>
      <c r="I164" s="55"/>
      <c r="J164" s="55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</row>
    <row r="165" spans="1:41" x14ac:dyDescent="0.25">
      <c r="A165" s="11"/>
      <c r="B165" s="11"/>
      <c r="C165" s="11"/>
      <c r="D165" s="11"/>
      <c r="E165" s="11"/>
      <c r="F165" s="11"/>
      <c r="G165" s="11"/>
      <c r="H165" s="11"/>
      <c r="I165" s="263"/>
      <c r="J165" s="11"/>
      <c r="K165" s="263"/>
      <c r="L165" s="263"/>
      <c r="M165" s="263"/>
      <c r="N165" s="11"/>
      <c r="O165" s="263"/>
      <c r="P165" s="263"/>
      <c r="Q165" s="263"/>
      <c r="R165" s="263"/>
      <c r="S165" s="263"/>
      <c r="T165" s="263"/>
      <c r="U165" s="263"/>
      <c r="V165" s="263"/>
      <c r="W165" s="263"/>
      <c r="X165" s="263"/>
      <c r="Y165" s="263"/>
      <c r="Z165" s="263"/>
      <c r="AA165" s="263"/>
      <c r="AB165" s="11"/>
      <c r="AC165" s="11"/>
      <c r="AD165" s="263"/>
      <c r="AE165" s="11"/>
      <c r="AF165" s="263"/>
      <c r="AG165" s="11"/>
      <c r="AH165" s="263"/>
      <c r="AI165" s="11"/>
      <c r="AJ165" s="11"/>
      <c r="AK165" s="11"/>
      <c r="AL165" s="11"/>
      <c r="AM165" s="11"/>
      <c r="AN165" s="11"/>
      <c r="AO165" s="11"/>
    </row>
    <row r="166" spans="1:41" x14ac:dyDescent="0.25">
      <c r="A166" s="11"/>
      <c r="B166" s="11"/>
      <c r="C166" s="11"/>
      <c r="D166" s="11"/>
      <c r="E166" s="11"/>
      <c r="F166" s="11"/>
      <c r="G166" s="11"/>
      <c r="H166" s="11"/>
      <c r="I166" s="55"/>
      <c r="J166" s="55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</row>
    <row r="167" spans="1:41" x14ac:dyDescent="0.25">
      <c r="A167" s="11"/>
      <c r="B167" s="11"/>
      <c r="C167" s="11"/>
      <c r="D167" s="11"/>
      <c r="E167" s="263"/>
      <c r="F167" s="11"/>
      <c r="G167" s="11"/>
      <c r="H167" s="11"/>
      <c r="I167" s="55"/>
      <c r="J167" s="55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</row>
    <row r="168" spans="1:41" x14ac:dyDescent="0.25">
      <c r="A168" s="11"/>
      <c r="B168" s="11"/>
      <c r="C168" s="11"/>
      <c r="D168" s="11"/>
      <c r="E168" s="11"/>
      <c r="F168" s="11"/>
      <c r="G168" s="11"/>
      <c r="H168" s="11"/>
      <c r="I168" s="55"/>
      <c r="J168" s="55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</row>
    <row r="169" spans="1:41" x14ac:dyDescent="0.25">
      <c r="A169" s="11"/>
      <c r="B169" s="11"/>
      <c r="C169" s="11"/>
      <c r="D169" s="11"/>
      <c r="E169" s="11"/>
      <c r="F169" s="11"/>
      <c r="G169" s="11"/>
      <c r="H169" s="11"/>
      <c r="I169" s="263"/>
      <c r="J169" s="11"/>
      <c r="K169" s="263"/>
      <c r="L169" s="263"/>
      <c r="M169" s="263"/>
      <c r="N169" s="11"/>
      <c r="O169" s="263"/>
      <c r="P169" s="263"/>
      <c r="Q169" s="263"/>
      <c r="R169" s="263"/>
      <c r="S169" s="263"/>
      <c r="T169" s="263"/>
      <c r="U169" s="263"/>
      <c r="V169" s="263"/>
      <c r="W169" s="263"/>
      <c r="X169" s="263"/>
      <c r="Y169" s="263"/>
      <c r="Z169" s="263"/>
      <c r="AA169" s="263"/>
      <c r="AB169" s="11"/>
      <c r="AC169" s="11"/>
      <c r="AD169" s="263"/>
      <c r="AE169" s="11"/>
      <c r="AF169" s="263"/>
      <c r="AG169" s="11"/>
      <c r="AH169" s="263"/>
      <c r="AI169" s="11"/>
      <c r="AJ169" s="11"/>
      <c r="AK169" s="11"/>
      <c r="AL169" s="11"/>
      <c r="AM169" s="11"/>
      <c r="AN169" s="11"/>
      <c r="AO169" s="11"/>
    </row>
    <row r="170" spans="1:41" x14ac:dyDescent="0.25">
      <c r="A170" s="11"/>
      <c r="B170" s="11"/>
      <c r="C170" s="11"/>
      <c r="D170" s="11"/>
      <c r="E170" s="11"/>
      <c r="F170" s="11"/>
      <c r="G170" s="263"/>
      <c r="H170" s="11"/>
      <c r="I170" s="55"/>
      <c r="J170" s="55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</row>
    <row r="171" spans="1:41" x14ac:dyDescent="0.25">
      <c r="A171" s="11"/>
      <c r="B171" s="11"/>
      <c r="C171" s="11"/>
      <c r="D171" s="11"/>
      <c r="E171" s="11"/>
      <c r="F171" s="11"/>
      <c r="G171" s="11"/>
      <c r="H171" s="11"/>
      <c r="I171" s="55"/>
      <c r="J171" s="55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</row>
    <row r="172" spans="1:41" x14ac:dyDescent="0.25">
      <c r="A172" s="11"/>
      <c r="B172" s="11"/>
      <c r="C172" s="11"/>
      <c r="D172" s="11"/>
      <c r="E172" s="11"/>
      <c r="F172" s="11"/>
      <c r="G172" s="11"/>
      <c r="H172" s="11"/>
      <c r="I172" s="55"/>
      <c r="J172" s="55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</row>
    <row r="173" spans="1:41" x14ac:dyDescent="0.25">
      <c r="A173" s="11"/>
      <c r="B173" s="11"/>
      <c r="C173" s="11"/>
      <c r="D173" s="11"/>
      <c r="E173" s="11"/>
      <c r="F173" s="11"/>
      <c r="G173" s="11"/>
      <c r="H173" s="11"/>
      <c r="I173" s="55"/>
      <c r="J173" s="55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</row>
    <row r="174" spans="1:41" x14ac:dyDescent="0.25">
      <c r="A174" s="11"/>
      <c r="B174" s="11"/>
      <c r="C174" s="11"/>
      <c r="D174" s="11"/>
      <c r="E174" s="11"/>
      <c r="F174" s="11"/>
      <c r="G174" s="263"/>
      <c r="H174" s="11"/>
      <c r="I174" s="55"/>
      <c r="J174" s="55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</row>
  </sheetData>
  <sheetProtection algorithmName="SHA-512" hashValue="H3eQhxFjcvzSCS+F48D5v6fxV2MjukHp5yFLAjUy6gTbcdpFzI5Y2clwjLvPjCbDSQDMkr4hkEpFuLRelzhhuQ==" saltValue="KXf2IhCnOJVpU9AjptUsgQ==" spinCount="100000" sheet="1" scenarios="1"/>
  <mergeCells count="2">
    <mergeCell ref="AD31:AE31"/>
    <mergeCell ref="AG31:AH31"/>
  </mergeCells>
  <dataValidations disablePrompts="1" count="2">
    <dataValidation type="list" allowBlank="1" sqref="B62 B29 B95" xr:uid="{00000000-0002-0000-1100-000000000000}">
      <formula1>"SELF,ALL,BAS,DEP,BASMEMBERS,MEMBERS,NOEXPAND,GDEP"</formula1>
    </dataValidation>
    <dataValidation type="list" allowBlank="1" sqref="B61 B28 B94" xr:uid="{00000000-0002-0000-1100-000001000000}">
      <formula1>"ACCOUNT,BUSINESSUNIT,CATEGORY,DATASRC,DEPARTMENT,INTCO,MEASURES,RPTCURRENCY,TIME"</formula1>
    </dataValidation>
  </dataValidations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customProperties>
    <customPr name="EpmWorksheetKeyString_GUID" r:id="rId2"/>
    <customPr name="FPMExcelClientCellBasedFunctionStatus" r:id="rId3"/>
    <customPr name="FPMExcelClientRefreshTime" r:id="rId4"/>
  </customProperties>
  <legacyDrawing r:id="rId5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50">
    <tabColor theme="6" tint="0.39997558519241921"/>
    <pageSetUpPr fitToPage="1"/>
  </sheetPr>
  <dimension ref="A1:AI211"/>
  <sheetViews>
    <sheetView topLeftCell="K25" zoomScale="85" zoomScaleNormal="85" workbookViewId="0">
      <pane xSplit="4" ySplit="8" topLeftCell="O33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3" width="9.7109375" style="1" hidden="1" customWidth="1" outlineLevel="1"/>
    <col min="14" max="14" width="38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16384" width="9.140625" style="1"/>
  </cols>
  <sheetData>
    <row r="1" spans="1:35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63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</row>
    <row r="2" spans="1:35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11"/>
      <c r="H4" s="11"/>
      <c r="I4" s="55"/>
      <c r="J4" s="55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11"/>
      <c r="H5" s="11"/>
      <c r="I5" s="55"/>
      <c r="J5" s="55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idden="1" outlineLevel="1" x14ac:dyDescent="0.25">
      <c r="A6" s="49" t="s">
        <v>52</v>
      </c>
      <c r="B6" s="52" t="s">
        <v>346</v>
      </c>
      <c r="C6" s="11" t="str">
        <f>IF(_epmOfflineCondition_,"In Room Dining",_xll.EVDES(B6,$B$1))</f>
        <v>In Room Dining</v>
      </c>
      <c r="D6" s="11"/>
      <c r="E6" s="54" t="str">
        <f>IF(_epmOfflineCondition_,"D2147",_xll.EVPRO($B$1,$B$6,$F$6))</f>
        <v>D2147</v>
      </c>
      <c r="F6" s="11" t="s">
        <v>278</v>
      </c>
      <c r="G6" s="11"/>
      <c r="H6" s="11"/>
      <c r="I6" s="55"/>
      <c r="J6" s="55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11"/>
      <c r="H7" s="11"/>
      <c r="I7" s="55"/>
      <c r="J7" s="55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11"/>
      <c r="H8" s="11"/>
      <c r="I8" s="55"/>
      <c r="J8" s="55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59" t="str">
        <f>IF(SetUp!$O$1=TRUE,"TRAILING12",IF(AA17="CURRENT","ROLLINGFORECAST","PERIODIC"))</f>
        <v>PERIODIC</v>
      </c>
      <c r="AB11" s="11"/>
      <c r="AC11" s="11"/>
      <c r="AD11" s="11"/>
      <c r="AE11" s="11"/>
      <c r="AF11" s="11"/>
      <c r="AG11" s="11"/>
      <c r="AH11" s="11"/>
      <c r="AI11" s="11"/>
    </row>
    <row r="12" spans="1:35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11"/>
      <c r="M12" s="11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</row>
    <row r="13" spans="1:35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11"/>
      <c r="M13" s="11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</row>
    <row r="14" spans="1:35" hidden="1" outlineLevel="1" x14ac:dyDescent="0.25">
      <c r="A14" s="56" t="str">
        <f>IF(_epmOfflineCondition_,"Evdre:Ok",_xll.EVDRE($B$1,A17:B24))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11"/>
      <c r="M14" s="11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</row>
    <row r="15" spans="1:35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11"/>
      <c r="M15" s="11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</row>
    <row r="16" spans="1:35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11"/>
      <c r="M16" s="11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</row>
    <row r="17" spans="1:35" hidden="1" outlineLevel="1" x14ac:dyDescent="0.25">
      <c r="A17" s="61" t="s">
        <v>2</v>
      </c>
      <c r="B17" s="62" t="str">
        <f>IF(_epmOfflineCondition_,"'IRD_KPI'!$B$2:$B$10",_xll.EVRNG($B$2:$B$10))</f>
        <v>'IRD_KPI'!$B$2:$B$10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11"/>
      <c r="M17" s="11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 t="str">
        <f>Z17</f>
        <v>ACTUAL_CON</v>
      </c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</row>
    <row r="18" spans="1:35" hidden="1" outlineLevel="1" x14ac:dyDescent="0.25">
      <c r="A18" s="61" t="s">
        <v>3</v>
      </c>
      <c r="B18" s="62" t="str">
        <f>IF(_epmOfflineCondition_,"'IRD_KPI'!$O$16:$AI$18",_xll.EVRNG(O16:AI18))</f>
        <v>'IRD_KPI'!$O$16:$AI$18</v>
      </c>
      <c r="C18" s="11"/>
      <c r="D18" s="11"/>
      <c r="E18" s="11"/>
      <c r="F18" s="11"/>
      <c r="G18" s="11"/>
      <c r="H18" s="11"/>
      <c r="I18" s="55"/>
      <c r="J18" s="55"/>
      <c r="K18" s="11"/>
      <c r="L18" s="11"/>
      <c r="M18" s="11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59" t="str">
        <f>AA11</f>
        <v>PERIODIC</v>
      </c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</row>
    <row r="19" spans="1:35" hidden="1" outlineLevel="1" x14ac:dyDescent="0.25">
      <c r="A19" s="61" t="s">
        <v>4</v>
      </c>
      <c r="B19" s="62" t="str">
        <f>IF(_epmOfflineCondition_,"'IRD_KPI'!$H$35:$H$146",_xll.EVRNG(H35:H146))</f>
        <v>'IRD_KPI'!$H$35:$H$146</v>
      </c>
      <c r="C19" s="11"/>
      <c r="D19" s="11"/>
      <c r="E19" s="11"/>
      <c r="F19" s="11"/>
      <c r="G19" s="63" t="str">
        <f>$B$6</f>
        <v>D_RS_CON</v>
      </c>
      <c r="H19" s="63" t="s">
        <v>273</v>
      </c>
      <c r="I19" s="64"/>
      <c r="J19" s="64"/>
      <c r="K19" s="63"/>
      <c r="L19" s="63"/>
      <c r="M19" s="63"/>
      <c r="N19" s="63" t="str">
        <f>IF(_epmOfflineCondition_,"Total Food &amp; Beverage Revenue",_xll.EVDES(H19))</f>
        <v>Total Food &amp; Beverage Revenue</v>
      </c>
      <c r="O19" s="65">
        <f>IF(_epmOfflineCondition_,0,_xll.EVGTS($B$1,1,$B$3,$B$5,$B$7,$B$9,O$16,O$17,O$18,$G$19,$H$19))</f>
        <v>0</v>
      </c>
      <c r="P19" s="65">
        <f>IF(_epmOfflineCondition_,0,_xll.EVGTS($B$1,1,$B$3,$B$5,$B$7,$B$9,P$16,P$17,P$18,$G$19,$H$19))</f>
        <v>0</v>
      </c>
      <c r="Q19" s="65">
        <f>IF(_epmOfflineCondition_,0,_xll.EVGTS($B$1,1,$B$3,$B$5,$B$7,$B$9,Q$16,Q$17,Q$18,$G$19,$H$19))</f>
        <v>0</v>
      </c>
      <c r="R19" s="65">
        <f>IF(_epmOfflineCondition_,0,_xll.EVGTS($B$1,1,$B$3,$B$5,$B$7,$B$9,R$16,R$17,R$18,$G$19,$H$19))</f>
        <v>0</v>
      </c>
      <c r="S19" s="65">
        <f>IF(_epmOfflineCondition_,0,_xll.EVGTS($B$1,1,$B$3,$B$5,$B$7,$B$9,S$16,S$17,S$18,$G$19,$H$19))</f>
        <v>0</v>
      </c>
      <c r="T19" s="65">
        <f>IF(_epmOfflineCondition_,0,_xll.EVGTS($B$1,1,$B$3,$B$5,$B$7,$B$9,T$16,T$17,T$18,$G$19,$H$19))</f>
        <v>0</v>
      </c>
      <c r="U19" s="65">
        <f>IF(_epmOfflineCondition_,0,_xll.EVGTS($B$1,1,$B$3,$B$5,$B$7,$B$9,U$16,U$17,U$18,$G$19,$H$19))</f>
        <v>0</v>
      </c>
      <c r="V19" s="65">
        <f>IF(_epmOfflineCondition_,0,_xll.EVGTS($B$1,1,$B$3,$B$5,$B$7,$B$9,V$16,V$17,V$18,$G$19,$H$19))</f>
        <v>0</v>
      </c>
      <c r="W19" s="65">
        <f>IF(_epmOfflineCondition_,0,_xll.EVGTS($B$1,1,$B$3,$B$5,$B$7,$B$9,W$16,W$17,W$18,$G$19,$H$19))</f>
        <v>0</v>
      </c>
      <c r="X19" s="65">
        <f>IF(_epmOfflineCondition_,0,_xll.EVGTS($B$1,1,$B$3,$B$5,$B$7,$B$9,X$16,X$17,X$18,$G$19,$H$19))</f>
        <v>0</v>
      </c>
      <c r="Y19" s="65">
        <f>IF(_epmOfflineCondition_,4358,_xll.EVGTS($B$1,1,$B$3,$B$5,$B$7,$B$9,Y$16,Y$17,Y$18,$G$19,$H$19))</f>
        <v>4358</v>
      </c>
      <c r="Z19" s="65">
        <f>IF(_epmOfflineCondition_,6757,_xll.EVGTS($B$1,1,$B$3,$B$5,$B$7,$B$9,Z$16,Z$17,Z$18,$G$19,$H$19))</f>
        <v>6757</v>
      </c>
      <c r="AA19" s="65">
        <f>SUM(O19:Z19)</f>
        <v>11115</v>
      </c>
      <c r="AB19" s="63"/>
      <c r="AC19" s="63"/>
      <c r="AD19" s="65">
        <f>IF(_epmOfflineCondition_,73090,_xll.EVGTS($B$1,1,$B$3,$B$5,$B$7,$B$9,AD$16,AD$17,AD$18,$G$19,$H$19))</f>
        <v>73090</v>
      </c>
      <c r="AE19" s="63"/>
      <c r="AF19" s="63"/>
      <c r="AG19" s="65">
        <f>IF(_epmOfflineCondition_,0,_xll.EVGTS($B$1,1,$B$3,$B$5,$B$7,$B$9,AG$16,AG$17,AG$18,$G$19,$H$19))</f>
        <v>0</v>
      </c>
      <c r="AH19" s="63"/>
      <c r="AI19" s="63"/>
    </row>
    <row r="20" spans="1:35" hidden="1" outlineLevel="1" x14ac:dyDescent="0.25">
      <c r="A20" s="61" t="s">
        <v>5</v>
      </c>
      <c r="B20" s="62"/>
      <c r="C20" s="11"/>
      <c r="D20" s="11"/>
      <c r="E20" s="11"/>
      <c r="F20" s="11"/>
      <c r="G20" s="63" t="str">
        <f>$B$6</f>
        <v>D_RS_CON</v>
      </c>
      <c r="H20" s="63">
        <v>946000</v>
      </c>
      <c r="I20" s="64"/>
      <c r="J20" s="64"/>
      <c r="K20" s="63"/>
      <c r="L20" s="63"/>
      <c r="M20" s="63"/>
      <c r="N20" s="63" t="str">
        <f>IF(_epmOfflineCondition_,"Total Customers",_xll.EVDES(H20))</f>
        <v>Total Customers</v>
      </c>
      <c r="O20" s="65">
        <f>IF(_epmOfflineCondition_,0,_xll.EVGTS($B$1,1,$B$3,$B$5,$B$7,$B$9,O$16,O$17,O$18,$G$20,$H$20))</f>
        <v>0</v>
      </c>
      <c r="P20" s="65">
        <f>IF(_epmOfflineCondition_,0,_xll.EVGTS($B$1,1,$B$3,$B$5,$B$7,$B$9,P$16,P$17,P$18,$G$20,$H$20))</f>
        <v>0</v>
      </c>
      <c r="Q20" s="65">
        <f>IF(_epmOfflineCondition_,0,_xll.EVGTS($B$1,1,$B$3,$B$5,$B$7,$B$9,Q$16,Q$17,Q$18,$G$20,$H$20))</f>
        <v>0</v>
      </c>
      <c r="R20" s="65">
        <f>IF(_epmOfflineCondition_,0,_xll.EVGTS($B$1,1,$B$3,$B$5,$B$7,$B$9,R$16,R$17,R$18,$G$20,$H$20))</f>
        <v>0</v>
      </c>
      <c r="S20" s="65">
        <f>IF(_epmOfflineCondition_,0,_xll.EVGTS($B$1,1,$B$3,$B$5,$B$7,$B$9,S$16,S$17,S$18,$G$20,$H$20))</f>
        <v>0</v>
      </c>
      <c r="T20" s="65">
        <f>IF(_epmOfflineCondition_,0,_xll.EVGTS($B$1,1,$B$3,$B$5,$B$7,$B$9,T$16,T$17,T$18,$G$20,$H$20))</f>
        <v>0</v>
      </c>
      <c r="U20" s="65">
        <f>IF(_epmOfflineCondition_,0,_xll.EVGTS($B$1,1,$B$3,$B$5,$B$7,$B$9,U$16,U$17,U$18,$G$20,$H$20))</f>
        <v>0</v>
      </c>
      <c r="V20" s="65">
        <f>IF(_epmOfflineCondition_,0,_xll.EVGTS($B$1,1,$B$3,$B$5,$B$7,$B$9,V$16,V$17,V$18,$G$20,$H$20))</f>
        <v>0</v>
      </c>
      <c r="W20" s="65">
        <f>IF(_epmOfflineCondition_,0,_xll.EVGTS($B$1,1,$B$3,$B$5,$B$7,$B$9,W$16,W$17,W$18,$G$20,$H$20))</f>
        <v>0</v>
      </c>
      <c r="X20" s="65">
        <f>IF(_epmOfflineCondition_,0,_xll.EVGTS($B$1,1,$B$3,$B$5,$B$7,$B$9,X$16,X$17,X$18,$G$20,$H$20))</f>
        <v>0</v>
      </c>
      <c r="Y20" s="65">
        <f>IF(_epmOfflineCondition_,224,_xll.EVGTS($B$1,1,$B$3,$B$5,$B$7,$B$9,Y$16,Y$17,Y$18,$G$20,$H$20))</f>
        <v>224</v>
      </c>
      <c r="Z20" s="65">
        <f>IF(_epmOfflineCondition_,340,_xll.EVGTS($B$1,1,$B$3,$B$5,$B$7,$B$9,Z$16,Z$17,Z$18,$G$20,$H$20))</f>
        <v>340</v>
      </c>
      <c r="AA20" s="65">
        <f>SUM(O20:Z20)</f>
        <v>564</v>
      </c>
      <c r="AB20" s="63"/>
      <c r="AC20" s="63"/>
      <c r="AD20" s="65">
        <f>IF(_epmOfflineCondition_,2927,_xll.EVGTS($B$1,1,$B$3,$B$5,$B$7,$B$9,AD$16,AD$17,AD$18,$G$20,$H$20))</f>
        <v>2927</v>
      </c>
      <c r="AE20" s="63"/>
      <c r="AF20" s="63"/>
      <c r="AG20" s="65">
        <f>IF(_epmOfflineCondition_,0,_xll.EVGTS($B$1,1,$B$3,$B$5,$B$7,$B$9,AG$16,AG$17,AG$18,$G$20,$H$20))</f>
        <v>0</v>
      </c>
      <c r="AH20" s="63"/>
      <c r="AI20" s="63"/>
    </row>
    <row r="21" spans="1:35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hidden="1" outlineLevel="1" x14ac:dyDescent="0.25">
      <c r="A22" s="61" t="s">
        <v>7</v>
      </c>
      <c r="B22" s="62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idden="1" outlineLevel="1" x14ac:dyDescent="0.25">
      <c r="A23" s="61" t="s">
        <v>47</v>
      </c>
      <c r="B23" s="62" t="str">
        <f>IF(_epmOfflineCondition_,"'IRD_KPI'!$A$37:$B$58",_xll.EVRNG($A$37:$B$58))</f>
        <v>'IRD_KPI'!$A$37:$B$58</v>
      </c>
      <c r="C23" s="11"/>
      <c r="D23" s="11"/>
      <c r="E23" s="11"/>
      <c r="F23" s="11"/>
      <c r="G23" s="11"/>
      <c r="H23" s="11"/>
      <c r="I23" s="55"/>
      <c r="J23" s="55"/>
      <c r="K23" s="6"/>
      <c r="L23" s="6"/>
      <c r="M23" s="6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380"/>
      <c r="AE23" s="11"/>
      <c r="AF23" s="11"/>
      <c r="AG23" s="11"/>
      <c r="AH23" s="11"/>
      <c r="AI23" s="11"/>
    </row>
    <row r="24" spans="1:35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22.5" x14ac:dyDescent="0.3">
      <c r="A26" s="57" t="s">
        <v>9</v>
      </c>
      <c r="B26" s="58" t="s">
        <v>10</v>
      </c>
      <c r="C26" s="11"/>
      <c r="D26" s="11"/>
      <c r="E26" s="11"/>
      <c r="F26" s="11"/>
      <c r="G26" s="11"/>
      <c r="H26" s="11"/>
      <c r="I26" s="55"/>
      <c r="J26" s="55"/>
      <c r="K26" s="11"/>
      <c r="L26" s="11"/>
      <c r="M26" s="11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8" x14ac:dyDescent="0.25">
      <c r="A27" s="61" t="s">
        <v>11</v>
      </c>
      <c r="B27" s="62" t="s">
        <v>21</v>
      </c>
      <c r="C27" s="11"/>
      <c r="D27" s="11"/>
      <c r="E27" s="11"/>
      <c r="F27" s="11"/>
      <c r="G27" s="11"/>
      <c r="H27" s="11"/>
      <c r="I27" s="55"/>
      <c r="J27" s="55"/>
      <c r="K27" s="11"/>
      <c r="L27" s="11"/>
      <c r="M27" s="11"/>
      <c r="N27" s="67" t="str">
        <f>IF(_epmOfflineCondition_,"In Room Dining Department",IF($N$1="",IF(_xll.EVDES(B6,$B$1)="#NODATA","",_xll.EVDES(B6,$B$1)&amp;" Department"),$N$1))</f>
        <v>In Room Dining Department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.75" x14ac:dyDescent="0.25">
      <c r="A28" s="61" t="s">
        <v>12</v>
      </c>
      <c r="B28" s="62" t="s">
        <v>22</v>
      </c>
      <c r="C28" s="11"/>
      <c r="D28" s="11"/>
      <c r="E28" s="11"/>
      <c r="F28" s="11"/>
      <c r="G28" s="11"/>
      <c r="H28" s="11"/>
      <c r="I28" s="55"/>
      <c r="J28" s="55"/>
      <c r="K28" s="11"/>
      <c r="L28" s="11"/>
      <c r="M28" s="11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ht="15" customHeight="1" x14ac:dyDescent="0.25">
      <c r="A29" s="61" t="s">
        <v>13</v>
      </c>
      <c r="B29" s="62" t="s">
        <v>293</v>
      </c>
      <c r="C29" s="11"/>
      <c r="D29" s="11"/>
      <c r="E29" s="11"/>
      <c r="F29" s="11"/>
      <c r="G29" s="11"/>
      <c r="H29" s="11"/>
      <c r="I29" s="55"/>
      <c r="J29" s="55"/>
      <c r="K29" s="11"/>
      <c r="L29" s="11"/>
      <c r="M29" s="11"/>
      <c r="N29" s="68" t="str">
        <f>IF(_epmOfflineCondition_,"Local Currency",_xll.EVDES(B9,B1))</f>
        <v>Local Currency</v>
      </c>
      <c r="O29" s="484" t="s">
        <v>344</v>
      </c>
      <c r="P29" s="484"/>
      <c r="Q29" s="484"/>
      <c r="R29" s="484"/>
      <c r="S29" s="484"/>
      <c r="T29" s="484"/>
      <c r="U29" s="484"/>
      <c r="V29" s="484"/>
      <c r="W29" s="484"/>
      <c r="X29" s="484"/>
      <c r="Y29" s="484"/>
      <c r="Z29" s="484"/>
      <c r="AA29" s="484"/>
      <c r="AB29" s="11"/>
      <c r="AC29" s="11"/>
      <c r="AD29" s="11"/>
      <c r="AE29" s="11"/>
      <c r="AF29" s="11"/>
      <c r="AG29" s="11"/>
      <c r="AH29" s="11"/>
      <c r="AI29" s="11"/>
    </row>
    <row r="30" spans="1:35" x14ac:dyDescent="0.25">
      <c r="A30" s="61" t="s">
        <v>14</v>
      </c>
      <c r="B30" s="62"/>
      <c r="C30" s="11"/>
      <c r="D30" s="11"/>
      <c r="E30" s="11"/>
      <c r="F30" s="11"/>
      <c r="G30" s="11"/>
      <c r="H30" s="11"/>
      <c r="I30" s="55"/>
      <c r="J30" s="55"/>
      <c r="K30" s="11"/>
      <c r="L30" s="11"/>
      <c r="M30" s="11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</row>
    <row r="31" spans="1:35" x14ac:dyDescent="0.25">
      <c r="A31" s="61" t="s">
        <v>15</v>
      </c>
      <c r="B31" s="62"/>
      <c r="C31" s="11"/>
      <c r="D31" s="11"/>
      <c r="E31" s="11"/>
      <c r="F31" s="11"/>
      <c r="G31" s="11"/>
      <c r="H31" s="11"/>
      <c r="I31" s="55"/>
      <c r="J31" s="55"/>
      <c r="K31" s="11"/>
      <c r="L31" s="11"/>
      <c r="M31" s="11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</row>
    <row r="32" spans="1:35" s="8" customFormat="1" ht="30" customHeight="1" x14ac:dyDescent="0.25">
      <c r="A32" s="77" t="s">
        <v>16</v>
      </c>
      <c r="B32" s="78"/>
      <c r="C32" s="79"/>
      <c r="D32" s="79"/>
      <c r="E32" s="11"/>
      <c r="F32" s="79"/>
      <c r="G32" s="79"/>
      <c r="H32" s="80"/>
      <c r="I32" s="81"/>
      <c r="J32" s="81"/>
      <c r="K32" s="79"/>
      <c r="L32" s="79"/>
      <c r="M32" s="79"/>
      <c r="N32" s="79"/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</row>
    <row r="33" spans="1:35" ht="15.75" x14ac:dyDescent="0.25">
      <c r="A33" s="61" t="s">
        <v>17</v>
      </c>
      <c r="B33" s="62"/>
      <c r="C33" s="11"/>
      <c r="D33" s="11"/>
      <c r="E33" s="11"/>
      <c r="F33" s="11"/>
      <c r="G33" s="11"/>
      <c r="H33" s="11"/>
      <c r="I33" s="55"/>
      <c r="J33" s="55"/>
      <c r="K33" s="11"/>
      <c r="L33" s="11"/>
      <c r="M33" s="11"/>
      <c r="N33" s="485" t="s">
        <v>330</v>
      </c>
      <c r="O33" s="125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7"/>
      <c r="AC33" s="11"/>
      <c r="AD33" s="125"/>
      <c r="AE33" s="126"/>
      <c r="AF33" s="127"/>
      <c r="AG33" s="125"/>
      <c r="AH33" s="126"/>
      <c r="AI33" s="127"/>
    </row>
    <row r="34" spans="1:35" x14ac:dyDescent="0.25">
      <c r="A34" s="11"/>
      <c r="B34" s="11"/>
      <c r="C34" s="11"/>
      <c r="D34" s="11"/>
      <c r="E34" s="11"/>
      <c r="F34" s="11"/>
      <c r="G34" s="11"/>
      <c r="H34" s="11"/>
      <c r="I34" s="55"/>
      <c r="J34" s="55"/>
      <c r="K34" s="11"/>
      <c r="L34" s="129" t="s">
        <v>364</v>
      </c>
      <c r="M34" s="129" t="s">
        <v>783</v>
      </c>
      <c r="N34" s="49" t="s">
        <v>312</v>
      </c>
      <c r="O34" s="199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114"/>
      <c r="AC34" s="11"/>
      <c r="AD34" s="199"/>
      <c r="AE34" s="200"/>
      <c r="AF34" s="114"/>
      <c r="AG34" s="199"/>
      <c r="AH34" s="200"/>
      <c r="AI34" s="114"/>
    </row>
    <row r="35" spans="1:35" x14ac:dyDescent="0.25">
      <c r="A35" s="11"/>
      <c r="B35" s="11"/>
      <c r="C35" s="11"/>
      <c r="D35" s="11"/>
      <c r="E35" s="11"/>
      <c r="F35" s="11"/>
      <c r="G35" s="11"/>
      <c r="H35" s="84" t="s">
        <v>260</v>
      </c>
      <c r="I35" s="118" t="str">
        <f>IF(_epmOfflineCondition_,"T5",_xll.EVPRO($B$1,$H35,"STYLE"))</f>
        <v>T5</v>
      </c>
      <c r="J35" s="118" t="str">
        <f>IF(_epmOfflineCondition_,"Y",_xll.EVPRO($B$1,$H35,"CALC"))</f>
        <v>Y</v>
      </c>
      <c r="K35" s="86"/>
      <c r="L35" s="86" t="str">
        <f>IF(_epmOfflineCondition_,"461100",_xll.EVPRO($B$1,H35,"JDEID"))</f>
        <v>461100</v>
      </c>
      <c r="M35" s="86" t="str">
        <f>IF(_epmOfflineCondition_,"",IF(AND(I35="N",J35="N"),_xll.EVPRO($B$1,H35,"PSFTID"),""))</f>
        <v/>
      </c>
      <c r="N35" s="86" t="str">
        <f>IF(_epmOfflineCondition_,"Breakfast Food",IF(_xll.EVDES(H35,$B$1)="#NODATA","",_xll.EVDES(H35,$B$1)))</f>
        <v>Breakfast Food</v>
      </c>
      <c r="O35" s="134"/>
      <c r="P35" s="134"/>
      <c r="Q35" s="134"/>
      <c r="R35" s="134"/>
      <c r="S35" s="134"/>
      <c r="T35" s="134"/>
      <c r="U35" s="134"/>
      <c r="V35" s="134"/>
      <c r="W35" s="134"/>
      <c r="X35" s="134"/>
      <c r="Y35" s="134">
        <v>1582</v>
      </c>
      <c r="Z35" s="134">
        <v>2452</v>
      </c>
      <c r="AA35" s="134">
        <f t="shared" ref="AA35:AA41" si="0">SUM(O35:Z35)</f>
        <v>4034</v>
      </c>
      <c r="AB35" s="138">
        <f>IF(AA35=0,"",IFERROR(AA35/AA$19,""))</f>
        <v>0.36293297345928927</v>
      </c>
      <c r="AC35" s="136"/>
      <c r="AD35" s="134">
        <v>31423.014999999999</v>
      </c>
      <c r="AE35" s="138">
        <f>IF(AD35=0,"",IFERROR(AD35/AD$19,""))</f>
        <v>0.4299222191818306</v>
      </c>
      <c r="AF35" s="137">
        <f t="shared" ref="AF35:AF42" si="1">IF(AND($AA35="",AD35=""),"",$AA35-AD35)</f>
        <v>-27389.014999999999</v>
      </c>
      <c r="AG35" s="134"/>
      <c r="AH35" s="138" t="str">
        <f>IF(AG35=0,"",IFERROR(AG35/AG$19,""))</f>
        <v/>
      </c>
      <c r="AI35" s="137">
        <f t="shared" ref="AI35:AI42" si="2">IF(AND($AA35="",AG35=""),"",$AA35-AG35)</f>
        <v>4034</v>
      </c>
    </row>
    <row r="36" spans="1:35" x14ac:dyDescent="0.25">
      <c r="A36" s="57" t="s">
        <v>23</v>
      </c>
      <c r="B36" s="58" t="s">
        <v>24</v>
      </c>
      <c r="C36" s="11"/>
      <c r="D36" s="11"/>
      <c r="E36" s="11"/>
      <c r="F36" s="11"/>
      <c r="G36" s="11"/>
      <c r="H36" s="84" t="s">
        <v>294</v>
      </c>
      <c r="I36" s="118" t="str">
        <f>IF(_epmOfflineCondition_,"T6",_xll.EVPRO($B$1,$H36,"STYLE"))</f>
        <v>T6</v>
      </c>
      <c r="J36" s="118" t="str">
        <f>IF(_epmOfflineCondition_,"Y",_xll.EVPRO($B$1,$H36,"CALC"))</f>
        <v>Y</v>
      </c>
      <c r="K36" s="86"/>
      <c r="L36" s="86" t="str">
        <f>IF(_epmOfflineCondition_,"461200",_xll.EVPRO($B$1,H36,"JDEID"))</f>
        <v>461200</v>
      </c>
      <c r="M36" s="86" t="str">
        <f>IF(_epmOfflineCondition_,"",IF(AND(I36="N",J36="N"),_xll.EVPRO($B$1,H36,"PSFTID"),""))</f>
        <v/>
      </c>
      <c r="N36" s="86" t="str">
        <f>IF(_epmOfflineCondition_,"Breakfast Liquor",IF(_xll.EVDES(H36,$B$1)="#NODATA","",_xll.EVDES(H36,$B$1)))</f>
        <v>Breakfast Liquor</v>
      </c>
      <c r="O36" s="134"/>
      <c r="P36" s="134"/>
      <c r="Q36" s="134"/>
      <c r="R36" s="134"/>
      <c r="S36" s="134"/>
      <c r="T36" s="134"/>
      <c r="U36" s="134"/>
      <c r="V36" s="134"/>
      <c r="W36" s="134"/>
      <c r="X36" s="134"/>
      <c r="Y36" s="134"/>
      <c r="Z36" s="134">
        <v>12</v>
      </c>
      <c r="AA36" s="134">
        <f t="shared" si="0"/>
        <v>12</v>
      </c>
      <c r="AB36" s="138">
        <f>IF(AA36=0,"",IFERROR(AA36/AA$19,""))</f>
        <v>1.0796221322537112E-3</v>
      </c>
      <c r="AC36" s="136"/>
      <c r="AD36" s="134">
        <v>959.66650000000004</v>
      </c>
      <c r="AE36" s="138">
        <f>IF(AD36=0,"",IFERROR(AD36/AD$19,""))</f>
        <v>1.3129928854836503E-2</v>
      </c>
      <c r="AF36" s="137">
        <f t="shared" si="1"/>
        <v>-947.66650000000004</v>
      </c>
      <c r="AG36" s="134"/>
      <c r="AH36" s="138" t="str">
        <f>IF(AG36=0,"",IFERROR(AG36/AG$19,""))</f>
        <v/>
      </c>
      <c r="AI36" s="137">
        <f t="shared" si="2"/>
        <v>12</v>
      </c>
    </row>
    <row r="37" spans="1:35" x14ac:dyDescent="0.25">
      <c r="A37" s="61" t="s">
        <v>25</v>
      </c>
      <c r="B37" s="62"/>
      <c r="C37" s="11"/>
      <c r="D37" s="11"/>
      <c r="E37" s="11"/>
      <c r="F37" s="11"/>
      <c r="G37" s="11"/>
      <c r="H37" s="84" t="s">
        <v>295</v>
      </c>
      <c r="I37" s="118" t="str">
        <f>IF(_epmOfflineCondition_,"T6",_xll.EVPRO($B$1,$H37,"STYLE"))</f>
        <v>T6</v>
      </c>
      <c r="J37" s="118" t="str">
        <f>IF(_epmOfflineCondition_,"Y",_xll.EVPRO($B$1,$H37,"CALC"))</f>
        <v>Y</v>
      </c>
      <c r="K37" s="86"/>
      <c r="L37" s="86" t="str">
        <f>IF(_epmOfflineCondition_,"461300",_xll.EVPRO($B$1,H37,"JDEID"))</f>
        <v>461300</v>
      </c>
      <c r="M37" s="86" t="str">
        <f>IF(_epmOfflineCondition_,"",IF(AND(I37="N",J37="N"),_xll.EVPRO($B$1,H37,"PSFTID"),""))</f>
        <v/>
      </c>
      <c r="N37" s="86" t="str">
        <f>IF(_epmOfflineCondition_,"Breakfast Beer",IF(_xll.EVDES(H37,$B$1)="#NODATA","",_xll.EVDES(H37,$B$1)))</f>
        <v>Breakfast Beer</v>
      </c>
      <c r="O37" s="134"/>
      <c r="P37" s="134"/>
      <c r="Q37" s="134"/>
      <c r="R37" s="134"/>
      <c r="S37" s="134"/>
      <c r="T37" s="134"/>
      <c r="U37" s="134"/>
      <c r="V37" s="134"/>
      <c r="W37" s="134"/>
      <c r="X37" s="134"/>
      <c r="Y37" s="134"/>
      <c r="Z37" s="134"/>
      <c r="AA37" s="134">
        <f t="shared" si="0"/>
        <v>0</v>
      </c>
      <c r="AB37" s="138" t="str">
        <f>IF(AA37=0,"",IFERROR(AA37/AA$19,""))</f>
        <v/>
      </c>
      <c r="AC37" s="136"/>
      <c r="AD37" s="134">
        <v>183.61850000000001</v>
      </c>
      <c r="AE37" s="138">
        <f>IF(AD37=0,"",IFERROR(AD37/AD$19,""))</f>
        <v>2.5122246545355043E-3</v>
      </c>
      <c r="AF37" s="137">
        <f t="shared" si="1"/>
        <v>-183.61850000000001</v>
      </c>
      <c r="AG37" s="134"/>
      <c r="AH37" s="138" t="str">
        <f>IF(AG37=0,"",IFERROR(AG37/AG$19,""))</f>
        <v/>
      </c>
      <c r="AI37" s="137">
        <f t="shared" si="2"/>
        <v>0</v>
      </c>
    </row>
    <row r="38" spans="1:35" x14ac:dyDescent="0.25">
      <c r="A38" s="61" t="s">
        <v>26</v>
      </c>
      <c r="B38" s="62"/>
      <c r="C38" s="11"/>
      <c r="D38" s="11"/>
      <c r="E38" s="11"/>
      <c r="F38" s="11"/>
      <c r="G38" s="11"/>
      <c r="H38" s="84" t="s">
        <v>296</v>
      </c>
      <c r="I38" s="118" t="str">
        <f>IF(_epmOfflineCondition_,"T6",_xll.EVPRO($B$1,$H38,"STYLE"))</f>
        <v>T6</v>
      </c>
      <c r="J38" s="118" t="str">
        <f>IF(_epmOfflineCondition_,"Y",_xll.EVPRO($B$1,$H38,"CALC"))</f>
        <v>Y</v>
      </c>
      <c r="K38" s="86"/>
      <c r="L38" s="86" t="str">
        <f>IF(_epmOfflineCondition_,"461400",_xll.EVPRO($B$1,H38,"JDEID"))</f>
        <v>461400</v>
      </c>
      <c r="M38" s="86" t="str">
        <f>IF(_epmOfflineCondition_,"",IF(AND(I38="N",J38="N"),_xll.EVPRO($B$1,H38,"PSFTID"),""))</f>
        <v/>
      </c>
      <c r="N38" s="86" t="str">
        <f>IF(_epmOfflineCondition_,"Breakfast Wine",IF(_xll.EVDES(H38,$B$1)="#NODATA","",_xll.EVDES(H38,$B$1)))</f>
        <v>Breakfast Wine</v>
      </c>
      <c r="O38" s="228"/>
      <c r="P38" s="228"/>
      <c r="Q38" s="228"/>
      <c r="R38" s="228"/>
      <c r="S38" s="228"/>
      <c r="T38" s="228"/>
      <c r="U38" s="228"/>
      <c r="V38" s="228"/>
      <c r="W38" s="228"/>
      <c r="X38" s="228"/>
      <c r="Y38" s="228">
        <v>20</v>
      </c>
      <c r="Z38" s="228">
        <v>12</v>
      </c>
      <c r="AA38" s="228">
        <f t="shared" si="0"/>
        <v>32</v>
      </c>
      <c r="AB38" s="230">
        <f>IF(AA38=0,"",IFERROR(AA38/AA$19,""))</f>
        <v>2.8789923526765632E-3</v>
      </c>
      <c r="AC38" s="136"/>
      <c r="AD38" s="228">
        <v>2078.6999999999998</v>
      </c>
      <c r="AE38" s="230">
        <f>IF(AD38=0,"",IFERROR(AD38/AD$19,""))</f>
        <v>2.84402791079491E-2</v>
      </c>
      <c r="AF38" s="231">
        <f t="shared" si="1"/>
        <v>-2046.6999999999998</v>
      </c>
      <c r="AG38" s="228"/>
      <c r="AH38" s="230" t="str">
        <f>IF(AG38=0,"",IFERROR(AG38/AG$19,""))</f>
        <v/>
      </c>
      <c r="AI38" s="231">
        <f t="shared" si="2"/>
        <v>32</v>
      </c>
    </row>
    <row r="39" spans="1:35" x14ac:dyDescent="0.25">
      <c r="A39" s="61" t="s">
        <v>27</v>
      </c>
      <c r="B39" s="62"/>
      <c r="C39" s="11"/>
      <c r="D39" s="11"/>
      <c r="E39" s="11"/>
      <c r="F39" s="11"/>
      <c r="G39" s="11"/>
      <c r="H39" s="84" t="s">
        <v>318</v>
      </c>
      <c r="I39" s="118" t="str">
        <f>IF(_epmOfflineCondition_,"N",_xll.EVPRO($B$1,$H39,"STYLE"))</f>
        <v>N</v>
      </c>
      <c r="J39" s="118" t="str">
        <f>IF(_epmOfflineCondition_,"Y",_xll.EVPRO($B$1,$H39,"CALC"))</f>
        <v>Y</v>
      </c>
      <c r="K39" s="86"/>
      <c r="L39" s="86" t="str">
        <f>IF(_epmOfflineCondition_,"",_xll.EVPRO($B$1,H39,"JDEID"))</f>
        <v/>
      </c>
      <c r="M39" s="86" t="str">
        <f>IF(_epmOfflineCondition_,"",IF(AND(I39="N",J39="N"),_xll.EVPRO($B$1,H39,"PSFTID"),""))</f>
        <v/>
      </c>
      <c r="N39" s="102" t="str">
        <f>IF(_epmOfflineCondition_,"Breakfast Revenue",IF(_xll.EVDES(H39,$B$1)="#NODATA","",_xll.EVDES(H39,$B$1)))</f>
        <v>Breakfast Revenue</v>
      </c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>
        <v>1602</v>
      </c>
      <c r="Z39" s="158">
        <v>2476</v>
      </c>
      <c r="AA39" s="158">
        <f t="shared" si="0"/>
        <v>4078</v>
      </c>
      <c r="AB39" s="159">
        <f>IF(AA39=0,"",IFERROR(AA39/AA$19,""))</f>
        <v>0.3668915879442195</v>
      </c>
      <c r="AC39" s="136"/>
      <c r="AD39" s="158">
        <v>34645</v>
      </c>
      <c r="AE39" s="159">
        <f>IF(AD39=0,"",IFERROR(AD39/AD$19,""))</f>
        <v>0.47400465179915174</v>
      </c>
      <c r="AF39" s="160">
        <f t="shared" si="1"/>
        <v>-30567</v>
      </c>
      <c r="AG39" s="158"/>
      <c r="AH39" s="159" t="str">
        <f>IF(AG39=0,"",IFERROR(AG39/AG$19,""))</f>
        <v/>
      </c>
      <c r="AI39" s="160">
        <f t="shared" si="2"/>
        <v>4078</v>
      </c>
    </row>
    <row r="40" spans="1:35" x14ac:dyDescent="0.25">
      <c r="A40" s="61" t="s">
        <v>28</v>
      </c>
      <c r="B40" s="62"/>
      <c r="C40" s="11"/>
      <c r="D40" s="11"/>
      <c r="E40" s="11"/>
      <c r="F40" s="11"/>
      <c r="G40" s="11"/>
      <c r="H40" s="84" t="s">
        <v>764</v>
      </c>
      <c r="I40" s="118" t="str">
        <f>IF(_epmOfflineCondition_,"N",_xll.EVPRO($B$1,$H40,"STYLE"))</f>
        <v>N</v>
      </c>
      <c r="J40" s="118" t="str">
        <f>IF(_epmOfflineCondition_,"N",_xll.EVPRO($B$1,$H40,"CALC"))</f>
        <v>N</v>
      </c>
      <c r="K40" s="86"/>
      <c r="L40" s="86" t="str">
        <f>IF(_epmOfflineCondition_,"947100",_xll.EVPRO($B$1,H40,"JDEID"))</f>
        <v>947100</v>
      </c>
      <c r="M40" s="86" t="str">
        <f>IF(_epmOfflineCondition_,"999991",IF(AND(I40="N",J40="N"),_xll.EVPRO($B$1,H40,"PSFTID"),""))</f>
        <v>999991</v>
      </c>
      <c r="N40" s="86" t="str">
        <f>IF(_epmOfflineCondition_,"# of Operating Days - Breakfast",IF(_xll.EVDES(H40,$B$1)="#NODATA","",_xll.EVDES(H40,$B$1)))</f>
        <v># of Operating Days - Breakfast</v>
      </c>
      <c r="O40" s="240"/>
      <c r="P40" s="240"/>
      <c r="Q40" s="240"/>
      <c r="R40" s="240"/>
      <c r="S40" s="240"/>
      <c r="T40" s="240"/>
      <c r="U40" s="240"/>
      <c r="V40" s="240"/>
      <c r="W40" s="240"/>
      <c r="X40" s="240"/>
      <c r="Y40" s="240">
        <v>30</v>
      </c>
      <c r="Z40" s="240">
        <v>31</v>
      </c>
      <c r="AA40" s="240">
        <f t="shared" si="0"/>
        <v>61</v>
      </c>
      <c r="AB40" s="242"/>
      <c r="AC40" s="136"/>
      <c r="AD40" s="240">
        <v>275</v>
      </c>
      <c r="AE40" s="242"/>
      <c r="AF40" s="243">
        <f t="shared" si="1"/>
        <v>-214</v>
      </c>
      <c r="AG40" s="240"/>
      <c r="AH40" s="242"/>
      <c r="AI40" s="243">
        <f t="shared" si="2"/>
        <v>61</v>
      </c>
    </row>
    <row r="41" spans="1:35" x14ac:dyDescent="0.25">
      <c r="A41" s="61" t="s">
        <v>29</v>
      </c>
      <c r="B41" s="62"/>
      <c r="C41" s="11"/>
      <c r="D41" s="11"/>
      <c r="E41" s="11"/>
      <c r="F41" s="11"/>
      <c r="G41" s="11"/>
      <c r="H41" s="84" t="s">
        <v>297</v>
      </c>
      <c r="I41" s="118" t="str">
        <f>IF(_epmOfflineCondition_,"N",_xll.EVPRO($B$1,$H41,"STYLE"))</f>
        <v>N</v>
      </c>
      <c r="J41" s="118" t="str">
        <f>IF(_epmOfflineCondition_,"N",_xll.EVPRO($B$1,$H41,"CALC"))</f>
        <v>N</v>
      </c>
      <c r="K41" s="86"/>
      <c r="L41" s="86" t="str">
        <f>IF(_epmOfflineCondition_,"946100",_xll.EVPRO($B$1,H41,"JDEID"))</f>
        <v>946100</v>
      </c>
      <c r="M41" s="86" t="str">
        <f>IF(_epmOfflineCondition_,"991501",IF(AND(I41="N",J41="N"),_xll.EVPRO($B$1,H41,"PSFTID"),""))</f>
        <v>991501</v>
      </c>
      <c r="N41" s="86" t="str">
        <f>IF(_epmOfflineCondition_,"Breakfast Customers",IF(_xll.EVDES(H41,$B$1)="#NODATA","",_xll.EVDES(H41,$B$1)))</f>
        <v>Breakfast Customers</v>
      </c>
      <c r="O41" s="240"/>
      <c r="P41" s="240"/>
      <c r="Q41" s="240"/>
      <c r="R41" s="240"/>
      <c r="S41" s="240"/>
      <c r="T41" s="240"/>
      <c r="U41" s="240"/>
      <c r="V41" s="240"/>
      <c r="W41" s="240"/>
      <c r="X41" s="240"/>
      <c r="Y41" s="240">
        <v>91</v>
      </c>
      <c r="Z41" s="240">
        <v>134</v>
      </c>
      <c r="AA41" s="240">
        <f t="shared" si="0"/>
        <v>225</v>
      </c>
      <c r="AB41" s="242">
        <f>IF(AA41=0,"",IFERROR(AA41/AA$87,""))</f>
        <v>0.39893617021276595</v>
      </c>
      <c r="AC41" s="136"/>
      <c r="AD41" s="240">
        <v>1690</v>
      </c>
      <c r="AE41" s="242">
        <f>IF(AD41=0,"",IFERROR(AD41/AD$87,""))</f>
        <v>0.57738298599248372</v>
      </c>
      <c r="AF41" s="243">
        <f t="shared" si="1"/>
        <v>-1465</v>
      </c>
      <c r="AG41" s="240"/>
      <c r="AH41" s="242" t="str">
        <f>IF(AG41=0,"",IFERROR(AG41/AG$87,""))</f>
        <v/>
      </c>
      <c r="AI41" s="243">
        <f t="shared" si="2"/>
        <v>225</v>
      </c>
    </row>
    <row r="42" spans="1:35" x14ac:dyDescent="0.25">
      <c r="A42" s="61" t="s">
        <v>30</v>
      </c>
      <c r="B42" s="62" t="s">
        <v>78</v>
      </c>
      <c r="C42" s="11"/>
      <c r="D42" s="11"/>
      <c r="E42" s="11"/>
      <c r="F42" s="11"/>
      <c r="G42" s="11"/>
      <c r="H42" s="84" t="s">
        <v>313</v>
      </c>
      <c r="I42" s="118" t="str">
        <f>IF(_epmOfflineCondition_,"N",_xll.EVPRO($B$1,$H42,"STYLE"))</f>
        <v>N</v>
      </c>
      <c r="J42" s="118" t="str">
        <f>IF(_epmOfflineCondition_,"Y",_xll.EVPRO($B$1,$H42,"CALC"))</f>
        <v>Y</v>
      </c>
      <c r="K42" s="86"/>
      <c r="L42" s="86" t="str">
        <f>IF(_epmOfflineCondition_,"",_xll.EVPRO($B$1,H42,"JDEID"))</f>
        <v/>
      </c>
      <c r="M42" s="86" t="str">
        <f>IF(_epmOfflineCondition_,"",IF(AND(I42="N",J42="N"),_xll.EVPRO($B$1,H42,"PSFTID"),""))</f>
        <v/>
      </c>
      <c r="N42" s="186" t="str">
        <f>IF(_epmOfflineCondition_,"Breakfast - Average Check",IF(_xll.EVDES(H42,$B$1)="#NODATA","",_xll.EVDES(H42,$B$1)))</f>
        <v>Breakfast - Average Check</v>
      </c>
      <c r="O42" s="490"/>
      <c r="P42" s="490"/>
      <c r="Q42" s="490"/>
      <c r="R42" s="490"/>
      <c r="S42" s="490"/>
      <c r="T42" s="490"/>
      <c r="U42" s="490"/>
      <c r="V42" s="490"/>
      <c r="W42" s="490"/>
      <c r="X42" s="490"/>
      <c r="Y42" s="490">
        <v>17.604395604395599</v>
      </c>
      <c r="Z42" s="490">
        <v>18.477611940298502</v>
      </c>
      <c r="AA42" s="490">
        <f>IFERROR(AA39/AA41,"")</f>
        <v>18.124444444444446</v>
      </c>
      <c r="AB42" s="490"/>
      <c r="AC42" s="136"/>
      <c r="AD42" s="490">
        <v>20.5</v>
      </c>
      <c r="AE42" s="490"/>
      <c r="AF42" s="491">
        <f t="shared" si="1"/>
        <v>-2.3755555555555539</v>
      </c>
      <c r="AG42" s="490"/>
      <c r="AH42" s="490"/>
      <c r="AI42" s="491">
        <f t="shared" si="2"/>
        <v>18.124444444444446</v>
      </c>
    </row>
    <row r="43" spans="1:35" x14ac:dyDescent="0.25">
      <c r="A43" s="61" t="s">
        <v>31</v>
      </c>
      <c r="B43" s="62" t="s">
        <v>78</v>
      </c>
      <c r="C43" s="11"/>
      <c r="D43" s="11"/>
      <c r="E43" s="11"/>
      <c r="F43" s="11"/>
      <c r="G43" s="486">
        <f>COUNTIF(O44:AI44,FALSE)</f>
        <v>0</v>
      </c>
      <c r="H43" s="84"/>
      <c r="I43" s="118"/>
      <c r="J43" s="118"/>
      <c r="K43" s="86"/>
      <c r="L43" s="86"/>
      <c r="M43" s="86"/>
      <c r="N43" s="487" t="s">
        <v>345</v>
      </c>
      <c r="O43" s="492">
        <f t="shared" ref="O43:AA43" si="3">ROUND(IFERROR(O39/O41,0),2)</f>
        <v>0</v>
      </c>
      <c r="P43" s="493">
        <f t="shared" si="3"/>
        <v>0</v>
      </c>
      <c r="Q43" s="493">
        <f t="shared" si="3"/>
        <v>0</v>
      </c>
      <c r="R43" s="493">
        <f t="shared" si="3"/>
        <v>0</v>
      </c>
      <c r="S43" s="493">
        <f t="shared" si="3"/>
        <v>0</v>
      </c>
      <c r="T43" s="493">
        <f t="shared" si="3"/>
        <v>0</v>
      </c>
      <c r="U43" s="493">
        <f t="shared" si="3"/>
        <v>0</v>
      </c>
      <c r="V43" s="493">
        <f t="shared" si="3"/>
        <v>0</v>
      </c>
      <c r="W43" s="493">
        <f t="shared" si="3"/>
        <v>0</v>
      </c>
      <c r="X43" s="493">
        <f t="shared" si="3"/>
        <v>0</v>
      </c>
      <c r="Y43" s="493">
        <f t="shared" si="3"/>
        <v>17.600000000000001</v>
      </c>
      <c r="Z43" s="493">
        <f t="shared" si="3"/>
        <v>18.48</v>
      </c>
      <c r="AA43" s="493">
        <f t="shared" si="3"/>
        <v>18.12</v>
      </c>
      <c r="AB43" s="494"/>
      <c r="AC43" s="136"/>
      <c r="AD43" s="492">
        <f>ROUND(IFERROR(AD39/AD41,0),2)</f>
        <v>20.5</v>
      </c>
      <c r="AE43" s="493"/>
      <c r="AF43" s="151"/>
      <c r="AG43" s="492">
        <f>ROUND(IFERROR(AG39/AG41,0),2)</f>
        <v>0</v>
      </c>
      <c r="AH43" s="493"/>
      <c r="AI43" s="151"/>
    </row>
    <row r="44" spans="1:35" x14ac:dyDescent="0.25">
      <c r="A44" s="61" t="s">
        <v>32</v>
      </c>
      <c r="B44" s="62"/>
      <c r="C44" s="11"/>
      <c r="D44" s="11"/>
      <c r="E44" s="11"/>
      <c r="F44" s="11"/>
      <c r="G44" s="11"/>
      <c r="H44" s="84"/>
      <c r="I44" s="118"/>
      <c r="J44" s="118"/>
      <c r="K44" s="86"/>
      <c r="L44" s="86"/>
      <c r="M44" s="86"/>
      <c r="N44" s="49" t="s">
        <v>314</v>
      </c>
      <c r="O44" s="495" t="b">
        <f t="shared" ref="O44:AA44" si="4">ROUND(O42,2)=ROUND(O43,2)</f>
        <v>1</v>
      </c>
      <c r="P44" s="496" t="b">
        <f t="shared" si="4"/>
        <v>1</v>
      </c>
      <c r="Q44" s="496" t="b">
        <f t="shared" si="4"/>
        <v>1</v>
      </c>
      <c r="R44" s="496" t="b">
        <f t="shared" si="4"/>
        <v>1</v>
      </c>
      <c r="S44" s="496" t="b">
        <f t="shared" si="4"/>
        <v>1</v>
      </c>
      <c r="T44" s="496" t="b">
        <f t="shared" si="4"/>
        <v>1</v>
      </c>
      <c r="U44" s="496" t="b">
        <f t="shared" si="4"/>
        <v>1</v>
      </c>
      <c r="V44" s="496" t="b">
        <f t="shared" si="4"/>
        <v>1</v>
      </c>
      <c r="W44" s="496" t="b">
        <f t="shared" si="4"/>
        <v>1</v>
      </c>
      <c r="X44" s="496" t="b">
        <f t="shared" si="4"/>
        <v>1</v>
      </c>
      <c r="Y44" s="496" t="b">
        <f t="shared" si="4"/>
        <v>1</v>
      </c>
      <c r="Z44" s="496" t="b">
        <f t="shared" si="4"/>
        <v>1</v>
      </c>
      <c r="AA44" s="496" t="b">
        <f t="shared" si="4"/>
        <v>1</v>
      </c>
      <c r="AB44" s="497"/>
      <c r="AC44" s="498"/>
      <c r="AD44" s="495"/>
      <c r="AE44" s="496" t="b">
        <f>ROUND(AD42,2)=ROUND(AD43,2)</f>
        <v>1</v>
      </c>
      <c r="AF44" s="497"/>
      <c r="AG44" s="495"/>
      <c r="AH44" s="496" t="b">
        <f>ROUND(AG42,2)=ROUND(AG43,2)</f>
        <v>1</v>
      </c>
      <c r="AI44" s="497"/>
    </row>
    <row r="45" spans="1:35" x14ac:dyDescent="0.25">
      <c r="A45" s="61" t="s">
        <v>33</v>
      </c>
      <c r="B45" s="62"/>
      <c r="C45" s="11"/>
      <c r="D45" s="11"/>
      <c r="E45" s="11"/>
      <c r="F45" s="11"/>
      <c r="G45" s="11"/>
      <c r="H45" s="84" t="s">
        <v>261</v>
      </c>
      <c r="I45" s="118" t="str">
        <f>IF(_epmOfflineCondition_,"T5",_xll.EVPRO($B$1,$H45,"STYLE"))</f>
        <v>T5</v>
      </c>
      <c r="J45" s="118" t="str">
        <f>IF(_epmOfflineCondition_,"Y",_xll.EVPRO($B$1,$H45,"CALC"))</f>
        <v>Y</v>
      </c>
      <c r="K45" s="86"/>
      <c r="L45" s="86" t="str">
        <f>IF(_epmOfflineCondition_,"462100",_xll.EVPRO($B$1,H45,"JDEID"))</f>
        <v>462100</v>
      </c>
      <c r="M45" s="86" t="str">
        <f>IF(_epmOfflineCondition_,"",IF(AND(I45="N",J45="N"),_xll.EVPRO($B$1,H45,"PSFTID"),""))</f>
        <v/>
      </c>
      <c r="N45" s="86" t="str">
        <f>IF(_epmOfflineCondition_,"Lunch Food",IF(_xll.EVDES(H45,$B$1)="#NODATA","",_xll.EVDES(H45,$B$1)))</f>
        <v>Lunch Food</v>
      </c>
      <c r="O45" s="134"/>
      <c r="P45" s="134"/>
      <c r="Q45" s="134"/>
      <c r="R45" s="134"/>
      <c r="S45" s="134"/>
      <c r="T45" s="134"/>
      <c r="U45" s="134"/>
      <c r="V45" s="134"/>
      <c r="W45" s="134"/>
      <c r="X45" s="134"/>
      <c r="Y45" s="134">
        <v>671</v>
      </c>
      <c r="Z45" s="134">
        <v>1309</v>
      </c>
      <c r="AA45" s="134">
        <f t="shared" ref="AA45:AA51" si="5">SUM(O45:Z45)</f>
        <v>1980</v>
      </c>
      <c r="AB45" s="138">
        <f>IF(AA45=0,"",IFERROR(AA45/AA$19,""))</f>
        <v>0.17813765182186234</v>
      </c>
      <c r="AC45" s="136"/>
      <c r="AD45" s="134">
        <v>6855.9480000000003</v>
      </c>
      <c r="AE45" s="138">
        <f>IF(AD45=0,"",IFERROR(AD45/AD$19,""))</f>
        <v>9.3801450266794373E-2</v>
      </c>
      <c r="AF45" s="137">
        <f t="shared" ref="AF45:AF52" si="6">IF(AND($AA45="",AD45=""),"",$AA45-AD45)</f>
        <v>-4875.9480000000003</v>
      </c>
      <c r="AG45" s="134"/>
      <c r="AH45" s="138" t="str">
        <f>IF(AG45=0,"",IFERROR(AG45/AG$19,""))</f>
        <v/>
      </c>
      <c r="AI45" s="137">
        <f t="shared" ref="AI45:AI52" si="7">IF(AND($AA45="",AG45=""),"",$AA45-AG45)</f>
        <v>1980</v>
      </c>
    </row>
    <row r="46" spans="1:35" x14ac:dyDescent="0.25">
      <c r="A46" s="61" t="s">
        <v>34</v>
      </c>
      <c r="B46" s="62"/>
      <c r="C46" s="11"/>
      <c r="D46" s="11"/>
      <c r="E46" s="11"/>
      <c r="F46" s="11"/>
      <c r="G46" s="11"/>
      <c r="H46" s="181" t="s">
        <v>301</v>
      </c>
      <c r="I46" s="118" t="str">
        <f>IF(_epmOfflineCondition_,"T6",_xll.EVPRO($B$1,$H46,"STYLE"))</f>
        <v>T6</v>
      </c>
      <c r="J46" s="118" t="str">
        <f>IF(_epmOfflineCondition_,"Y",_xll.EVPRO($B$1,$H46,"CALC"))</f>
        <v>Y</v>
      </c>
      <c r="K46" s="86"/>
      <c r="L46" s="86" t="str">
        <f>IF(_epmOfflineCondition_,"462200",_xll.EVPRO($B$1,H46,"JDEID"))</f>
        <v>462200</v>
      </c>
      <c r="M46" s="86" t="str">
        <f>IF(_epmOfflineCondition_,"",IF(AND(I46="N",J46="N"),_xll.EVPRO($B$1,H46,"PSFTID"),""))</f>
        <v/>
      </c>
      <c r="N46" s="86" t="str">
        <f>IF(_epmOfflineCondition_,"Lunch Liquor",IF(_xll.EVDES(H46,$B$1)="#NODATA","",_xll.EVDES(H46,$B$1)))</f>
        <v>Lunch Liquor</v>
      </c>
      <c r="O46" s="134"/>
      <c r="P46" s="134"/>
      <c r="Q46" s="134"/>
      <c r="R46" s="134"/>
      <c r="S46" s="134"/>
      <c r="T46" s="134"/>
      <c r="U46" s="134"/>
      <c r="V46" s="134"/>
      <c r="W46" s="134"/>
      <c r="X46" s="134"/>
      <c r="Y46" s="134">
        <v>38</v>
      </c>
      <c r="Z46" s="134">
        <v>136</v>
      </c>
      <c r="AA46" s="134">
        <f t="shared" si="5"/>
        <v>174</v>
      </c>
      <c r="AB46" s="138">
        <f>IF(AA46=0,"",IFERROR(AA46/AA$19,""))</f>
        <v>1.5654520917678813E-2</v>
      </c>
      <c r="AC46" s="136"/>
      <c r="AD46" s="134">
        <v>1418.472</v>
      </c>
      <c r="AE46" s="138">
        <f>IF(AD46=0,"",IFERROR(AD46/AD$19,""))</f>
        <v>1.9407196606922972E-2</v>
      </c>
      <c r="AF46" s="137">
        <f t="shared" si="6"/>
        <v>-1244.472</v>
      </c>
      <c r="AG46" s="134"/>
      <c r="AH46" s="138" t="str">
        <f>IF(AG46=0,"",IFERROR(AG46/AG$19,""))</f>
        <v/>
      </c>
      <c r="AI46" s="137">
        <f t="shared" si="7"/>
        <v>174</v>
      </c>
    </row>
    <row r="47" spans="1:35" x14ac:dyDescent="0.25">
      <c r="A47" s="61" t="s">
        <v>35</v>
      </c>
      <c r="B47" s="62"/>
      <c r="C47" s="11"/>
      <c r="D47" s="11"/>
      <c r="E47" s="11"/>
      <c r="F47" s="11"/>
      <c r="G47" s="11"/>
      <c r="H47" s="181" t="s">
        <v>305</v>
      </c>
      <c r="I47" s="118" t="str">
        <f>IF(_epmOfflineCondition_,"T6",_xll.EVPRO($B$1,$H47,"STYLE"))</f>
        <v>T6</v>
      </c>
      <c r="J47" s="118" t="str">
        <f>IF(_epmOfflineCondition_,"Y",_xll.EVPRO($B$1,$H47,"CALC"))</f>
        <v>Y</v>
      </c>
      <c r="K47" s="86"/>
      <c r="L47" s="86" t="str">
        <f>IF(_epmOfflineCondition_,"462300",_xll.EVPRO($B$1,H47,"JDEID"))</f>
        <v>462300</v>
      </c>
      <c r="M47" s="86" t="str">
        <f>IF(_epmOfflineCondition_,"",IF(AND(I47="N",J47="N"),_xll.EVPRO($B$1,H47,"PSFTID"),""))</f>
        <v/>
      </c>
      <c r="N47" s="86" t="str">
        <f>IF(_epmOfflineCondition_,"Lunch Beer",IF(_xll.EVDES(H47,$B$1)="#NODATA","",_xll.EVDES(H47,$B$1)))</f>
        <v>Lunch Beer</v>
      </c>
      <c r="O47" s="134"/>
      <c r="P47" s="134"/>
      <c r="Q47" s="134"/>
      <c r="R47" s="134"/>
      <c r="S47" s="134"/>
      <c r="T47" s="134"/>
      <c r="U47" s="134"/>
      <c r="V47" s="134"/>
      <c r="W47" s="134"/>
      <c r="X47" s="134"/>
      <c r="Y47" s="134">
        <v>12</v>
      </c>
      <c r="Z47" s="134">
        <v>28</v>
      </c>
      <c r="AA47" s="134">
        <f t="shared" si="5"/>
        <v>40</v>
      </c>
      <c r="AB47" s="138">
        <f>IF(AA47=0,"",IFERROR(AA47/AA$19,""))</f>
        <v>3.5987404408457041E-3</v>
      </c>
      <c r="AC47" s="136"/>
      <c r="AD47" s="134">
        <v>179.38800000000001</v>
      </c>
      <c r="AE47" s="138">
        <f>IF(AD47=0,"",IFERROR(AD47/AD$19,""))</f>
        <v>2.4543439595019838E-3</v>
      </c>
      <c r="AF47" s="137">
        <f t="shared" si="6"/>
        <v>-139.38800000000001</v>
      </c>
      <c r="AG47" s="134"/>
      <c r="AH47" s="138" t="str">
        <f>IF(AG47=0,"",IFERROR(AG47/AG$19,""))</f>
        <v/>
      </c>
      <c r="AI47" s="137">
        <f t="shared" si="7"/>
        <v>40</v>
      </c>
    </row>
    <row r="48" spans="1:35" x14ac:dyDescent="0.25">
      <c r="A48" s="61" t="s">
        <v>36</v>
      </c>
      <c r="B48" s="62"/>
      <c r="C48" s="11"/>
      <c r="D48" s="11"/>
      <c r="E48" s="11"/>
      <c r="F48" s="11"/>
      <c r="G48" s="11"/>
      <c r="H48" s="181" t="s">
        <v>303</v>
      </c>
      <c r="I48" s="118" t="str">
        <f>IF(_epmOfflineCondition_,"T6",_xll.EVPRO($B$1,$H48,"STYLE"))</f>
        <v>T6</v>
      </c>
      <c r="J48" s="118" t="str">
        <f>IF(_epmOfflineCondition_,"Y",_xll.EVPRO($B$1,$H48,"CALC"))</f>
        <v>Y</v>
      </c>
      <c r="K48" s="86"/>
      <c r="L48" s="86" t="str">
        <f>IF(_epmOfflineCondition_,"462400",_xll.EVPRO($B$1,H48,"JDEID"))</f>
        <v>462400</v>
      </c>
      <c r="M48" s="86" t="str">
        <f>IF(_epmOfflineCondition_,"",IF(AND(I48="N",J48="N"),_xll.EVPRO($B$1,H48,"PSFTID"),""))</f>
        <v/>
      </c>
      <c r="N48" s="86" t="str">
        <f>IF(_epmOfflineCondition_,"Lunch Wine",IF(_xll.EVDES(H48,$B$1)="#NODATA","",_xll.EVDES(H48,$B$1)))</f>
        <v>Lunch Wine</v>
      </c>
      <c r="O48" s="228"/>
      <c r="P48" s="228"/>
      <c r="Q48" s="228"/>
      <c r="R48" s="228"/>
      <c r="S48" s="228"/>
      <c r="T48" s="228"/>
      <c r="U48" s="228"/>
      <c r="V48" s="228"/>
      <c r="W48" s="228"/>
      <c r="X48" s="228"/>
      <c r="Y48" s="228">
        <v>12</v>
      </c>
      <c r="Z48" s="228">
        <v>62</v>
      </c>
      <c r="AA48" s="228">
        <f t="shared" si="5"/>
        <v>74</v>
      </c>
      <c r="AB48" s="230">
        <f>IF(AA48=0,"",IFERROR(AA48/AA$19,""))</f>
        <v>6.6576698155645523E-3</v>
      </c>
      <c r="AC48" s="136"/>
      <c r="AD48" s="228">
        <v>3426.192</v>
      </c>
      <c r="AE48" s="230">
        <f>IF(AD48=0,"",IFERROR(AD48/AD$19,""))</f>
        <v>4.6876344233137225E-2</v>
      </c>
      <c r="AF48" s="231">
        <f t="shared" si="6"/>
        <v>-3352.192</v>
      </c>
      <c r="AG48" s="228"/>
      <c r="AH48" s="230" t="str">
        <f>IF(AG48=0,"",IFERROR(AG48/AG$19,""))</f>
        <v/>
      </c>
      <c r="AI48" s="231">
        <f t="shared" si="7"/>
        <v>74</v>
      </c>
    </row>
    <row r="49" spans="1:35" x14ac:dyDescent="0.25">
      <c r="A49" s="61" t="s">
        <v>37</v>
      </c>
      <c r="B49" s="62"/>
      <c r="C49" s="11"/>
      <c r="D49" s="11"/>
      <c r="E49" s="11"/>
      <c r="F49" s="11"/>
      <c r="G49" s="11"/>
      <c r="H49" s="84" t="s">
        <v>319</v>
      </c>
      <c r="I49" s="118" t="str">
        <f>IF(_epmOfflineCondition_,"N",_xll.EVPRO($B$1,$H49,"STYLE"))</f>
        <v>N</v>
      </c>
      <c r="J49" s="118" t="str">
        <f>IF(_epmOfflineCondition_,"Y",_xll.EVPRO($B$1,$H49,"CALC"))</f>
        <v>Y</v>
      </c>
      <c r="K49" s="86"/>
      <c r="L49" s="86" t="str">
        <f>IF(_epmOfflineCondition_,"",_xll.EVPRO($B$1,H49,"JDEID"))</f>
        <v/>
      </c>
      <c r="M49" s="86" t="str">
        <f>IF(_epmOfflineCondition_,"",IF(AND(I49="N",J49="N"),_xll.EVPRO($B$1,H49,"PSFTID"),""))</f>
        <v/>
      </c>
      <c r="N49" s="102" t="str">
        <f>IF(_epmOfflineCondition_,"Lunch Revenue",IF(_xll.EVDES(H49,$B$1)="#NODATA","",_xll.EVDES(H49,$B$1)))</f>
        <v>Lunch Revenue</v>
      </c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>
        <v>733</v>
      </c>
      <c r="Z49" s="158">
        <v>1535</v>
      </c>
      <c r="AA49" s="158">
        <f t="shared" si="5"/>
        <v>2268</v>
      </c>
      <c r="AB49" s="159">
        <f>IF(AA49=0,"",IFERROR(AA49/AA$19,""))</f>
        <v>0.20404858299595141</v>
      </c>
      <c r="AC49" s="136"/>
      <c r="AD49" s="158">
        <v>11880</v>
      </c>
      <c r="AE49" s="159">
        <f>IF(AD49=0,"",IFERROR(AD49/AD$19,""))</f>
        <v>0.16253933506635654</v>
      </c>
      <c r="AF49" s="160">
        <f t="shared" si="6"/>
        <v>-9612</v>
      </c>
      <c r="AG49" s="158"/>
      <c r="AH49" s="159" t="str">
        <f>IF(AG49=0,"",IFERROR(AG49/AG$19,""))</f>
        <v/>
      </c>
      <c r="AI49" s="160">
        <f t="shared" si="7"/>
        <v>2268</v>
      </c>
    </row>
    <row r="50" spans="1:35" x14ac:dyDescent="0.25">
      <c r="A50" s="61" t="s">
        <v>38</v>
      </c>
      <c r="B50" s="62"/>
      <c r="C50" s="11"/>
      <c r="D50" s="11"/>
      <c r="E50" s="11"/>
      <c r="F50" s="11"/>
      <c r="G50" s="11"/>
      <c r="H50" s="84" t="s">
        <v>765</v>
      </c>
      <c r="I50" s="118" t="str">
        <f>IF(_epmOfflineCondition_,"N",_xll.EVPRO($B$1,$H50,"STYLE"))</f>
        <v>N</v>
      </c>
      <c r="J50" s="118" t="str">
        <f>IF(_epmOfflineCondition_,"N",_xll.EVPRO($B$1,$H50,"CALC"))</f>
        <v>N</v>
      </c>
      <c r="K50" s="86"/>
      <c r="L50" s="86" t="str">
        <f>IF(_epmOfflineCondition_,"947200",_xll.EVPRO($B$1,H50,"JDEID"))</f>
        <v>947200</v>
      </c>
      <c r="M50" s="86" t="str">
        <f>IF(_epmOfflineCondition_,"999992",IF(AND(I50="N",J50="N"),_xll.EVPRO($B$1,H50,"PSFTID"),""))</f>
        <v>999992</v>
      </c>
      <c r="N50" s="86" t="str">
        <f>IF(_epmOfflineCondition_,"# of Operating Days - Lunch",IF(_xll.EVDES(H50,$B$1)="#NODATA","",_xll.EVDES(H50,$B$1)))</f>
        <v># of Operating Days - Lunch</v>
      </c>
      <c r="O50" s="240"/>
      <c r="P50" s="240"/>
      <c r="Q50" s="240"/>
      <c r="R50" s="240"/>
      <c r="S50" s="240"/>
      <c r="T50" s="240"/>
      <c r="U50" s="240"/>
      <c r="V50" s="240"/>
      <c r="W50" s="240"/>
      <c r="X50" s="240"/>
      <c r="Y50" s="240">
        <v>30</v>
      </c>
      <c r="Z50" s="240">
        <v>31</v>
      </c>
      <c r="AA50" s="240">
        <f t="shared" si="5"/>
        <v>61</v>
      </c>
      <c r="AB50" s="242"/>
      <c r="AC50" s="136"/>
      <c r="AD50" s="240">
        <v>275</v>
      </c>
      <c r="AE50" s="242"/>
      <c r="AF50" s="243">
        <f t="shared" si="6"/>
        <v>-214</v>
      </c>
      <c r="AG50" s="240"/>
      <c r="AH50" s="242"/>
      <c r="AI50" s="243">
        <f t="shared" si="7"/>
        <v>61</v>
      </c>
    </row>
    <row r="51" spans="1:35" x14ac:dyDescent="0.25">
      <c r="A51" s="61" t="s">
        <v>39</v>
      </c>
      <c r="B51" s="62"/>
      <c r="C51" s="11"/>
      <c r="D51" s="11"/>
      <c r="E51" s="11"/>
      <c r="F51" s="11"/>
      <c r="G51" s="11"/>
      <c r="H51" s="84" t="s">
        <v>298</v>
      </c>
      <c r="I51" s="118" t="str">
        <f>IF(_epmOfflineCondition_,"N",_xll.EVPRO($B$1,$H51,"STYLE"))</f>
        <v>N</v>
      </c>
      <c r="J51" s="118" t="str">
        <f>IF(_epmOfflineCondition_,"N",_xll.EVPRO($B$1,$H51,"CALC"))</f>
        <v>N</v>
      </c>
      <c r="K51" s="86"/>
      <c r="L51" s="86" t="str">
        <f>IF(_epmOfflineCondition_,"946200",_xll.EVPRO($B$1,H51,"JDEID"))</f>
        <v>946200</v>
      </c>
      <c r="M51" s="86" t="str">
        <f>IF(_epmOfflineCondition_,"991502",IF(AND(I51="N",J51="N"),_xll.EVPRO($B$1,H51,"PSFTID"),""))</f>
        <v>991502</v>
      </c>
      <c r="N51" s="86" t="str">
        <f>IF(_epmOfflineCondition_,"Lunch Customers",IF(_xll.EVDES(H51,$B$1)="#NODATA","",_xll.EVDES(H51,$B$1)))</f>
        <v>Lunch Customers</v>
      </c>
      <c r="O51" s="240"/>
      <c r="P51" s="240"/>
      <c r="Q51" s="240"/>
      <c r="R51" s="240"/>
      <c r="S51" s="240"/>
      <c r="T51" s="240"/>
      <c r="U51" s="240"/>
      <c r="V51" s="240"/>
      <c r="W51" s="240"/>
      <c r="X51" s="240"/>
      <c r="Y51" s="240">
        <v>46</v>
      </c>
      <c r="Z51" s="240">
        <v>85</v>
      </c>
      <c r="AA51" s="240">
        <f t="shared" si="5"/>
        <v>131</v>
      </c>
      <c r="AB51" s="242">
        <f>IF(AA51=0,"",IFERROR(AA51/AA$87,""))</f>
        <v>0.23226950354609929</v>
      </c>
      <c r="AC51" s="136"/>
      <c r="AD51" s="240">
        <v>432</v>
      </c>
      <c r="AE51" s="242">
        <f>IF(AD51=0,"",IFERROR(AD51/AD$87,""))</f>
        <v>0.1475913905022207</v>
      </c>
      <c r="AF51" s="243">
        <f t="shared" si="6"/>
        <v>-301</v>
      </c>
      <c r="AG51" s="240"/>
      <c r="AH51" s="242" t="str">
        <f>IF(AG51=0,"",IFERROR(AG51/AG$87,""))</f>
        <v/>
      </c>
      <c r="AI51" s="243">
        <f t="shared" si="7"/>
        <v>131</v>
      </c>
    </row>
    <row r="52" spans="1:35" x14ac:dyDescent="0.25">
      <c r="A52" s="61" t="s">
        <v>40</v>
      </c>
      <c r="B52" s="62"/>
      <c r="C52" s="11"/>
      <c r="D52" s="11"/>
      <c r="E52" s="11"/>
      <c r="F52" s="11"/>
      <c r="G52" s="11"/>
      <c r="H52" s="84" t="s">
        <v>315</v>
      </c>
      <c r="I52" s="118" t="str">
        <f>IF(_epmOfflineCondition_,"N",_xll.EVPRO($B$1,$H52,"STYLE"))</f>
        <v>N</v>
      </c>
      <c r="J52" s="118" t="str">
        <f>IF(_epmOfflineCondition_,"Y",_xll.EVPRO($B$1,$H52,"CALC"))</f>
        <v>Y</v>
      </c>
      <c r="K52" s="86"/>
      <c r="L52" s="86" t="str">
        <f>IF(_epmOfflineCondition_,"",_xll.EVPRO($B$1,H52,"JDEID"))</f>
        <v/>
      </c>
      <c r="M52" s="86" t="str">
        <f>IF(_epmOfflineCondition_,"",IF(AND(I52="N",J52="N"),_xll.EVPRO($B$1,H52,"PSFTID"),""))</f>
        <v/>
      </c>
      <c r="N52" s="186" t="str">
        <f>IF(_epmOfflineCondition_,"Lunch - Average Check",IF(_xll.EVDES(H52,$B$1)="#NODATA","",_xll.EVDES(H52,$B$1)))</f>
        <v>Lunch - Average Check</v>
      </c>
      <c r="O52" s="490"/>
      <c r="P52" s="490"/>
      <c r="Q52" s="490"/>
      <c r="R52" s="490"/>
      <c r="S52" s="490"/>
      <c r="T52" s="490"/>
      <c r="U52" s="490"/>
      <c r="V52" s="490"/>
      <c r="W52" s="490"/>
      <c r="X52" s="490"/>
      <c r="Y52" s="490">
        <v>15.9347826086957</v>
      </c>
      <c r="Z52" s="490">
        <v>18.0588235294118</v>
      </c>
      <c r="AA52" s="490">
        <f>IFERROR(AA49/AA51,"")</f>
        <v>17.31297709923664</v>
      </c>
      <c r="AB52" s="490"/>
      <c r="AC52" s="136"/>
      <c r="AD52" s="490">
        <v>27.5</v>
      </c>
      <c r="AE52" s="490"/>
      <c r="AF52" s="491">
        <f t="shared" si="6"/>
        <v>-10.18702290076336</v>
      </c>
      <c r="AG52" s="490"/>
      <c r="AH52" s="490"/>
      <c r="AI52" s="491">
        <f t="shared" si="7"/>
        <v>17.31297709923664</v>
      </c>
    </row>
    <row r="53" spans="1:35" x14ac:dyDescent="0.25">
      <c r="A53" s="61" t="s">
        <v>41</v>
      </c>
      <c r="B53" s="62"/>
      <c r="C53" s="11"/>
      <c r="D53" s="11"/>
      <c r="E53" s="11"/>
      <c r="F53" s="11"/>
      <c r="G53" s="486">
        <f>COUNTIF(O54:AI54,FALSE)</f>
        <v>0</v>
      </c>
      <c r="H53" s="84"/>
      <c r="I53" s="118"/>
      <c r="J53" s="118"/>
      <c r="K53" s="86"/>
      <c r="L53" s="86"/>
      <c r="M53" s="86"/>
      <c r="N53" s="487" t="s">
        <v>345</v>
      </c>
      <c r="O53" s="492">
        <f t="shared" ref="O53:AA53" si="8">ROUND(IFERROR(O49/O51,0),2)</f>
        <v>0</v>
      </c>
      <c r="P53" s="493">
        <f t="shared" si="8"/>
        <v>0</v>
      </c>
      <c r="Q53" s="493">
        <f t="shared" si="8"/>
        <v>0</v>
      </c>
      <c r="R53" s="493">
        <f t="shared" si="8"/>
        <v>0</v>
      </c>
      <c r="S53" s="493">
        <f t="shared" si="8"/>
        <v>0</v>
      </c>
      <c r="T53" s="493">
        <f t="shared" si="8"/>
        <v>0</v>
      </c>
      <c r="U53" s="493">
        <f t="shared" si="8"/>
        <v>0</v>
      </c>
      <c r="V53" s="493">
        <f t="shared" si="8"/>
        <v>0</v>
      </c>
      <c r="W53" s="493">
        <f t="shared" si="8"/>
        <v>0</v>
      </c>
      <c r="X53" s="493">
        <f t="shared" si="8"/>
        <v>0</v>
      </c>
      <c r="Y53" s="493">
        <f t="shared" si="8"/>
        <v>15.93</v>
      </c>
      <c r="Z53" s="493">
        <f t="shared" si="8"/>
        <v>18.059999999999999</v>
      </c>
      <c r="AA53" s="493">
        <f t="shared" si="8"/>
        <v>17.309999999999999</v>
      </c>
      <c r="AB53" s="494"/>
      <c r="AC53" s="136"/>
      <c r="AD53" s="492">
        <f>ROUND(IFERROR(AD49/AD51,0),2)</f>
        <v>27.5</v>
      </c>
      <c r="AE53" s="493"/>
      <c r="AF53" s="151"/>
      <c r="AG53" s="492">
        <f>ROUND(IFERROR(AG49/AG51,0),2)</f>
        <v>0</v>
      </c>
      <c r="AH53" s="493"/>
      <c r="AI53" s="151"/>
    </row>
    <row r="54" spans="1:35" x14ac:dyDescent="0.25">
      <c r="A54" s="61" t="s">
        <v>42</v>
      </c>
      <c r="B54" s="62"/>
      <c r="C54" s="11"/>
      <c r="D54" s="11"/>
      <c r="E54" s="11"/>
      <c r="F54" s="11"/>
      <c r="G54" s="11"/>
      <c r="H54" s="84"/>
      <c r="I54" s="118"/>
      <c r="J54" s="118"/>
      <c r="K54" s="86"/>
      <c r="L54" s="86"/>
      <c r="M54" s="86"/>
      <c r="N54" s="49" t="s">
        <v>316</v>
      </c>
      <c r="O54" s="495" t="b">
        <f t="shared" ref="O54:AA54" si="9">ROUND(O52,2)=ROUND(O53,2)</f>
        <v>1</v>
      </c>
      <c r="P54" s="496" t="b">
        <f t="shared" si="9"/>
        <v>1</v>
      </c>
      <c r="Q54" s="496" t="b">
        <f t="shared" si="9"/>
        <v>1</v>
      </c>
      <c r="R54" s="496" t="b">
        <f t="shared" si="9"/>
        <v>1</v>
      </c>
      <c r="S54" s="496" t="b">
        <f t="shared" si="9"/>
        <v>1</v>
      </c>
      <c r="T54" s="496" t="b">
        <f t="shared" si="9"/>
        <v>1</v>
      </c>
      <c r="U54" s="496" t="b">
        <f t="shared" si="9"/>
        <v>1</v>
      </c>
      <c r="V54" s="496" t="b">
        <f t="shared" si="9"/>
        <v>1</v>
      </c>
      <c r="W54" s="496" t="b">
        <f t="shared" si="9"/>
        <v>1</v>
      </c>
      <c r="X54" s="496" t="b">
        <f t="shared" si="9"/>
        <v>1</v>
      </c>
      <c r="Y54" s="496" t="b">
        <f t="shared" si="9"/>
        <v>1</v>
      </c>
      <c r="Z54" s="496" t="b">
        <f t="shared" si="9"/>
        <v>1</v>
      </c>
      <c r="AA54" s="496" t="b">
        <f t="shared" si="9"/>
        <v>1</v>
      </c>
      <c r="AB54" s="497"/>
      <c r="AC54" s="498"/>
      <c r="AD54" s="495"/>
      <c r="AE54" s="496" t="b">
        <f>ROUND(AD52,2)=ROUND(AD53,2)</f>
        <v>1</v>
      </c>
      <c r="AF54" s="497"/>
      <c r="AG54" s="495"/>
      <c r="AH54" s="496" t="b">
        <f>ROUND(AG52,2)=ROUND(AG53,2)</f>
        <v>1</v>
      </c>
      <c r="AI54" s="497"/>
    </row>
    <row r="55" spans="1:35" x14ac:dyDescent="0.25">
      <c r="A55" s="61" t="s">
        <v>43</v>
      </c>
      <c r="B55" s="62"/>
      <c r="C55" s="11"/>
      <c r="D55" s="11"/>
      <c r="E55" s="11"/>
      <c r="F55" s="11"/>
      <c r="G55" s="11"/>
      <c r="H55" s="84" t="s">
        <v>262</v>
      </c>
      <c r="I55" s="118" t="str">
        <f>IF(_epmOfflineCondition_,"T5",_xll.EVPRO($B$1,$H55,"STYLE"))</f>
        <v>T5</v>
      </c>
      <c r="J55" s="118" t="str">
        <f>IF(_epmOfflineCondition_,"Y",_xll.EVPRO($B$1,$H55,"CALC"))</f>
        <v>Y</v>
      </c>
      <c r="K55" s="86"/>
      <c r="L55" s="86" t="str">
        <f>IF(_epmOfflineCondition_,"463100",_xll.EVPRO($B$1,H55,"JDEID"))</f>
        <v>463100</v>
      </c>
      <c r="M55" s="86" t="str">
        <f>IF(_epmOfflineCondition_,"",IF(AND(I55="N",J55="N"),_xll.EVPRO($B$1,H55,"PSFTID"),""))</f>
        <v/>
      </c>
      <c r="N55" s="86" t="str">
        <f>IF(_epmOfflineCondition_,"Dinner Food",IF(_xll.EVDES(H55,$B$1)="#NODATA","",_xll.EVDES(H55,$B$1)))</f>
        <v>Dinner Food</v>
      </c>
      <c r="O55" s="134"/>
      <c r="P55" s="134"/>
      <c r="Q55" s="134"/>
      <c r="R55" s="134"/>
      <c r="S55" s="134"/>
      <c r="T55" s="134"/>
      <c r="U55" s="134"/>
      <c r="V55" s="134"/>
      <c r="W55" s="134"/>
      <c r="X55" s="134"/>
      <c r="Y55" s="134">
        <v>1748</v>
      </c>
      <c r="Z55" s="134">
        <v>2425</v>
      </c>
      <c r="AA55" s="134">
        <f t="shared" ref="AA55:AA61" si="10">SUM(O55:Z55)</f>
        <v>4173</v>
      </c>
      <c r="AB55" s="138">
        <f>IF(AA55=0,"",IFERROR(AA55/AA$19,""))</f>
        <v>0.37543859649122807</v>
      </c>
      <c r="AC55" s="136"/>
      <c r="AD55" s="134">
        <v>15147.362999999999</v>
      </c>
      <c r="AE55" s="138">
        <f>IF(AD55=0,"",IFERROR(AD55/AD$19,""))</f>
        <v>0.20724261868928717</v>
      </c>
      <c r="AF55" s="137">
        <f t="shared" ref="AF55:AF62" si="11">IF(AND($AA55="",AD55=""),"",$AA55-AD55)</f>
        <v>-10974.362999999999</v>
      </c>
      <c r="AG55" s="134"/>
      <c r="AH55" s="138" t="str">
        <f>IF(AG55=0,"",IFERROR(AG55/AG$19,""))</f>
        <v/>
      </c>
      <c r="AI55" s="137">
        <f t="shared" ref="AI55:AI62" si="12">IF(AND($AA55="",AG55=""),"",$AA55-AG55)</f>
        <v>4173</v>
      </c>
    </row>
    <row r="56" spans="1:35" x14ac:dyDescent="0.25">
      <c r="A56" s="61" t="s">
        <v>44</v>
      </c>
      <c r="B56" s="62"/>
      <c r="C56" s="11"/>
      <c r="D56" s="11"/>
      <c r="E56" s="11"/>
      <c r="F56" s="11"/>
      <c r="G56" s="11"/>
      <c r="H56" s="84" t="s">
        <v>302</v>
      </c>
      <c r="I56" s="118" t="str">
        <f>IF(_epmOfflineCondition_,"T6",_xll.EVPRO($B$1,$H56,"STYLE"))</f>
        <v>T6</v>
      </c>
      <c r="J56" s="118" t="str">
        <f>IF(_epmOfflineCondition_,"Y",_xll.EVPRO($B$1,$H56,"CALC"))</f>
        <v>Y</v>
      </c>
      <c r="K56" s="86"/>
      <c r="L56" s="86" t="str">
        <f>IF(_epmOfflineCondition_,"463200",_xll.EVPRO($B$1,H56,"JDEID"))</f>
        <v>463200</v>
      </c>
      <c r="M56" s="86" t="str">
        <f>IF(_epmOfflineCondition_,"",IF(AND(I56="N",J56="N"),_xll.EVPRO($B$1,H56,"PSFTID"),""))</f>
        <v/>
      </c>
      <c r="N56" s="86" t="str">
        <f>IF(_epmOfflineCondition_,"Dinner Liquor",IF(_xll.EVDES(H56,$B$1)="#NODATA","",_xll.EVDES(H56,$B$1)))</f>
        <v>Dinner Liquor</v>
      </c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>
        <v>44</v>
      </c>
      <c r="Z56" s="134">
        <v>29</v>
      </c>
      <c r="AA56" s="134">
        <f t="shared" si="10"/>
        <v>73</v>
      </c>
      <c r="AB56" s="138">
        <f>IF(AA56=0,"",IFERROR(AA56/AA$19,""))</f>
        <v>6.56770130454341E-3</v>
      </c>
      <c r="AC56" s="136"/>
      <c r="AD56" s="134">
        <v>6513.7380000000003</v>
      </c>
      <c r="AE56" s="138">
        <f>IF(AD56=0,"",IFERROR(AD56/AD$19,""))</f>
        <v>8.9119414420577373E-2</v>
      </c>
      <c r="AF56" s="137">
        <f t="shared" si="11"/>
        <v>-6440.7380000000003</v>
      </c>
      <c r="AG56" s="134"/>
      <c r="AH56" s="138" t="str">
        <f>IF(AG56=0,"",IFERROR(AG56/AG$19,""))</f>
        <v/>
      </c>
      <c r="AI56" s="137">
        <f t="shared" si="12"/>
        <v>73</v>
      </c>
    </row>
    <row r="57" spans="1:35" x14ac:dyDescent="0.25">
      <c r="A57" s="61" t="s">
        <v>45</v>
      </c>
      <c r="B57" s="62"/>
      <c r="C57" s="11"/>
      <c r="D57" s="11"/>
      <c r="E57" s="11"/>
      <c r="F57" s="11"/>
      <c r="G57" s="11"/>
      <c r="H57" s="84" t="s">
        <v>306</v>
      </c>
      <c r="I57" s="118" t="str">
        <f>IF(_epmOfflineCondition_,"T6",_xll.EVPRO($B$1,$H57,"STYLE"))</f>
        <v>T6</v>
      </c>
      <c r="J57" s="118" t="str">
        <f>IF(_epmOfflineCondition_,"Y",_xll.EVPRO($B$1,$H57,"CALC"))</f>
        <v>Y</v>
      </c>
      <c r="K57" s="86"/>
      <c r="L57" s="86" t="str">
        <f>IF(_epmOfflineCondition_,"463300",_xll.EVPRO($B$1,H57,"JDEID"))</f>
        <v>463300</v>
      </c>
      <c r="M57" s="86" t="str">
        <f>IF(_epmOfflineCondition_,"",IF(AND(I57="N",J57="N"),_xll.EVPRO($B$1,H57,"PSFTID"),""))</f>
        <v/>
      </c>
      <c r="N57" s="86" t="str">
        <f>IF(_epmOfflineCondition_,"Dinner Beer",IF(_xll.EVDES(H57,$B$1)="#NODATA","",_xll.EVDES(H57,$B$1)))</f>
        <v>Dinner Beer</v>
      </c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>
        <v>33</v>
      </c>
      <c r="Z57" s="134">
        <v>40</v>
      </c>
      <c r="AA57" s="134">
        <f t="shared" si="10"/>
        <v>73</v>
      </c>
      <c r="AB57" s="138">
        <f>IF(AA57=0,"",IFERROR(AA57/AA$19,""))</f>
        <v>6.56770130454341E-3</v>
      </c>
      <c r="AC57" s="136"/>
      <c r="AD57" s="134">
        <v>1822.3589999999999</v>
      </c>
      <c r="AE57" s="138">
        <f>IF(AD57=0,"",IFERROR(AD57/AD$19,""))</f>
        <v>2.4933082501026133E-2</v>
      </c>
      <c r="AF57" s="137">
        <f t="shared" si="11"/>
        <v>-1749.3589999999999</v>
      </c>
      <c r="AG57" s="134"/>
      <c r="AH57" s="138" t="str">
        <f>IF(AG57=0,"",IFERROR(AG57/AG$19,""))</f>
        <v/>
      </c>
      <c r="AI57" s="137">
        <f t="shared" si="12"/>
        <v>73</v>
      </c>
    </row>
    <row r="58" spans="1:35" x14ac:dyDescent="0.25">
      <c r="A58" s="61" t="s">
        <v>46</v>
      </c>
      <c r="B58" s="62"/>
      <c r="C58" s="11"/>
      <c r="D58" s="11"/>
      <c r="E58" s="11"/>
      <c r="F58" s="11"/>
      <c r="G58" s="11"/>
      <c r="H58" s="84" t="s">
        <v>304</v>
      </c>
      <c r="I58" s="118" t="str">
        <f>IF(_epmOfflineCondition_,"T6",_xll.EVPRO($B$1,$H58,"STYLE"))</f>
        <v>T6</v>
      </c>
      <c r="J58" s="118" t="str">
        <f>IF(_epmOfflineCondition_,"Y",_xll.EVPRO($B$1,$H58,"CALC"))</f>
        <v>Y</v>
      </c>
      <c r="K58" s="86"/>
      <c r="L58" s="86" t="str">
        <f>IF(_epmOfflineCondition_,"463400",_xll.EVPRO($B$1,H58,"JDEID"))</f>
        <v>463400</v>
      </c>
      <c r="M58" s="86" t="str">
        <f>IF(_epmOfflineCondition_,"",IF(AND(I58="N",J58="N"),_xll.EVPRO($B$1,H58,"PSFTID"),""))</f>
        <v/>
      </c>
      <c r="N58" s="86" t="str">
        <f>IF(_epmOfflineCondition_,"Dinner Wine",IF(_xll.EVDES(H58,$B$1)="#NODATA","",_xll.EVDES(H58,$B$1)))</f>
        <v>Dinner Wine</v>
      </c>
      <c r="O58" s="228"/>
      <c r="P58" s="228"/>
      <c r="Q58" s="228"/>
      <c r="R58" s="228"/>
      <c r="S58" s="228"/>
      <c r="T58" s="228"/>
      <c r="U58" s="228"/>
      <c r="V58" s="228"/>
      <c r="W58" s="228"/>
      <c r="X58" s="228"/>
      <c r="Y58" s="228">
        <v>198</v>
      </c>
      <c r="Z58" s="228">
        <v>252</v>
      </c>
      <c r="AA58" s="228">
        <f t="shared" si="10"/>
        <v>450</v>
      </c>
      <c r="AB58" s="230">
        <f>IF(AA58=0,"",IFERROR(AA58/AA$19,""))</f>
        <v>4.048582995951417E-2</v>
      </c>
      <c r="AC58" s="136"/>
      <c r="AD58" s="228">
        <v>3081.54</v>
      </c>
      <c r="AE58" s="230">
        <f>IF(AD58=0,"",IFERROR(AD58/AD$19,""))</f>
        <v>4.216089752360104E-2</v>
      </c>
      <c r="AF58" s="231">
        <f t="shared" si="11"/>
        <v>-2631.54</v>
      </c>
      <c r="AG58" s="228"/>
      <c r="AH58" s="230" t="str">
        <f>IF(AG58=0,"",IFERROR(AG58/AG$19,""))</f>
        <v/>
      </c>
      <c r="AI58" s="231">
        <f t="shared" si="12"/>
        <v>450</v>
      </c>
    </row>
    <row r="59" spans="1:35" x14ac:dyDescent="0.25">
      <c r="A59" s="11"/>
      <c r="B59" s="11"/>
      <c r="C59" s="11"/>
      <c r="D59" s="11"/>
      <c r="E59" s="11"/>
      <c r="F59" s="11"/>
      <c r="G59" s="11"/>
      <c r="H59" s="84" t="s">
        <v>320</v>
      </c>
      <c r="I59" s="118" t="str">
        <f>IF(_epmOfflineCondition_,"N",_xll.EVPRO($B$1,$H59,"STYLE"))</f>
        <v>N</v>
      </c>
      <c r="J59" s="118" t="str">
        <f>IF(_epmOfflineCondition_,"Y",_xll.EVPRO($B$1,$H59,"CALC"))</f>
        <v>Y</v>
      </c>
      <c r="K59" s="86"/>
      <c r="L59" s="86" t="str">
        <f>IF(_epmOfflineCondition_,"",_xll.EVPRO($B$1,H59,"JDEID"))</f>
        <v/>
      </c>
      <c r="M59" s="86" t="str">
        <f>IF(_epmOfflineCondition_,"",IF(AND(I59="N",J59="N"),_xll.EVPRO($B$1,H59,"PSFTID"),""))</f>
        <v/>
      </c>
      <c r="N59" s="102" t="str">
        <f>IF(_epmOfflineCondition_,"Dinner Revenue",IF(_xll.EVDES(H59,$B$1)="#NODATA","",_xll.EVDES(H59,$B$1)))</f>
        <v>Dinner Revenue</v>
      </c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>
        <v>2023</v>
      </c>
      <c r="Z59" s="158">
        <v>2746</v>
      </c>
      <c r="AA59" s="158">
        <f t="shared" si="10"/>
        <v>4769</v>
      </c>
      <c r="AB59" s="159">
        <f>IF(AA59=0,"",IFERROR(AA59/AA$19,""))</f>
        <v>0.42905982905982903</v>
      </c>
      <c r="AC59" s="136"/>
      <c r="AD59" s="158">
        <v>26565</v>
      </c>
      <c r="AE59" s="159">
        <f>IF(AD59=0,"",IFERROR(AD59/AD$19,""))</f>
        <v>0.36345601313449172</v>
      </c>
      <c r="AF59" s="160">
        <f t="shared" si="11"/>
        <v>-21796</v>
      </c>
      <c r="AG59" s="158"/>
      <c r="AH59" s="159" t="str">
        <f>IF(AG59=0,"",IFERROR(AG59/AG$19,""))</f>
        <v/>
      </c>
      <c r="AI59" s="160">
        <f t="shared" si="12"/>
        <v>4769</v>
      </c>
    </row>
    <row r="60" spans="1:35" x14ac:dyDescent="0.25">
      <c r="A60" s="11"/>
      <c r="B60" s="11"/>
      <c r="C60" s="11"/>
      <c r="D60" s="11"/>
      <c r="E60" s="11"/>
      <c r="F60" s="11"/>
      <c r="G60" s="11"/>
      <c r="H60" s="84" t="s">
        <v>766</v>
      </c>
      <c r="I60" s="118" t="str">
        <f>IF(_epmOfflineCondition_,"N",_xll.EVPRO($B$1,$H60,"STYLE"))</f>
        <v>N</v>
      </c>
      <c r="J60" s="118" t="str">
        <f>IF(_epmOfflineCondition_,"N",_xll.EVPRO($B$1,$H60,"CALC"))</f>
        <v>N</v>
      </c>
      <c r="K60" s="86"/>
      <c r="L60" s="86" t="str">
        <f>IF(_epmOfflineCondition_,"947300",_xll.EVPRO($B$1,H60,"JDEID"))</f>
        <v>947300</v>
      </c>
      <c r="M60" s="86" t="str">
        <f>IF(_epmOfflineCondition_,"999993",IF(AND(I60="N",J60="N"),_xll.EVPRO($B$1,H60,"PSFTID"),""))</f>
        <v>999993</v>
      </c>
      <c r="N60" s="86" t="str">
        <f>IF(_epmOfflineCondition_,"# of Operating Days - Dinner",IF(_xll.EVDES(H60,$B$1)="#NODATA","",_xll.EVDES(H60,$B$1)))</f>
        <v># of Operating Days - Dinner</v>
      </c>
      <c r="O60" s="240"/>
      <c r="P60" s="240"/>
      <c r="Q60" s="240"/>
      <c r="R60" s="240"/>
      <c r="S60" s="240"/>
      <c r="T60" s="240"/>
      <c r="U60" s="240"/>
      <c r="V60" s="240"/>
      <c r="W60" s="240"/>
      <c r="X60" s="240"/>
      <c r="Y60" s="240">
        <v>30</v>
      </c>
      <c r="Z60" s="240">
        <v>31</v>
      </c>
      <c r="AA60" s="240">
        <f t="shared" si="10"/>
        <v>61</v>
      </c>
      <c r="AB60" s="242"/>
      <c r="AC60" s="136"/>
      <c r="AD60" s="240">
        <v>275</v>
      </c>
      <c r="AE60" s="242"/>
      <c r="AF60" s="243">
        <f t="shared" si="11"/>
        <v>-214</v>
      </c>
      <c r="AG60" s="240"/>
      <c r="AH60" s="242"/>
      <c r="AI60" s="243">
        <f t="shared" si="12"/>
        <v>61</v>
      </c>
    </row>
    <row r="61" spans="1:35" x14ac:dyDescent="0.25">
      <c r="A61" s="11"/>
      <c r="B61" s="11"/>
      <c r="C61" s="11"/>
      <c r="D61" s="11"/>
      <c r="E61" s="11"/>
      <c r="F61" s="11"/>
      <c r="G61" s="11"/>
      <c r="H61" s="84" t="s">
        <v>299</v>
      </c>
      <c r="I61" s="118" t="str">
        <f>IF(_epmOfflineCondition_,"N",_xll.EVPRO($B$1,$H61,"STYLE"))</f>
        <v>N</v>
      </c>
      <c r="J61" s="118" t="str">
        <f>IF(_epmOfflineCondition_,"N",_xll.EVPRO($B$1,$H61,"CALC"))</f>
        <v>N</v>
      </c>
      <c r="K61" s="86"/>
      <c r="L61" s="86" t="str">
        <f>IF(_epmOfflineCondition_,"946300",_xll.EVPRO($B$1,H61,"JDEID"))</f>
        <v>946300</v>
      </c>
      <c r="M61" s="86" t="str">
        <f>IF(_epmOfflineCondition_,"991503",IF(AND(I61="N",J61="N"),_xll.EVPRO($B$1,H61,"PSFTID"),""))</f>
        <v>991503</v>
      </c>
      <c r="N61" s="86" t="str">
        <f>IF(_epmOfflineCondition_,"Dinner Customers",IF(_xll.EVDES(H61,$B$1)="#NODATA","",_xll.EVDES(H61,$B$1)))</f>
        <v>Dinner Customers</v>
      </c>
      <c r="O61" s="240"/>
      <c r="P61" s="240"/>
      <c r="Q61" s="240"/>
      <c r="R61" s="240"/>
      <c r="S61" s="240"/>
      <c r="T61" s="240"/>
      <c r="U61" s="240"/>
      <c r="V61" s="240"/>
      <c r="W61" s="240"/>
      <c r="X61" s="240"/>
      <c r="Y61" s="240">
        <v>87</v>
      </c>
      <c r="Z61" s="240">
        <v>121</v>
      </c>
      <c r="AA61" s="240">
        <f t="shared" si="10"/>
        <v>208</v>
      </c>
      <c r="AB61" s="242">
        <f>IF(AA61=0,"",IFERROR(AA61/AA$87,""))</f>
        <v>0.36879432624113473</v>
      </c>
      <c r="AC61" s="136"/>
      <c r="AD61" s="240">
        <v>805</v>
      </c>
      <c r="AE61" s="242">
        <f>IF(AD61=0,"",IFERROR(AD61/AD$87,""))</f>
        <v>0.27502562350529552</v>
      </c>
      <c r="AF61" s="243">
        <f t="shared" si="11"/>
        <v>-597</v>
      </c>
      <c r="AG61" s="240"/>
      <c r="AH61" s="242" t="str">
        <f>IF(AG61=0,"",IFERROR(AG61/AG$87,""))</f>
        <v/>
      </c>
      <c r="AI61" s="243">
        <f t="shared" si="12"/>
        <v>208</v>
      </c>
    </row>
    <row r="62" spans="1:35" x14ac:dyDescent="0.25">
      <c r="A62" s="11"/>
      <c r="B62" s="11"/>
      <c r="C62" s="11"/>
      <c r="D62" s="11"/>
      <c r="E62" s="11"/>
      <c r="F62" s="11"/>
      <c r="G62" s="11"/>
      <c r="H62" s="181" t="s">
        <v>317</v>
      </c>
      <c r="I62" s="118" t="str">
        <f>IF(_epmOfflineCondition_,"N",_xll.EVPRO($B$1,$H62,"STYLE"))</f>
        <v>N</v>
      </c>
      <c r="J62" s="118" t="str">
        <f>IF(_epmOfflineCondition_,"Y",_xll.EVPRO($B$1,$H62,"CALC"))</f>
        <v>Y</v>
      </c>
      <c r="K62" s="86"/>
      <c r="L62" s="86" t="str">
        <f>IF(_epmOfflineCondition_,"",_xll.EVPRO($B$1,H62,"JDEID"))</f>
        <v/>
      </c>
      <c r="M62" s="86" t="str">
        <f>IF(_epmOfflineCondition_,"",IF(AND(I62="N",J62="N"),_xll.EVPRO($B$1,H62,"PSFTID"),""))</f>
        <v/>
      </c>
      <c r="N62" s="186" t="str">
        <f>IF(_epmOfflineCondition_,"Dinner - Average Check",IF(_xll.EVDES(H62,$B$1)="#NODATA","",_xll.EVDES(H62,$B$1)))</f>
        <v>Dinner - Average Check</v>
      </c>
      <c r="O62" s="490"/>
      <c r="P62" s="490"/>
      <c r="Q62" s="490"/>
      <c r="R62" s="490"/>
      <c r="S62" s="490"/>
      <c r="T62" s="490"/>
      <c r="U62" s="490"/>
      <c r="V62" s="490"/>
      <c r="W62" s="490"/>
      <c r="X62" s="490"/>
      <c r="Y62" s="490">
        <v>23.252873563218401</v>
      </c>
      <c r="Z62" s="490">
        <v>22.694214876033101</v>
      </c>
      <c r="AA62" s="490">
        <f>IFERROR(AA59/AA61,"")</f>
        <v>22.927884615384617</v>
      </c>
      <c r="AB62" s="490"/>
      <c r="AC62" s="136"/>
      <c r="AD62" s="490">
        <v>33</v>
      </c>
      <c r="AE62" s="490"/>
      <c r="AF62" s="491">
        <f t="shared" si="11"/>
        <v>-10.072115384615383</v>
      </c>
      <c r="AG62" s="490"/>
      <c r="AH62" s="490"/>
      <c r="AI62" s="491">
        <f t="shared" si="12"/>
        <v>22.927884615384617</v>
      </c>
    </row>
    <row r="63" spans="1:35" x14ac:dyDescent="0.25">
      <c r="A63" s="11"/>
      <c r="B63" s="11"/>
      <c r="C63" s="11"/>
      <c r="D63" s="11"/>
      <c r="E63" s="11"/>
      <c r="F63" s="11"/>
      <c r="G63" s="486">
        <f>COUNTIF(O64:AI64,FALSE)</f>
        <v>0</v>
      </c>
      <c r="H63" s="84"/>
      <c r="I63" s="118"/>
      <c r="J63" s="118"/>
      <c r="K63" s="86"/>
      <c r="L63" s="86"/>
      <c r="M63" s="86"/>
      <c r="N63" s="487" t="s">
        <v>345</v>
      </c>
      <c r="O63" s="492">
        <f t="shared" ref="O63:AA63" si="13">ROUND(IFERROR(O59/O61,0),2)</f>
        <v>0</v>
      </c>
      <c r="P63" s="493">
        <f t="shared" si="13"/>
        <v>0</v>
      </c>
      <c r="Q63" s="493">
        <f t="shared" si="13"/>
        <v>0</v>
      </c>
      <c r="R63" s="493">
        <f t="shared" si="13"/>
        <v>0</v>
      </c>
      <c r="S63" s="493">
        <f t="shared" si="13"/>
        <v>0</v>
      </c>
      <c r="T63" s="493">
        <f t="shared" si="13"/>
        <v>0</v>
      </c>
      <c r="U63" s="493">
        <f t="shared" si="13"/>
        <v>0</v>
      </c>
      <c r="V63" s="493">
        <f t="shared" si="13"/>
        <v>0</v>
      </c>
      <c r="W63" s="493">
        <f t="shared" si="13"/>
        <v>0</v>
      </c>
      <c r="X63" s="493">
        <f t="shared" si="13"/>
        <v>0</v>
      </c>
      <c r="Y63" s="493">
        <f t="shared" si="13"/>
        <v>23.25</v>
      </c>
      <c r="Z63" s="493">
        <f t="shared" si="13"/>
        <v>22.69</v>
      </c>
      <c r="AA63" s="493">
        <f t="shared" si="13"/>
        <v>22.93</v>
      </c>
      <c r="AB63" s="494"/>
      <c r="AC63" s="136"/>
      <c r="AD63" s="492">
        <f>ROUND(IFERROR(AD59/AD61,0),2)</f>
        <v>33</v>
      </c>
      <c r="AE63" s="493"/>
      <c r="AF63" s="151"/>
      <c r="AG63" s="492">
        <f>ROUND(IFERROR(AG59/AG61,0),2)</f>
        <v>0</v>
      </c>
      <c r="AH63" s="493"/>
      <c r="AI63" s="151"/>
    </row>
    <row r="64" spans="1:35" x14ac:dyDescent="0.25">
      <c r="A64" s="11"/>
      <c r="B64" s="11"/>
      <c r="C64" s="11"/>
      <c r="D64" s="11"/>
      <c r="E64" s="11"/>
      <c r="F64" s="11"/>
      <c r="G64" s="11"/>
      <c r="H64" s="181"/>
      <c r="I64" s="118"/>
      <c r="J64" s="118"/>
      <c r="K64" s="86"/>
      <c r="L64" s="86"/>
      <c r="M64" s="86"/>
      <c r="N64" s="49" t="s">
        <v>307</v>
      </c>
      <c r="O64" s="495" t="b">
        <f t="shared" ref="O64:AA64" si="14">ROUND(O62,2)=ROUND(O63,2)</f>
        <v>1</v>
      </c>
      <c r="P64" s="496" t="b">
        <f t="shared" si="14"/>
        <v>1</v>
      </c>
      <c r="Q64" s="496" t="b">
        <f t="shared" si="14"/>
        <v>1</v>
      </c>
      <c r="R64" s="496" t="b">
        <f t="shared" si="14"/>
        <v>1</v>
      </c>
      <c r="S64" s="496" t="b">
        <f t="shared" si="14"/>
        <v>1</v>
      </c>
      <c r="T64" s="496" t="b">
        <f t="shared" si="14"/>
        <v>1</v>
      </c>
      <c r="U64" s="496" t="b">
        <f t="shared" si="14"/>
        <v>1</v>
      </c>
      <c r="V64" s="496" t="b">
        <f t="shared" si="14"/>
        <v>1</v>
      </c>
      <c r="W64" s="496" t="b">
        <f t="shared" si="14"/>
        <v>1</v>
      </c>
      <c r="X64" s="496" t="b">
        <f t="shared" si="14"/>
        <v>1</v>
      </c>
      <c r="Y64" s="496" t="b">
        <f t="shared" si="14"/>
        <v>1</v>
      </c>
      <c r="Z64" s="496" t="b">
        <f t="shared" si="14"/>
        <v>1</v>
      </c>
      <c r="AA64" s="496" t="b">
        <f t="shared" si="14"/>
        <v>1</v>
      </c>
      <c r="AB64" s="497"/>
      <c r="AC64" s="498"/>
      <c r="AD64" s="495"/>
      <c r="AE64" s="496" t="b">
        <f>ROUND(AD62,2)=ROUND(AD63,2)</f>
        <v>1</v>
      </c>
      <c r="AF64" s="497"/>
      <c r="AG64" s="495"/>
      <c r="AH64" s="496" t="b">
        <f>ROUND(AG62,2)=ROUND(AG63,2)</f>
        <v>1</v>
      </c>
      <c r="AI64" s="497"/>
    </row>
    <row r="65" spans="1:35" x14ac:dyDescent="0.25">
      <c r="A65" s="11"/>
      <c r="B65" s="11"/>
      <c r="C65" s="11"/>
      <c r="D65" s="11"/>
      <c r="E65" s="11"/>
      <c r="F65" s="11"/>
      <c r="G65" s="11"/>
      <c r="H65" s="181" t="s">
        <v>263</v>
      </c>
      <c r="I65" s="118" t="str">
        <f>IF(_epmOfflineCondition_,"T5",_xll.EVPRO($B$1,$H65,"STYLE"))</f>
        <v>T5</v>
      </c>
      <c r="J65" s="118" t="str">
        <f>IF(_epmOfflineCondition_,"Y",_xll.EVPRO($B$1,$H65,"CALC"))</f>
        <v>Y</v>
      </c>
      <c r="K65" s="86"/>
      <c r="L65" s="86" t="str">
        <f>IF(_epmOfflineCondition_,"464100",_xll.EVPRO($B$1,H65,"JDEID"))</f>
        <v>464100</v>
      </c>
      <c r="M65" s="86" t="str">
        <f>IF(_epmOfflineCondition_,"",IF(AND(I65="N",J65="N"),_xll.EVPRO($B$1,H65,"PSFTID"),""))</f>
        <v/>
      </c>
      <c r="N65" s="86" t="str">
        <f>IF(_epmOfflineCondition_,"Bar Food",IF(_xll.EVDES(H65,$B$1)="#NODATA","",_xll.EVDES(H65,$B$1)))</f>
        <v>Bar Food</v>
      </c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>
        <f t="shared" ref="AA65:AA71" si="15">SUM(O65:Z65)</f>
        <v>0</v>
      </c>
      <c r="AB65" s="138" t="str">
        <f>IF(AA65=0,"",IFERROR(AA65/AA$19,""))</f>
        <v/>
      </c>
      <c r="AC65" s="136"/>
      <c r="AD65" s="134"/>
      <c r="AE65" s="138" t="str">
        <f>IF(AD65=0,"",IFERROR(AD65/AD$19,""))</f>
        <v/>
      </c>
      <c r="AF65" s="137">
        <f t="shared" ref="AF65:AF72" si="16">IF(AND($AA65="",AD65=""),"",$AA65-AD65)</f>
        <v>0</v>
      </c>
      <c r="AG65" s="134"/>
      <c r="AH65" s="138" t="str">
        <f>IF(AG65=0,"",IFERROR(AG65/AG$19,""))</f>
        <v/>
      </c>
      <c r="AI65" s="137">
        <f t="shared" ref="AI65:AI72" si="17">IF(AND($AA65="",AG65=""),"",$AA65-AG65)</f>
        <v>0</v>
      </c>
    </row>
    <row r="66" spans="1:35" x14ac:dyDescent="0.25">
      <c r="A66" s="11"/>
      <c r="B66" s="11"/>
      <c r="C66" s="11"/>
      <c r="D66" s="11"/>
      <c r="E66" s="11"/>
      <c r="F66" s="11"/>
      <c r="G66" s="11"/>
      <c r="H66" s="181" t="s">
        <v>308</v>
      </c>
      <c r="I66" s="118" t="str">
        <f>IF(_epmOfflineCondition_,"T6",_xll.EVPRO($B$1,$H66,"STYLE"))</f>
        <v>T6</v>
      </c>
      <c r="J66" s="118" t="str">
        <f>IF(_epmOfflineCondition_,"Y",_xll.EVPRO($B$1,$H66,"CALC"))</f>
        <v>Y</v>
      </c>
      <c r="K66" s="86"/>
      <c r="L66" s="86" t="str">
        <f>IF(_epmOfflineCondition_,"464200",_xll.EVPRO($B$1,H66,"JDEID"))</f>
        <v>464200</v>
      </c>
      <c r="M66" s="86" t="str">
        <f>IF(_epmOfflineCondition_,"",IF(AND(I66="N",J66="N"),_xll.EVPRO($B$1,H66,"PSFTID"),""))</f>
        <v/>
      </c>
      <c r="N66" s="86" t="str">
        <f>IF(_epmOfflineCondition_,"Bar Liquor",IF(_xll.EVDES(H66,$B$1)="#NODATA","",_xll.EVDES(H66,$B$1)))</f>
        <v>Bar Liquor</v>
      </c>
      <c r="O66" s="134"/>
      <c r="P66" s="134"/>
      <c r="Q66" s="134"/>
      <c r="R66" s="134"/>
      <c r="S66" s="134"/>
      <c r="T66" s="134"/>
      <c r="U66" s="134"/>
      <c r="V66" s="134"/>
      <c r="W66" s="134"/>
      <c r="X66" s="134"/>
      <c r="Y66" s="134"/>
      <c r="Z66" s="134"/>
      <c r="AA66" s="134">
        <f t="shared" si="15"/>
        <v>0</v>
      </c>
      <c r="AB66" s="138" t="str">
        <f>IF(AA66=0,"",IFERROR(AA66/AA$19,""))</f>
        <v/>
      </c>
      <c r="AC66" s="136"/>
      <c r="AD66" s="134"/>
      <c r="AE66" s="138" t="str">
        <f>IF(AD66=0,"",IFERROR(AD66/AD$19,""))</f>
        <v/>
      </c>
      <c r="AF66" s="137">
        <f t="shared" si="16"/>
        <v>0</v>
      </c>
      <c r="AG66" s="134"/>
      <c r="AH66" s="138" t="str">
        <f>IF(AG66=0,"",IFERROR(AG66/AG$19,""))</f>
        <v/>
      </c>
      <c r="AI66" s="137">
        <f t="shared" si="17"/>
        <v>0</v>
      </c>
    </row>
    <row r="67" spans="1:35" x14ac:dyDescent="0.25">
      <c r="A67" s="11"/>
      <c r="B67" s="11"/>
      <c r="C67" s="11"/>
      <c r="D67" s="11"/>
      <c r="E67" s="11"/>
      <c r="F67" s="11"/>
      <c r="G67" s="11"/>
      <c r="H67" s="181" t="s">
        <v>310</v>
      </c>
      <c r="I67" s="118" t="str">
        <f>IF(_epmOfflineCondition_,"T6",_xll.EVPRO($B$1,$H67,"STYLE"))</f>
        <v>T6</v>
      </c>
      <c r="J67" s="118" t="str">
        <f>IF(_epmOfflineCondition_,"Y",_xll.EVPRO($B$1,$H67,"CALC"))</f>
        <v>Y</v>
      </c>
      <c r="K67" s="86"/>
      <c r="L67" s="86" t="str">
        <f>IF(_epmOfflineCondition_,"464300",_xll.EVPRO($B$1,H67,"JDEID"))</f>
        <v>464300</v>
      </c>
      <c r="M67" s="86" t="str">
        <f>IF(_epmOfflineCondition_,"",IF(AND(I67="N",J67="N"),_xll.EVPRO($B$1,H67,"PSFTID"),""))</f>
        <v/>
      </c>
      <c r="N67" s="86" t="str">
        <f>IF(_epmOfflineCondition_,"Bar Beer",IF(_xll.EVDES(H67,$B$1)="#NODATA","",_xll.EVDES(H67,$B$1)))</f>
        <v>Bar Beer</v>
      </c>
      <c r="O67" s="134"/>
      <c r="P67" s="134"/>
      <c r="Q67" s="134"/>
      <c r="R67" s="134"/>
      <c r="S67" s="134"/>
      <c r="T67" s="134"/>
      <c r="U67" s="134"/>
      <c r="V67" s="134"/>
      <c r="W67" s="134"/>
      <c r="X67" s="134"/>
      <c r="Y67" s="134"/>
      <c r="Z67" s="134"/>
      <c r="AA67" s="134">
        <f t="shared" si="15"/>
        <v>0</v>
      </c>
      <c r="AB67" s="138" t="str">
        <f>IF(AA67=0,"",IFERROR(AA67/AA$19,""))</f>
        <v/>
      </c>
      <c r="AC67" s="136"/>
      <c r="AD67" s="134"/>
      <c r="AE67" s="138" t="str">
        <f>IF(AD67=0,"",IFERROR(AD67/AD$19,""))</f>
        <v/>
      </c>
      <c r="AF67" s="137">
        <f t="shared" si="16"/>
        <v>0</v>
      </c>
      <c r="AG67" s="134"/>
      <c r="AH67" s="138" t="str">
        <f>IF(AG67=0,"",IFERROR(AG67/AG$19,""))</f>
        <v/>
      </c>
      <c r="AI67" s="137">
        <f t="shared" si="17"/>
        <v>0</v>
      </c>
    </row>
    <row r="68" spans="1:35" x14ac:dyDescent="0.25">
      <c r="A68" s="11"/>
      <c r="B68" s="11"/>
      <c r="C68" s="11"/>
      <c r="D68" s="11"/>
      <c r="E68" s="11"/>
      <c r="F68" s="11"/>
      <c r="G68" s="11"/>
      <c r="H68" s="181" t="s">
        <v>309</v>
      </c>
      <c r="I68" s="118" t="str">
        <f>IF(_epmOfflineCondition_,"T6",_xll.EVPRO($B$1,$H68,"STYLE"))</f>
        <v>T6</v>
      </c>
      <c r="J68" s="118" t="str">
        <f>IF(_epmOfflineCondition_,"Y",_xll.EVPRO($B$1,$H68,"CALC"))</f>
        <v>Y</v>
      </c>
      <c r="K68" s="86"/>
      <c r="L68" s="86" t="str">
        <f>IF(_epmOfflineCondition_,"464400",_xll.EVPRO($B$1,H68,"JDEID"))</f>
        <v>464400</v>
      </c>
      <c r="M68" s="86" t="str">
        <f>IF(_epmOfflineCondition_,"",IF(AND(I68="N",J68="N"),_xll.EVPRO($B$1,H68,"PSFTID"),""))</f>
        <v/>
      </c>
      <c r="N68" s="86" t="str">
        <f>IF(_epmOfflineCondition_,"Bar Wine",IF(_xll.EVDES(H68,$B$1)="#NODATA","",_xll.EVDES(H68,$B$1)))</f>
        <v>Bar Wine</v>
      </c>
      <c r="O68" s="228"/>
      <c r="P68" s="228"/>
      <c r="Q68" s="228"/>
      <c r="R68" s="228"/>
      <c r="S68" s="228"/>
      <c r="T68" s="228"/>
      <c r="U68" s="228"/>
      <c r="V68" s="228"/>
      <c r="W68" s="228"/>
      <c r="X68" s="228"/>
      <c r="Y68" s="228"/>
      <c r="Z68" s="228"/>
      <c r="AA68" s="228">
        <f t="shared" si="15"/>
        <v>0</v>
      </c>
      <c r="AB68" s="230" t="str">
        <f>IF(AA68=0,"",IFERROR(AA68/AA$19,""))</f>
        <v/>
      </c>
      <c r="AC68" s="136"/>
      <c r="AD68" s="228"/>
      <c r="AE68" s="230" t="str">
        <f>IF(AD68=0,"",IFERROR(AD68/AD$19,""))</f>
        <v/>
      </c>
      <c r="AF68" s="231">
        <f t="shared" si="16"/>
        <v>0</v>
      </c>
      <c r="AG68" s="228"/>
      <c r="AH68" s="230" t="str">
        <f>IF(AG68=0,"",IFERROR(AG68/AG$19,""))</f>
        <v/>
      </c>
      <c r="AI68" s="231">
        <f t="shared" si="17"/>
        <v>0</v>
      </c>
    </row>
    <row r="69" spans="1:35" x14ac:dyDescent="0.25">
      <c r="A69" s="11"/>
      <c r="B69" s="11"/>
      <c r="C69" s="11"/>
      <c r="D69" s="11"/>
      <c r="E69" s="11"/>
      <c r="F69" s="11"/>
      <c r="G69" s="11"/>
      <c r="H69" s="181" t="s">
        <v>327</v>
      </c>
      <c r="I69" s="118" t="str">
        <f>IF(_epmOfflineCondition_,"N",_xll.EVPRO($B$1,$H69,"STYLE"))</f>
        <v>N</v>
      </c>
      <c r="J69" s="118" t="str">
        <f>IF(_epmOfflineCondition_,"Y",_xll.EVPRO($B$1,$H69,"CALC"))</f>
        <v>Y</v>
      </c>
      <c r="K69" s="86"/>
      <c r="L69" s="86" t="str">
        <f>IF(_epmOfflineCondition_,"",_xll.EVPRO($B$1,H69,"JDEID"))</f>
        <v/>
      </c>
      <c r="M69" s="86" t="str">
        <f>IF(_epmOfflineCondition_,"",IF(AND(I69="N",J69="N"),_xll.EVPRO($B$1,H69,"PSFTID"),""))</f>
        <v/>
      </c>
      <c r="N69" s="102" t="str">
        <f>IF(_epmOfflineCondition_,"Bar Revenue",IF(_xll.EVDES(H69,$B$1)="#NODATA","",_xll.EVDES(H69,$B$1)))</f>
        <v>Bar Revenue</v>
      </c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>
        <f t="shared" si="15"/>
        <v>0</v>
      </c>
      <c r="AB69" s="159" t="str">
        <f>IF(AA69=0,"",IFERROR(AA69/AA$19,""))</f>
        <v/>
      </c>
      <c r="AC69" s="136"/>
      <c r="AD69" s="158"/>
      <c r="AE69" s="159" t="str">
        <f>IF(AD69=0,"",IFERROR(AD69/AD$19,""))</f>
        <v/>
      </c>
      <c r="AF69" s="160">
        <f t="shared" si="16"/>
        <v>0</v>
      </c>
      <c r="AG69" s="158"/>
      <c r="AH69" s="159" t="str">
        <f>IF(AG69=0,"",IFERROR(AG69/AG$19,""))</f>
        <v/>
      </c>
      <c r="AI69" s="160">
        <f t="shared" si="17"/>
        <v>0</v>
      </c>
    </row>
    <row r="70" spans="1:35" x14ac:dyDescent="0.25">
      <c r="A70" s="11"/>
      <c r="B70" s="11"/>
      <c r="C70" s="11"/>
      <c r="D70" s="11"/>
      <c r="E70" s="11"/>
      <c r="F70" s="11"/>
      <c r="G70" s="11"/>
      <c r="H70" s="181" t="s">
        <v>767</v>
      </c>
      <c r="I70" s="118" t="str">
        <f>IF(_epmOfflineCondition_,"N",_xll.EVPRO($B$1,$H70,"STYLE"))</f>
        <v>N</v>
      </c>
      <c r="J70" s="118" t="str">
        <f>IF(_epmOfflineCondition_,"N",_xll.EVPRO($B$1,$H70,"CALC"))</f>
        <v>N</v>
      </c>
      <c r="K70" s="86"/>
      <c r="L70" s="86" t="str">
        <f>IF(_epmOfflineCondition_,"947400",_xll.EVPRO($B$1,H70,"JDEID"))</f>
        <v>947400</v>
      </c>
      <c r="M70" s="86" t="str">
        <f>IF(_epmOfflineCondition_,"999994",IF(AND(I70="N",J70="N"),_xll.EVPRO($B$1,H70,"PSFTID"),""))</f>
        <v>999994</v>
      </c>
      <c r="N70" s="86" t="str">
        <f>IF(_epmOfflineCondition_,"# of Operating Days - Bar",IF(_xll.EVDES(H70,$B$1)="#NODATA","",_xll.EVDES(H70,$B$1)))</f>
        <v># of Operating Days - Bar</v>
      </c>
      <c r="O70" s="240"/>
      <c r="P70" s="240"/>
      <c r="Q70" s="240"/>
      <c r="R70" s="240"/>
      <c r="S70" s="240"/>
      <c r="T70" s="240"/>
      <c r="U70" s="240"/>
      <c r="V70" s="240"/>
      <c r="W70" s="240"/>
      <c r="X70" s="240"/>
      <c r="Y70" s="240"/>
      <c r="Z70" s="240"/>
      <c r="AA70" s="240">
        <f t="shared" si="15"/>
        <v>0</v>
      </c>
      <c r="AB70" s="242"/>
      <c r="AC70" s="136"/>
      <c r="AD70" s="240"/>
      <c r="AE70" s="242"/>
      <c r="AF70" s="243">
        <f t="shared" si="16"/>
        <v>0</v>
      </c>
      <c r="AG70" s="240"/>
      <c r="AH70" s="242"/>
      <c r="AI70" s="243">
        <f t="shared" si="17"/>
        <v>0</v>
      </c>
    </row>
    <row r="71" spans="1:35" x14ac:dyDescent="0.25">
      <c r="A71" s="11"/>
      <c r="B71" s="11"/>
      <c r="C71" s="11"/>
      <c r="D71" s="11"/>
      <c r="E71" s="11"/>
      <c r="F71" s="11"/>
      <c r="G71" s="11"/>
      <c r="H71" s="181" t="s">
        <v>326</v>
      </c>
      <c r="I71" s="118" t="str">
        <f>IF(_epmOfflineCondition_,"N",_xll.EVPRO($B$1,$H71,"STYLE"))</f>
        <v>N</v>
      </c>
      <c r="J71" s="118" t="str">
        <f>IF(_epmOfflineCondition_,"N",_xll.EVPRO($B$1,$H71,"CALC"))</f>
        <v>N</v>
      </c>
      <c r="K71" s="86"/>
      <c r="L71" s="86" t="str">
        <f>IF(_epmOfflineCondition_,"946500",_xll.EVPRO($B$1,H71,"JDEID"))</f>
        <v>946500</v>
      </c>
      <c r="M71" s="86" t="str">
        <f>IF(_epmOfflineCondition_,"991522",IF(AND(I71="N",J71="N"),_xll.EVPRO($B$1,H71,"PSFTID"),""))</f>
        <v>991522</v>
      </c>
      <c r="N71" s="86" t="str">
        <f>IF(_epmOfflineCondition_,"Bar Customers",IF(_xll.EVDES(H71,$B$1)="#NODATA","",_xll.EVDES(H71,$B$1)))</f>
        <v>Bar Customers</v>
      </c>
      <c r="O71" s="240"/>
      <c r="P71" s="240"/>
      <c r="Q71" s="240"/>
      <c r="R71" s="240"/>
      <c r="S71" s="240"/>
      <c r="T71" s="240"/>
      <c r="U71" s="240"/>
      <c r="V71" s="240"/>
      <c r="W71" s="240"/>
      <c r="X71" s="240"/>
      <c r="Y71" s="240"/>
      <c r="Z71" s="240"/>
      <c r="AA71" s="240">
        <f t="shared" si="15"/>
        <v>0</v>
      </c>
      <c r="AB71" s="242" t="str">
        <f>IF(AA71=0,"",IFERROR(AA71/AA$87,""))</f>
        <v/>
      </c>
      <c r="AC71" s="136"/>
      <c r="AD71" s="240"/>
      <c r="AE71" s="242" t="str">
        <f>IF(AD71=0,"",IFERROR(AD71/AD$87,""))</f>
        <v/>
      </c>
      <c r="AF71" s="243">
        <f t="shared" si="16"/>
        <v>0</v>
      </c>
      <c r="AG71" s="240"/>
      <c r="AH71" s="242" t="str">
        <f>IF(AG71=0,"",IFERROR(AG71/AG$87,""))</f>
        <v/>
      </c>
      <c r="AI71" s="243">
        <f t="shared" si="17"/>
        <v>0</v>
      </c>
    </row>
    <row r="72" spans="1:35" x14ac:dyDescent="0.25">
      <c r="A72" s="11"/>
      <c r="B72" s="11"/>
      <c r="C72" s="11"/>
      <c r="D72" s="11"/>
      <c r="E72" s="11"/>
      <c r="F72" s="11"/>
      <c r="G72" s="11"/>
      <c r="H72" s="181" t="s">
        <v>328</v>
      </c>
      <c r="I72" s="118" t="str">
        <f>IF(_epmOfflineCondition_,"N",_xll.EVPRO($B$1,$H72,"STYLE"))</f>
        <v>N</v>
      </c>
      <c r="J72" s="118" t="str">
        <f>IF(_epmOfflineCondition_,"Y",_xll.EVPRO($B$1,$H72,"CALC"))</f>
        <v>Y</v>
      </c>
      <c r="K72" s="86"/>
      <c r="L72" s="86" t="str">
        <f>IF(_epmOfflineCondition_,"",_xll.EVPRO($B$1,H72,"JDEID"))</f>
        <v/>
      </c>
      <c r="M72" s="86" t="str">
        <f>IF(_epmOfflineCondition_,"",IF(AND(I72="N",J72="N"),_xll.EVPRO($B$1,H72,"PSFTID"),""))</f>
        <v/>
      </c>
      <c r="N72" s="186" t="str">
        <f>IF(_epmOfflineCondition_,"Bar- Average Check",IF(_xll.EVDES(H72,$B$1)="#NODATA","",_xll.EVDES(H72,$B$1)))</f>
        <v>Bar- Average Check</v>
      </c>
      <c r="O72" s="490"/>
      <c r="P72" s="490"/>
      <c r="Q72" s="490"/>
      <c r="R72" s="490"/>
      <c r="S72" s="490"/>
      <c r="T72" s="490"/>
      <c r="U72" s="490"/>
      <c r="V72" s="490"/>
      <c r="W72" s="490"/>
      <c r="X72" s="490"/>
      <c r="Y72" s="490"/>
      <c r="Z72" s="490"/>
      <c r="AA72" s="490" t="str">
        <f>IFERROR(AA69/AA71,"")</f>
        <v/>
      </c>
      <c r="AB72" s="490"/>
      <c r="AC72" s="136"/>
      <c r="AD72" s="490"/>
      <c r="AE72" s="490"/>
      <c r="AF72" s="491" t="str">
        <f t="shared" si="16"/>
        <v/>
      </c>
      <c r="AG72" s="490"/>
      <c r="AH72" s="490"/>
      <c r="AI72" s="491" t="str">
        <f t="shared" si="17"/>
        <v/>
      </c>
    </row>
    <row r="73" spans="1:35" x14ac:dyDescent="0.25">
      <c r="A73" s="11"/>
      <c r="B73" s="11"/>
      <c r="C73" s="11"/>
      <c r="D73" s="11"/>
      <c r="E73" s="11"/>
      <c r="F73" s="11"/>
      <c r="G73" s="486">
        <f>COUNTIF(O74:AI74,FALSE)</f>
        <v>0</v>
      </c>
      <c r="H73" s="84"/>
      <c r="I73" s="118"/>
      <c r="J73" s="118"/>
      <c r="K73" s="86"/>
      <c r="L73" s="86"/>
      <c r="M73" s="86"/>
      <c r="N73" s="487" t="s">
        <v>345</v>
      </c>
      <c r="O73" s="492">
        <f t="shared" ref="O73:AA73" si="18">ROUND(IFERROR(O69/O71,0),2)</f>
        <v>0</v>
      </c>
      <c r="P73" s="493">
        <f t="shared" si="18"/>
        <v>0</v>
      </c>
      <c r="Q73" s="493">
        <f t="shared" si="18"/>
        <v>0</v>
      </c>
      <c r="R73" s="493">
        <f t="shared" si="18"/>
        <v>0</v>
      </c>
      <c r="S73" s="493">
        <f t="shared" si="18"/>
        <v>0</v>
      </c>
      <c r="T73" s="493">
        <f t="shared" si="18"/>
        <v>0</v>
      </c>
      <c r="U73" s="493">
        <f t="shared" si="18"/>
        <v>0</v>
      </c>
      <c r="V73" s="493">
        <f t="shared" si="18"/>
        <v>0</v>
      </c>
      <c r="W73" s="493">
        <f t="shared" si="18"/>
        <v>0</v>
      </c>
      <c r="X73" s="493">
        <f t="shared" si="18"/>
        <v>0</v>
      </c>
      <c r="Y73" s="493">
        <f t="shared" si="18"/>
        <v>0</v>
      </c>
      <c r="Z73" s="493">
        <f t="shared" si="18"/>
        <v>0</v>
      </c>
      <c r="AA73" s="493">
        <f t="shared" si="18"/>
        <v>0</v>
      </c>
      <c r="AB73" s="494"/>
      <c r="AC73" s="136"/>
      <c r="AD73" s="492">
        <f>ROUND(IFERROR(AD69/AD71,0),2)</f>
        <v>0</v>
      </c>
      <c r="AE73" s="493"/>
      <c r="AF73" s="151"/>
      <c r="AG73" s="492">
        <f>ROUND(IFERROR(AG69/AG71,0),2)</f>
        <v>0</v>
      </c>
      <c r="AH73" s="493"/>
      <c r="AI73" s="151"/>
    </row>
    <row r="74" spans="1:35" x14ac:dyDescent="0.25">
      <c r="A74" s="11"/>
      <c r="B74" s="11"/>
      <c r="C74" s="11"/>
      <c r="D74" s="11"/>
      <c r="E74" s="11"/>
      <c r="F74" s="11"/>
      <c r="G74" s="11"/>
      <c r="H74" s="181"/>
      <c r="I74" s="118"/>
      <c r="J74" s="118"/>
      <c r="K74" s="86"/>
      <c r="L74" s="86"/>
      <c r="M74" s="86"/>
      <c r="N74" s="49" t="s">
        <v>324</v>
      </c>
      <c r="O74" s="495" t="b">
        <f t="shared" ref="O74:AA74" si="19">ROUND(O72,2)=ROUND(O73,2)</f>
        <v>1</v>
      </c>
      <c r="P74" s="496" t="b">
        <f t="shared" si="19"/>
        <v>1</v>
      </c>
      <c r="Q74" s="496" t="b">
        <f t="shared" si="19"/>
        <v>1</v>
      </c>
      <c r="R74" s="496" t="b">
        <f t="shared" si="19"/>
        <v>1</v>
      </c>
      <c r="S74" s="496" t="b">
        <f t="shared" si="19"/>
        <v>1</v>
      </c>
      <c r="T74" s="496" t="b">
        <f t="shared" si="19"/>
        <v>1</v>
      </c>
      <c r="U74" s="496" t="b">
        <f t="shared" si="19"/>
        <v>1</v>
      </c>
      <c r="V74" s="496" t="b">
        <f t="shared" si="19"/>
        <v>1</v>
      </c>
      <c r="W74" s="496" t="b">
        <f t="shared" si="19"/>
        <v>1</v>
      </c>
      <c r="X74" s="496" t="b">
        <f t="shared" si="19"/>
        <v>1</v>
      </c>
      <c r="Y74" s="496" t="b">
        <f t="shared" si="19"/>
        <v>1</v>
      </c>
      <c r="Z74" s="496" t="b">
        <f t="shared" si="19"/>
        <v>1</v>
      </c>
      <c r="AA74" s="496" t="e">
        <f t="shared" si="19"/>
        <v>#VALUE!</v>
      </c>
      <c r="AB74" s="497"/>
      <c r="AC74" s="498"/>
      <c r="AD74" s="495"/>
      <c r="AE74" s="496" t="b">
        <f>ROUND(AD72,2)=ROUND(AD73,2)</f>
        <v>1</v>
      </c>
      <c r="AF74" s="497"/>
      <c r="AG74" s="495"/>
      <c r="AH74" s="496" t="b">
        <f>ROUND(AG72,2)=ROUND(AG73,2)</f>
        <v>1</v>
      </c>
      <c r="AI74" s="497"/>
    </row>
    <row r="75" spans="1:35" x14ac:dyDescent="0.25">
      <c r="A75" s="11"/>
      <c r="B75" s="11"/>
      <c r="C75" s="11"/>
      <c r="D75" s="11"/>
      <c r="E75" s="11"/>
      <c r="F75" s="11"/>
      <c r="G75" s="11"/>
      <c r="H75" s="181" t="s">
        <v>264</v>
      </c>
      <c r="I75" s="118" t="str">
        <f>IF(_epmOfflineCondition_,"T5",_xll.EVPRO($B$1,$H75,"STYLE"))</f>
        <v>T5</v>
      </c>
      <c r="J75" s="118" t="str">
        <f>IF(_epmOfflineCondition_,"Y",_xll.EVPRO($B$1,$H75,"CALC"))</f>
        <v>Y</v>
      </c>
      <c r="K75" s="86"/>
      <c r="L75" s="86" t="str">
        <f>IF(_epmOfflineCondition_,"465100",_xll.EVPRO($B$1,H75,"JDEID"))</f>
        <v>465100</v>
      </c>
      <c r="M75" s="86" t="str">
        <f>IF(_epmOfflineCondition_,"",IF(AND(I75="N",J75="N"),_xll.EVPRO($B$1,H75,"PSFTID"),""))</f>
        <v/>
      </c>
      <c r="N75" s="86" t="str">
        <f>IF(_epmOfflineCondition_,"Private Dining Food",IF(_xll.EVDES(H75,$B$1)="#NODATA","",_xll.EVDES(H75,$B$1)))</f>
        <v>Private Dining Food</v>
      </c>
      <c r="O75" s="134"/>
      <c r="P75" s="134"/>
      <c r="Q75" s="134"/>
      <c r="R75" s="134"/>
      <c r="S75" s="134"/>
      <c r="T75" s="134"/>
      <c r="U75" s="134"/>
      <c r="V75" s="134"/>
      <c r="W75" s="134"/>
      <c r="X75" s="134"/>
      <c r="Y75" s="134"/>
      <c r="Z75" s="134"/>
      <c r="AA75" s="134">
        <f t="shared" ref="AA75:AA80" si="20">SUM(O75:Z75)</f>
        <v>0</v>
      </c>
      <c r="AB75" s="138" t="str">
        <f>IF(AA75=0,"",IFERROR(AA75/AA$19,""))</f>
        <v/>
      </c>
      <c r="AC75" s="136"/>
      <c r="AD75" s="134"/>
      <c r="AE75" s="138" t="str">
        <f>IF(AD75=0,"",IFERROR(AD75/AD$19,""))</f>
        <v/>
      </c>
      <c r="AF75" s="137">
        <f t="shared" ref="AF75:AF81" si="21">IF(AND($AA75="",AD75=""),"",$AA75-AD75)</f>
        <v>0</v>
      </c>
      <c r="AG75" s="134"/>
      <c r="AH75" s="138" t="str">
        <f>IF(AG75=0,"",IFERROR(AG75/AG$19,""))</f>
        <v/>
      </c>
      <c r="AI75" s="137">
        <f t="shared" ref="AI75:AI81" si="22">IF(AND($AA75="",AG75=""),"",$AA75-AG75)</f>
        <v>0</v>
      </c>
    </row>
    <row r="76" spans="1:35" x14ac:dyDescent="0.25">
      <c r="A76" s="11"/>
      <c r="B76" s="11"/>
      <c r="C76" s="11"/>
      <c r="D76" s="11"/>
      <c r="E76" s="11"/>
      <c r="F76" s="11"/>
      <c r="G76" s="11"/>
      <c r="H76" s="181" t="s">
        <v>321</v>
      </c>
      <c r="I76" s="118" t="str">
        <f>IF(_epmOfflineCondition_,"T6",_xll.EVPRO($B$1,$H76,"STYLE"))</f>
        <v>T6</v>
      </c>
      <c r="J76" s="118" t="str">
        <f>IF(_epmOfflineCondition_,"Y",_xll.EVPRO($B$1,$H76,"CALC"))</f>
        <v>Y</v>
      </c>
      <c r="K76" s="86"/>
      <c r="L76" s="86" t="str">
        <f>IF(_epmOfflineCondition_,"465200",_xll.EVPRO($B$1,H76,"JDEID"))</f>
        <v>465200</v>
      </c>
      <c r="M76" s="86" t="str">
        <f>IF(_epmOfflineCondition_,"",IF(AND(I76="N",J76="N"),_xll.EVPRO($B$1,H76,"PSFTID"),""))</f>
        <v/>
      </c>
      <c r="N76" s="86" t="str">
        <f>IF(_epmOfflineCondition_,"Private Dining Liquor",IF(_xll.EVDES(H76,$B$1)="#NODATA","",_xll.EVDES(H76,$B$1)))</f>
        <v>Private Dining Liquor</v>
      </c>
      <c r="O76" s="134"/>
      <c r="P76" s="134"/>
      <c r="Q76" s="134"/>
      <c r="R76" s="134"/>
      <c r="S76" s="134"/>
      <c r="T76" s="134"/>
      <c r="U76" s="134"/>
      <c r="V76" s="134"/>
      <c r="W76" s="134"/>
      <c r="X76" s="134"/>
      <c r="Y76" s="134"/>
      <c r="Z76" s="134"/>
      <c r="AA76" s="134">
        <f t="shared" si="20"/>
        <v>0</v>
      </c>
      <c r="AB76" s="138" t="str">
        <f>IF(AA76=0,"",IFERROR(AA76/AA$19,""))</f>
        <v/>
      </c>
      <c r="AC76" s="136"/>
      <c r="AD76" s="134"/>
      <c r="AE76" s="138" t="str">
        <f>IF(AD76=0,"",IFERROR(AD76/AD$19,""))</f>
        <v/>
      </c>
      <c r="AF76" s="137">
        <f t="shared" si="21"/>
        <v>0</v>
      </c>
      <c r="AG76" s="134"/>
      <c r="AH76" s="138" t="str">
        <f>IF(AG76=0,"",IFERROR(AG76/AG$19,""))</f>
        <v/>
      </c>
      <c r="AI76" s="137">
        <f t="shared" si="22"/>
        <v>0</v>
      </c>
    </row>
    <row r="77" spans="1:35" x14ac:dyDescent="0.25">
      <c r="A77" s="11"/>
      <c r="B77" s="11"/>
      <c r="C77" s="11"/>
      <c r="D77" s="11"/>
      <c r="E77" s="11"/>
      <c r="F77" s="11"/>
      <c r="G77" s="11"/>
      <c r="H77" s="181" t="s">
        <v>323</v>
      </c>
      <c r="I77" s="118" t="str">
        <f>IF(_epmOfflineCondition_,"T6",_xll.EVPRO($B$1,$H77,"STYLE"))</f>
        <v>T6</v>
      </c>
      <c r="J77" s="118" t="str">
        <f>IF(_epmOfflineCondition_,"Y",_xll.EVPRO($B$1,$H77,"CALC"))</f>
        <v>Y</v>
      </c>
      <c r="K77" s="86"/>
      <c r="L77" s="86" t="str">
        <f>IF(_epmOfflineCondition_,"465300",_xll.EVPRO($B$1,H77,"JDEID"))</f>
        <v>465300</v>
      </c>
      <c r="M77" s="86" t="str">
        <f>IF(_epmOfflineCondition_,"",IF(AND(I77="N",J77="N"),_xll.EVPRO($B$1,H77,"PSFTID"),""))</f>
        <v/>
      </c>
      <c r="N77" s="86" t="str">
        <f>IF(_epmOfflineCondition_,"Private Dining Beer",IF(_xll.EVDES(H77,$B$1)="#NODATA","",_xll.EVDES(H77,$B$1)))</f>
        <v>Private Dining Beer</v>
      </c>
      <c r="O77" s="134"/>
      <c r="P77" s="134"/>
      <c r="Q77" s="134"/>
      <c r="R77" s="134"/>
      <c r="S77" s="134"/>
      <c r="T77" s="134"/>
      <c r="U77" s="134"/>
      <c r="V77" s="134"/>
      <c r="W77" s="134"/>
      <c r="X77" s="134"/>
      <c r="Y77" s="134"/>
      <c r="Z77" s="134"/>
      <c r="AA77" s="134">
        <f t="shared" si="20"/>
        <v>0</v>
      </c>
      <c r="AB77" s="138" t="str">
        <f>IF(AA77=0,"",IFERROR(AA77/AA$19,""))</f>
        <v/>
      </c>
      <c r="AC77" s="136"/>
      <c r="AD77" s="134"/>
      <c r="AE77" s="138" t="str">
        <f>IF(AD77=0,"",IFERROR(AD77/AD$19,""))</f>
        <v/>
      </c>
      <c r="AF77" s="137">
        <f t="shared" si="21"/>
        <v>0</v>
      </c>
      <c r="AG77" s="134"/>
      <c r="AH77" s="138" t="str">
        <f>IF(AG77=0,"",IFERROR(AG77/AG$19,""))</f>
        <v/>
      </c>
      <c r="AI77" s="137">
        <f t="shared" si="22"/>
        <v>0</v>
      </c>
    </row>
    <row r="78" spans="1:35" x14ac:dyDescent="0.25">
      <c r="A78" s="11"/>
      <c r="B78" s="11"/>
      <c r="C78" s="204"/>
      <c r="D78" s="11"/>
      <c r="E78" s="11"/>
      <c r="F78" s="11"/>
      <c r="G78" s="11"/>
      <c r="H78" s="181" t="s">
        <v>322</v>
      </c>
      <c r="I78" s="118" t="str">
        <f>IF(_epmOfflineCondition_,"T6",_xll.EVPRO($B$1,$H78,"STYLE"))</f>
        <v>T6</v>
      </c>
      <c r="J78" s="118" t="str">
        <f>IF(_epmOfflineCondition_,"Y",_xll.EVPRO($B$1,$H78,"CALC"))</f>
        <v>Y</v>
      </c>
      <c r="K78" s="86"/>
      <c r="L78" s="86" t="str">
        <f>IF(_epmOfflineCondition_,"465400",_xll.EVPRO($B$1,H78,"JDEID"))</f>
        <v>465400</v>
      </c>
      <c r="M78" s="86" t="str">
        <f>IF(_epmOfflineCondition_,"",IF(AND(I78="N",J78="N"),_xll.EVPRO($B$1,H78,"PSFTID"),""))</f>
        <v/>
      </c>
      <c r="N78" s="86" t="str">
        <f>IF(_epmOfflineCondition_,"Private Dining Wine",IF(_xll.EVDES(H78,$B$1)="#NODATA","",_xll.EVDES(H78,$B$1)))</f>
        <v>Private Dining Wine</v>
      </c>
      <c r="O78" s="228"/>
      <c r="P78" s="228"/>
      <c r="Q78" s="228"/>
      <c r="R78" s="228"/>
      <c r="S78" s="228"/>
      <c r="T78" s="228"/>
      <c r="U78" s="228"/>
      <c r="V78" s="228"/>
      <c r="W78" s="228"/>
      <c r="X78" s="228"/>
      <c r="Y78" s="228"/>
      <c r="Z78" s="228"/>
      <c r="AA78" s="228">
        <f t="shared" si="20"/>
        <v>0</v>
      </c>
      <c r="AB78" s="230" t="str">
        <f>IF(AA78=0,"",IFERROR(AA78/AA$19,""))</f>
        <v/>
      </c>
      <c r="AC78" s="136"/>
      <c r="AD78" s="228"/>
      <c r="AE78" s="230" t="str">
        <f>IF(AD78=0,"",IFERROR(AD78/AD$19,""))</f>
        <v/>
      </c>
      <c r="AF78" s="231">
        <f t="shared" si="21"/>
        <v>0</v>
      </c>
      <c r="AG78" s="228"/>
      <c r="AH78" s="230" t="str">
        <f>IF(AG78=0,"",IFERROR(AG78/AG$19,""))</f>
        <v/>
      </c>
      <c r="AI78" s="231">
        <f t="shared" si="22"/>
        <v>0</v>
      </c>
    </row>
    <row r="79" spans="1:35" x14ac:dyDescent="0.25">
      <c r="A79" s="11"/>
      <c r="B79" s="11"/>
      <c r="C79" s="204"/>
      <c r="D79" s="11"/>
      <c r="E79" s="11"/>
      <c r="F79" s="11"/>
      <c r="G79" s="11"/>
      <c r="H79" s="181" t="s">
        <v>329</v>
      </c>
      <c r="I79" s="118" t="str">
        <f>IF(_epmOfflineCondition_,"N",_xll.EVPRO($B$1,$H79,"STYLE"))</f>
        <v>N</v>
      </c>
      <c r="J79" s="118" t="str">
        <f>IF(_epmOfflineCondition_,"Y",_xll.EVPRO($B$1,$H79,"CALC"))</f>
        <v>Y</v>
      </c>
      <c r="K79" s="86"/>
      <c r="L79" s="86" t="str">
        <f>IF(_epmOfflineCondition_,"",_xll.EVPRO($B$1,H79,"JDEID"))</f>
        <v/>
      </c>
      <c r="M79" s="86" t="str">
        <f>IF(_epmOfflineCondition_,"",IF(AND(I79="N",J79="N"),_xll.EVPRO($B$1,H79,"PSFTID"),""))</f>
        <v/>
      </c>
      <c r="N79" s="102" t="str">
        <f>IF(_epmOfflineCondition_,"Private Dining Revenue",IF(_xll.EVDES(H79,$B$1)="#NODATA","",_xll.EVDES(H79,$B$1)))</f>
        <v>Private Dining Revenue</v>
      </c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>
        <f t="shared" si="20"/>
        <v>0</v>
      </c>
      <c r="AB79" s="159" t="str">
        <f>IF(AA79=0,"",IFERROR(AA79/AA$19,""))</f>
        <v/>
      </c>
      <c r="AC79" s="136"/>
      <c r="AD79" s="158"/>
      <c r="AE79" s="159" t="str">
        <f>IF(AD79=0,"",IFERROR(AD79/AD$19,""))</f>
        <v/>
      </c>
      <c r="AF79" s="160">
        <f t="shared" si="21"/>
        <v>0</v>
      </c>
      <c r="AG79" s="158"/>
      <c r="AH79" s="159" t="str">
        <f>IF(AG79=0,"",IFERROR(AG79/AG$19,""))</f>
        <v/>
      </c>
      <c r="AI79" s="160">
        <f t="shared" si="22"/>
        <v>0</v>
      </c>
    </row>
    <row r="80" spans="1:35" x14ac:dyDescent="0.25">
      <c r="A80" s="11"/>
      <c r="B80" s="11"/>
      <c r="C80" s="204"/>
      <c r="D80" s="11"/>
      <c r="E80" s="11"/>
      <c r="F80" s="11"/>
      <c r="G80" s="11"/>
      <c r="H80" s="181" t="s">
        <v>300</v>
      </c>
      <c r="I80" s="118" t="str">
        <f>IF(_epmOfflineCondition_,"N",_xll.EVPRO($B$1,$H80,"STYLE"))</f>
        <v>N</v>
      </c>
      <c r="J80" s="118" t="str">
        <f>IF(_epmOfflineCondition_,"N",_xll.EVPRO($B$1,$H80,"CALC"))</f>
        <v>N</v>
      </c>
      <c r="K80" s="86"/>
      <c r="L80" s="86" t="str">
        <f>IF(_epmOfflineCondition_,"946400",_xll.EVPRO($B$1,H80,"JDEID"))</f>
        <v>946400</v>
      </c>
      <c r="M80" s="86" t="str">
        <f>IF(_epmOfflineCondition_,"991510",IF(AND(I80="N",J80="N"),_xll.EVPRO($B$1,H80,"PSFTID"),""))</f>
        <v>991510</v>
      </c>
      <c r="N80" s="86" t="str">
        <f>IF(_epmOfflineCondition_,"Private Dining Customers",IF(_xll.EVDES(H80,$B$1)="#NODATA","",_xll.EVDES(H80,$B$1)))</f>
        <v>Private Dining Customers</v>
      </c>
      <c r="O80" s="240"/>
      <c r="P80" s="240"/>
      <c r="Q80" s="240"/>
      <c r="R80" s="240"/>
      <c r="S80" s="240"/>
      <c r="T80" s="240"/>
      <c r="U80" s="240"/>
      <c r="V80" s="240"/>
      <c r="W80" s="240"/>
      <c r="X80" s="240"/>
      <c r="Y80" s="240"/>
      <c r="Z80" s="240"/>
      <c r="AA80" s="240">
        <f t="shared" si="20"/>
        <v>0</v>
      </c>
      <c r="AB80" s="242" t="str">
        <f>IF(AA80=0,"",IFERROR(AA80/AA$87,""))</f>
        <v/>
      </c>
      <c r="AC80" s="136"/>
      <c r="AD80" s="240"/>
      <c r="AE80" s="242" t="str">
        <f>IF(AD80=0,"",IFERROR(AD80/AD$87,""))</f>
        <v/>
      </c>
      <c r="AF80" s="243">
        <f t="shared" si="21"/>
        <v>0</v>
      </c>
      <c r="AG80" s="240"/>
      <c r="AH80" s="242" t="str">
        <f>IF(AG80=0,"",IFERROR(AG80/AG$87,""))</f>
        <v/>
      </c>
      <c r="AI80" s="243">
        <f t="shared" si="22"/>
        <v>0</v>
      </c>
    </row>
    <row r="81" spans="1:35" x14ac:dyDescent="0.25">
      <c r="A81" s="11"/>
      <c r="B81" s="11"/>
      <c r="C81" s="204"/>
      <c r="D81" s="11"/>
      <c r="E81" s="11"/>
      <c r="F81" s="11"/>
      <c r="G81" s="11"/>
      <c r="H81" s="181" t="s">
        <v>325</v>
      </c>
      <c r="I81" s="118" t="str">
        <f>IF(_epmOfflineCondition_,"N",_xll.EVPRO($B$1,$H81,"STYLE"))</f>
        <v>N</v>
      </c>
      <c r="J81" s="118" t="str">
        <f>IF(_epmOfflineCondition_,"Y",_xll.EVPRO($B$1,$H81,"CALC"))</f>
        <v>Y</v>
      </c>
      <c r="K81" s="86"/>
      <c r="L81" s="86" t="str">
        <f>IF(_epmOfflineCondition_,"",_xll.EVPRO($B$1,H81,"JDEID"))</f>
        <v/>
      </c>
      <c r="M81" s="86" t="str">
        <f>IF(_epmOfflineCondition_,"",IF(AND(I81="N",J81="N"),_xll.EVPRO($B$1,H81,"PSFTID"),""))</f>
        <v/>
      </c>
      <c r="N81" s="186" t="str">
        <f>IF(_epmOfflineCondition_,"Private Dining - Average Check",IF(_xll.EVDES(H81,$B$1)="#NODATA","",_xll.EVDES(H81,$B$1)))</f>
        <v>Private Dining - Average Check</v>
      </c>
      <c r="O81" s="490"/>
      <c r="P81" s="490"/>
      <c r="Q81" s="490"/>
      <c r="R81" s="490"/>
      <c r="S81" s="490"/>
      <c r="T81" s="490"/>
      <c r="U81" s="490"/>
      <c r="V81" s="490"/>
      <c r="W81" s="490"/>
      <c r="X81" s="490"/>
      <c r="Y81" s="490"/>
      <c r="Z81" s="490"/>
      <c r="AA81" s="490" t="str">
        <f>IFERROR(AA79/AA80,"")</f>
        <v/>
      </c>
      <c r="AB81" s="490"/>
      <c r="AC81" s="136"/>
      <c r="AD81" s="490"/>
      <c r="AE81" s="490"/>
      <c r="AF81" s="491" t="str">
        <f t="shared" si="21"/>
        <v/>
      </c>
      <c r="AG81" s="490"/>
      <c r="AH81" s="490"/>
      <c r="AI81" s="491" t="str">
        <f t="shared" si="22"/>
        <v/>
      </c>
    </row>
    <row r="82" spans="1:35" x14ac:dyDescent="0.25">
      <c r="A82" s="11"/>
      <c r="B82" s="11"/>
      <c r="C82" s="204"/>
      <c r="D82" s="11"/>
      <c r="E82" s="11"/>
      <c r="F82" s="11"/>
      <c r="G82" s="486">
        <f>COUNTIF(O84:AI84,FALSE)</f>
        <v>0</v>
      </c>
      <c r="H82" s="84"/>
      <c r="I82" s="118"/>
      <c r="J82" s="118"/>
      <c r="K82" s="86"/>
      <c r="L82" s="86"/>
      <c r="M82" s="86"/>
      <c r="N82" s="487" t="s">
        <v>345</v>
      </c>
      <c r="O82" s="492">
        <f t="shared" ref="O82:AA82" si="23">ROUND(IFERROR(O79/O80,0),2)</f>
        <v>0</v>
      </c>
      <c r="P82" s="493">
        <f t="shared" si="23"/>
        <v>0</v>
      </c>
      <c r="Q82" s="493">
        <f t="shared" si="23"/>
        <v>0</v>
      </c>
      <c r="R82" s="493">
        <f t="shared" si="23"/>
        <v>0</v>
      </c>
      <c r="S82" s="493">
        <f t="shared" si="23"/>
        <v>0</v>
      </c>
      <c r="T82" s="493">
        <f t="shared" si="23"/>
        <v>0</v>
      </c>
      <c r="U82" s="493">
        <f t="shared" si="23"/>
        <v>0</v>
      </c>
      <c r="V82" s="493">
        <f t="shared" si="23"/>
        <v>0</v>
      </c>
      <c r="W82" s="493">
        <f t="shared" si="23"/>
        <v>0</v>
      </c>
      <c r="X82" s="493">
        <f t="shared" si="23"/>
        <v>0</v>
      </c>
      <c r="Y82" s="493">
        <f t="shared" si="23"/>
        <v>0</v>
      </c>
      <c r="Z82" s="493">
        <f t="shared" si="23"/>
        <v>0</v>
      </c>
      <c r="AA82" s="493">
        <f t="shared" si="23"/>
        <v>0</v>
      </c>
      <c r="AB82" s="494"/>
      <c r="AC82" s="136"/>
      <c r="AD82" s="492">
        <f>ROUND(IFERROR(AD79/AD80,0),2)</f>
        <v>0</v>
      </c>
      <c r="AE82" s="493"/>
      <c r="AF82" s="151"/>
      <c r="AG82" s="492">
        <f>ROUND(IFERROR(AG79/AG80,0),2)</f>
        <v>0</v>
      </c>
      <c r="AH82" s="493"/>
      <c r="AI82" s="151"/>
    </row>
    <row r="83" spans="1:35" x14ac:dyDescent="0.25">
      <c r="A83" s="11"/>
      <c r="B83" s="11"/>
      <c r="C83" s="204"/>
      <c r="D83" s="11"/>
      <c r="E83" s="11"/>
      <c r="F83" s="11"/>
      <c r="G83" s="11"/>
      <c r="H83" s="84" t="s">
        <v>486</v>
      </c>
      <c r="I83" s="118" t="str">
        <f>IF(_epmOfflineCondition_,"T5",_xll.EVPRO($B$1,$H83,"STYLE"))</f>
        <v>T5</v>
      </c>
      <c r="J83" s="118" t="str">
        <f>IF(_epmOfflineCondition_,"Y",_xll.EVPRO($B$1,$H83,"CALC"))</f>
        <v>Y</v>
      </c>
      <c r="K83" s="86"/>
      <c r="L83" s="86" t="str">
        <f>IF(_epmOfflineCondition_,"",_xll.EVPRO($B$1,H83,"JDEID"))</f>
        <v/>
      </c>
      <c r="M83" s="86" t="str">
        <f>IF(_epmOfflineCondition_,"",IF(AND(I83="N",J83="N"),_xll.EVPRO($B$1,H83,"PSFTID"),""))</f>
        <v/>
      </c>
      <c r="N83" s="86" t="str">
        <f>IF(_epmOfflineCondition_,"Food &amp; Beverage: Allowances",IF(_xll.EVDES(H83,$B$1)="#NODATA","",_xll.EVDES(H83,$B$1)))</f>
        <v>Food &amp; Beverage: Allowances</v>
      </c>
      <c r="O83" s="134"/>
      <c r="P83" s="134"/>
      <c r="Q83" s="134"/>
      <c r="R83" s="134"/>
      <c r="S83" s="134"/>
      <c r="T83" s="134"/>
      <c r="U83" s="134"/>
      <c r="V83" s="134"/>
      <c r="W83" s="134"/>
      <c r="X83" s="134"/>
      <c r="Y83" s="134"/>
      <c r="Z83" s="134"/>
      <c r="AA83" s="134">
        <f>SUM(O83:Z83)</f>
        <v>0</v>
      </c>
      <c r="AB83" s="138" t="str">
        <f>IF(AA83=0,"",IFERROR(AA83/AA$19,""))</f>
        <v/>
      </c>
      <c r="AC83" s="136"/>
      <c r="AD83" s="134"/>
      <c r="AE83" s="138" t="str">
        <f>IF(AD83=0,"",IFERROR(AD83/AD$19,""))</f>
        <v/>
      </c>
      <c r="AF83" s="137">
        <f>IF(AND($AA83="",AD83=""),"",$AA83-AD83)</f>
        <v>0</v>
      </c>
      <c r="AG83" s="134"/>
      <c r="AH83" s="138" t="str">
        <f>IF(AG83=0,"",IFERROR(AG83/AG$19,""))</f>
        <v/>
      </c>
      <c r="AI83" s="137">
        <f>IF(AND($AA83="",AG83=""),"",$AA83-AG83)</f>
        <v>0</v>
      </c>
    </row>
    <row r="84" spans="1:35" x14ac:dyDescent="0.25">
      <c r="A84" s="11"/>
      <c r="B84" s="11"/>
      <c r="C84" s="204"/>
      <c r="D84" s="11"/>
      <c r="E84" s="11"/>
      <c r="F84" s="11"/>
      <c r="G84" s="11"/>
      <c r="H84" s="84"/>
      <c r="I84" s="118"/>
      <c r="J84" s="118"/>
      <c r="K84" s="86"/>
      <c r="L84" s="86"/>
      <c r="M84" s="86"/>
      <c r="N84" s="49" t="s">
        <v>348</v>
      </c>
      <c r="O84" s="495" t="b">
        <f t="shared" ref="O84:AA84" si="24">ROUND(O81,2)=ROUND(O82,2)</f>
        <v>1</v>
      </c>
      <c r="P84" s="496" t="b">
        <f t="shared" si="24"/>
        <v>1</v>
      </c>
      <c r="Q84" s="496" t="b">
        <f t="shared" si="24"/>
        <v>1</v>
      </c>
      <c r="R84" s="496" t="b">
        <f t="shared" si="24"/>
        <v>1</v>
      </c>
      <c r="S84" s="496" t="b">
        <f t="shared" si="24"/>
        <v>1</v>
      </c>
      <c r="T84" s="496" t="b">
        <f t="shared" si="24"/>
        <v>1</v>
      </c>
      <c r="U84" s="496" t="b">
        <f t="shared" si="24"/>
        <v>1</v>
      </c>
      <c r="V84" s="496" t="b">
        <f t="shared" si="24"/>
        <v>1</v>
      </c>
      <c r="W84" s="496" t="b">
        <f t="shared" si="24"/>
        <v>1</v>
      </c>
      <c r="X84" s="496" t="b">
        <f t="shared" si="24"/>
        <v>1</v>
      </c>
      <c r="Y84" s="496" t="b">
        <f t="shared" si="24"/>
        <v>1</v>
      </c>
      <c r="Z84" s="496" t="b">
        <f t="shared" si="24"/>
        <v>1</v>
      </c>
      <c r="AA84" s="496" t="e">
        <f t="shared" si="24"/>
        <v>#VALUE!</v>
      </c>
      <c r="AB84" s="497"/>
      <c r="AC84" s="498"/>
      <c r="AD84" s="495"/>
      <c r="AE84" s="496" t="b">
        <f>ROUND(AD81,2)=ROUND(AD82,2)</f>
        <v>1</v>
      </c>
      <c r="AF84" s="497"/>
      <c r="AG84" s="495"/>
      <c r="AH84" s="496" t="b">
        <f>ROUND(AG81,2)=ROUND(AG82,2)</f>
        <v>1</v>
      </c>
      <c r="AI84" s="497"/>
    </row>
    <row r="85" spans="1:35" x14ac:dyDescent="0.25">
      <c r="A85" s="11"/>
      <c r="B85" s="11"/>
      <c r="C85" s="204"/>
      <c r="D85" s="11"/>
      <c r="E85" s="11"/>
      <c r="F85" s="11"/>
      <c r="G85" s="11"/>
      <c r="H85" s="181" t="s">
        <v>273</v>
      </c>
      <c r="I85" s="118" t="str">
        <f>IF(_epmOfflineCondition_,"T4",_xll.EVPRO($B$1,$H85,"STYLE"))</f>
        <v>T4</v>
      </c>
      <c r="J85" s="118" t="str">
        <f>IF(_epmOfflineCondition_,"Y",_xll.EVPRO($B$1,$H85,"CALC"))</f>
        <v>Y</v>
      </c>
      <c r="K85" s="11"/>
      <c r="L85" s="86" t="str">
        <f>IF(_epmOfflineCondition_,"",_xll.EVPRO($B$1,H85,"JDEID"))</f>
        <v/>
      </c>
      <c r="M85" s="86" t="str">
        <f>IF(_epmOfflineCondition_,"",IF(AND(I85="N",J85="N"),_xll.EVPRO($B$1,H85,"PSFTID"),""))</f>
        <v/>
      </c>
      <c r="N85" s="86" t="str">
        <f>IF(_epmOfflineCondition_,"Total Food &amp; Beverage Revenue",IF(_xll.EVDES(H85,$B$1)="#NODATA","",_xll.EVDES(H85,$B$1)))</f>
        <v>Total Food &amp; Beverage Revenue</v>
      </c>
      <c r="O85" s="502"/>
      <c r="P85" s="502"/>
      <c r="Q85" s="502"/>
      <c r="R85" s="502"/>
      <c r="S85" s="502"/>
      <c r="T85" s="502"/>
      <c r="U85" s="502"/>
      <c r="V85" s="502"/>
      <c r="W85" s="502"/>
      <c r="X85" s="502"/>
      <c r="Y85" s="502">
        <v>4358</v>
      </c>
      <c r="Z85" s="502">
        <v>6757</v>
      </c>
      <c r="AA85" s="502">
        <f>SUM(O85:Z85)</f>
        <v>11115</v>
      </c>
      <c r="AB85" s="503">
        <f>IF(AA85=0,"",IFERROR(AA85/AA$19,""))</f>
        <v>1</v>
      </c>
      <c r="AC85" s="136"/>
      <c r="AD85" s="502">
        <v>73090</v>
      </c>
      <c r="AE85" s="503">
        <f>IF(AD85=0,"",IFERROR(AD85/AD$19,""))</f>
        <v>1</v>
      </c>
      <c r="AF85" s="504">
        <f>IF(AND($AA85="",AD85=""),"",$AA85-AD85)</f>
        <v>-61975</v>
      </c>
      <c r="AG85" s="502"/>
      <c r="AH85" s="503" t="str">
        <f>IF(AG85=0,"",IFERROR(AG85/AG$19,""))</f>
        <v/>
      </c>
      <c r="AI85" s="504">
        <f>IF(AND($AA85="",AG85=""),"",$AA85-AG85)</f>
        <v>11115</v>
      </c>
    </row>
    <row r="86" spans="1:35" x14ac:dyDescent="0.25">
      <c r="A86" s="11"/>
      <c r="B86" s="11"/>
      <c r="C86" s="204"/>
      <c r="D86" s="11"/>
      <c r="E86" s="11"/>
      <c r="F86" s="11"/>
      <c r="G86" s="11"/>
      <c r="H86" s="181" t="s">
        <v>768</v>
      </c>
      <c r="I86" s="118" t="str">
        <f>IF(_epmOfflineCondition_,"N",_xll.EVPRO($B$1,$H86,"STYLE"))</f>
        <v>N</v>
      </c>
      <c r="J86" s="118" t="str">
        <f>IF(_epmOfflineCondition_,"N",_xll.EVPRO($B$1,$H86,"CALC"))</f>
        <v>N</v>
      </c>
      <c r="K86" s="11"/>
      <c r="L86" s="86" t="str">
        <f>IF(_epmOfflineCondition_,"947500",_xll.EVPRO($B$1,H86,"JDEID"))</f>
        <v>947500</v>
      </c>
      <c r="M86" s="86" t="str">
        <f>IF(_epmOfflineCondition_,"991552",IF(AND(I86="N",J86="N"),_xll.EVPRO($B$1,H86,"PSFTID"),""))</f>
        <v>991552</v>
      </c>
      <c r="N86" s="86" t="str">
        <f>IF(_epmOfflineCondition_,"# of Seats in Outlet",IF(_xll.EVDES(H86,$B$1)="#NODATA","",_xll.EVDES(H86,$B$1)))</f>
        <v># of Seats in Outlet</v>
      </c>
      <c r="O86" s="502"/>
      <c r="P86" s="502"/>
      <c r="Q86" s="502"/>
      <c r="R86" s="502"/>
      <c r="S86" s="502"/>
      <c r="T86" s="502"/>
      <c r="U86" s="502"/>
      <c r="V86" s="502"/>
      <c r="W86" s="502"/>
      <c r="X86" s="502"/>
      <c r="Y86" s="502"/>
      <c r="Z86" s="502"/>
      <c r="AA86" s="502">
        <f>SUM(O86:Z86)</f>
        <v>0</v>
      </c>
      <c r="AB86" s="503"/>
      <c r="AC86" s="136"/>
      <c r="AD86" s="502"/>
      <c r="AE86" s="503"/>
      <c r="AF86" s="504">
        <f>IF(AND($AA86="",AD86=""),"",$AA86-AD86)</f>
        <v>0</v>
      </c>
      <c r="AG86" s="502"/>
      <c r="AH86" s="503"/>
      <c r="AI86" s="504">
        <f>IF(AND($AA86="",AG86=""),"",$AA86-AG86)</f>
        <v>0</v>
      </c>
    </row>
    <row r="87" spans="1:35" x14ac:dyDescent="0.25">
      <c r="A87" s="11"/>
      <c r="B87" s="11"/>
      <c r="C87" s="204"/>
      <c r="D87" s="11"/>
      <c r="E87" s="11"/>
      <c r="F87" s="11"/>
      <c r="G87" s="11"/>
      <c r="H87" s="181" t="s">
        <v>331</v>
      </c>
      <c r="I87" s="118" t="str">
        <f>IF(_epmOfflineCondition_,"T2",_xll.EVPRO($B$1,$H87,"STYLE"))</f>
        <v>T2</v>
      </c>
      <c r="J87" s="118" t="str">
        <f>IF(_epmOfflineCondition_,"Y",_xll.EVPRO($B$1,$H87,"CALC"))</f>
        <v>Y</v>
      </c>
      <c r="K87" s="11"/>
      <c r="L87" s="86" t="str">
        <f>IF(_epmOfflineCondition_,"946000",_xll.EVPRO($B$1,H87,"JDEID"))</f>
        <v>946000</v>
      </c>
      <c r="M87" s="86" t="str">
        <f>IF(_epmOfflineCondition_,"",IF(AND(I87="N",J87="N"),_xll.EVPRO($B$1,H87,"PSFTID"),""))</f>
        <v/>
      </c>
      <c r="N87" s="86" t="str">
        <f>IF(_epmOfflineCondition_,"Total Customers",IF(_xll.EVDES(H87,$B$1)="#NODATA","",_xll.EVDES(H87,$B$1)))</f>
        <v>Total Customers</v>
      </c>
      <c r="O87" s="502"/>
      <c r="P87" s="502"/>
      <c r="Q87" s="502"/>
      <c r="R87" s="502"/>
      <c r="S87" s="502"/>
      <c r="T87" s="502"/>
      <c r="U87" s="502"/>
      <c r="V87" s="502"/>
      <c r="W87" s="502"/>
      <c r="X87" s="502"/>
      <c r="Y87" s="502">
        <v>224</v>
      </c>
      <c r="Z87" s="502">
        <v>340</v>
      </c>
      <c r="AA87" s="502">
        <f>SUM(O87:Z87)</f>
        <v>564</v>
      </c>
      <c r="AB87" s="503">
        <f>IF(AA87=0,"",IFERROR(AA87/AA$20,""))</f>
        <v>1</v>
      </c>
      <c r="AC87" s="136"/>
      <c r="AD87" s="502">
        <v>2927</v>
      </c>
      <c r="AE87" s="503">
        <f>IF(AD87=0,"",IFERROR(AD87/AD$20,""))</f>
        <v>1</v>
      </c>
      <c r="AF87" s="504">
        <f>IF(AND($AA87="",AD87=""),"",$AA87-AD87)</f>
        <v>-2363</v>
      </c>
      <c r="AG87" s="502"/>
      <c r="AH87" s="503" t="str">
        <f>IF(AG87=0,"",IFERROR(AG87/AG$20,""))</f>
        <v/>
      </c>
      <c r="AI87" s="504">
        <f>IF(AND($AA87="",AG87=""),"",$AA87-AG87)</f>
        <v>564</v>
      </c>
    </row>
    <row r="88" spans="1:35" x14ac:dyDescent="0.25">
      <c r="A88" s="11"/>
      <c r="B88" s="11"/>
      <c r="C88" s="204"/>
      <c r="D88" s="11"/>
      <c r="E88" s="11"/>
      <c r="F88" s="11"/>
      <c r="G88" s="11"/>
      <c r="H88" s="181" t="s">
        <v>311</v>
      </c>
      <c r="I88" s="118" t="str">
        <f>IF(_epmOfflineCondition_,"N",_xll.EVPRO($B$1,$H88,"STYLE"))</f>
        <v>N</v>
      </c>
      <c r="J88" s="118" t="str">
        <f>IF(_epmOfflineCondition_,"Y",_xll.EVPRO($B$1,$H88,"CALC"))</f>
        <v>Y</v>
      </c>
      <c r="K88" s="11"/>
      <c r="L88" s="86"/>
      <c r="M88" s="86" t="str">
        <f>IF(_epmOfflineCondition_,"",IF(AND(I88="N",J88="N"),_xll.EVPRO($B$1,H88,"PSFTID"),""))</f>
        <v/>
      </c>
      <c r="N88" s="86" t="str">
        <f>IF(_epmOfflineCondition_,"Total Average Check",IF(_xll.EVDES(H88,$B$1)="#NODATA","",_xll.EVDES(H88,$B$1)))</f>
        <v>Total Average Check</v>
      </c>
      <c r="O88" s="490"/>
      <c r="P88" s="490"/>
      <c r="Q88" s="490"/>
      <c r="R88" s="490"/>
      <c r="S88" s="490"/>
      <c r="T88" s="490"/>
      <c r="U88" s="490"/>
      <c r="V88" s="490"/>
      <c r="W88" s="490"/>
      <c r="X88" s="490"/>
      <c r="Y88" s="490">
        <v>19.4553571428571</v>
      </c>
      <c r="Z88" s="490">
        <v>19.8735294117647</v>
      </c>
      <c r="AA88" s="490">
        <f>IFERROR(AA85/AA87,"")</f>
        <v>19.707446808510639</v>
      </c>
      <c r="AB88" s="490"/>
      <c r="AC88" s="136"/>
      <c r="AD88" s="490">
        <v>24.970960027331699</v>
      </c>
      <c r="AE88" s="490"/>
      <c r="AF88" s="491">
        <f>IF(AND($AA88="",AD88=""),"",$AA88-AD88)</f>
        <v>-5.2635132188210605</v>
      </c>
      <c r="AG88" s="490"/>
      <c r="AH88" s="490"/>
      <c r="AI88" s="491">
        <f>IF(AND($AA88="",AG88=""),"",$AA88-AG88)</f>
        <v>19.707446808510639</v>
      </c>
    </row>
    <row r="89" spans="1:35" x14ac:dyDescent="0.25">
      <c r="A89" s="11"/>
      <c r="B89" s="11"/>
      <c r="C89" s="204"/>
      <c r="D89" s="11"/>
      <c r="E89" s="11"/>
      <c r="F89" s="11"/>
      <c r="G89" s="11"/>
      <c r="H89" s="181"/>
      <c r="I89" s="118"/>
      <c r="J89" s="118"/>
      <c r="K89" s="11"/>
      <c r="L89" s="86"/>
      <c r="M89" s="86"/>
      <c r="N89" s="86"/>
      <c r="O89" s="166"/>
      <c r="P89" s="167"/>
      <c r="Q89" s="167"/>
      <c r="R89" s="167"/>
      <c r="S89" s="167"/>
      <c r="T89" s="167"/>
      <c r="U89" s="167"/>
      <c r="V89" s="167"/>
      <c r="W89" s="167"/>
      <c r="X89" s="167"/>
      <c r="Y89" s="167"/>
      <c r="Z89" s="167"/>
      <c r="AA89" s="167"/>
      <c r="AB89" s="168"/>
      <c r="AC89" s="136"/>
      <c r="AD89" s="166"/>
      <c r="AE89" s="167"/>
      <c r="AF89" s="168"/>
      <c r="AG89" s="166"/>
      <c r="AH89" s="167"/>
      <c r="AI89" s="168"/>
    </row>
    <row r="90" spans="1:35" x14ac:dyDescent="0.25">
      <c r="A90" s="11"/>
      <c r="B90" s="11"/>
      <c r="C90" s="204"/>
      <c r="D90" s="11"/>
      <c r="E90" s="11"/>
      <c r="F90" s="11"/>
      <c r="G90" s="11"/>
      <c r="H90" s="181"/>
      <c r="I90" s="118"/>
      <c r="J90" s="118"/>
      <c r="K90" s="11"/>
      <c r="L90" s="86"/>
      <c r="M90" s="86"/>
      <c r="N90" s="49" t="s">
        <v>334</v>
      </c>
      <c r="O90" s="154"/>
      <c r="P90" s="155"/>
      <c r="Q90" s="155"/>
      <c r="R90" s="155"/>
      <c r="S90" s="155"/>
      <c r="T90" s="155"/>
      <c r="U90" s="155"/>
      <c r="V90" s="155"/>
      <c r="W90" s="155"/>
      <c r="X90" s="155"/>
      <c r="Y90" s="155"/>
      <c r="Z90" s="155"/>
      <c r="AA90" s="155"/>
      <c r="AB90" s="156"/>
      <c r="AC90" s="136"/>
      <c r="AD90" s="154"/>
      <c r="AE90" s="155"/>
      <c r="AF90" s="156"/>
      <c r="AG90" s="154"/>
      <c r="AH90" s="155"/>
      <c r="AI90" s="156"/>
    </row>
    <row r="91" spans="1:35" hidden="1" outlineLevel="1" x14ac:dyDescent="0.25">
      <c r="A91" s="11"/>
      <c r="B91" s="11"/>
      <c r="C91" s="204"/>
      <c r="D91" s="11"/>
      <c r="E91" s="11"/>
      <c r="F91" s="11"/>
      <c r="G91" s="11"/>
      <c r="H91" s="181" t="s">
        <v>332</v>
      </c>
      <c r="I91" s="118" t="str">
        <f>IF(_epmOfflineCondition_,"T4",_xll.EVPRO($B$1,$H91,"STYLE"))</f>
        <v>T4</v>
      </c>
      <c r="J91" s="118" t="str">
        <f>IF(_epmOfflineCondition_,"Y",_xll.EVPRO($B$1,$H91,"CALC"))</f>
        <v>Y</v>
      </c>
      <c r="K91" s="11"/>
      <c r="L91" s="86"/>
      <c r="M91" s="86"/>
      <c r="N91" s="86" t="str">
        <f>IF(_epmOfflineCondition_,"F&amp;B Kitchen - THW",IF(_xll.EVDES(H91,$B$1)="#NODATA","",_xll.EVDES(H91,$B$1)))</f>
        <v>F&amp;B Kitchen - THW</v>
      </c>
      <c r="O91" s="134"/>
      <c r="P91" s="134"/>
      <c r="Q91" s="134"/>
      <c r="R91" s="134"/>
      <c r="S91" s="134"/>
      <c r="T91" s="134"/>
      <c r="U91" s="134"/>
      <c r="V91" s="134"/>
      <c r="W91" s="134"/>
      <c r="X91" s="134"/>
      <c r="Y91" s="134"/>
      <c r="Z91" s="134"/>
      <c r="AA91" s="134">
        <f>SUM(O91:Z91)</f>
        <v>0</v>
      </c>
      <c r="AB91" s="138"/>
      <c r="AC91" s="136"/>
      <c r="AD91" s="134"/>
      <c r="AE91" s="138"/>
      <c r="AF91" s="137">
        <f>IF(AND($AA91="",AD91=""),"",$AA91-AD91)</f>
        <v>0</v>
      </c>
      <c r="AG91" s="134"/>
      <c r="AH91" s="138"/>
      <c r="AI91" s="137">
        <f>IF(AND($AA91="",AG91=""),"",$AA91-AG91)</f>
        <v>0</v>
      </c>
    </row>
    <row r="92" spans="1:35" hidden="1" outlineLevel="1" x14ac:dyDescent="0.25">
      <c r="A92" s="11"/>
      <c r="B92" s="11"/>
      <c r="C92" s="204"/>
      <c r="D92" s="11"/>
      <c r="E92" s="11"/>
      <c r="F92" s="11"/>
      <c r="G92" s="11"/>
      <c r="H92" s="181" t="s">
        <v>333</v>
      </c>
      <c r="I92" s="118" t="str">
        <f>IF(_epmOfflineCondition_,"T4",_xll.EVPRO($B$1,$H92,"STYLE"))</f>
        <v>T4</v>
      </c>
      <c r="J92" s="118" t="str">
        <f>IF(_epmOfflineCondition_,"Y",_xll.EVPRO($B$1,$H92,"CALC"))</f>
        <v>Y</v>
      </c>
      <c r="K92" s="11"/>
      <c r="L92" s="86"/>
      <c r="M92" s="86"/>
      <c r="N92" s="86" t="str">
        <f>IF(_epmOfflineCondition_,"F&amp;B Venues - THW",IF(_xll.EVDES(H92,$B$1)="#NODATA","",_xll.EVDES(H92,$B$1)))</f>
        <v>F&amp;B Venues - THW</v>
      </c>
      <c r="O92" s="134"/>
      <c r="P92" s="134"/>
      <c r="Q92" s="134"/>
      <c r="R92" s="134"/>
      <c r="S92" s="134"/>
      <c r="T92" s="134"/>
      <c r="U92" s="134"/>
      <c r="V92" s="134"/>
      <c r="W92" s="134"/>
      <c r="X92" s="134"/>
      <c r="Y92" s="134"/>
      <c r="Z92" s="134"/>
      <c r="AA92" s="134">
        <f>SUM(O92:Z92)</f>
        <v>0</v>
      </c>
      <c r="AB92" s="138"/>
      <c r="AC92" s="136"/>
      <c r="AD92" s="134">
        <v>878</v>
      </c>
      <c r="AE92" s="138"/>
      <c r="AF92" s="137">
        <f>IF(AND($AA92="",AD92=""),"",$AA92-AD92)</f>
        <v>-878</v>
      </c>
      <c r="AG92" s="134"/>
      <c r="AH92" s="138"/>
      <c r="AI92" s="137">
        <f>IF(AND($AA92="",AG92=""),"",$AA92-AG92)</f>
        <v>0</v>
      </c>
    </row>
    <row r="93" spans="1:35" collapsed="1" x14ac:dyDescent="0.25">
      <c r="A93" s="11"/>
      <c r="B93" s="11"/>
      <c r="C93" s="204"/>
      <c r="D93" s="11"/>
      <c r="E93" s="11"/>
      <c r="F93" s="11"/>
      <c r="G93" s="11"/>
      <c r="H93" s="181"/>
      <c r="I93" s="118"/>
      <c r="J93" s="118"/>
      <c r="K93" s="11"/>
      <c r="L93" s="86"/>
      <c r="M93" s="86"/>
      <c r="N93" s="100" t="s">
        <v>335</v>
      </c>
      <c r="O93" s="505" t="str">
        <f t="shared" ref="O93:AA93" si="25">IFERROR(O$87/O91,"")</f>
        <v/>
      </c>
      <c r="P93" s="505" t="str">
        <f t="shared" si="25"/>
        <v/>
      </c>
      <c r="Q93" s="505" t="str">
        <f t="shared" si="25"/>
        <v/>
      </c>
      <c r="R93" s="505" t="str">
        <f t="shared" si="25"/>
        <v/>
      </c>
      <c r="S93" s="505" t="str">
        <f t="shared" si="25"/>
        <v/>
      </c>
      <c r="T93" s="505" t="str">
        <f t="shared" si="25"/>
        <v/>
      </c>
      <c r="U93" s="505" t="str">
        <f t="shared" si="25"/>
        <v/>
      </c>
      <c r="V93" s="505" t="str">
        <f t="shared" si="25"/>
        <v/>
      </c>
      <c r="W93" s="505" t="str">
        <f t="shared" si="25"/>
        <v/>
      </c>
      <c r="X93" s="505" t="str">
        <f t="shared" si="25"/>
        <v/>
      </c>
      <c r="Y93" s="505" t="str">
        <f t="shared" si="25"/>
        <v/>
      </c>
      <c r="Z93" s="505" t="str">
        <f t="shared" si="25"/>
        <v/>
      </c>
      <c r="AA93" s="505" t="str">
        <f t="shared" si="25"/>
        <v/>
      </c>
      <c r="AB93" s="506"/>
      <c r="AC93" s="136"/>
      <c r="AD93" s="505" t="str">
        <f>IFERROR(AD$87/AD91,"")</f>
        <v/>
      </c>
      <c r="AE93" s="506"/>
      <c r="AF93" s="226" t="str">
        <f>IF(AND($AA93="",AD93=""),"",$AA93-AD93)</f>
        <v/>
      </c>
      <c r="AG93" s="505" t="str">
        <f>IFERROR(AG$87/AG91,"")</f>
        <v/>
      </c>
      <c r="AH93" s="506"/>
      <c r="AI93" s="226" t="str">
        <f>IF(AND($AA93="",AG93=""),"",$AA93-AG93)</f>
        <v/>
      </c>
    </row>
    <row r="94" spans="1:35" x14ac:dyDescent="0.25">
      <c r="A94" s="11"/>
      <c r="B94" s="11"/>
      <c r="C94" s="204"/>
      <c r="D94" s="11"/>
      <c r="E94" s="11"/>
      <c r="F94" s="11"/>
      <c r="G94" s="11"/>
      <c r="H94" s="181"/>
      <c r="I94" s="118"/>
      <c r="J94" s="118"/>
      <c r="K94" s="11"/>
      <c r="L94" s="86"/>
      <c r="M94" s="86"/>
      <c r="N94" s="100" t="s">
        <v>336</v>
      </c>
      <c r="O94" s="505" t="str">
        <f t="shared" ref="O94:AA94" si="26">IFERROR(O$87/O92,"")</f>
        <v/>
      </c>
      <c r="P94" s="505" t="str">
        <f t="shared" si="26"/>
        <v/>
      </c>
      <c r="Q94" s="505" t="str">
        <f t="shared" si="26"/>
        <v/>
      </c>
      <c r="R94" s="505" t="str">
        <f t="shared" si="26"/>
        <v/>
      </c>
      <c r="S94" s="505" t="str">
        <f t="shared" si="26"/>
        <v/>
      </c>
      <c r="T94" s="505" t="str">
        <f t="shared" si="26"/>
        <v/>
      </c>
      <c r="U94" s="505" t="str">
        <f t="shared" si="26"/>
        <v/>
      </c>
      <c r="V94" s="505" t="str">
        <f t="shared" si="26"/>
        <v/>
      </c>
      <c r="W94" s="505" t="str">
        <f t="shared" si="26"/>
        <v/>
      </c>
      <c r="X94" s="505" t="str">
        <f t="shared" si="26"/>
        <v/>
      </c>
      <c r="Y94" s="505" t="str">
        <f t="shared" si="26"/>
        <v/>
      </c>
      <c r="Z94" s="505" t="str">
        <f t="shared" si="26"/>
        <v/>
      </c>
      <c r="AA94" s="505" t="str">
        <f t="shared" si="26"/>
        <v/>
      </c>
      <c r="AB94" s="506"/>
      <c r="AC94" s="136"/>
      <c r="AD94" s="505">
        <f>IFERROR(AD$87/AD92,"")</f>
        <v>3.3337129840546695</v>
      </c>
      <c r="AE94" s="506"/>
      <c r="AF94" s="226" t="e">
        <f>IF(AND($AA94="",AD94=""),"",$AA94-AD94)</f>
        <v>#VALUE!</v>
      </c>
      <c r="AG94" s="505" t="str">
        <f>IFERROR(AG$87/AG92,"")</f>
        <v/>
      </c>
      <c r="AH94" s="506"/>
      <c r="AI94" s="226" t="str">
        <f>IF(AND($AA94="",AG94=""),"",$AA94-AG94)</f>
        <v/>
      </c>
    </row>
    <row r="95" spans="1:35" x14ac:dyDescent="0.25">
      <c r="A95" s="11"/>
      <c r="B95" s="11"/>
      <c r="C95" s="204"/>
      <c r="D95" s="11"/>
      <c r="E95" s="11"/>
      <c r="F95" s="11"/>
      <c r="G95" s="11"/>
      <c r="H95" s="181"/>
      <c r="I95" s="118"/>
      <c r="J95" s="118"/>
      <c r="K95" s="11"/>
      <c r="L95" s="86"/>
      <c r="M95" s="86"/>
      <c r="N95" s="86"/>
      <c r="O95" s="507"/>
      <c r="P95" s="508"/>
      <c r="Q95" s="508"/>
      <c r="R95" s="508"/>
      <c r="S95" s="508"/>
      <c r="T95" s="508"/>
      <c r="U95" s="508"/>
      <c r="V95" s="508"/>
      <c r="W95" s="508"/>
      <c r="X95" s="508"/>
      <c r="Y95" s="508"/>
      <c r="Z95" s="508"/>
      <c r="AA95" s="508"/>
      <c r="AB95" s="153"/>
      <c r="AC95" s="136"/>
      <c r="AD95" s="509"/>
      <c r="AE95" s="477"/>
      <c r="AF95" s="153"/>
      <c r="AG95" s="477"/>
      <c r="AH95" s="477"/>
      <c r="AI95" s="153"/>
    </row>
    <row r="96" spans="1:35" x14ac:dyDescent="0.25">
      <c r="A96" s="11"/>
      <c r="B96" s="11"/>
      <c r="C96" s="204"/>
      <c r="D96" s="11"/>
      <c r="E96" s="11"/>
      <c r="F96" s="11"/>
      <c r="G96" s="11"/>
      <c r="H96" s="181"/>
      <c r="I96" s="118"/>
      <c r="J96" s="118"/>
      <c r="K96" s="11"/>
      <c r="L96" s="86"/>
      <c r="M96" s="86"/>
      <c r="N96" s="49" t="s">
        <v>343</v>
      </c>
      <c r="O96" s="509"/>
      <c r="P96" s="477"/>
      <c r="Q96" s="477"/>
      <c r="R96" s="477"/>
      <c r="S96" s="477"/>
      <c r="T96" s="477"/>
      <c r="U96" s="477"/>
      <c r="V96" s="477"/>
      <c r="W96" s="477"/>
      <c r="X96" s="477"/>
      <c r="Y96" s="477"/>
      <c r="Z96" s="477"/>
      <c r="AA96" s="477"/>
      <c r="AB96" s="510"/>
      <c r="AC96" s="136"/>
      <c r="AD96" s="511"/>
      <c r="AE96" s="512"/>
      <c r="AF96" s="153"/>
      <c r="AG96" s="477"/>
      <c r="AH96" s="512"/>
      <c r="AI96" s="153"/>
    </row>
    <row r="97" spans="1:35" x14ac:dyDescent="0.25">
      <c r="A97" s="11"/>
      <c r="B97" s="11"/>
      <c r="C97" s="204"/>
      <c r="D97" s="11"/>
      <c r="E97" s="11"/>
      <c r="F97" s="11"/>
      <c r="G97" s="11"/>
      <c r="H97" s="181"/>
      <c r="I97" s="118"/>
      <c r="J97" s="118"/>
      <c r="K97" s="11"/>
      <c r="L97" s="86"/>
      <c r="M97" s="86"/>
      <c r="N97" s="49" t="s">
        <v>337</v>
      </c>
      <c r="O97" s="154"/>
      <c r="P97" s="155"/>
      <c r="Q97" s="155"/>
      <c r="R97" s="155"/>
      <c r="S97" s="155"/>
      <c r="T97" s="155"/>
      <c r="U97" s="155"/>
      <c r="V97" s="155"/>
      <c r="W97" s="155"/>
      <c r="X97" s="155"/>
      <c r="Y97" s="155"/>
      <c r="Z97" s="155"/>
      <c r="AA97" s="155"/>
      <c r="AB97" s="156"/>
      <c r="AC97" s="136"/>
      <c r="AD97" s="154"/>
      <c r="AE97" s="155"/>
      <c r="AF97" s="156"/>
      <c r="AG97" s="155"/>
      <c r="AH97" s="155"/>
      <c r="AI97" s="156"/>
    </row>
    <row r="98" spans="1:35" x14ac:dyDescent="0.25">
      <c r="A98" s="11"/>
      <c r="B98" s="11"/>
      <c r="C98" s="204"/>
      <c r="D98" s="11"/>
      <c r="E98" s="11"/>
      <c r="F98" s="11"/>
      <c r="G98" s="11"/>
      <c r="H98" s="181" t="s">
        <v>294</v>
      </c>
      <c r="I98" s="118"/>
      <c r="J98" s="118"/>
      <c r="K98" s="11"/>
      <c r="L98" s="86" t="str">
        <f>IF(_epmOfflineCondition_,"461200",_xll.EVPRO($B$1,H98,"JDEID"))</f>
        <v>461200</v>
      </c>
      <c r="M98" s="86" t="str">
        <f>IF(_epmOfflineCondition_,"",IF(AND(I98="N",J98="N"),_xll.EVPRO($B$1,H98,"PSFTID"),""))</f>
        <v/>
      </c>
      <c r="N98" s="86" t="str">
        <f>IF(_epmOfflineCondition_,"Breakfast Liquor",IF(_xll.EVDES(H98,$B$1)="#NODATA","",_xll.EVDES(H98,$B$1)))</f>
        <v>Breakfast Liquor</v>
      </c>
      <c r="O98" s="134"/>
      <c r="P98" s="134"/>
      <c r="Q98" s="134"/>
      <c r="R98" s="134"/>
      <c r="S98" s="134"/>
      <c r="T98" s="134"/>
      <c r="U98" s="134"/>
      <c r="V98" s="134"/>
      <c r="W98" s="134"/>
      <c r="X98" s="134"/>
      <c r="Y98" s="134"/>
      <c r="Z98" s="134">
        <v>12</v>
      </c>
      <c r="AA98" s="134">
        <f t="shared" ref="AA98:AA103" si="27">SUM(O98:Z98)</f>
        <v>12</v>
      </c>
      <c r="AB98" s="138">
        <f t="shared" ref="AB98:AB103" si="28">IF(AA98=0,"",IFERROR(AA98/AA$19,""))</f>
        <v>1.0796221322537112E-3</v>
      </c>
      <c r="AC98" s="136"/>
      <c r="AD98" s="134">
        <v>959.66650000000004</v>
      </c>
      <c r="AE98" s="138">
        <f t="shared" ref="AE98:AE103" si="29">IF(AD98=0,"",IFERROR(AD98/AD$19,""))</f>
        <v>1.3129928854836503E-2</v>
      </c>
      <c r="AF98" s="137">
        <f t="shared" ref="AF98:AF103" si="30">IF(AND($AA98="",AD98=""),"",$AA98-AD98)</f>
        <v>-947.66650000000004</v>
      </c>
      <c r="AG98" s="134"/>
      <c r="AH98" s="138" t="str">
        <f t="shared" ref="AH98:AH103" si="31">IF(AG98=0,"",IFERROR(AG98/AG$19,""))</f>
        <v/>
      </c>
      <c r="AI98" s="137">
        <f t="shared" ref="AI98:AI103" si="32">IF(AND($AA98="",AG98=""),"",$AA98-AG98)</f>
        <v>12</v>
      </c>
    </row>
    <row r="99" spans="1:35" x14ac:dyDescent="0.25">
      <c r="A99" s="11"/>
      <c r="B99" s="11"/>
      <c r="C99" s="204"/>
      <c r="D99" s="11"/>
      <c r="E99" s="11"/>
      <c r="F99" s="11"/>
      <c r="G99" s="11"/>
      <c r="H99" s="181" t="s">
        <v>301</v>
      </c>
      <c r="I99" s="118"/>
      <c r="J99" s="118"/>
      <c r="K99" s="11"/>
      <c r="L99" s="86" t="str">
        <f>IF(_epmOfflineCondition_,"462200",_xll.EVPRO($B$1,H99,"JDEID"))</f>
        <v>462200</v>
      </c>
      <c r="M99" s="86" t="str">
        <f>IF(_epmOfflineCondition_,"",IF(AND(I99="N",J99="N"),_xll.EVPRO($B$1,H99,"PSFTID"),""))</f>
        <v/>
      </c>
      <c r="N99" s="86" t="str">
        <f>IF(_epmOfflineCondition_,"Lunch Liquor",IF(_xll.EVDES(H99,$B$1)="#NODATA","",_xll.EVDES(H99,$B$1)))</f>
        <v>Lunch Liquor</v>
      </c>
      <c r="O99" s="134"/>
      <c r="P99" s="134"/>
      <c r="Q99" s="134"/>
      <c r="R99" s="134"/>
      <c r="S99" s="134"/>
      <c r="T99" s="134"/>
      <c r="U99" s="134"/>
      <c r="V99" s="134"/>
      <c r="W99" s="134"/>
      <c r="X99" s="134"/>
      <c r="Y99" s="134">
        <v>38</v>
      </c>
      <c r="Z99" s="134">
        <v>136</v>
      </c>
      <c r="AA99" s="134">
        <f t="shared" si="27"/>
        <v>174</v>
      </c>
      <c r="AB99" s="138">
        <f t="shared" si="28"/>
        <v>1.5654520917678813E-2</v>
      </c>
      <c r="AC99" s="136"/>
      <c r="AD99" s="134">
        <v>1418.472</v>
      </c>
      <c r="AE99" s="138">
        <f t="shared" si="29"/>
        <v>1.9407196606922972E-2</v>
      </c>
      <c r="AF99" s="137">
        <f t="shared" si="30"/>
        <v>-1244.472</v>
      </c>
      <c r="AG99" s="134"/>
      <c r="AH99" s="138" t="str">
        <f t="shared" si="31"/>
        <v/>
      </c>
      <c r="AI99" s="137">
        <f t="shared" si="32"/>
        <v>174</v>
      </c>
    </row>
    <row r="100" spans="1:35" x14ac:dyDescent="0.25">
      <c r="A100" s="11"/>
      <c r="B100" s="11"/>
      <c r="C100" s="204"/>
      <c r="D100" s="11"/>
      <c r="E100" s="11"/>
      <c r="F100" s="11"/>
      <c r="G100" s="11"/>
      <c r="H100" s="181" t="s">
        <v>302</v>
      </c>
      <c r="I100" s="118"/>
      <c r="J100" s="118"/>
      <c r="K100" s="11"/>
      <c r="L100" s="86" t="str">
        <f>IF(_epmOfflineCondition_,"463200",_xll.EVPRO($B$1,H100,"JDEID"))</f>
        <v>463200</v>
      </c>
      <c r="M100" s="86" t="str">
        <f>IF(_epmOfflineCondition_,"",IF(AND(I100="N",J100="N"),_xll.EVPRO($B$1,H100,"PSFTID"),""))</f>
        <v/>
      </c>
      <c r="N100" s="86" t="str">
        <f>IF(_epmOfflineCondition_,"Dinner Liquor",IF(_xll.EVDES(H100,$B$1)="#NODATA","",_xll.EVDES(H100,$B$1)))</f>
        <v>Dinner Liquor</v>
      </c>
      <c r="O100" s="134"/>
      <c r="P100" s="134"/>
      <c r="Q100" s="134"/>
      <c r="R100" s="134"/>
      <c r="S100" s="134"/>
      <c r="T100" s="134"/>
      <c r="U100" s="134"/>
      <c r="V100" s="134"/>
      <c r="W100" s="134"/>
      <c r="X100" s="134"/>
      <c r="Y100" s="134">
        <v>44</v>
      </c>
      <c r="Z100" s="134">
        <v>29</v>
      </c>
      <c r="AA100" s="134">
        <f t="shared" si="27"/>
        <v>73</v>
      </c>
      <c r="AB100" s="138">
        <f t="shared" si="28"/>
        <v>6.56770130454341E-3</v>
      </c>
      <c r="AC100" s="136"/>
      <c r="AD100" s="134">
        <v>6513.7380000000003</v>
      </c>
      <c r="AE100" s="138">
        <f t="shared" si="29"/>
        <v>8.9119414420577373E-2</v>
      </c>
      <c r="AF100" s="137">
        <f t="shared" si="30"/>
        <v>-6440.7380000000003</v>
      </c>
      <c r="AG100" s="134"/>
      <c r="AH100" s="138" t="str">
        <f t="shared" si="31"/>
        <v/>
      </c>
      <c r="AI100" s="137">
        <f t="shared" si="32"/>
        <v>73</v>
      </c>
    </row>
    <row r="101" spans="1:35" x14ac:dyDescent="0.25">
      <c r="A101" s="11"/>
      <c r="B101" s="11"/>
      <c r="C101" s="204"/>
      <c r="D101" s="11"/>
      <c r="E101" s="11"/>
      <c r="F101" s="11"/>
      <c r="G101" s="11"/>
      <c r="H101" s="181" t="s">
        <v>308</v>
      </c>
      <c r="I101" s="118"/>
      <c r="J101" s="118"/>
      <c r="K101" s="11"/>
      <c r="L101" s="86" t="str">
        <f>IF(_epmOfflineCondition_,"464200",_xll.EVPRO($B$1,H101,"JDEID"))</f>
        <v>464200</v>
      </c>
      <c r="M101" s="86" t="str">
        <f>IF(_epmOfflineCondition_,"",IF(AND(I101="N",J101="N"),_xll.EVPRO($B$1,H101,"PSFTID"),""))</f>
        <v/>
      </c>
      <c r="N101" s="86" t="str">
        <f>IF(_epmOfflineCondition_,"Bar Liquor",IF(_xll.EVDES(H101,$B$1)="#NODATA","",_xll.EVDES(H101,$B$1)))</f>
        <v>Bar Liquor</v>
      </c>
      <c r="O101" s="134"/>
      <c r="P101" s="134"/>
      <c r="Q101" s="134"/>
      <c r="R101" s="134"/>
      <c r="S101" s="134"/>
      <c r="T101" s="134"/>
      <c r="U101" s="134"/>
      <c r="V101" s="134"/>
      <c r="W101" s="134"/>
      <c r="X101" s="134"/>
      <c r="Y101" s="134"/>
      <c r="Z101" s="134"/>
      <c r="AA101" s="134">
        <f t="shared" si="27"/>
        <v>0</v>
      </c>
      <c r="AB101" s="138" t="str">
        <f t="shared" si="28"/>
        <v/>
      </c>
      <c r="AC101" s="136"/>
      <c r="AD101" s="134"/>
      <c r="AE101" s="138" t="str">
        <f t="shared" si="29"/>
        <v/>
      </c>
      <c r="AF101" s="137">
        <f t="shared" si="30"/>
        <v>0</v>
      </c>
      <c r="AG101" s="134"/>
      <c r="AH101" s="138" t="str">
        <f t="shared" si="31"/>
        <v/>
      </c>
      <c r="AI101" s="137">
        <f t="shared" si="32"/>
        <v>0</v>
      </c>
    </row>
    <row r="102" spans="1:35" x14ac:dyDescent="0.25">
      <c r="A102" s="11"/>
      <c r="B102" s="11"/>
      <c r="C102" s="204"/>
      <c r="D102" s="11"/>
      <c r="E102" s="11"/>
      <c r="F102" s="11"/>
      <c r="G102" s="11"/>
      <c r="H102" s="181" t="s">
        <v>321</v>
      </c>
      <c r="I102" s="118"/>
      <c r="J102" s="118"/>
      <c r="K102" s="11"/>
      <c r="L102" s="86" t="str">
        <f>IF(_epmOfflineCondition_,"465200",_xll.EVPRO($B$1,H102,"JDEID"))</f>
        <v>465200</v>
      </c>
      <c r="M102" s="86" t="str">
        <f>IF(_epmOfflineCondition_,"",IF(AND(I102="N",J102="N"),_xll.EVPRO($B$1,H102,"PSFTID"),""))</f>
        <v/>
      </c>
      <c r="N102" s="86" t="str">
        <f>IF(_epmOfflineCondition_,"Private Dining Liquor",IF(_xll.EVDES(H102,$B$1)="#NODATA","",_xll.EVDES(H102,$B$1)))</f>
        <v>Private Dining Liquor</v>
      </c>
      <c r="O102" s="134"/>
      <c r="P102" s="134"/>
      <c r="Q102" s="134"/>
      <c r="R102" s="134"/>
      <c r="S102" s="134"/>
      <c r="T102" s="134"/>
      <c r="U102" s="134"/>
      <c r="V102" s="134"/>
      <c r="W102" s="134"/>
      <c r="X102" s="134"/>
      <c r="Y102" s="134"/>
      <c r="Z102" s="134"/>
      <c r="AA102" s="134">
        <f t="shared" si="27"/>
        <v>0</v>
      </c>
      <c r="AB102" s="138" t="str">
        <f t="shared" si="28"/>
        <v/>
      </c>
      <c r="AC102" s="136"/>
      <c r="AD102" s="134"/>
      <c r="AE102" s="138" t="str">
        <f t="shared" si="29"/>
        <v/>
      </c>
      <c r="AF102" s="137">
        <f t="shared" si="30"/>
        <v>0</v>
      </c>
      <c r="AG102" s="134"/>
      <c r="AH102" s="138" t="str">
        <f t="shared" si="31"/>
        <v/>
      </c>
      <c r="AI102" s="137">
        <f t="shared" si="32"/>
        <v>0</v>
      </c>
    </row>
    <row r="103" spans="1:35" x14ac:dyDescent="0.25">
      <c r="A103" s="11"/>
      <c r="B103" s="11"/>
      <c r="C103" s="204"/>
      <c r="D103" s="11"/>
      <c r="E103" s="11"/>
      <c r="F103" s="11"/>
      <c r="G103" s="11"/>
      <c r="H103" s="181" t="s">
        <v>340</v>
      </c>
      <c r="I103" s="118"/>
      <c r="J103" s="118"/>
      <c r="K103" s="11"/>
      <c r="L103" s="86" t="str">
        <f>IF(_epmOfflineCondition_,"",_xll.EVPRO($B$1,H103,"JDEID"))</f>
        <v/>
      </c>
      <c r="M103" s="86" t="str">
        <f>IF(_epmOfflineCondition_,"",IF(AND(I103="N",J103="N"),_xll.EVPRO($B$1,H103,"PSFTID"),""))</f>
        <v/>
      </c>
      <c r="N103" s="102" t="str">
        <f>IF(_epmOfflineCondition_,"Liquor Revenue ",IF(_xll.EVDES(H103,$B$1)="#NODATA","",_xll.EVDES(H103,$B$1)))</f>
        <v xml:space="preserve">Liquor Revenue </v>
      </c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>
        <v>82</v>
      </c>
      <c r="Z103" s="158">
        <v>177</v>
      </c>
      <c r="AA103" s="158">
        <f t="shared" si="27"/>
        <v>259</v>
      </c>
      <c r="AB103" s="159">
        <f t="shared" si="28"/>
        <v>2.3301844354475933E-2</v>
      </c>
      <c r="AC103" s="136"/>
      <c r="AD103" s="158">
        <v>8891.8765000000003</v>
      </c>
      <c r="AE103" s="159">
        <f t="shared" si="29"/>
        <v>0.12165653988233685</v>
      </c>
      <c r="AF103" s="160">
        <f t="shared" si="30"/>
        <v>-8632.8765000000003</v>
      </c>
      <c r="AG103" s="158"/>
      <c r="AH103" s="159" t="str">
        <f t="shared" si="31"/>
        <v/>
      </c>
      <c r="AI103" s="160">
        <f t="shared" si="32"/>
        <v>259</v>
      </c>
    </row>
    <row r="104" spans="1:35" x14ac:dyDescent="0.25">
      <c r="A104" s="11"/>
      <c r="B104" s="11"/>
      <c r="C104" s="204"/>
      <c r="D104" s="11"/>
      <c r="E104" s="11"/>
      <c r="F104" s="11"/>
      <c r="G104" s="11"/>
      <c r="H104" s="181"/>
      <c r="I104" s="118"/>
      <c r="J104" s="118"/>
      <c r="K104" s="11"/>
      <c r="L104" s="86"/>
      <c r="M104" s="86"/>
      <c r="N104" s="49"/>
      <c r="O104" s="166"/>
      <c r="P104" s="167"/>
      <c r="Q104" s="167"/>
      <c r="R104" s="167"/>
      <c r="S104" s="167"/>
      <c r="T104" s="167"/>
      <c r="U104" s="167"/>
      <c r="V104" s="167"/>
      <c r="W104" s="167"/>
      <c r="X104" s="167"/>
      <c r="Y104" s="167"/>
      <c r="Z104" s="167"/>
      <c r="AA104" s="167"/>
      <c r="AB104" s="168"/>
      <c r="AC104" s="136"/>
      <c r="AD104" s="166"/>
      <c r="AE104" s="167"/>
      <c r="AF104" s="168"/>
      <c r="AG104" s="166"/>
      <c r="AH104" s="167"/>
      <c r="AI104" s="168"/>
    </row>
    <row r="105" spans="1:35" x14ac:dyDescent="0.25">
      <c r="A105" s="11"/>
      <c r="B105" s="11"/>
      <c r="C105" s="204"/>
      <c r="D105" s="11"/>
      <c r="E105" s="11"/>
      <c r="F105" s="11"/>
      <c r="G105" s="11"/>
      <c r="H105" s="181"/>
      <c r="I105" s="118"/>
      <c r="J105" s="118"/>
      <c r="K105" s="11"/>
      <c r="L105" s="86"/>
      <c r="M105" s="86"/>
      <c r="N105" s="49" t="s">
        <v>339</v>
      </c>
      <c r="O105" s="154"/>
      <c r="P105" s="155"/>
      <c r="Q105" s="155"/>
      <c r="R105" s="155"/>
      <c r="S105" s="155"/>
      <c r="T105" s="155"/>
      <c r="U105" s="155"/>
      <c r="V105" s="155"/>
      <c r="W105" s="155"/>
      <c r="X105" s="155"/>
      <c r="Y105" s="155"/>
      <c r="Z105" s="155"/>
      <c r="AA105" s="155"/>
      <c r="AB105" s="156"/>
      <c r="AC105" s="136"/>
      <c r="AD105" s="154"/>
      <c r="AE105" s="155"/>
      <c r="AF105" s="156"/>
      <c r="AG105" s="154"/>
      <c r="AH105" s="155"/>
      <c r="AI105" s="156"/>
    </row>
    <row r="106" spans="1:35" x14ac:dyDescent="0.25">
      <c r="A106" s="11"/>
      <c r="B106" s="11"/>
      <c r="C106" s="204"/>
      <c r="D106" s="11"/>
      <c r="E106" s="11"/>
      <c r="F106" s="11"/>
      <c r="G106" s="11"/>
      <c r="H106" s="181" t="s">
        <v>295</v>
      </c>
      <c r="I106" s="118"/>
      <c r="J106" s="118"/>
      <c r="K106" s="11"/>
      <c r="L106" s="86" t="str">
        <f>IF(_epmOfflineCondition_,"461300",_xll.EVPRO($B$1,H106,"JDEID"))</f>
        <v>461300</v>
      </c>
      <c r="M106" s="86" t="str">
        <f>IF(_epmOfflineCondition_,"",IF(AND(I106="N",J106="N"),_xll.EVPRO($B$1,H106,"PSFTID"),""))</f>
        <v/>
      </c>
      <c r="N106" s="86" t="str">
        <f>IF(_epmOfflineCondition_,"Breakfast Beer",IF(_xll.EVDES(H106,$B$1)="#NODATA","",_xll.EVDES(H106,$B$1)))</f>
        <v>Breakfast Beer</v>
      </c>
      <c r="O106" s="134"/>
      <c r="P106" s="134"/>
      <c r="Q106" s="134"/>
      <c r="R106" s="134"/>
      <c r="S106" s="134"/>
      <c r="T106" s="134"/>
      <c r="U106" s="134"/>
      <c r="V106" s="134"/>
      <c r="W106" s="134"/>
      <c r="X106" s="134"/>
      <c r="Y106" s="134"/>
      <c r="Z106" s="134"/>
      <c r="AA106" s="134">
        <f t="shared" ref="AA106:AA111" si="33">SUM(O106:Z106)</f>
        <v>0</v>
      </c>
      <c r="AB106" s="138" t="str">
        <f t="shared" ref="AB106:AB111" si="34">IF(AA106=0,"",IFERROR(AA106/AA$19,""))</f>
        <v/>
      </c>
      <c r="AC106" s="136"/>
      <c r="AD106" s="134">
        <v>183.61850000000001</v>
      </c>
      <c r="AE106" s="138">
        <f t="shared" ref="AE106:AE111" si="35">IF(AD106=0,"",IFERROR(AD106/AD$19,""))</f>
        <v>2.5122246545355043E-3</v>
      </c>
      <c r="AF106" s="137">
        <f t="shared" ref="AF106:AF111" si="36">IF(AND($AA106="",AD106=""),"",$AA106-AD106)</f>
        <v>-183.61850000000001</v>
      </c>
      <c r="AG106" s="134"/>
      <c r="AH106" s="138" t="str">
        <f t="shared" ref="AH106:AH111" si="37">IF(AG106=0,"",IFERROR(AG106/AG$19,""))</f>
        <v/>
      </c>
      <c r="AI106" s="137">
        <f t="shared" ref="AI106:AI111" si="38">IF(AND($AA106="",AG106=""),"",$AA106-AG106)</f>
        <v>0</v>
      </c>
    </row>
    <row r="107" spans="1:35" x14ac:dyDescent="0.25">
      <c r="A107" s="11"/>
      <c r="B107" s="11"/>
      <c r="C107" s="204"/>
      <c r="D107" s="11"/>
      <c r="E107" s="11"/>
      <c r="F107" s="11"/>
      <c r="G107" s="11"/>
      <c r="H107" s="181" t="s">
        <v>305</v>
      </c>
      <c r="I107" s="118"/>
      <c r="J107" s="118"/>
      <c r="K107" s="11"/>
      <c r="L107" s="86" t="str">
        <f>IF(_epmOfflineCondition_,"462300",_xll.EVPRO($B$1,H107,"JDEID"))</f>
        <v>462300</v>
      </c>
      <c r="M107" s="86" t="str">
        <f>IF(_epmOfflineCondition_,"",IF(AND(I107="N",J107="N"),_xll.EVPRO($B$1,H107,"PSFTID"),""))</f>
        <v/>
      </c>
      <c r="N107" s="86" t="str">
        <f>IF(_epmOfflineCondition_,"Lunch Beer",IF(_xll.EVDES(H107,$B$1)="#NODATA","",_xll.EVDES(H107,$B$1)))</f>
        <v>Lunch Beer</v>
      </c>
      <c r="O107" s="134"/>
      <c r="P107" s="134"/>
      <c r="Q107" s="134"/>
      <c r="R107" s="134"/>
      <c r="S107" s="134"/>
      <c r="T107" s="134"/>
      <c r="U107" s="134"/>
      <c r="V107" s="134"/>
      <c r="W107" s="134"/>
      <c r="X107" s="134"/>
      <c r="Y107" s="134">
        <v>12</v>
      </c>
      <c r="Z107" s="134">
        <v>28</v>
      </c>
      <c r="AA107" s="134">
        <f t="shared" si="33"/>
        <v>40</v>
      </c>
      <c r="AB107" s="138">
        <f t="shared" si="34"/>
        <v>3.5987404408457041E-3</v>
      </c>
      <c r="AC107" s="136"/>
      <c r="AD107" s="134">
        <v>179.38800000000001</v>
      </c>
      <c r="AE107" s="138">
        <f t="shared" si="35"/>
        <v>2.4543439595019838E-3</v>
      </c>
      <c r="AF107" s="137">
        <f t="shared" si="36"/>
        <v>-139.38800000000001</v>
      </c>
      <c r="AG107" s="134"/>
      <c r="AH107" s="138" t="str">
        <f t="shared" si="37"/>
        <v/>
      </c>
      <c r="AI107" s="137">
        <f t="shared" si="38"/>
        <v>40</v>
      </c>
    </row>
    <row r="108" spans="1:35" x14ac:dyDescent="0.25">
      <c r="A108" s="11"/>
      <c r="B108" s="11"/>
      <c r="C108" s="204"/>
      <c r="D108" s="11"/>
      <c r="E108" s="11"/>
      <c r="F108" s="11"/>
      <c r="G108" s="11"/>
      <c r="H108" s="181" t="s">
        <v>306</v>
      </c>
      <c r="I108" s="118"/>
      <c r="J108" s="118"/>
      <c r="K108" s="11"/>
      <c r="L108" s="86" t="str">
        <f>IF(_epmOfflineCondition_,"463300",_xll.EVPRO($B$1,H108,"JDEID"))</f>
        <v>463300</v>
      </c>
      <c r="M108" s="86" t="str">
        <f>IF(_epmOfflineCondition_,"",IF(AND(I108="N",J108="N"),_xll.EVPRO($B$1,H108,"PSFTID"),""))</f>
        <v/>
      </c>
      <c r="N108" s="86" t="str">
        <f>IF(_epmOfflineCondition_,"Dinner Beer",IF(_xll.EVDES(H108,$B$1)="#NODATA","",_xll.EVDES(H108,$B$1)))</f>
        <v>Dinner Beer</v>
      </c>
      <c r="O108" s="134"/>
      <c r="P108" s="134"/>
      <c r="Q108" s="134"/>
      <c r="R108" s="134"/>
      <c r="S108" s="134"/>
      <c r="T108" s="134"/>
      <c r="U108" s="134"/>
      <c r="V108" s="134"/>
      <c r="W108" s="134"/>
      <c r="X108" s="134"/>
      <c r="Y108" s="134">
        <v>33</v>
      </c>
      <c r="Z108" s="134">
        <v>40</v>
      </c>
      <c r="AA108" s="134">
        <f t="shared" si="33"/>
        <v>73</v>
      </c>
      <c r="AB108" s="138">
        <f t="shared" si="34"/>
        <v>6.56770130454341E-3</v>
      </c>
      <c r="AC108" s="136"/>
      <c r="AD108" s="134">
        <v>1822.3589999999999</v>
      </c>
      <c r="AE108" s="138">
        <f t="shared" si="35"/>
        <v>2.4933082501026133E-2</v>
      </c>
      <c r="AF108" s="137">
        <f t="shared" si="36"/>
        <v>-1749.3589999999999</v>
      </c>
      <c r="AG108" s="134"/>
      <c r="AH108" s="138" t="str">
        <f t="shared" si="37"/>
        <v/>
      </c>
      <c r="AI108" s="137">
        <f t="shared" si="38"/>
        <v>73</v>
      </c>
    </row>
    <row r="109" spans="1:35" x14ac:dyDescent="0.25">
      <c r="A109" s="11"/>
      <c r="B109" s="11"/>
      <c r="C109" s="204"/>
      <c r="D109" s="11"/>
      <c r="E109" s="11"/>
      <c r="F109" s="11"/>
      <c r="G109" s="11"/>
      <c r="H109" s="181" t="s">
        <v>310</v>
      </c>
      <c r="I109" s="118"/>
      <c r="J109" s="118"/>
      <c r="K109" s="11"/>
      <c r="L109" s="86" t="str">
        <f>IF(_epmOfflineCondition_,"464300",_xll.EVPRO($B$1,H109,"JDEID"))</f>
        <v>464300</v>
      </c>
      <c r="M109" s="86" t="str">
        <f>IF(_epmOfflineCondition_,"",IF(AND(I109="N",J109="N"),_xll.EVPRO($B$1,H109,"PSFTID"),""))</f>
        <v/>
      </c>
      <c r="N109" s="86" t="str">
        <f>IF(_epmOfflineCondition_,"Bar Beer",IF(_xll.EVDES(H109,$B$1)="#NODATA","",_xll.EVDES(H109,$B$1)))</f>
        <v>Bar Beer</v>
      </c>
      <c r="O109" s="134"/>
      <c r="P109" s="134"/>
      <c r="Q109" s="134"/>
      <c r="R109" s="134"/>
      <c r="S109" s="134"/>
      <c r="T109" s="134"/>
      <c r="U109" s="134"/>
      <c r="V109" s="134"/>
      <c r="W109" s="134"/>
      <c r="X109" s="134"/>
      <c r="Y109" s="134"/>
      <c r="Z109" s="134"/>
      <c r="AA109" s="134">
        <f t="shared" si="33"/>
        <v>0</v>
      </c>
      <c r="AB109" s="138" t="str">
        <f t="shared" si="34"/>
        <v/>
      </c>
      <c r="AC109" s="136"/>
      <c r="AD109" s="134"/>
      <c r="AE109" s="138" t="str">
        <f t="shared" si="35"/>
        <v/>
      </c>
      <c r="AF109" s="137">
        <f t="shared" si="36"/>
        <v>0</v>
      </c>
      <c r="AG109" s="134"/>
      <c r="AH109" s="138" t="str">
        <f t="shared" si="37"/>
        <v/>
      </c>
      <c r="AI109" s="137">
        <f t="shared" si="38"/>
        <v>0</v>
      </c>
    </row>
    <row r="110" spans="1:35" x14ac:dyDescent="0.25">
      <c r="A110" s="11"/>
      <c r="B110" s="11"/>
      <c r="C110" s="204"/>
      <c r="D110" s="11"/>
      <c r="E110" s="11"/>
      <c r="F110" s="11"/>
      <c r="G110" s="11"/>
      <c r="H110" s="181" t="s">
        <v>323</v>
      </c>
      <c r="I110" s="118"/>
      <c r="J110" s="118"/>
      <c r="K110" s="11"/>
      <c r="L110" s="86" t="str">
        <f>IF(_epmOfflineCondition_,"465300",_xll.EVPRO($B$1,H110,"JDEID"))</f>
        <v>465300</v>
      </c>
      <c r="M110" s="86" t="str">
        <f>IF(_epmOfflineCondition_,"",IF(AND(I110="N",J110="N"),_xll.EVPRO($B$1,H110,"PSFTID"),""))</f>
        <v/>
      </c>
      <c r="N110" s="86" t="str">
        <f>IF(_epmOfflineCondition_,"Private Dining Beer",IF(_xll.EVDES(H110,$B$1)="#NODATA","",_xll.EVDES(H110,$B$1)))</f>
        <v>Private Dining Beer</v>
      </c>
      <c r="O110" s="134"/>
      <c r="P110" s="134"/>
      <c r="Q110" s="134"/>
      <c r="R110" s="134"/>
      <c r="S110" s="134"/>
      <c r="T110" s="134"/>
      <c r="U110" s="134"/>
      <c r="V110" s="134"/>
      <c r="W110" s="134"/>
      <c r="X110" s="134"/>
      <c r="Y110" s="134"/>
      <c r="Z110" s="134"/>
      <c r="AA110" s="134">
        <f t="shared" si="33"/>
        <v>0</v>
      </c>
      <c r="AB110" s="138" t="str">
        <f t="shared" si="34"/>
        <v/>
      </c>
      <c r="AC110" s="136"/>
      <c r="AD110" s="134"/>
      <c r="AE110" s="138" t="str">
        <f t="shared" si="35"/>
        <v/>
      </c>
      <c r="AF110" s="137">
        <f t="shared" si="36"/>
        <v>0</v>
      </c>
      <c r="AG110" s="134"/>
      <c r="AH110" s="138" t="str">
        <f t="shared" si="37"/>
        <v/>
      </c>
      <c r="AI110" s="137">
        <f t="shared" si="38"/>
        <v>0</v>
      </c>
    </row>
    <row r="111" spans="1:35" x14ac:dyDescent="0.25">
      <c r="A111" s="11"/>
      <c r="B111" s="11"/>
      <c r="C111" s="204"/>
      <c r="D111" s="11"/>
      <c r="E111" s="11"/>
      <c r="F111" s="11"/>
      <c r="G111" s="11"/>
      <c r="H111" s="181" t="s">
        <v>342</v>
      </c>
      <c r="I111" s="118"/>
      <c r="J111" s="118"/>
      <c r="K111" s="11"/>
      <c r="L111" s="86" t="str">
        <f>IF(_epmOfflineCondition_,"",_xll.EVPRO($B$1,H111,"JDEID"))</f>
        <v/>
      </c>
      <c r="M111" s="86" t="str">
        <f>IF(_epmOfflineCondition_,"",IF(AND(I111="N",J111="N"),_xll.EVPRO($B$1,H111,"PSFTID"),""))</f>
        <v/>
      </c>
      <c r="N111" s="102" t="str">
        <f>IF(_epmOfflineCondition_,"Beer Revenue",IF(_xll.EVDES(H111,$B$1)="#NODATA","",_xll.EVDES(H111,$B$1)))</f>
        <v>Beer Revenue</v>
      </c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>
        <v>45</v>
      </c>
      <c r="Z111" s="158">
        <v>68</v>
      </c>
      <c r="AA111" s="158">
        <f t="shared" si="33"/>
        <v>113</v>
      </c>
      <c r="AB111" s="159">
        <f t="shared" si="34"/>
        <v>1.0166441745389113E-2</v>
      </c>
      <c r="AC111" s="136"/>
      <c r="AD111" s="158">
        <v>2185.3654999999999</v>
      </c>
      <c r="AE111" s="159">
        <f t="shared" si="35"/>
        <v>2.9899651115063618E-2</v>
      </c>
      <c r="AF111" s="160">
        <f t="shared" si="36"/>
        <v>-2072.3654999999999</v>
      </c>
      <c r="AG111" s="158"/>
      <c r="AH111" s="159" t="str">
        <f t="shared" si="37"/>
        <v/>
      </c>
      <c r="AI111" s="160">
        <f t="shared" si="38"/>
        <v>113</v>
      </c>
    </row>
    <row r="112" spans="1:35" x14ac:dyDescent="0.25">
      <c r="A112" s="11"/>
      <c r="B112" s="11"/>
      <c r="C112" s="204"/>
      <c r="D112" s="11"/>
      <c r="E112" s="11"/>
      <c r="F112" s="11"/>
      <c r="G112" s="11"/>
      <c r="H112" s="181"/>
      <c r="I112" s="118"/>
      <c r="J112" s="118"/>
      <c r="K112" s="11"/>
      <c r="L112" s="86"/>
      <c r="M112" s="86"/>
      <c r="N112" s="49"/>
      <c r="O112" s="166"/>
      <c r="P112" s="167"/>
      <c r="Q112" s="167"/>
      <c r="R112" s="167"/>
      <c r="S112" s="167"/>
      <c r="T112" s="167"/>
      <c r="U112" s="167"/>
      <c r="V112" s="167"/>
      <c r="W112" s="167"/>
      <c r="X112" s="167"/>
      <c r="Y112" s="167"/>
      <c r="Z112" s="167"/>
      <c r="AA112" s="167"/>
      <c r="AB112" s="168"/>
      <c r="AC112" s="136"/>
      <c r="AD112" s="166"/>
      <c r="AE112" s="167"/>
      <c r="AF112" s="168"/>
      <c r="AG112" s="166"/>
      <c r="AH112" s="167"/>
      <c r="AI112" s="168"/>
    </row>
    <row r="113" spans="1:35" x14ac:dyDescent="0.25">
      <c r="A113" s="11"/>
      <c r="B113" s="11"/>
      <c r="C113" s="204"/>
      <c r="D113" s="11"/>
      <c r="E113" s="11"/>
      <c r="F113" s="11"/>
      <c r="G113" s="11"/>
      <c r="H113" s="181"/>
      <c r="I113" s="118"/>
      <c r="J113" s="118"/>
      <c r="K113" s="11"/>
      <c r="L113" s="86"/>
      <c r="M113" s="86"/>
      <c r="N113" s="49" t="s">
        <v>338</v>
      </c>
      <c r="O113" s="154"/>
      <c r="P113" s="155"/>
      <c r="Q113" s="155"/>
      <c r="R113" s="155"/>
      <c r="S113" s="155"/>
      <c r="T113" s="155"/>
      <c r="U113" s="155"/>
      <c r="V113" s="155"/>
      <c r="W113" s="155"/>
      <c r="X113" s="155"/>
      <c r="Y113" s="155"/>
      <c r="Z113" s="155"/>
      <c r="AA113" s="155"/>
      <c r="AB113" s="156"/>
      <c r="AC113" s="136"/>
      <c r="AD113" s="154"/>
      <c r="AE113" s="155"/>
      <c r="AF113" s="156"/>
      <c r="AG113" s="154"/>
      <c r="AH113" s="155"/>
      <c r="AI113" s="156"/>
    </row>
    <row r="114" spans="1:35" x14ac:dyDescent="0.25">
      <c r="A114" s="11"/>
      <c r="B114" s="11"/>
      <c r="C114" s="204"/>
      <c r="D114" s="11"/>
      <c r="E114" s="11"/>
      <c r="F114" s="11"/>
      <c r="G114" s="11"/>
      <c r="H114" s="181" t="s">
        <v>296</v>
      </c>
      <c r="I114" s="118"/>
      <c r="J114" s="118"/>
      <c r="K114" s="11"/>
      <c r="L114" s="86" t="str">
        <f>IF(_epmOfflineCondition_,"461400",_xll.EVPRO($B$1,H114,"JDEID"))</f>
        <v>461400</v>
      </c>
      <c r="M114" s="86" t="str">
        <f>IF(_epmOfflineCondition_,"",IF(AND(I114="N",J114="N"),_xll.EVPRO($B$1,H114,"PSFTID"),""))</f>
        <v/>
      </c>
      <c r="N114" s="86" t="str">
        <f>IF(_epmOfflineCondition_,"Breakfast Wine",IF(_xll.EVDES(H114,$B$1)="#NODATA","",_xll.EVDES(H114,$B$1)))</f>
        <v>Breakfast Wine</v>
      </c>
      <c r="O114" s="134"/>
      <c r="P114" s="134"/>
      <c r="Q114" s="134"/>
      <c r="R114" s="134"/>
      <c r="S114" s="134"/>
      <c r="T114" s="134"/>
      <c r="U114" s="134"/>
      <c r="V114" s="134"/>
      <c r="W114" s="134"/>
      <c r="X114" s="134"/>
      <c r="Y114" s="134">
        <v>20</v>
      </c>
      <c r="Z114" s="134">
        <v>12</v>
      </c>
      <c r="AA114" s="134">
        <f t="shared" ref="AA114:AA119" si="39">SUM(O114:Z114)</f>
        <v>32</v>
      </c>
      <c r="AB114" s="138">
        <f t="shared" ref="AB114:AB119" si="40">IF(AA114=0,"",IFERROR(AA114/AA$19,""))</f>
        <v>2.8789923526765632E-3</v>
      </c>
      <c r="AC114" s="136"/>
      <c r="AD114" s="134">
        <v>2078.6999999999998</v>
      </c>
      <c r="AE114" s="138">
        <f t="shared" ref="AE114:AE119" si="41">IF(AD114=0,"",IFERROR(AD114/AD$19,""))</f>
        <v>2.84402791079491E-2</v>
      </c>
      <c r="AF114" s="137">
        <f t="shared" ref="AF114:AF119" si="42">IF(AND($AA114="",AD114=""),"",$AA114-AD114)</f>
        <v>-2046.6999999999998</v>
      </c>
      <c r="AG114" s="134"/>
      <c r="AH114" s="138" t="str">
        <f t="shared" ref="AH114:AH119" si="43">IF(AG114=0,"",IFERROR(AG114/AG$19,""))</f>
        <v/>
      </c>
      <c r="AI114" s="137">
        <f t="shared" ref="AI114:AI119" si="44">IF(AND($AA114="",AG114=""),"",$AA114-AG114)</f>
        <v>32</v>
      </c>
    </row>
    <row r="115" spans="1:35" x14ac:dyDescent="0.25">
      <c r="A115" s="11"/>
      <c r="B115" s="11"/>
      <c r="C115" s="204"/>
      <c r="D115" s="11"/>
      <c r="E115" s="11"/>
      <c r="F115" s="11"/>
      <c r="G115" s="11"/>
      <c r="H115" s="181" t="s">
        <v>303</v>
      </c>
      <c r="I115" s="118"/>
      <c r="J115" s="118"/>
      <c r="K115" s="11"/>
      <c r="L115" s="86" t="str">
        <f>IF(_epmOfflineCondition_,"462400",_xll.EVPRO($B$1,H115,"JDEID"))</f>
        <v>462400</v>
      </c>
      <c r="M115" s="86" t="str">
        <f>IF(_epmOfflineCondition_,"",IF(AND(I115="N",J115="N"),_xll.EVPRO($B$1,H115,"PSFTID"),""))</f>
        <v/>
      </c>
      <c r="N115" s="86" t="str">
        <f>IF(_epmOfflineCondition_,"Lunch Wine",IF(_xll.EVDES(H115,$B$1)="#NODATA","",_xll.EVDES(H115,$B$1)))</f>
        <v>Lunch Wine</v>
      </c>
      <c r="O115" s="134"/>
      <c r="P115" s="134"/>
      <c r="Q115" s="134"/>
      <c r="R115" s="134"/>
      <c r="S115" s="134"/>
      <c r="T115" s="134"/>
      <c r="U115" s="134"/>
      <c r="V115" s="134"/>
      <c r="W115" s="134"/>
      <c r="X115" s="134"/>
      <c r="Y115" s="134">
        <v>12</v>
      </c>
      <c r="Z115" s="134">
        <v>62</v>
      </c>
      <c r="AA115" s="134">
        <f t="shared" si="39"/>
        <v>74</v>
      </c>
      <c r="AB115" s="138">
        <f t="shared" si="40"/>
        <v>6.6576698155645523E-3</v>
      </c>
      <c r="AC115" s="136"/>
      <c r="AD115" s="134">
        <v>3426.192</v>
      </c>
      <c r="AE115" s="138">
        <f t="shared" si="41"/>
        <v>4.6876344233137225E-2</v>
      </c>
      <c r="AF115" s="137">
        <f t="shared" si="42"/>
        <v>-3352.192</v>
      </c>
      <c r="AG115" s="134"/>
      <c r="AH115" s="138" t="str">
        <f t="shared" si="43"/>
        <v/>
      </c>
      <c r="AI115" s="137">
        <f t="shared" si="44"/>
        <v>74</v>
      </c>
    </row>
    <row r="116" spans="1:35" x14ac:dyDescent="0.25">
      <c r="A116" s="11"/>
      <c r="B116" s="11"/>
      <c r="C116" s="204"/>
      <c r="D116" s="11"/>
      <c r="E116" s="11"/>
      <c r="F116" s="11"/>
      <c r="G116" s="11"/>
      <c r="H116" s="181" t="s">
        <v>304</v>
      </c>
      <c r="I116" s="118"/>
      <c r="J116" s="118"/>
      <c r="K116" s="11"/>
      <c r="L116" s="86" t="str">
        <f>IF(_epmOfflineCondition_,"463400",_xll.EVPRO($B$1,H116,"JDEID"))</f>
        <v>463400</v>
      </c>
      <c r="M116" s="86" t="str">
        <f>IF(_epmOfflineCondition_,"",IF(AND(I116="N",J116="N"),_xll.EVPRO($B$1,H116,"PSFTID"),""))</f>
        <v/>
      </c>
      <c r="N116" s="86" t="str">
        <f>IF(_epmOfflineCondition_,"Dinner Wine",IF(_xll.EVDES(H116,$B$1)="#NODATA","",_xll.EVDES(H116,$B$1)))</f>
        <v>Dinner Wine</v>
      </c>
      <c r="O116" s="134"/>
      <c r="P116" s="134"/>
      <c r="Q116" s="134"/>
      <c r="R116" s="134"/>
      <c r="S116" s="134"/>
      <c r="T116" s="134"/>
      <c r="U116" s="134"/>
      <c r="V116" s="134"/>
      <c r="W116" s="134"/>
      <c r="X116" s="134"/>
      <c r="Y116" s="134">
        <v>198</v>
      </c>
      <c r="Z116" s="134">
        <v>252</v>
      </c>
      <c r="AA116" s="134">
        <f t="shared" si="39"/>
        <v>450</v>
      </c>
      <c r="AB116" s="138">
        <f t="shared" si="40"/>
        <v>4.048582995951417E-2</v>
      </c>
      <c r="AC116" s="136"/>
      <c r="AD116" s="134">
        <v>3081.54</v>
      </c>
      <c r="AE116" s="138">
        <f t="shared" si="41"/>
        <v>4.216089752360104E-2</v>
      </c>
      <c r="AF116" s="137">
        <f t="shared" si="42"/>
        <v>-2631.54</v>
      </c>
      <c r="AG116" s="134"/>
      <c r="AH116" s="138" t="str">
        <f t="shared" si="43"/>
        <v/>
      </c>
      <c r="AI116" s="137">
        <f t="shared" si="44"/>
        <v>450</v>
      </c>
    </row>
    <row r="117" spans="1:35" x14ac:dyDescent="0.25">
      <c r="A117" s="11"/>
      <c r="B117" s="11"/>
      <c r="C117" s="204"/>
      <c r="D117" s="11"/>
      <c r="E117" s="11"/>
      <c r="F117" s="11"/>
      <c r="G117" s="11"/>
      <c r="H117" s="181" t="s">
        <v>309</v>
      </c>
      <c r="I117" s="118"/>
      <c r="J117" s="118"/>
      <c r="K117" s="11"/>
      <c r="L117" s="86" t="str">
        <f>IF(_epmOfflineCondition_,"464400",_xll.EVPRO($B$1,H117,"JDEID"))</f>
        <v>464400</v>
      </c>
      <c r="M117" s="86" t="str">
        <f>IF(_epmOfflineCondition_,"",IF(AND(I117="N",J117="N"),_xll.EVPRO($B$1,H117,"PSFTID"),""))</f>
        <v/>
      </c>
      <c r="N117" s="86" t="str">
        <f>IF(_epmOfflineCondition_,"Bar Wine",IF(_xll.EVDES(H117,$B$1)="#NODATA","",_xll.EVDES(H117,$B$1)))</f>
        <v>Bar Wine</v>
      </c>
      <c r="O117" s="134"/>
      <c r="P117" s="134"/>
      <c r="Q117" s="134"/>
      <c r="R117" s="134"/>
      <c r="S117" s="134"/>
      <c r="T117" s="134"/>
      <c r="U117" s="134"/>
      <c r="V117" s="134"/>
      <c r="W117" s="134"/>
      <c r="X117" s="134"/>
      <c r="Y117" s="134"/>
      <c r="Z117" s="134"/>
      <c r="AA117" s="134">
        <f t="shared" si="39"/>
        <v>0</v>
      </c>
      <c r="AB117" s="138" t="str">
        <f t="shared" si="40"/>
        <v/>
      </c>
      <c r="AC117" s="136"/>
      <c r="AD117" s="134"/>
      <c r="AE117" s="138" t="str">
        <f t="shared" si="41"/>
        <v/>
      </c>
      <c r="AF117" s="137">
        <f t="shared" si="42"/>
        <v>0</v>
      </c>
      <c r="AG117" s="134"/>
      <c r="AH117" s="138" t="str">
        <f t="shared" si="43"/>
        <v/>
      </c>
      <c r="AI117" s="137">
        <f t="shared" si="44"/>
        <v>0</v>
      </c>
    </row>
    <row r="118" spans="1:35" x14ac:dyDescent="0.25">
      <c r="A118" s="11"/>
      <c r="B118" s="11"/>
      <c r="C118" s="204"/>
      <c r="D118" s="11"/>
      <c r="E118" s="11"/>
      <c r="F118" s="11"/>
      <c r="G118" s="11"/>
      <c r="H118" s="181" t="s">
        <v>322</v>
      </c>
      <c r="I118" s="118"/>
      <c r="J118" s="118"/>
      <c r="K118" s="11"/>
      <c r="L118" s="86" t="str">
        <f>IF(_epmOfflineCondition_,"465400",_xll.EVPRO($B$1,H118,"JDEID"))</f>
        <v>465400</v>
      </c>
      <c r="M118" s="86" t="str">
        <f>IF(_epmOfflineCondition_,"",IF(AND(I118="N",J118="N"),_xll.EVPRO($B$1,H118,"PSFTID"),""))</f>
        <v/>
      </c>
      <c r="N118" s="86" t="str">
        <f>IF(_epmOfflineCondition_,"Private Dining Wine",IF(_xll.EVDES(H118,$B$1)="#NODATA","",_xll.EVDES(H118,$B$1)))</f>
        <v>Private Dining Wine</v>
      </c>
      <c r="O118" s="134"/>
      <c r="P118" s="134"/>
      <c r="Q118" s="134"/>
      <c r="R118" s="134"/>
      <c r="S118" s="134"/>
      <c r="T118" s="134"/>
      <c r="U118" s="134"/>
      <c r="V118" s="134"/>
      <c r="W118" s="134"/>
      <c r="X118" s="134"/>
      <c r="Y118" s="134"/>
      <c r="Z118" s="134"/>
      <c r="AA118" s="134">
        <f t="shared" si="39"/>
        <v>0</v>
      </c>
      <c r="AB118" s="138" t="str">
        <f t="shared" si="40"/>
        <v/>
      </c>
      <c r="AC118" s="136"/>
      <c r="AD118" s="134"/>
      <c r="AE118" s="138" t="str">
        <f t="shared" si="41"/>
        <v/>
      </c>
      <c r="AF118" s="137">
        <f t="shared" si="42"/>
        <v>0</v>
      </c>
      <c r="AG118" s="134"/>
      <c r="AH118" s="138" t="str">
        <f t="shared" si="43"/>
        <v/>
      </c>
      <c r="AI118" s="137">
        <f t="shared" si="44"/>
        <v>0</v>
      </c>
    </row>
    <row r="119" spans="1:35" x14ac:dyDescent="0.25">
      <c r="A119" s="11"/>
      <c r="B119" s="11"/>
      <c r="C119" s="204"/>
      <c r="D119" s="11"/>
      <c r="E119" s="11"/>
      <c r="F119" s="11"/>
      <c r="G119" s="11"/>
      <c r="H119" s="181" t="s">
        <v>341</v>
      </c>
      <c r="I119" s="118"/>
      <c r="J119" s="118"/>
      <c r="K119" s="11"/>
      <c r="L119" s="86" t="str">
        <f>IF(_epmOfflineCondition_,"",_xll.EVPRO($B$1,H119,"JDEID"))</f>
        <v/>
      </c>
      <c r="M119" s="86" t="str">
        <f>IF(_epmOfflineCondition_,"",IF(AND(I119="N",J119="N"),_xll.EVPRO($B$1,H119,"PSFTID"),""))</f>
        <v/>
      </c>
      <c r="N119" s="102" t="str">
        <f>IF(_epmOfflineCondition_,"Wine Revenue",IF(_xll.EVDES(H119,$B$1)="#NODATA","",_xll.EVDES(H119,$B$1)))</f>
        <v>Wine Revenue</v>
      </c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>
        <v>230</v>
      </c>
      <c r="Z119" s="158">
        <v>326</v>
      </c>
      <c r="AA119" s="158">
        <f t="shared" si="39"/>
        <v>556</v>
      </c>
      <c r="AB119" s="159">
        <f t="shared" si="40"/>
        <v>5.0022492127755287E-2</v>
      </c>
      <c r="AC119" s="136"/>
      <c r="AD119" s="158">
        <v>8586.4320000000007</v>
      </c>
      <c r="AE119" s="159">
        <f t="shared" si="41"/>
        <v>0.11747752086468738</v>
      </c>
      <c r="AF119" s="160">
        <f t="shared" si="42"/>
        <v>-8030.4320000000007</v>
      </c>
      <c r="AG119" s="158"/>
      <c r="AH119" s="159" t="str">
        <f t="shared" si="43"/>
        <v/>
      </c>
      <c r="AI119" s="160">
        <f t="shared" si="44"/>
        <v>556</v>
      </c>
    </row>
    <row r="120" spans="1:35" x14ac:dyDescent="0.25">
      <c r="A120" s="11"/>
      <c r="B120" s="11"/>
      <c r="C120" s="204"/>
      <c r="D120" s="11"/>
      <c r="E120" s="11"/>
      <c r="F120" s="11"/>
      <c r="G120" s="11"/>
      <c r="H120" s="181"/>
      <c r="I120" s="118"/>
      <c r="J120" s="118"/>
      <c r="K120" s="11"/>
      <c r="L120" s="86"/>
      <c r="M120" s="86"/>
      <c r="N120" s="11"/>
      <c r="O120" s="166"/>
      <c r="P120" s="167"/>
      <c r="Q120" s="167"/>
      <c r="R120" s="167"/>
      <c r="S120" s="167"/>
      <c r="T120" s="167"/>
      <c r="U120" s="167"/>
      <c r="V120" s="167"/>
      <c r="W120" s="167"/>
      <c r="X120" s="167"/>
      <c r="Y120" s="167"/>
      <c r="Z120" s="167"/>
      <c r="AA120" s="167"/>
      <c r="AB120" s="168"/>
      <c r="AC120" s="136"/>
      <c r="AD120" s="166"/>
      <c r="AE120" s="167"/>
      <c r="AF120" s="168"/>
      <c r="AG120" s="166"/>
      <c r="AH120" s="167"/>
      <c r="AI120" s="168"/>
    </row>
    <row r="121" spans="1:35" x14ac:dyDescent="0.25">
      <c r="A121" s="11"/>
      <c r="B121" s="11"/>
      <c r="C121" s="204"/>
      <c r="D121" s="11"/>
      <c r="E121" s="11"/>
      <c r="F121" s="11"/>
      <c r="G121" s="11"/>
      <c r="H121" s="84" t="s">
        <v>267</v>
      </c>
      <c r="I121" s="118"/>
      <c r="J121" s="118"/>
      <c r="K121" s="11"/>
      <c r="L121" s="86" t="str">
        <f>IF(_epmOfflineCondition_,"",_xll.EVPRO($B$1,H121,"JDEID"))</f>
        <v/>
      </c>
      <c r="M121" s="86" t="str">
        <f>IF(_epmOfflineCondition_,"",IF(AND(I121="N",J121="N"),_xll.EVPRO($B$1,H121,"PSFTID"),""))</f>
        <v/>
      </c>
      <c r="N121" s="86" t="str">
        <f>IF(_epmOfflineCondition_,"Breakfast  Beverage Revenue",IF(_xll.EVDES(H121,$B$1)="#NODATA","",_xll.EVDES(H121,$B$1)))</f>
        <v>Breakfast  Beverage Revenue</v>
      </c>
      <c r="O121" s="134">
        <f t="shared" ref="O121:Z121" si="45">O98+O106+O114</f>
        <v>0</v>
      </c>
      <c r="P121" s="134">
        <f t="shared" si="45"/>
        <v>0</v>
      </c>
      <c r="Q121" s="134">
        <f t="shared" si="45"/>
        <v>0</v>
      </c>
      <c r="R121" s="134">
        <f t="shared" si="45"/>
        <v>0</v>
      </c>
      <c r="S121" s="134">
        <f t="shared" si="45"/>
        <v>0</v>
      </c>
      <c r="T121" s="134">
        <f t="shared" si="45"/>
        <v>0</v>
      </c>
      <c r="U121" s="134">
        <f t="shared" si="45"/>
        <v>0</v>
      </c>
      <c r="V121" s="134">
        <f t="shared" si="45"/>
        <v>0</v>
      </c>
      <c r="W121" s="134">
        <f t="shared" si="45"/>
        <v>0</v>
      </c>
      <c r="X121" s="134">
        <f t="shared" si="45"/>
        <v>0</v>
      </c>
      <c r="Y121" s="134">
        <f t="shared" si="45"/>
        <v>20</v>
      </c>
      <c r="Z121" s="134">
        <f t="shared" si="45"/>
        <v>24</v>
      </c>
      <c r="AA121" s="134">
        <f t="shared" ref="AA121:AA126" si="46">SUM(O121:Z121)</f>
        <v>44</v>
      </c>
      <c r="AB121" s="138">
        <f t="shared" ref="AB121:AB126" si="47">IF(AA121=0,"",IFERROR(AA121/AA$19,""))</f>
        <v>3.9586144849302748E-3</v>
      </c>
      <c r="AC121" s="136"/>
      <c r="AD121" s="134">
        <f>AD98+AD106+AD114</f>
        <v>3221.9849999999997</v>
      </c>
      <c r="AE121" s="138">
        <f t="shared" ref="AE121:AE126" si="48">IF(AD121=0,"",IFERROR(AD121/AD$19,""))</f>
        <v>4.4082432617321109E-2</v>
      </c>
      <c r="AF121" s="137">
        <f t="shared" ref="AF121:AF126" si="49">IF(AND($AA121="",AD121=""),"",$AA121-AD121)</f>
        <v>-3177.9849999999997</v>
      </c>
      <c r="AG121" s="134">
        <f>AG98+AG106+AG114</f>
        <v>0</v>
      </c>
      <c r="AH121" s="138" t="str">
        <f t="shared" ref="AH121:AH126" si="50">IF(AG121=0,"",IFERROR(AG121/AG$19,""))</f>
        <v/>
      </c>
      <c r="AI121" s="137">
        <f t="shared" ref="AI121:AI126" si="51">IF(AND($AA121="",AG121=""),"",$AA121-AG121)</f>
        <v>44</v>
      </c>
    </row>
    <row r="122" spans="1:35" x14ac:dyDescent="0.25">
      <c r="A122" s="11"/>
      <c r="B122" s="11"/>
      <c r="C122" s="204"/>
      <c r="D122" s="11"/>
      <c r="E122" s="11"/>
      <c r="F122" s="11"/>
      <c r="G122" s="11"/>
      <c r="H122" s="84" t="s">
        <v>268</v>
      </c>
      <c r="I122" s="118"/>
      <c r="J122" s="118"/>
      <c r="K122" s="11"/>
      <c r="L122" s="86" t="str">
        <f>IF(_epmOfflineCondition_,"",_xll.EVPRO($B$1,H122,"JDEID"))</f>
        <v/>
      </c>
      <c r="M122" s="86" t="str">
        <f>IF(_epmOfflineCondition_,"",IF(AND(I122="N",J122="N"),_xll.EVPRO($B$1,H122,"PSFTID"),""))</f>
        <v/>
      </c>
      <c r="N122" s="86" t="str">
        <f>IF(_epmOfflineCondition_,"Lunch Beverage Revenue",IF(_xll.EVDES(H122,$B$1)="#NODATA","",_xll.EVDES(H122,$B$1)))</f>
        <v>Lunch Beverage Revenue</v>
      </c>
      <c r="O122" s="134">
        <f t="shared" ref="O122:Z122" si="52">O99+O107+O115</f>
        <v>0</v>
      </c>
      <c r="P122" s="134">
        <f t="shared" si="52"/>
        <v>0</v>
      </c>
      <c r="Q122" s="134">
        <f t="shared" si="52"/>
        <v>0</v>
      </c>
      <c r="R122" s="134">
        <f t="shared" si="52"/>
        <v>0</v>
      </c>
      <c r="S122" s="134">
        <f t="shared" si="52"/>
        <v>0</v>
      </c>
      <c r="T122" s="134">
        <f t="shared" si="52"/>
        <v>0</v>
      </c>
      <c r="U122" s="134">
        <f t="shared" si="52"/>
        <v>0</v>
      </c>
      <c r="V122" s="134">
        <f t="shared" si="52"/>
        <v>0</v>
      </c>
      <c r="W122" s="134">
        <f t="shared" si="52"/>
        <v>0</v>
      </c>
      <c r="X122" s="134">
        <f t="shared" si="52"/>
        <v>0</v>
      </c>
      <c r="Y122" s="134">
        <f t="shared" si="52"/>
        <v>62</v>
      </c>
      <c r="Z122" s="134">
        <f t="shared" si="52"/>
        <v>226</v>
      </c>
      <c r="AA122" s="134">
        <f t="shared" si="46"/>
        <v>288</v>
      </c>
      <c r="AB122" s="138">
        <f t="shared" si="47"/>
        <v>2.5910931174089068E-2</v>
      </c>
      <c r="AC122" s="136"/>
      <c r="AD122" s="134">
        <f>AD99+AD107+AD115</f>
        <v>5024.0519999999997</v>
      </c>
      <c r="AE122" s="138">
        <f t="shared" si="48"/>
        <v>6.8737884799562179E-2</v>
      </c>
      <c r="AF122" s="137">
        <f t="shared" si="49"/>
        <v>-4736.0519999999997</v>
      </c>
      <c r="AG122" s="134">
        <f>AG99+AG107+AG115</f>
        <v>0</v>
      </c>
      <c r="AH122" s="138" t="str">
        <f t="shared" si="50"/>
        <v/>
      </c>
      <c r="AI122" s="137">
        <f t="shared" si="51"/>
        <v>288</v>
      </c>
    </row>
    <row r="123" spans="1:35" x14ac:dyDescent="0.25">
      <c r="A123" s="11"/>
      <c r="B123" s="11"/>
      <c r="C123" s="204"/>
      <c r="D123" s="11"/>
      <c r="E123" s="11"/>
      <c r="F123" s="11"/>
      <c r="G123" s="11"/>
      <c r="H123" s="181" t="s">
        <v>269</v>
      </c>
      <c r="I123" s="118"/>
      <c r="J123" s="118"/>
      <c r="K123" s="11"/>
      <c r="L123" s="86" t="str">
        <f>IF(_epmOfflineCondition_,"",_xll.EVPRO($B$1,H123,"JDEID"))</f>
        <v/>
      </c>
      <c r="M123" s="86" t="str">
        <f>IF(_epmOfflineCondition_,"",IF(AND(I123="N",J123="N"),_xll.EVPRO($B$1,H123,"PSFTID"),""))</f>
        <v/>
      </c>
      <c r="N123" s="86" t="str">
        <f>IF(_epmOfflineCondition_,"Dinner Beverage Revenue",IF(_xll.EVDES(H123,$B$1)="#NODATA","",_xll.EVDES(H123,$B$1)))</f>
        <v>Dinner Beverage Revenue</v>
      </c>
      <c r="O123" s="134">
        <f t="shared" ref="O123:Z123" si="53">O100+O108+O116</f>
        <v>0</v>
      </c>
      <c r="P123" s="134">
        <f t="shared" si="53"/>
        <v>0</v>
      </c>
      <c r="Q123" s="134">
        <f t="shared" si="53"/>
        <v>0</v>
      </c>
      <c r="R123" s="134">
        <f t="shared" si="53"/>
        <v>0</v>
      </c>
      <c r="S123" s="134">
        <f t="shared" si="53"/>
        <v>0</v>
      </c>
      <c r="T123" s="134">
        <f t="shared" si="53"/>
        <v>0</v>
      </c>
      <c r="U123" s="134">
        <f t="shared" si="53"/>
        <v>0</v>
      </c>
      <c r="V123" s="134">
        <f t="shared" si="53"/>
        <v>0</v>
      </c>
      <c r="W123" s="134">
        <f t="shared" si="53"/>
        <v>0</v>
      </c>
      <c r="X123" s="134">
        <f t="shared" si="53"/>
        <v>0</v>
      </c>
      <c r="Y123" s="134">
        <f t="shared" si="53"/>
        <v>275</v>
      </c>
      <c r="Z123" s="134">
        <f t="shared" si="53"/>
        <v>321</v>
      </c>
      <c r="AA123" s="134">
        <f t="shared" si="46"/>
        <v>596</v>
      </c>
      <c r="AB123" s="138">
        <f t="shared" si="47"/>
        <v>5.3621232568600991E-2</v>
      </c>
      <c r="AC123" s="136"/>
      <c r="AD123" s="134">
        <f>AD100+AD108+AD116</f>
        <v>11417.636999999999</v>
      </c>
      <c r="AE123" s="138">
        <f t="shared" si="48"/>
        <v>0.15621339444520452</v>
      </c>
      <c r="AF123" s="137">
        <f t="shared" si="49"/>
        <v>-10821.636999999999</v>
      </c>
      <c r="AG123" s="134">
        <f>AG100+AG108+AG116</f>
        <v>0</v>
      </c>
      <c r="AH123" s="138" t="str">
        <f t="shared" si="50"/>
        <v/>
      </c>
      <c r="AI123" s="137">
        <f t="shared" si="51"/>
        <v>596</v>
      </c>
    </row>
    <row r="124" spans="1:35" x14ac:dyDescent="0.25">
      <c r="A124" s="11"/>
      <c r="B124" s="11"/>
      <c r="C124" s="204"/>
      <c r="D124" s="11"/>
      <c r="E124" s="11"/>
      <c r="F124" s="11"/>
      <c r="G124" s="11"/>
      <c r="H124" s="181" t="s">
        <v>270</v>
      </c>
      <c r="I124" s="118"/>
      <c r="J124" s="118"/>
      <c r="K124" s="11"/>
      <c r="L124" s="86" t="str">
        <f>IF(_epmOfflineCondition_,"",_xll.EVPRO($B$1,H124,"JDEID"))</f>
        <v/>
      </c>
      <c r="M124" s="86" t="str">
        <f>IF(_epmOfflineCondition_,"",IF(AND(I124="N",J124="N"),_xll.EVPRO($B$1,H124,"PSFTID"),""))</f>
        <v/>
      </c>
      <c r="N124" s="86" t="str">
        <f>IF(_epmOfflineCondition_,"Bar Beverage Revenue",IF(_xll.EVDES(H124,$B$1)="#NODATA","",_xll.EVDES(H124,$B$1)))</f>
        <v>Bar Beverage Revenue</v>
      </c>
      <c r="O124" s="134">
        <f t="shared" ref="O124:Z124" si="54">O101+O109+O117</f>
        <v>0</v>
      </c>
      <c r="P124" s="134">
        <f t="shared" si="54"/>
        <v>0</v>
      </c>
      <c r="Q124" s="134">
        <f t="shared" si="54"/>
        <v>0</v>
      </c>
      <c r="R124" s="134">
        <f t="shared" si="54"/>
        <v>0</v>
      </c>
      <c r="S124" s="134">
        <f t="shared" si="54"/>
        <v>0</v>
      </c>
      <c r="T124" s="134">
        <f t="shared" si="54"/>
        <v>0</v>
      </c>
      <c r="U124" s="134">
        <f t="shared" si="54"/>
        <v>0</v>
      </c>
      <c r="V124" s="134">
        <f t="shared" si="54"/>
        <v>0</v>
      </c>
      <c r="W124" s="134">
        <f t="shared" si="54"/>
        <v>0</v>
      </c>
      <c r="X124" s="134">
        <f t="shared" si="54"/>
        <v>0</v>
      </c>
      <c r="Y124" s="134">
        <f t="shared" si="54"/>
        <v>0</v>
      </c>
      <c r="Z124" s="134">
        <f t="shared" si="54"/>
        <v>0</v>
      </c>
      <c r="AA124" s="134">
        <f t="shared" si="46"/>
        <v>0</v>
      </c>
      <c r="AB124" s="138" t="str">
        <f t="shared" si="47"/>
        <v/>
      </c>
      <c r="AC124" s="136"/>
      <c r="AD124" s="134">
        <f>AD101+AD109+AD117</f>
        <v>0</v>
      </c>
      <c r="AE124" s="138" t="str">
        <f t="shared" si="48"/>
        <v/>
      </c>
      <c r="AF124" s="137">
        <f t="shared" si="49"/>
        <v>0</v>
      </c>
      <c r="AG124" s="134">
        <f>AG101+AG109+AG117</f>
        <v>0</v>
      </c>
      <c r="AH124" s="138" t="str">
        <f t="shared" si="50"/>
        <v/>
      </c>
      <c r="AI124" s="137">
        <f t="shared" si="51"/>
        <v>0</v>
      </c>
    </row>
    <row r="125" spans="1:35" x14ac:dyDescent="0.25">
      <c r="A125" s="11"/>
      <c r="B125" s="11"/>
      <c r="C125" s="204"/>
      <c r="D125" s="11"/>
      <c r="E125" s="11"/>
      <c r="F125" s="11"/>
      <c r="G125" s="11"/>
      <c r="H125" s="181" t="s">
        <v>271</v>
      </c>
      <c r="I125" s="118"/>
      <c r="J125" s="118"/>
      <c r="K125" s="11"/>
      <c r="L125" s="86" t="str">
        <f>IF(_epmOfflineCondition_,"",_xll.EVPRO($B$1,H125,"JDEID"))</f>
        <v/>
      </c>
      <c r="M125" s="86" t="str">
        <f>IF(_epmOfflineCondition_,"",IF(AND(I125="N",J125="N"),_xll.EVPRO($B$1,H125,"PSFTID"),""))</f>
        <v/>
      </c>
      <c r="N125" s="86" t="str">
        <f>IF(_epmOfflineCondition_,"Private Dining Beverage Revenue",IF(_xll.EVDES(H125,$B$1)="#NODATA","",_xll.EVDES(H125,$B$1)))</f>
        <v>Private Dining Beverage Revenue</v>
      </c>
      <c r="O125" s="134">
        <f t="shared" ref="O125:Z125" si="55">O102+O110+O118</f>
        <v>0</v>
      </c>
      <c r="P125" s="134">
        <f t="shared" si="55"/>
        <v>0</v>
      </c>
      <c r="Q125" s="134">
        <f t="shared" si="55"/>
        <v>0</v>
      </c>
      <c r="R125" s="134">
        <f t="shared" si="55"/>
        <v>0</v>
      </c>
      <c r="S125" s="134">
        <f t="shared" si="55"/>
        <v>0</v>
      </c>
      <c r="T125" s="134">
        <f t="shared" si="55"/>
        <v>0</v>
      </c>
      <c r="U125" s="134">
        <f t="shared" si="55"/>
        <v>0</v>
      </c>
      <c r="V125" s="134">
        <f t="shared" si="55"/>
        <v>0</v>
      </c>
      <c r="W125" s="134">
        <f t="shared" si="55"/>
        <v>0</v>
      </c>
      <c r="X125" s="134">
        <f t="shared" si="55"/>
        <v>0</v>
      </c>
      <c r="Y125" s="134">
        <f t="shared" si="55"/>
        <v>0</v>
      </c>
      <c r="Z125" s="134">
        <f t="shared" si="55"/>
        <v>0</v>
      </c>
      <c r="AA125" s="134">
        <f t="shared" si="46"/>
        <v>0</v>
      </c>
      <c r="AB125" s="138" t="str">
        <f t="shared" si="47"/>
        <v/>
      </c>
      <c r="AC125" s="136"/>
      <c r="AD125" s="134">
        <f>AD102+AD110+AD118</f>
        <v>0</v>
      </c>
      <c r="AE125" s="138" t="str">
        <f t="shared" si="48"/>
        <v/>
      </c>
      <c r="AF125" s="137">
        <f t="shared" si="49"/>
        <v>0</v>
      </c>
      <c r="AG125" s="134">
        <f>AG102+AG110+AG118</f>
        <v>0</v>
      </c>
      <c r="AH125" s="138" t="str">
        <f t="shared" si="50"/>
        <v/>
      </c>
      <c r="AI125" s="137">
        <f t="shared" si="51"/>
        <v>0</v>
      </c>
    </row>
    <row r="126" spans="1:35" x14ac:dyDescent="0.25">
      <c r="A126" s="11"/>
      <c r="B126" s="11"/>
      <c r="C126" s="204"/>
      <c r="D126" s="11"/>
      <c r="E126" s="11"/>
      <c r="F126" s="11"/>
      <c r="G126" s="11"/>
      <c r="H126" s="84" t="s">
        <v>272</v>
      </c>
      <c r="I126" s="118"/>
      <c r="J126" s="118"/>
      <c r="K126" s="11"/>
      <c r="L126" s="86" t="str">
        <f>IF(_epmOfflineCondition_,"",_xll.EVPRO($B$1,H126,"JDEID"))</f>
        <v/>
      </c>
      <c r="M126" s="86" t="str">
        <f>IF(_epmOfflineCondition_,"",IF(AND(I126="N",J126="N"),_xll.EVPRO($B$1,H126,"PSFTID"),""))</f>
        <v/>
      </c>
      <c r="N126" s="102" t="str">
        <f>IF(_epmOfflineCondition_,"Total Beverage Revenue",IF(_xll.EVDES(H126,$B$1)="#NODATA","",_xll.EVDES(H126,$B$1)))</f>
        <v>Total Beverage Revenue</v>
      </c>
      <c r="O126" s="158">
        <f t="shared" ref="O126:Z126" si="56">SUM(O121:O125)</f>
        <v>0</v>
      </c>
      <c r="P126" s="158">
        <f t="shared" si="56"/>
        <v>0</v>
      </c>
      <c r="Q126" s="158">
        <f t="shared" si="56"/>
        <v>0</v>
      </c>
      <c r="R126" s="158">
        <f t="shared" si="56"/>
        <v>0</v>
      </c>
      <c r="S126" s="158">
        <f t="shared" si="56"/>
        <v>0</v>
      </c>
      <c r="T126" s="158">
        <f t="shared" si="56"/>
        <v>0</v>
      </c>
      <c r="U126" s="158">
        <f t="shared" si="56"/>
        <v>0</v>
      </c>
      <c r="V126" s="158">
        <f t="shared" si="56"/>
        <v>0</v>
      </c>
      <c r="W126" s="158">
        <f t="shared" si="56"/>
        <v>0</v>
      </c>
      <c r="X126" s="158">
        <f t="shared" si="56"/>
        <v>0</v>
      </c>
      <c r="Y126" s="158">
        <f t="shared" si="56"/>
        <v>357</v>
      </c>
      <c r="Z126" s="158">
        <f t="shared" si="56"/>
        <v>571</v>
      </c>
      <c r="AA126" s="158">
        <f t="shared" si="46"/>
        <v>928</v>
      </c>
      <c r="AB126" s="159">
        <f t="shared" si="47"/>
        <v>8.3490778227620327E-2</v>
      </c>
      <c r="AC126" s="136"/>
      <c r="AD126" s="158">
        <f>SUM(AD121:AD125)</f>
        <v>19663.673999999999</v>
      </c>
      <c r="AE126" s="159">
        <f t="shared" si="48"/>
        <v>0.2690337118620878</v>
      </c>
      <c r="AF126" s="160">
        <f t="shared" si="49"/>
        <v>-18735.673999999999</v>
      </c>
      <c r="AG126" s="158">
        <f>SUM(AG121:AG125)</f>
        <v>0</v>
      </c>
      <c r="AH126" s="159" t="str">
        <f t="shared" si="50"/>
        <v/>
      </c>
      <c r="AI126" s="160">
        <f t="shared" si="51"/>
        <v>928</v>
      </c>
    </row>
    <row r="127" spans="1:35" x14ac:dyDescent="0.25">
      <c r="A127" s="11"/>
      <c r="B127" s="11"/>
      <c r="C127" s="204"/>
      <c r="D127" s="11"/>
      <c r="E127" s="11"/>
      <c r="F127" s="11"/>
      <c r="G127" s="11"/>
      <c r="H127" s="181"/>
      <c r="I127" s="118"/>
      <c r="J127" s="118"/>
      <c r="K127" s="11"/>
      <c r="L127" s="11"/>
      <c r="M127" s="86"/>
      <c r="N127" s="11"/>
      <c r="O127" s="506">
        <f t="shared" ref="O127:AA127" si="57">O103+O111+O119-O126</f>
        <v>0</v>
      </c>
      <c r="P127" s="506">
        <f t="shared" si="57"/>
        <v>0</v>
      </c>
      <c r="Q127" s="506">
        <f t="shared" si="57"/>
        <v>0</v>
      </c>
      <c r="R127" s="506">
        <f t="shared" si="57"/>
        <v>0</v>
      </c>
      <c r="S127" s="506">
        <f t="shared" si="57"/>
        <v>0</v>
      </c>
      <c r="T127" s="506">
        <f t="shared" si="57"/>
        <v>0</v>
      </c>
      <c r="U127" s="506">
        <f t="shared" si="57"/>
        <v>0</v>
      </c>
      <c r="V127" s="506">
        <f t="shared" si="57"/>
        <v>0</v>
      </c>
      <c r="W127" s="506">
        <f t="shared" si="57"/>
        <v>0</v>
      </c>
      <c r="X127" s="506">
        <f t="shared" si="57"/>
        <v>0</v>
      </c>
      <c r="Y127" s="506">
        <f t="shared" si="57"/>
        <v>0</v>
      </c>
      <c r="Z127" s="506">
        <f t="shared" si="57"/>
        <v>0</v>
      </c>
      <c r="AA127" s="506">
        <f t="shared" si="57"/>
        <v>0</v>
      </c>
      <c r="AB127" s="138"/>
      <c r="AC127" s="136"/>
      <c r="AD127" s="506">
        <f>AD103+AD111+AD119-AD126</f>
        <v>0</v>
      </c>
      <c r="AE127" s="138"/>
      <c r="AF127" s="134"/>
      <c r="AG127" s="506">
        <f>AG103+AG111+AG119-AG126</f>
        <v>0</v>
      </c>
      <c r="AH127" s="138"/>
      <c r="AI127" s="134"/>
    </row>
    <row r="128" spans="1:35" x14ac:dyDescent="0.25">
      <c r="A128" s="11"/>
      <c r="B128" s="11"/>
      <c r="C128" s="204"/>
      <c r="D128" s="11"/>
      <c r="E128" s="11"/>
      <c r="F128" s="11"/>
      <c r="G128" s="11"/>
      <c r="H128" s="181"/>
      <c r="I128" s="118"/>
      <c r="J128" s="118"/>
      <c r="K128" s="11"/>
      <c r="L128" s="11"/>
      <c r="M128" s="11"/>
      <c r="N128" s="11"/>
      <c r="O128" s="166"/>
      <c r="P128" s="167"/>
      <c r="Q128" s="167"/>
      <c r="R128" s="167"/>
      <c r="S128" s="167"/>
      <c r="T128" s="167"/>
      <c r="U128" s="167"/>
      <c r="V128" s="167"/>
      <c r="W128" s="167"/>
      <c r="X128" s="167"/>
      <c r="Y128" s="167"/>
      <c r="Z128" s="167"/>
      <c r="AA128" s="167"/>
      <c r="AB128" s="168"/>
      <c r="AC128" s="136"/>
      <c r="AD128" s="166"/>
      <c r="AE128" s="167"/>
      <c r="AF128" s="168"/>
      <c r="AG128" s="166"/>
      <c r="AH128" s="167"/>
      <c r="AI128" s="168"/>
    </row>
    <row r="129" spans="1:35" ht="15.75" x14ac:dyDescent="0.25">
      <c r="A129" s="11"/>
      <c r="B129" s="11"/>
      <c r="C129" s="204"/>
      <c r="D129" s="11"/>
      <c r="E129" s="11"/>
      <c r="F129" s="11"/>
      <c r="G129" s="11"/>
      <c r="H129" s="181" t="s">
        <v>281</v>
      </c>
      <c r="I129" s="118"/>
      <c r="J129" s="118"/>
      <c r="K129" s="11"/>
      <c r="L129" s="11"/>
      <c r="M129" s="11"/>
      <c r="N129" s="485" t="str">
        <f>IF(_epmOfflineCondition_,"Cost of Sales",IF(_xll.EVDES(H129,$B$1)="#NODATA","",_xll.EVDES(H129,$B$1)))</f>
        <v>Cost of Sales</v>
      </c>
      <c r="O129" s="513"/>
      <c r="P129" s="514"/>
      <c r="Q129" s="514"/>
      <c r="R129" s="514"/>
      <c r="S129" s="514"/>
      <c r="T129" s="514"/>
      <c r="U129" s="514"/>
      <c r="V129" s="514"/>
      <c r="W129" s="514"/>
      <c r="X129" s="514"/>
      <c r="Y129" s="514"/>
      <c r="Z129" s="514"/>
      <c r="AA129" s="514"/>
      <c r="AB129" s="515"/>
      <c r="AC129" s="136"/>
      <c r="AD129" s="513"/>
      <c r="AE129" s="514"/>
      <c r="AF129" s="514"/>
      <c r="AG129" s="514"/>
      <c r="AH129" s="514"/>
      <c r="AI129" s="515"/>
    </row>
    <row r="130" spans="1:35" x14ac:dyDescent="0.25">
      <c r="A130" s="11"/>
      <c r="B130" s="11"/>
      <c r="C130" s="204"/>
      <c r="D130" s="11"/>
      <c r="E130" s="11"/>
      <c r="F130" s="11"/>
      <c r="G130" s="11"/>
      <c r="H130" s="181">
        <v>561100</v>
      </c>
      <c r="I130" s="118"/>
      <c r="J130" s="118"/>
      <c r="K130" s="11"/>
      <c r="L130" s="86" t="str">
        <f>IF(_epmOfflineCondition_,"561100",_xll.EVPRO($B$1,H130,"JDEID"))</f>
        <v>561100</v>
      </c>
      <c r="M130" s="86" t="str">
        <f>IF(_epmOfflineCondition_,"",IF(AND(I130="N",J130="N"),_xll.EVPRO($B$1,H130,"PSFTID"),""))</f>
        <v/>
      </c>
      <c r="N130" s="86" t="str">
        <f>IF(_epmOfflineCondition_,"Cost of Food Sales",IF(_xll.EVDES(H130,$B$1)="#NODATA","",_xll.EVDES(H130,$B$1)))</f>
        <v>Cost of Food Sales</v>
      </c>
      <c r="O130" s="134"/>
      <c r="P130" s="134"/>
      <c r="Q130" s="134"/>
      <c r="R130" s="134"/>
      <c r="S130" s="134"/>
      <c r="T130" s="134"/>
      <c r="U130" s="134"/>
      <c r="V130" s="134"/>
      <c r="W130" s="134"/>
      <c r="X130" s="134"/>
      <c r="Y130" s="134">
        <v>1160.29</v>
      </c>
      <c r="Z130" s="134">
        <v>1793.94</v>
      </c>
      <c r="AA130" s="134">
        <f>SUM(O130:Z130)</f>
        <v>2954.23</v>
      </c>
      <c r="AB130" s="454">
        <f>IF(_epmOfflineCondition_,0.29,IF(AA130=0,"",IFERROR(AA130/_xll.EVGTS($B$1,1,_xll.EVPRO($B$1,$H130,"COSBASIS"),$B$3,$B$5,$B$6,$B$7,$B$9,AA$16,AA$17,AA$11),"")))</f>
        <v>0.28999999999999998</v>
      </c>
      <c r="AC130" s="136"/>
      <c r="AD130" s="134">
        <v>15493.64</v>
      </c>
      <c r="AE130" s="454">
        <f>IF(_epmOfflineCondition_,0.290000102196808,IF(AD130=0,"",IFERROR(AD130/_xll.EVGTS($B$1,1,_xll.EVPRO($B$1,$H130,"COSBASIS"),$B$3,$B$5,$B$6,$B$7,$B$9,AD$16,AD$17,AD$18),"")))</f>
        <v>0.290000102196808</v>
      </c>
      <c r="AF130" s="137">
        <f t="shared" ref="AF130:AF141" si="58">IF(AND($AA130="",AD130=""),"",$AA130-AD130)</f>
        <v>-12539.41</v>
      </c>
      <c r="AG130" s="134"/>
      <c r="AH130" s="454" t="str">
        <f>IF(_epmOfflineCondition_,"",IF(AG130=0,"",IFERROR(AG130/_xll.EVGTS($B$1,1,_xll.EVPRO($B$1,$H130,"COSBASIS"),$B$3,$B$5,$B$6,$B$7,$B$9,AG$16,AG$17,AG$18),"")))</f>
        <v/>
      </c>
      <c r="AI130" s="137">
        <f t="shared" ref="AI130:AI141" si="59">IF(AND($AA130="",AG130=""),"",$AA130-AG130)</f>
        <v>2954.23</v>
      </c>
    </row>
    <row r="131" spans="1:35" x14ac:dyDescent="0.25">
      <c r="A131" s="11"/>
      <c r="B131" s="11"/>
      <c r="C131" s="204"/>
      <c r="D131" s="11"/>
      <c r="E131" s="11"/>
      <c r="F131" s="11"/>
      <c r="G131" s="11"/>
      <c r="H131" s="181" t="s">
        <v>757</v>
      </c>
      <c r="I131" s="118"/>
      <c r="J131" s="118"/>
      <c r="K131" s="11"/>
      <c r="L131" s="86" t="str">
        <f>IF(_epmOfflineCondition_,"",_xll.EVPRO($B$1,H131,"JDEID"))</f>
        <v/>
      </c>
      <c r="M131" s="86" t="str">
        <f>IF(_epmOfflineCondition_,"",IF(AND(I131="N",J131="N"),_xll.EVPRO($B$1,H131,"PSFTID"),""))</f>
        <v/>
      </c>
      <c r="N131" s="488" t="str">
        <f>IF(_epmOfflineCondition_,"Food Cost %",IF(_xll.EVDES(H131,$B$1)="#NODATA","",_xll.EVDES(H131,$B$1)))</f>
        <v>Food Cost %</v>
      </c>
      <c r="O131" s="503"/>
      <c r="P131" s="503"/>
      <c r="Q131" s="503"/>
      <c r="R131" s="503"/>
      <c r="S131" s="503"/>
      <c r="T131" s="503"/>
      <c r="U131" s="503"/>
      <c r="V131" s="503"/>
      <c r="W131" s="503"/>
      <c r="X131" s="503"/>
      <c r="Y131" s="503">
        <v>0.28999999999999998</v>
      </c>
      <c r="Z131" s="503">
        <v>0.28999999999999998</v>
      </c>
      <c r="AA131" s="503">
        <v>0.28999999999999998</v>
      </c>
      <c r="AB131" s="454"/>
      <c r="AC131" s="136"/>
      <c r="AD131" s="503">
        <v>0.290000102196808</v>
      </c>
      <c r="AE131" s="454"/>
      <c r="AF131" s="516">
        <f t="shared" si="58"/>
        <v>-1.0219680801615283E-7</v>
      </c>
      <c r="AG131" s="503"/>
      <c r="AH131" s="454"/>
      <c r="AI131" s="516">
        <f t="shared" si="59"/>
        <v>0.28999999999999998</v>
      </c>
    </row>
    <row r="132" spans="1:35" x14ac:dyDescent="0.25">
      <c r="A132" s="11"/>
      <c r="B132" s="11"/>
      <c r="C132" s="204"/>
      <c r="D132" s="11"/>
      <c r="E132" s="11"/>
      <c r="F132" s="11"/>
      <c r="G132" s="11"/>
      <c r="H132" s="181" t="s">
        <v>637</v>
      </c>
      <c r="I132" s="118"/>
      <c r="J132" s="118"/>
      <c r="K132" s="11"/>
      <c r="L132" s="86" t="str">
        <f>IF(_epmOfflineCondition_,"",_xll.EVPRO($B$1,H132,"JDEID"))</f>
        <v/>
      </c>
      <c r="M132" s="86" t="str">
        <f>IF(_epmOfflineCondition_,"",IF(AND(I132="N",J132="N"),_xll.EVPRO($B$1,H132,"PSFTID"),""))</f>
        <v/>
      </c>
      <c r="N132" s="86" t="str">
        <f>IF(_epmOfflineCondition_,"Cost of Beverage Sales",IF(_xll.EVDES(H132,$B$1)="#NODATA","",_xll.EVDES(H132,$B$1)))</f>
        <v>Cost of Beverage Sales</v>
      </c>
      <c r="O132" s="134"/>
      <c r="P132" s="134"/>
      <c r="Q132" s="134"/>
      <c r="R132" s="134"/>
      <c r="S132" s="134"/>
      <c r="T132" s="134"/>
      <c r="U132" s="134"/>
      <c r="V132" s="134"/>
      <c r="W132" s="134"/>
      <c r="X132" s="134"/>
      <c r="Y132" s="134">
        <v>80.680000000000007</v>
      </c>
      <c r="Z132" s="134">
        <v>126.83</v>
      </c>
      <c r="AA132" s="134">
        <f>SUM(O132:Z132)</f>
        <v>207.51</v>
      </c>
      <c r="AB132" s="454">
        <f>IF(_epmOfflineCondition_,0.223609913793103,IF(AA132=0,"",IFERROR(AA132/_xll.EVGTS($B$1,1,_xll.EVPRO($B$1,$H132,"COSBASIS"),$B$3,$B$5,$B$6,$B$7,$B$9,AA$16,AA$17,AA$11),"")))</f>
        <v>0.22360991379310299</v>
      </c>
      <c r="AC132" s="136"/>
      <c r="AD132" s="134">
        <v>4230.99</v>
      </c>
      <c r="AE132" s="454">
        <f>IF(_epmOfflineCondition_,0.215167826724548,IF(AD132=0,"",IFERROR(AD132/_xll.EVGTS($B$1,1,_xll.EVPRO($B$1,$H132,"COSBASIS"),$B$3,$B$5,$B$6,$B$7,$B$9,AD$16,AD$17,AD$18),"")))</f>
        <v>0.21516782672454801</v>
      </c>
      <c r="AF132" s="137">
        <f t="shared" si="58"/>
        <v>-4023.4799999999996</v>
      </c>
      <c r="AG132" s="134"/>
      <c r="AH132" s="454" t="str">
        <f>IF(_epmOfflineCondition_,"",IF(AG132=0,"",IFERROR(AG132/_xll.EVGTS($B$1,1,_xll.EVPRO($B$1,$H132,"COSBASIS"),$B$3,$B$5,$B$6,$B$7,$B$9,AG$16,AG$17,AG$18),"")))</f>
        <v/>
      </c>
      <c r="AI132" s="137">
        <f t="shared" si="59"/>
        <v>207.51</v>
      </c>
    </row>
    <row r="133" spans="1:35" x14ac:dyDescent="0.25">
      <c r="A133" s="11"/>
      <c r="B133" s="11"/>
      <c r="C133" s="204"/>
      <c r="D133" s="11"/>
      <c r="E133" s="11"/>
      <c r="F133" s="11"/>
      <c r="G133" s="11"/>
      <c r="H133" s="181" t="s">
        <v>758</v>
      </c>
      <c r="I133" s="118"/>
      <c r="J133" s="118"/>
      <c r="K133" s="11"/>
      <c r="L133" s="86" t="str">
        <f>IF(_epmOfflineCondition_,"",_xll.EVPRO($B$1,H133,"JDEID"))</f>
        <v/>
      </c>
      <c r="M133" s="86" t="str">
        <f>IF(_epmOfflineCondition_,"",IF(AND(I133="N",J133="N"),_xll.EVPRO($B$1,H133,"PSFTID"),""))</f>
        <v/>
      </c>
      <c r="N133" s="488" t="str">
        <f>IF(_epmOfflineCondition_,"Beverage Cost %",IF(_xll.EVDES(H133,$B$1)="#NODATA","",_xll.EVDES(H133,$B$1)))</f>
        <v>Beverage Cost %</v>
      </c>
      <c r="O133" s="503"/>
      <c r="P133" s="503"/>
      <c r="Q133" s="503"/>
      <c r="R133" s="503"/>
      <c r="S133" s="503"/>
      <c r="T133" s="503"/>
      <c r="U133" s="503"/>
      <c r="V133" s="503"/>
      <c r="W133" s="503"/>
      <c r="X133" s="503"/>
      <c r="Y133" s="503">
        <v>0.22599439775910399</v>
      </c>
      <c r="Z133" s="503">
        <v>0.22211908931698801</v>
      </c>
      <c r="AA133" s="503">
        <v>0.22360991379310299</v>
      </c>
      <c r="AB133" s="454"/>
      <c r="AC133" s="136"/>
      <c r="AD133" s="503">
        <v>0.21516782672454801</v>
      </c>
      <c r="AE133" s="454"/>
      <c r="AF133" s="516">
        <f t="shared" si="58"/>
        <v>8.442087068554982E-3</v>
      </c>
      <c r="AG133" s="503"/>
      <c r="AH133" s="454"/>
      <c r="AI133" s="516">
        <f t="shared" si="59"/>
        <v>0.22360991379310299</v>
      </c>
    </row>
    <row r="134" spans="1:35" x14ac:dyDescent="0.25">
      <c r="A134" s="11"/>
      <c r="B134" s="11"/>
      <c r="C134" s="204"/>
      <c r="D134" s="11"/>
      <c r="E134" s="11"/>
      <c r="F134" s="11"/>
      <c r="G134" s="11"/>
      <c r="H134" s="181" t="s">
        <v>756</v>
      </c>
      <c r="I134" s="118"/>
      <c r="J134" s="118"/>
      <c r="K134" s="11"/>
      <c r="L134" s="86" t="str">
        <f>IF(_epmOfflineCondition_,"561300",_xll.EVPRO($B$1,H134,"JDEID"))</f>
        <v>561300</v>
      </c>
      <c r="M134" s="86" t="str">
        <f>IF(_epmOfflineCondition_,"",IF(AND(I134="N",J134="N"),_xll.EVPRO($B$1,H134,"PSFTID"),""))</f>
        <v/>
      </c>
      <c r="N134" s="86" t="str">
        <f>IF(_epmOfflineCondition_,"Liquor Cost of Sales",IF(_xll.EVDES(H134,$B$1)="#NODATA","",_xll.EVDES(H134,$B$1)))</f>
        <v>Liquor Cost of Sales</v>
      </c>
      <c r="O134" s="134"/>
      <c r="P134" s="134"/>
      <c r="Q134" s="134"/>
      <c r="R134" s="134"/>
      <c r="S134" s="134"/>
      <c r="T134" s="134"/>
      <c r="U134" s="134"/>
      <c r="V134" s="134"/>
      <c r="W134" s="134"/>
      <c r="X134" s="134"/>
      <c r="Y134" s="134">
        <v>15.58</v>
      </c>
      <c r="Z134" s="134">
        <v>33.630000000000003</v>
      </c>
      <c r="AA134" s="134">
        <f>SUM(O134:Z134)</f>
        <v>49.21</v>
      </c>
      <c r="AB134" s="454">
        <f>IF(_epmOfflineCondition_,0.19,IF(AA134=0,"",IFERROR(AA134/_xll.EVGTS($B$1,1,_xll.EVPRO($B$1,$H134,"COSBASIS"),$B$3,$B$5,$B$6,$B$7,$B$9,AA$16,AA$17,AA$11),"")))</f>
        <v>0.19</v>
      </c>
      <c r="AC134" s="136"/>
      <c r="AD134" s="134">
        <v>1689.45</v>
      </c>
      <c r="AE134" s="454">
        <f>IF(_epmOfflineCondition_,0.189999265059518,IF(AD134=0,"",IFERROR(AD134/_xll.EVGTS($B$1,1,_xll.EVPRO($B$1,$H134,"COSBASIS"),$B$3,$B$5,$B$6,$B$7,$B$9,AD$16,AD$17,AD$18),"")))</f>
        <v>0.189999265059518</v>
      </c>
      <c r="AF134" s="137">
        <f t="shared" si="58"/>
        <v>-1640.24</v>
      </c>
      <c r="AG134" s="134"/>
      <c r="AH134" s="454" t="str">
        <f>IF(_epmOfflineCondition_,"",IF(AG134=0,"",IFERROR(AG134/_xll.EVGTS($B$1,1,_xll.EVPRO($B$1,$H134,"COSBASIS"),$B$3,$B$5,$B$6,$B$7,$B$9,AG$16,AG$17,AG$18),"")))</f>
        <v/>
      </c>
      <c r="AI134" s="137">
        <f t="shared" si="59"/>
        <v>49.21</v>
      </c>
    </row>
    <row r="135" spans="1:35" x14ac:dyDescent="0.25">
      <c r="A135" s="11"/>
      <c r="B135" s="11"/>
      <c r="C135" s="204"/>
      <c r="D135" s="11"/>
      <c r="E135" s="11"/>
      <c r="F135" s="11"/>
      <c r="G135" s="11"/>
      <c r="H135" s="181" t="s">
        <v>759</v>
      </c>
      <c r="I135" s="118"/>
      <c r="J135" s="118"/>
      <c r="K135" s="11"/>
      <c r="L135" s="86" t="str">
        <f>IF(_epmOfflineCondition_,"",_xll.EVPRO($B$1,H135,"JDEID"))</f>
        <v/>
      </c>
      <c r="M135" s="86" t="str">
        <f>IF(_epmOfflineCondition_,"",IF(AND(I135="N",J135="N"),_xll.EVPRO($B$1,H135,"PSFTID"),""))</f>
        <v/>
      </c>
      <c r="N135" s="488" t="str">
        <f>IF(_epmOfflineCondition_,"Liquor Cost %",IF(_xll.EVDES(H135,$B$1)="#NODATA","",_xll.EVDES(H135,$B$1)))</f>
        <v>Liquor Cost %</v>
      </c>
      <c r="O135" s="503"/>
      <c r="P135" s="503"/>
      <c r="Q135" s="503"/>
      <c r="R135" s="503"/>
      <c r="S135" s="503"/>
      <c r="T135" s="503"/>
      <c r="U135" s="503"/>
      <c r="V135" s="503"/>
      <c r="W135" s="503"/>
      <c r="X135" s="503"/>
      <c r="Y135" s="503">
        <v>0.19</v>
      </c>
      <c r="Z135" s="503">
        <v>0.19</v>
      </c>
      <c r="AA135" s="503">
        <v>0.19</v>
      </c>
      <c r="AB135" s="454"/>
      <c r="AC135" s="136"/>
      <c r="AD135" s="503">
        <v>0.189999265059518</v>
      </c>
      <c r="AE135" s="454"/>
      <c r="AF135" s="516">
        <f t="shared" si="58"/>
        <v>7.3494048200006823E-7</v>
      </c>
      <c r="AG135" s="503"/>
      <c r="AH135" s="454"/>
      <c r="AI135" s="516">
        <f t="shared" si="59"/>
        <v>0.19</v>
      </c>
    </row>
    <row r="136" spans="1:35" x14ac:dyDescent="0.25">
      <c r="A136" s="11"/>
      <c r="B136" s="11"/>
      <c r="C136" s="204"/>
      <c r="D136" s="11"/>
      <c r="E136" s="11"/>
      <c r="F136" s="11"/>
      <c r="G136" s="11"/>
      <c r="H136" s="181">
        <v>561400</v>
      </c>
      <c r="I136" s="118"/>
      <c r="J136" s="118"/>
      <c r="K136" s="11"/>
      <c r="L136" s="86" t="str">
        <f>IF(_epmOfflineCondition_,"561400",_xll.EVPRO($B$1,H136,"JDEID"))</f>
        <v>561400</v>
      </c>
      <c r="M136" s="86" t="str">
        <f>IF(_epmOfflineCondition_,"",IF(AND(I136="N",J136="N"),_xll.EVPRO($B$1,H136,"PSFTID"),""))</f>
        <v/>
      </c>
      <c r="N136" s="86" t="str">
        <f>IF(_epmOfflineCondition_,"Beer Cost of Sales",IF(_xll.EVDES(H136,$B$1)="#NODATA","",_xll.EVDES(H136,$B$1)))</f>
        <v>Beer Cost of Sales</v>
      </c>
      <c r="O136" s="134"/>
      <c r="P136" s="134"/>
      <c r="Q136" s="134"/>
      <c r="R136" s="134"/>
      <c r="S136" s="134"/>
      <c r="T136" s="134"/>
      <c r="U136" s="134"/>
      <c r="V136" s="134"/>
      <c r="W136" s="134"/>
      <c r="X136" s="134"/>
      <c r="Y136" s="134">
        <v>9.9</v>
      </c>
      <c r="Z136" s="134">
        <v>14.96</v>
      </c>
      <c r="AA136" s="134">
        <f>SUM(O136:Z136)</f>
        <v>24.86</v>
      </c>
      <c r="AB136" s="454">
        <f>IF(_epmOfflineCondition_,0.22,IF(AA136=0,"",IFERROR(AA136/_xll.EVGTS($B$1,1,_xll.EVPRO($B$1,$H136,"COSBASIS"),$B$3,$B$5,$B$6,$B$7,$B$9,AA$16,AA$17,AA$11),"")))</f>
        <v>0.22</v>
      </c>
      <c r="AC136" s="136"/>
      <c r="AD136" s="134">
        <v>480.8</v>
      </c>
      <c r="AE136" s="454">
        <f>IF(_epmOfflineCondition_,0.220008964175558,IF(AD136=0,"",IFERROR(AD136/_xll.EVGTS($B$1,1,_xll.EVPRO($B$1,$H136,"COSBASIS"),$B$3,$B$5,$B$6,$B$7,$B$9,AD$16,AD$17,AD$18),"")))</f>
        <v>0.22000896417555799</v>
      </c>
      <c r="AF136" s="137">
        <f t="shared" si="58"/>
        <v>-455.94</v>
      </c>
      <c r="AG136" s="134"/>
      <c r="AH136" s="454" t="str">
        <f>IF(_epmOfflineCondition_,"",IF(AG136=0,"",IFERROR(AG136/_xll.EVGTS($B$1,1,_xll.EVPRO($B$1,$H136,"COSBASIS"),$B$3,$B$5,$B$6,$B$7,$B$9,AG$16,AG$17,AG$18),"")))</f>
        <v/>
      </c>
      <c r="AI136" s="137">
        <f t="shared" si="59"/>
        <v>24.86</v>
      </c>
    </row>
    <row r="137" spans="1:35" x14ac:dyDescent="0.25">
      <c r="A137" s="11"/>
      <c r="B137" s="11"/>
      <c r="C137" s="204"/>
      <c r="D137" s="11"/>
      <c r="E137" s="11"/>
      <c r="F137" s="11"/>
      <c r="G137" s="11"/>
      <c r="H137" s="181" t="s">
        <v>760</v>
      </c>
      <c r="I137" s="118"/>
      <c r="J137" s="118"/>
      <c r="K137" s="11"/>
      <c r="L137" s="86" t="str">
        <f>IF(_epmOfflineCondition_,"",_xll.EVPRO($B$1,H137,"JDEID"))</f>
        <v/>
      </c>
      <c r="M137" s="86" t="str">
        <f>IF(_epmOfflineCondition_,"",IF(AND(I137="N",J137="N"),_xll.EVPRO($B$1,H137,"PSFTID"),""))</f>
        <v/>
      </c>
      <c r="N137" s="488" t="str">
        <f>IF(_epmOfflineCondition_,"Beer Cost %",IF(_xll.EVDES(H137,$B$1)="#NODATA","",_xll.EVDES(H137,$B$1)))</f>
        <v>Beer Cost %</v>
      </c>
      <c r="O137" s="503"/>
      <c r="P137" s="503"/>
      <c r="Q137" s="503"/>
      <c r="R137" s="503"/>
      <c r="S137" s="503"/>
      <c r="T137" s="503"/>
      <c r="U137" s="503"/>
      <c r="V137" s="503"/>
      <c r="W137" s="503"/>
      <c r="X137" s="503"/>
      <c r="Y137" s="503">
        <v>0.22</v>
      </c>
      <c r="Z137" s="503">
        <v>0.22</v>
      </c>
      <c r="AA137" s="503">
        <v>0.22</v>
      </c>
      <c r="AB137" s="454"/>
      <c r="AC137" s="136"/>
      <c r="AD137" s="503">
        <v>0.22000896417555799</v>
      </c>
      <c r="AE137" s="454"/>
      <c r="AF137" s="516">
        <f t="shared" si="58"/>
        <v>-8.9641755579850102E-6</v>
      </c>
      <c r="AG137" s="503"/>
      <c r="AH137" s="454"/>
      <c r="AI137" s="516">
        <f t="shared" si="59"/>
        <v>0.22</v>
      </c>
    </row>
    <row r="138" spans="1:35" x14ac:dyDescent="0.25">
      <c r="A138" s="11"/>
      <c r="B138" s="11"/>
      <c r="C138" s="11"/>
      <c r="D138" s="11"/>
      <c r="E138" s="11"/>
      <c r="F138" s="11"/>
      <c r="G138" s="11"/>
      <c r="H138" s="181">
        <v>561500</v>
      </c>
      <c r="I138" s="118"/>
      <c r="J138" s="118"/>
      <c r="K138" s="11"/>
      <c r="L138" s="86" t="str">
        <f>IF(_epmOfflineCondition_,"561500",_xll.EVPRO($B$1,H138,"JDEID"))</f>
        <v>561500</v>
      </c>
      <c r="M138" s="86" t="str">
        <f>IF(_epmOfflineCondition_,"",IF(AND(I138="N",J138="N"),_xll.EVPRO($B$1,H138,"PSFTID"),""))</f>
        <v/>
      </c>
      <c r="N138" s="86" t="str">
        <f>IF(_epmOfflineCondition_,"Wine Cost of Sales",IF(_xll.EVDES(H138,$B$1)="#NODATA","",_xll.EVDES(H138,$B$1)))</f>
        <v>Wine Cost of Sales</v>
      </c>
      <c r="O138" s="134"/>
      <c r="P138" s="134"/>
      <c r="Q138" s="134"/>
      <c r="R138" s="134"/>
      <c r="S138" s="134"/>
      <c r="T138" s="134"/>
      <c r="U138" s="134"/>
      <c r="V138" s="134"/>
      <c r="W138" s="134"/>
      <c r="X138" s="134"/>
      <c r="Y138" s="134">
        <v>55.2</v>
      </c>
      <c r="Z138" s="134">
        <v>78.239999999999995</v>
      </c>
      <c r="AA138" s="134">
        <f>SUM(O138:Z138)</f>
        <v>133.44</v>
      </c>
      <c r="AB138" s="454">
        <f>IF(_epmOfflineCondition_,0.24,IF(AA138=0,"",IFERROR(AA138/_xll.EVGTS($B$1,1,_xll.EVPRO($B$1,$H138,"COSBASIS"),$B$3,$B$5,$B$6,$B$7,$B$9,AA$16,AA$17,AA$11),"")))</f>
        <v>0.24</v>
      </c>
      <c r="AC138" s="136"/>
      <c r="AD138" s="134">
        <v>2060.7399999999998</v>
      </c>
      <c r="AE138" s="454">
        <f>IF(_epmOfflineCondition_,0.239999571416859,IF(AD138=0,"",IFERROR(AD138/_xll.EVGTS($B$1,1,_xll.EVPRO($B$1,$H138,"COSBASIS"),$B$3,$B$5,$B$6,$B$7,$B$9,AD$16,AD$17,AD$18),"")))</f>
        <v>0.23999957141685899</v>
      </c>
      <c r="AF138" s="137">
        <f t="shared" si="58"/>
        <v>-1927.2999999999997</v>
      </c>
      <c r="AG138" s="134"/>
      <c r="AH138" s="454" t="str">
        <f>IF(_epmOfflineCondition_,"",IF(AG138=0,"",IFERROR(AG138/_xll.EVGTS($B$1,1,_xll.EVPRO($B$1,$H138,"COSBASIS"),$B$3,$B$5,$B$6,$B$7,$B$9,AG$16,AG$17,AG$18),"")))</f>
        <v/>
      </c>
      <c r="AI138" s="137">
        <f t="shared" si="59"/>
        <v>133.44</v>
      </c>
    </row>
    <row r="139" spans="1:35" x14ac:dyDescent="0.25">
      <c r="A139" s="11"/>
      <c r="B139" s="11"/>
      <c r="C139" s="204"/>
      <c r="D139" s="11"/>
      <c r="E139" s="11"/>
      <c r="F139" s="11"/>
      <c r="G139" s="11"/>
      <c r="H139" s="181" t="s">
        <v>761</v>
      </c>
      <c r="I139" s="118"/>
      <c r="J139" s="118"/>
      <c r="K139" s="11"/>
      <c r="L139" s="86" t="str">
        <f>IF(_epmOfflineCondition_,"",_xll.EVPRO($B$1,H139,"JDEID"))</f>
        <v/>
      </c>
      <c r="M139" s="86" t="str">
        <f>IF(_epmOfflineCondition_,"",IF(AND(I139="N",J139="N"),_xll.EVPRO($B$1,H139,"PSFTID"),""))</f>
        <v/>
      </c>
      <c r="N139" s="488" t="str">
        <f>IF(_epmOfflineCondition_,"Wine Cost %",IF(_xll.EVDES(H139,$B$1)="#NODATA","",_xll.EVDES(H139,$B$1)))</f>
        <v>Wine Cost %</v>
      </c>
      <c r="O139" s="503"/>
      <c r="P139" s="503"/>
      <c r="Q139" s="503"/>
      <c r="R139" s="503"/>
      <c r="S139" s="503"/>
      <c r="T139" s="503"/>
      <c r="U139" s="503"/>
      <c r="V139" s="503"/>
      <c r="W139" s="503"/>
      <c r="X139" s="503"/>
      <c r="Y139" s="503">
        <v>0.24</v>
      </c>
      <c r="Z139" s="503">
        <v>0.24</v>
      </c>
      <c r="AA139" s="503">
        <v>0.24</v>
      </c>
      <c r="AB139" s="454"/>
      <c r="AC139" s="136"/>
      <c r="AD139" s="503">
        <v>0.23999957141685899</v>
      </c>
      <c r="AE139" s="454"/>
      <c r="AF139" s="516">
        <f t="shared" si="58"/>
        <v>4.2858314100446826E-7</v>
      </c>
      <c r="AG139" s="503"/>
      <c r="AH139" s="454"/>
      <c r="AI139" s="516">
        <f t="shared" si="59"/>
        <v>0.24</v>
      </c>
    </row>
    <row r="140" spans="1:35" x14ac:dyDescent="0.25">
      <c r="A140" s="11"/>
      <c r="B140" s="11"/>
      <c r="C140" s="204"/>
      <c r="D140" s="11"/>
      <c r="E140" s="11"/>
      <c r="F140" s="11"/>
      <c r="G140" s="11"/>
      <c r="H140" s="181" t="s">
        <v>286</v>
      </c>
      <c r="I140" s="118"/>
      <c r="J140" s="118"/>
      <c r="K140" s="11"/>
      <c r="L140" s="86" t="str">
        <f>IF(_epmOfflineCondition_,"",_xll.EVPRO($B$1,H140,"JDEID"))</f>
        <v/>
      </c>
      <c r="M140" s="86" t="str">
        <f>IF(_epmOfflineCondition_,"",IF(AND(I140="N",J140="N"),_xll.EVPRO($B$1,H140,"PSFTID"),""))</f>
        <v/>
      </c>
      <c r="N140" s="86" t="str">
        <f>IF(_epmOfflineCondition_,"Total Cost of Food &amp; Beverage Sales",IF(_xll.EVDES(H140,$B$1)="#NODATA","",_xll.EVDES(H140,$B$1)))</f>
        <v>Total Cost of Food &amp; Beverage Sales</v>
      </c>
      <c r="O140" s="134"/>
      <c r="P140" s="134"/>
      <c r="Q140" s="134"/>
      <c r="R140" s="134"/>
      <c r="S140" s="134"/>
      <c r="T140" s="134"/>
      <c r="U140" s="134"/>
      <c r="V140" s="134"/>
      <c r="W140" s="134"/>
      <c r="X140" s="134"/>
      <c r="Y140" s="134">
        <v>1240.97</v>
      </c>
      <c r="Z140" s="134">
        <v>1920.77</v>
      </c>
      <c r="AA140" s="134">
        <f>SUM(O140:Z140)</f>
        <v>3161.74</v>
      </c>
      <c r="AB140" s="454">
        <f>IF(_epmOfflineCondition_,0.284457040035987,IF(AA140=0,"",IFERROR(AA140/_xll.EVGTS($B$1,1,_xll.EVPRO($B$1,$H140,"COSBASIS"),$B$3,$B$5,$B$6,$B$7,$B$9,AA$16,AA$17,AA$11),"")))</f>
        <v>0.28445704003598699</v>
      </c>
      <c r="AC140" s="136"/>
      <c r="AD140" s="134">
        <v>19724.63</v>
      </c>
      <c r="AE140" s="454">
        <f>IF(_epmOfflineCondition_,0.26986769735942,IF(AD140=0,"",IFERROR(AD140/_xll.EVGTS($B$1,1,_xll.EVPRO($B$1,$H140,"COSBASIS"),$B$3,$B$5,$B$6,$B$7,$B$9,AD$16,AD$17,AD$18),"")))</f>
        <v>0.26986769735942001</v>
      </c>
      <c r="AF140" s="137">
        <f t="shared" si="58"/>
        <v>-16562.89</v>
      </c>
      <c r="AG140" s="134"/>
      <c r="AH140" s="454" t="str">
        <f>IF(_epmOfflineCondition_,"",IF(AG140=0,"",IFERROR(AG140/_xll.EVGTS($B$1,1,_xll.EVPRO($B$1,$H140,"COSBASIS"),$B$3,$B$5,$B$6,$B$7,$B$9,AG$16,AG$17,AG$18),"")))</f>
        <v/>
      </c>
      <c r="AI140" s="137">
        <f t="shared" si="59"/>
        <v>3161.74</v>
      </c>
    </row>
    <row r="141" spans="1:35" x14ac:dyDescent="0.25">
      <c r="A141" s="11"/>
      <c r="B141" s="11"/>
      <c r="C141" s="204"/>
      <c r="D141" s="11"/>
      <c r="E141" s="11"/>
      <c r="F141" s="11"/>
      <c r="G141" s="11"/>
      <c r="H141" s="181"/>
      <c r="I141" s="118"/>
      <c r="J141" s="118"/>
      <c r="K141" s="11"/>
      <c r="L141" s="86"/>
      <c r="M141" s="86"/>
      <c r="N141" s="488" t="s">
        <v>763</v>
      </c>
      <c r="O141" s="503" t="str">
        <f t="shared" ref="O141:AA141" si="60">IFERROR(O140/O85,"")</f>
        <v/>
      </c>
      <c r="P141" s="503" t="str">
        <f t="shared" si="60"/>
        <v/>
      </c>
      <c r="Q141" s="503" t="str">
        <f t="shared" si="60"/>
        <v/>
      </c>
      <c r="R141" s="503" t="str">
        <f t="shared" si="60"/>
        <v/>
      </c>
      <c r="S141" s="503" t="str">
        <f t="shared" si="60"/>
        <v/>
      </c>
      <c r="T141" s="503" t="str">
        <f t="shared" si="60"/>
        <v/>
      </c>
      <c r="U141" s="503" t="str">
        <f t="shared" si="60"/>
        <v/>
      </c>
      <c r="V141" s="503" t="str">
        <f t="shared" si="60"/>
        <v/>
      </c>
      <c r="W141" s="503" t="str">
        <f t="shared" si="60"/>
        <v/>
      </c>
      <c r="X141" s="503" t="str">
        <f t="shared" si="60"/>
        <v/>
      </c>
      <c r="Y141" s="503">
        <f t="shared" si="60"/>
        <v>0.28475676916016524</v>
      </c>
      <c r="Z141" s="503">
        <f t="shared" si="60"/>
        <v>0.2842637265058458</v>
      </c>
      <c r="AA141" s="503">
        <f t="shared" si="60"/>
        <v>0.28445704003598737</v>
      </c>
      <c r="AB141" s="454"/>
      <c r="AC141" s="136"/>
      <c r="AD141" s="503">
        <f>IFERROR(AD140/AD85,"")</f>
        <v>0.2698676973594199</v>
      </c>
      <c r="AE141" s="454"/>
      <c r="AF141" s="516">
        <f t="shared" si="58"/>
        <v>1.4589342676567474E-2</v>
      </c>
      <c r="AG141" s="503" t="str">
        <f>IFERROR(AG140/AG85,"")</f>
        <v/>
      </c>
      <c r="AH141" s="454"/>
      <c r="AI141" s="516" t="e">
        <f t="shared" si="59"/>
        <v>#VALUE!</v>
      </c>
    </row>
    <row r="142" spans="1:35" x14ac:dyDescent="0.25">
      <c r="A142" s="11"/>
      <c r="B142" s="11"/>
      <c r="C142" s="204"/>
      <c r="D142" s="11"/>
      <c r="E142" s="11"/>
      <c r="F142" s="11"/>
      <c r="G142" s="11"/>
      <c r="H142" s="11"/>
      <c r="I142" s="55"/>
      <c r="J142" s="55"/>
      <c r="K142" s="11"/>
      <c r="L142" s="11"/>
      <c r="M142" s="11"/>
      <c r="N142" s="11"/>
      <c r="O142" s="136"/>
      <c r="P142" s="136"/>
      <c r="Q142" s="136"/>
      <c r="R142" s="136"/>
      <c r="S142" s="136"/>
      <c r="T142" s="136"/>
      <c r="U142" s="136"/>
      <c r="V142" s="136"/>
      <c r="W142" s="136"/>
      <c r="X142" s="136"/>
      <c r="Y142" s="136"/>
      <c r="Z142" s="136"/>
      <c r="AA142" s="136"/>
      <c r="AB142" s="136"/>
      <c r="AC142" s="136"/>
      <c r="AD142" s="136"/>
      <c r="AE142" s="136"/>
      <c r="AF142" s="136"/>
      <c r="AG142" s="136"/>
      <c r="AH142" s="136"/>
      <c r="AI142" s="136"/>
    </row>
    <row r="143" spans="1:35" x14ac:dyDescent="0.25">
      <c r="A143" s="11"/>
      <c r="B143" s="11"/>
      <c r="C143" s="204"/>
      <c r="D143" s="11"/>
      <c r="E143" s="11"/>
      <c r="F143" s="11"/>
      <c r="G143" s="11"/>
      <c r="H143" s="181"/>
      <c r="I143" s="118"/>
      <c r="J143" s="118"/>
      <c r="K143" s="11"/>
      <c r="L143" s="11"/>
      <c r="M143" s="11"/>
      <c r="N143" s="100" t="str">
        <f>N85&amp;" - Check"</f>
        <v>Total Food &amp; Beverage Revenue - Check</v>
      </c>
      <c r="O143" s="506">
        <f t="shared" ref="O143:AA143" si="61">O39+O49+O59+O69+O79+O83-O85</f>
        <v>0</v>
      </c>
      <c r="P143" s="506">
        <f t="shared" si="61"/>
        <v>0</v>
      </c>
      <c r="Q143" s="506">
        <f t="shared" si="61"/>
        <v>0</v>
      </c>
      <c r="R143" s="506">
        <f t="shared" si="61"/>
        <v>0</v>
      </c>
      <c r="S143" s="506">
        <f t="shared" si="61"/>
        <v>0</v>
      </c>
      <c r="T143" s="506">
        <f t="shared" si="61"/>
        <v>0</v>
      </c>
      <c r="U143" s="506">
        <f t="shared" si="61"/>
        <v>0</v>
      </c>
      <c r="V143" s="506">
        <f t="shared" si="61"/>
        <v>0</v>
      </c>
      <c r="W143" s="506">
        <f t="shared" si="61"/>
        <v>0</v>
      </c>
      <c r="X143" s="506">
        <f t="shared" si="61"/>
        <v>0</v>
      </c>
      <c r="Y143" s="506">
        <f t="shared" si="61"/>
        <v>0</v>
      </c>
      <c r="Z143" s="506">
        <f t="shared" si="61"/>
        <v>0</v>
      </c>
      <c r="AA143" s="506">
        <f t="shared" si="61"/>
        <v>0</v>
      </c>
      <c r="AB143" s="138"/>
      <c r="AC143" s="136"/>
      <c r="AD143" s="506">
        <f>AD39+AD49+AD59+AD69+AD79+AD83-AD85</f>
        <v>0</v>
      </c>
      <c r="AE143" s="138"/>
      <c r="AF143" s="134"/>
      <c r="AG143" s="506">
        <f>AG39+AG49+AG59+AG69+AG79+AG83-AG85</f>
        <v>0</v>
      </c>
      <c r="AH143" s="138"/>
      <c r="AI143" s="134"/>
    </row>
    <row r="144" spans="1:35" x14ac:dyDescent="0.25">
      <c r="A144" s="11"/>
      <c r="B144" s="11"/>
      <c r="C144" s="204"/>
      <c r="D144" s="11"/>
      <c r="E144" s="11"/>
      <c r="F144" s="11"/>
      <c r="G144" s="11"/>
      <c r="H144" s="181"/>
      <c r="I144" s="118"/>
      <c r="J144" s="118"/>
      <c r="K144" s="11"/>
      <c r="L144" s="11"/>
      <c r="M144" s="11"/>
      <c r="N144" s="100" t="str">
        <f>N87&amp;" - Check"</f>
        <v>Total Customers - Check</v>
      </c>
      <c r="O144" s="506">
        <f t="shared" ref="O144:AA144" si="62">O41+O51+O61+O71+O80-O87</f>
        <v>0</v>
      </c>
      <c r="P144" s="506">
        <f t="shared" si="62"/>
        <v>0</v>
      </c>
      <c r="Q144" s="506">
        <f t="shared" si="62"/>
        <v>0</v>
      </c>
      <c r="R144" s="506">
        <f t="shared" si="62"/>
        <v>0</v>
      </c>
      <c r="S144" s="506">
        <f t="shared" si="62"/>
        <v>0</v>
      </c>
      <c r="T144" s="506">
        <f t="shared" si="62"/>
        <v>0</v>
      </c>
      <c r="U144" s="506">
        <f t="shared" si="62"/>
        <v>0</v>
      </c>
      <c r="V144" s="506">
        <f t="shared" si="62"/>
        <v>0</v>
      </c>
      <c r="W144" s="506">
        <f t="shared" si="62"/>
        <v>0</v>
      </c>
      <c r="X144" s="506">
        <f t="shared" si="62"/>
        <v>0</v>
      </c>
      <c r="Y144" s="506">
        <f t="shared" si="62"/>
        <v>0</v>
      </c>
      <c r="Z144" s="506">
        <f t="shared" si="62"/>
        <v>0</v>
      </c>
      <c r="AA144" s="506">
        <f t="shared" si="62"/>
        <v>0</v>
      </c>
      <c r="AB144" s="138"/>
      <c r="AC144" s="136"/>
      <c r="AD144" s="506">
        <f>AD41+AD51+AD61+AD71+AD80-AD87</f>
        <v>0</v>
      </c>
      <c r="AE144" s="138"/>
      <c r="AF144" s="134"/>
      <c r="AG144" s="506">
        <f>AG41+AG51+AG61+AG71+AG80-AG87</f>
        <v>0</v>
      </c>
      <c r="AH144" s="138"/>
      <c r="AI144" s="134"/>
    </row>
    <row r="145" spans="1:35" x14ac:dyDescent="0.25">
      <c r="A145" s="11"/>
      <c r="B145" s="11"/>
      <c r="C145" s="204"/>
      <c r="D145" s="11"/>
      <c r="E145" s="11"/>
      <c r="F145" s="11"/>
      <c r="G145" s="11"/>
      <c r="H145" s="181"/>
      <c r="I145" s="118"/>
      <c r="J145" s="118"/>
      <c r="K145" s="11"/>
      <c r="L145" s="11"/>
      <c r="M145" s="11"/>
      <c r="N145" s="100" t="str">
        <f>N88&amp;" - Check"</f>
        <v>Total Average Check - Check</v>
      </c>
      <c r="O145" s="505" t="e">
        <f t="shared" ref="O145:AA145" si="63">IFERROR(O$85/O87,"")-O88</f>
        <v>#VALUE!</v>
      </c>
      <c r="P145" s="505" t="e">
        <f t="shared" si="63"/>
        <v>#VALUE!</v>
      </c>
      <c r="Q145" s="505" t="e">
        <f t="shared" si="63"/>
        <v>#VALUE!</v>
      </c>
      <c r="R145" s="505" t="e">
        <f t="shared" si="63"/>
        <v>#VALUE!</v>
      </c>
      <c r="S145" s="505" t="e">
        <f t="shared" si="63"/>
        <v>#VALUE!</v>
      </c>
      <c r="T145" s="505" t="e">
        <f t="shared" si="63"/>
        <v>#VALUE!</v>
      </c>
      <c r="U145" s="505" t="e">
        <f t="shared" si="63"/>
        <v>#VALUE!</v>
      </c>
      <c r="V145" s="505" t="e">
        <f t="shared" si="63"/>
        <v>#VALUE!</v>
      </c>
      <c r="W145" s="505" t="e">
        <f t="shared" si="63"/>
        <v>#VALUE!</v>
      </c>
      <c r="X145" s="505" t="e">
        <f t="shared" si="63"/>
        <v>#VALUE!</v>
      </c>
      <c r="Y145" s="505">
        <f t="shared" si="63"/>
        <v>4.2632564145606011E-14</v>
      </c>
      <c r="Z145" s="505">
        <f t="shared" si="63"/>
        <v>0</v>
      </c>
      <c r="AA145" s="505">
        <f t="shared" si="63"/>
        <v>0</v>
      </c>
      <c r="AB145" s="138"/>
      <c r="AC145" s="136"/>
      <c r="AD145" s="505">
        <f>IFERROR(AD$85/AD87,"")-AD88</f>
        <v>3.907985046680551E-14</v>
      </c>
      <c r="AE145" s="138"/>
      <c r="AF145" s="134"/>
      <c r="AG145" s="505" t="e">
        <f>IFERROR(AG$85/AG87,"")-AG88</f>
        <v>#VALUE!</v>
      </c>
      <c r="AH145" s="138"/>
      <c r="AI145" s="134"/>
    </row>
    <row r="146" spans="1:35" x14ac:dyDescent="0.25">
      <c r="A146" s="11"/>
      <c r="B146" s="11"/>
      <c r="C146" s="204"/>
      <c r="D146" s="11"/>
      <c r="E146" s="11"/>
      <c r="F146" s="11"/>
      <c r="G146" s="11"/>
      <c r="H146" s="181"/>
      <c r="I146" s="118"/>
      <c r="J146" s="118"/>
      <c r="K146" s="11"/>
      <c r="L146" s="11"/>
      <c r="M146" s="11"/>
      <c r="N146" s="100" t="s">
        <v>769</v>
      </c>
      <c r="O146" s="506">
        <f t="shared" ref="O146:AA146" si="64">(O130+O132)-O140</f>
        <v>0</v>
      </c>
      <c r="P146" s="506">
        <f t="shared" si="64"/>
        <v>0</v>
      </c>
      <c r="Q146" s="506">
        <f t="shared" si="64"/>
        <v>0</v>
      </c>
      <c r="R146" s="506">
        <f t="shared" si="64"/>
        <v>0</v>
      </c>
      <c r="S146" s="506">
        <f t="shared" si="64"/>
        <v>0</v>
      </c>
      <c r="T146" s="506">
        <f t="shared" si="64"/>
        <v>0</v>
      </c>
      <c r="U146" s="506">
        <f t="shared" si="64"/>
        <v>0</v>
      </c>
      <c r="V146" s="506">
        <f t="shared" si="64"/>
        <v>0</v>
      </c>
      <c r="W146" s="506">
        <f t="shared" si="64"/>
        <v>0</v>
      </c>
      <c r="X146" s="506">
        <f t="shared" si="64"/>
        <v>0</v>
      </c>
      <c r="Y146" s="506">
        <f t="shared" si="64"/>
        <v>0</v>
      </c>
      <c r="Z146" s="506">
        <f t="shared" si="64"/>
        <v>0</v>
      </c>
      <c r="AA146" s="506">
        <f t="shared" si="64"/>
        <v>0</v>
      </c>
      <c r="AB146" s="138"/>
      <c r="AC146" s="136"/>
      <c r="AD146" s="506">
        <f>(AD130+AD132)-AD140</f>
        <v>0</v>
      </c>
      <c r="AE146" s="138"/>
      <c r="AF146" s="134"/>
      <c r="AG146" s="506">
        <f>(AG130+AG132)-AG140</f>
        <v>0</v>
      </c>
      <c r="AH146" s="138"/>
      <c r="AI146" s="134"/>
    </row>
    <row r="147" spans="1:35" x14ac:dyDescent="0.25">
      <c r="A147" s="11"/>
      <c r="B147" s="11"/>
      <c r="C147" s="204"/>
      <c r="D147" s="11"/>
      <c r="E147" s="11"/>
      <c r="F147" s="11"/>
      <c r="G147" s="11"/>
      <c r="H147" s="11"/>
      <c r="I147" s="55"/>
      <c r="J147" s="55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</row>
    <row r="148" spans="1:35" x14ac:dyDescent="0.25">
      <c r="A148" s="11"/>
      <c r="B148" s="11"/>
      <c r="C148" s="204"/>
      <c r="D148" s="11"/>
      <c r="E148" s="11"/>
      <c r="F148" s="11"/>
      <c r="G148" s="11"/>
      <c r="H148" s="11"/>
      <c r="I148" s="55"/>
      <c r="J148" s="55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</row>
    <row r="149" spans="1:35" x14ac:dyDescent="0.25">
      <c r="A149" s="11"/>
      <c r="B149" s="11"/>
      <c r="C149" s="204"/>
      <c r="D149" s="11"/>
      <c r="E149" s="11"/>
      <c r="F149" s="11"/>
      <c r="G149" s="11"/>
      <c r="H149" s="11"/>
      <c r="I149" s="55"/>
      <c r="J149" s="55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</row>
    <row r="150" spans="1:35" x14ac:dyDescent="0.25">
      <c r="A150" s="11"/>
      <c r="B150" s="11"/>
      <c r="C150" s="204"/>
      <c r="D150" s="11"/>
      <c r="E150" s="11"/>
      <c r="F150" s="11"/>
      <c r="G150" s="11"/>
      <c r="H150" s="11"/>
      <c r="I150" s="55"/>
      <c r="J150" s="55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</row>
    <row r="151" spans="1:35" x14ac:dyDescent="0.25">
      <c r="A151" s="11"/>
      <c r="B151" s="11"/>
      <c r="C151" s="204"/>
      <c r="D151" s="11"/>
      <c r="E151" s="11"/>
      <c r="F151" s="11"/>
      <c r="G151" s="11"/>
      <c r="H151" s="11"/>
      <c r="I151" s="55"/>
      <c r="J151" s="55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</row>
    <row r="152" spans="1:35" x14ac:dyDescent="0.25">
      <c r="A152" s="11"/>
      <c r="B152" s="11"/>
      <c r="C152" s="204"/>
      <c r="D152" s="11"/>
      <c r="E152" s="11"/>
      <c r="F152" s="11"/>
      <c r="G152" s="11"/>
      <c r="H152" s="11"/>
      <c r="I152" s="55"/>
      <c r="J152" s="55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</row>
    <row r="153" spans="1:35" x14ac:dyDescent="0.25">
      <c r="A153" s="11"/>
      <c r="B153" s="11"/>
      <c r="C153" s="204"/>
      <c r="D153" s="11"/>
      <c r="E153" s="11"/>
      <c r="F153" s="11"/>
      <c r="G153" s="11"/>
      <c r="H153" s="11"/>
      <c r="I153" s="55"/>
      <c r="J153" s="55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</row>
    <row r="154" spans="1:35" x14ac:dyDescent="0.25">
      <c r="A154" s="11"/>
      <c r="B154" s="11"/>
      <c r="C154" s="11"/>
      <c r="D154" s="11"/>
      <c r="E154" s="11"/>
      <c r="F154" s="11"/>
      <c r="G154" s="11"/>
      <c r="H154" s="11"/>
      <c r="I154" s="55"/>
      <c r="J154" s="55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</row>
    <row r="155" spans="1:35" x14ac:dyDescent="0.25">
      <c r="A155" s="11"/>
      <c r="B155" s="11"/>
      <c r="C155" s="11"/>
      <c r="D155" s="11"/>
      <c r="E155" s="11"/>
      <c r="F155" s="11"/>
      <c r="G155" s="11"/>
      <c r="H155" s="11"/>
      <c r="I155" s="55"/>
      <c r="J155" s="55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</row>
    <row r="156" spans="1:35" x14ac:dyDescent="0.25">
      <c r="A156" s="11"/>
      <c r="B156" s="11"/>
      <c r="C156" s="11"/>
      <c r="D156" s="11"/>
      <c r="E156" s="11"/>
      <c r="F156" s="11"/>
      <c r="G156" s="11"/>
      <c r="H156" s="11"/>
      <c r="I156" s="55"/>
      <c r="J156" s="55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</row>
    <row r="157" spans="1:35" x14ac:dyDescent="0.25">
      <c r="A157" s="11"/>
      <c r="B157" s="11"/>
      <c r="C157" s="11"/>
      <c r="D157" s="11"/>
      <c r="E157" s="11"/>
      <c r="F157" s="11"/>
      <c r="G157" s="11"/>
      <c r="H157" s="11"/>
      <c r="I157" s="55"/>
      <c r="J157" s="55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</row>
    <row r="158" spans="1:35" x14ac:dyDescent="0.25">
      <c r="A158" s="11"/>
      <c r="B158" s="11"/>
      <c r="C158" s="11"/>
      <c r="D158" s="11"/>
      <c r="E158" s="11"/>
      <c r="F158" s="11"/>
      <c r="G158" s="11"/>
      <c r="H158" s="11"/>
      <c r="I158" s="55"/>
      <c r="J158" s="55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</row>
    <row r="159" spans="1:35" x14ac:dyDescent="0.25">
      <c r="A159" s="11"/>
      <c r="B159" s="11"/>
      <c r="C159" s="11"/>
      <c r="D159" s="11"/>
      <c r="E159" s="11"/>
      <c r="F159" s="11"/>
      <c r="G159" s="11"/>
      <c r="H159" s="11"/>
      <c r="I159" s="55"/>
      <c r="J159" s="55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</row>
    <row r="160" spans="1:35" x14ac:dyDescent="0.25">
      <c r="A160" s="11"/>
      <c r="B160" s="11"/>
      <c r="C160" s="11"/>
      <c r="D160" s="11"/>
      <c r="E160" s="11"/>
      <c r="F160" s="11"/>
      <c r="G160" s="11"/>
      <c r="H160" s="11"/>
      <c r="I160" s="55"/>
      <c r="J160" s="55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</row>
    <row r="161" spans="1:35" x14ac:dyDescent="0.25">
      <c r="A161" s="11"/>
      <c r="B161" s="11"/>
      <c r="C161" s="11"/>
      <c r="D161" s="11"/>
      <c r="E161" s="11"/>
      <c r="F161" s="11"/>
      <c r="G161" s="11"/>
      <c r="H161" s="11"/>
      <c r="I161" s="55"/>
      <c r="J161" s="55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</row>
    <row r="162" spans="1:35" x14ac:dyDescent="0.25">
      <c r="A162" s="11"/>
      <c r="B162" s="11"/>
      <c r="C162" s="11"/>
      <c r="D162" s="11"/>
      <c r="E162" s="11"/>
      <c r="F162" s="11"/>
      <c r="G162" s="11"/>
      <c r="H162" s="11"/>
      <c r="I162" s="55"/>
      <c r="J162" s="55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</row>
    <row r="163" spans="1:35" x14ac:dyDescent="0.25">
      <c r="A163" s="11"/>
      <c r="B163" s="11"/>
      <c r="C163" s="11"/>
      <c r="D163" s="11"/>
      <c r="E163" s="11"/>
      <c r="F163" s="11"/>
      <c r="G163" s="11"/>
      <c r="H163" s="11"/>
      <c r="I163" s="55"/>
      <c r="J163" s="55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</row>
    <row r="164" spans="1:35" x14ac:dyDescent="0.25">
      <c r="A164" s="11"/>
      <c r="B164" s="11"/>
      <c r="C164" s="11"/>
      <c r="D164" s="11"/>
      <c r="E164" s="11"/>
      <c r="F164" s="11"/>
      <c r="G164" s="11"/>
      <c r="H164" s="11"/>
      <c r="I164" s="55"/>
      <c r="J164" s="55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</row>
    <row r="165" spans="1:35" x14ac:dyDescent="0.25">
      <c r="A165" s="11"/>
      <c r="B165" s="11"/>
      <c r="C165" s="11"/>
      <c r="D165" s="11"/>
      <c r="E165" s="11"/>
      <c r="F165" s="11"/>
      <c r="G165" s="11"/>
      <c r="H165" s="11"/>
      <c r="I165" s="55"/>
      <c r="J165" s="55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</row>
    <row r="166" spans="1:35" x14ac:dyDescent="0.25">
      <c r="A166" s="11"/>
      <c r="B166" s="11"/>
      <c r="C166" s="11"/>
      <c r="D166" s="11"/>
      <c r="E166" s="11"/>
      <c r="F166" s="11"/>
      <c r="G166" s="11"/>
      <c r="H166" s="11"/>
      <c r="I166" s="55"/>
      <c r="J166" s="55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</row>
    <row r="167" spans="1:35" x14ac:dyDescent="0.25">
      <c r="A167" s="11"/>
      <c r="B167" s="11"/>
      <c r="C167" s="11"/>
      <c r="D167" s="11"/>
      <c r="E167" s="11"/>
      <c r="F167" s="11"/>
      <c r="G167" s="11"/>
      <c r="H167" s="11"/>
      <c r="I167" s="55"/>
      <c r="J167" s="55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</row>
    <row r="168" spans="1:35" x14ac:dyDescent="0.25">
      <c r="A168" s="11"/>
      <c r="B168" s="11"/>
      <c r="C168" s="11"/>
      <c r="D168" s="11"/>
      <c r="E168" s="11"/>
      <c r="F168" s="11"/>
      <c r="G168" s="11"/>
      <c r="H168" s="11"/>
      <c r="I168" s="55"/>
      <c r="J168" s="55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</row>
    <row r="169" spans="1:35" x14ac:dyDescent="0.25">
      <c r="A169" s="11"/>
      <c r="B169" s="11"/>
      <c r="C169" s="11"/>
      <c r="D169" s="11"/>
      <c r="E169" s="11"/>
      <c r="F169" s="11"/>
      <c r="G169" s="11"/>
      <c r="H169" s="11"/>
      <c r="I169" s="263"/>
      <c r="J169" s="11"/>
      <c r="K169" s="263"/>
      <c r="L169" s="263"/>
      <c r="M169" s="263"/>
      <c r="N169" s="11"/>
      <c r="O169" s="263"/>
      <c r="P169" s="263"/>
      <c r="Q169" s="263"/>
      <c r="R169" s="263"/>
      <c r="S169" s="263"/>
      <c r="T169" s="263"/>
      <c r="U169" s="263"/>
      <c r="V169" s="263"/>
      <c r="W169" s="263"/>
      <c r="X169" s="263"/>
      <c r="Y169" s="263"/>
      <c r="Z169" s="263"/>
      <c r="AA169" s="263"/>
      <c r="AB169" s="11"/>
      <c r="AC169" s="11"/>
      <c r="AD169" s="263"/>
      <c r="AE169" s="11"/>
      <c r="AF169" s="263"/>
      <c r="AG169" s="11"/>
      <c r="AH169" s="263"/>
      <c r="AI169" s="11"/>
    </row>
    <row r="170" spans="1:35" x14ac:dyDescent="0.25">
      <c r="A170" s="11"/>
      <c r="B170" s="11"/>
      <c r="C170" s="11"/>
      <c r="D170" s="11"/>
      <c r="E170" s="11"/>
      <c r="F170" s="11"/>
      <c r="G170" s="11"/>
      <c r="H170" s="11"/>
      <c r="I170" s="55"/>
      <c r="J170" s="55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</row>
    <row r="171" spans="1:35" x14ac:dyDescent="0.25">
      <c r="A171" s="11"/>
      <c r="B171" s="11"/>
      <c r="C171" s="11"/>
      <c r="D171" s="11"/>
      <c r="E171" s="11"/>
      <c r="F171" s="11"/>
      <c r="G171" s="11"/>
      <c r="H171" s="11"/>
      <c r="I171" s="55"/>
      <c r="J171" s="55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</row>
    <row r="172" spans="1:35" x14ac:dyDescent="0.25">
      <c r="A172" s="11"/>
      <c r="B172" s="11"/>
      <c r="C172" s="11"/>
      <c r="D172" s="11"/>
      <c r="E172" s="11"/>
      <c r="F172" s="11"/>
      <c r="G172" s="11"/>
      <c r="H172" s="11"/>
      <c r="I172" s="55"/>
      <c r="J172" s="55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</row>
    <row r="173" spans="1:35" x14ac:dyDescent="0.25">
      <c r="A173" s="11"/>
      <c r="B173" s="11"/>
      <c r="C173" s="11"/>
      <c r="D173" s="11"/>
      <c r="E173" s="11"/>
      <c r="F173" s="11"/>
      <c r="G173" s="11"/>
      <c r="H173" s="11"/>
      <c r="I173" s="263"/>
      <c r="J173" s="11"/>
      <c r="K173" s="263"/>
      <c r="L173" s="263"/>
      <c r="M173" s="263"/>
      <c r="N173" s="11"/>
      <c r="O173" s="263"/>
      <c r="P173" s="263"/>
      <c r="Q173" s="263"/>
      <c r="R173" s="263"/>
      <c r="S173" s="263"/>
      <c r="T173" s="263"/>
      <c r="U173" s="263"/>
      <c r="V173" s="263"/>
      <c r="W173" s="263"/>
      <c r="X173" s="263"/>
      <c r="Y173" s="263"/>
      <c r="Z173" s="263"/>
      <c r="AA173" s="263"/>
      <c r="AB173" s="11"/>
      <c r="AC173" s="11"/>
      <c r="AD173" s="263"/>
      <c r="AE173" s="11"/>
      <c r="AF173" s="263"/>
      <c r="AG173" s="11"/>
      <c r="AH173" s="263"/>
      <c r="AI173" s="11"/>
    </row>
    <row r="174" spans="1:35" x14ac:dyDescent="0.25">
      <c r="A174" s="11"/>
      <c r="B174" s="11"/>
      <c r="C174" s="11"/>
      <c r="D174" s="11"/>
      <c r="E174" s="11"/>
      <c r="F174" s="11"/>
      <c r="G174" s="11"/>
      <c r="H174" s="11"/>
      <c r="I174" s="55"/>
      <c r="J174" s="55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</row>
    <row r="175" spans="1:35" x14ac:dyDescent="0.25">
      <c r="A175" s="11"/>
      <c r="B175" s="11"/>
      <c r="C175" s="11"/>
      <c r="D175" s="11"/>
      <c r="E175" s="11"/>
      <c r="F175" s="11"/>
      <c r="G175" s="11"/>
      <c r="H175" s="11"/>
      <c r="I175" s="55"/>
      <c r="J175" s="55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</row>
    <row r="176" spans="1:35" x14ac:dyDescent="0.25">
      <c r="A176" s="11"/>
      <c r="B176" s="11"/>
      <c r="C176" s="11"/>
      <c r="D176" s="11"/>
      <c r="E176" s="11"/>
      <c r="F176" s="11"/>
      <c r="G176" s="11"/>
      <c r="H176" s="11"/>
      <c r="I176" s="55"/>
      <c r="J176" s="55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</row>
    <row r="177" spans="1:35" x14ac:dyDescent="0.25">
      <c r="A177" s="11"/>
      <c r="B177" s="11"/>
      <c r="C177" s="11"/>
      <c r="D177" s="11"/>
      <c r="E177" s="11"/>
      <c r="F177" s="11"/>
      <c r="G177" s="11"/>
      <c r="H177" s="11"/>
      <c r="I177" s="55"/>
      <c r="J177" s="55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</row>
    <row r="178" spans="1:35" x14ac:dyDescent="0.25">
      <c r="A178" s="11"/>
      <c r="B178" s="11"/>
      <c r="C178" s="11"/>
      <c r="D178" s="11"/>
      <c r="E178" s="11"/>
      <c r="F178" s="11"/>
      <c r="G178" s="11"/>
      <c r="H178" s="11"/>
      <c r="I178" s="55"/>
      <c r="J178" s="55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</row>
    <row r="179" spans="1:35" x14ac:dyDescent="0.25">
      <c r="A179" s="11"/>
      <c r="B179" s="11"/>
      <c r="C179" s="11"/>
      <c r="D179" s="11"/>
      <c r="E179" s="11"/>
      <c r="F179" s="11"/>
      <c r="G179" s="11"/>
      <c r="H179" s="11"/>
      <c r="I179" s="55"/>
      <c r="J179" s="55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</row>
    <row r="180" spans="1:35" x14ac:dyDescent="0.25">
      <c r="A180" s="11"/>
      <c r="B180" s="11"/>
      <c r="C180" s="11"/>
      <c r="D180" s="11"/>
      <c r="E180" s="11"/>
      <c r="F180" s="11"/>
      <c r="G180" s="11"/>
      <c r="H180" s="11"/>
      <c r="I180" s="55"/>
      <c r="J180" s="55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</row>
    <row r="181" spans="1:35" x14ac:dyDescent="0.25">
      <c r="A181" s="11"/>
      <c r="B181" s="11"/>
      <c r="C181" s="11"/>
      <c r="D181" s="11"/>
      <c r="E181" s="11"/>
      <c r="F181" s="11"/>
      <c r="G181" s="11"/>
      <c r="H181" s="11"/>
      <c r="I181" s="55"/>
      <c r="J181" s="55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</row>
    <row r="182" spans="1:35" x14ac:dyDescent="0.25">
      <c r="A182" s="11"/>
      <c r="B182" s="11"/>
      <c r="C182" s="11"/>
      <c r="D182" s="11"/>
      <c r="E182" s="11"/>
      <c r="F182" s="11"/>
      <c r="G182" s="11"/>
      <c r="H182" s="11"/>
      <c r="I182" s="55"/>
      <c r="J182" s="55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</row>
    <row r="183" spans="1:35" x14ac:dyDescent="0.25">
      <c r="A183" s="11"/>
      <c r="B183" s="11"/>
      <c r="C183" s="11"/>
      <c r="D183" s="11"/>
      <c r="E183" s="11"/>
      <c r="F183" s="11"/>
      <c r="G183" s="11"/>
      <c r="H183" s="11"/>
      <c r="I183" s="55"/>
      <c r="J183" s="55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</row>
    <row r="184" spans="1:35" x14ac:dyDescent="0.25">
      <c r="A184" s="11"/>
      <c r="B184" s="11"/>
      <c r="C184" s="11"/>
      <c r="D184" s="11"/>
      <c r="E184" s="11"/>
      <c r="F184" s="11"/>
      <c r="G184" s="11"/>
      <c r="H184" s="11"/>
      <c r="I184" s="55"/>
      <c r="J184" s="55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</row>
    <row r="185" spans="1:35" x14ac:dyDescent="0.25">
      <c r="A185" s="11"/>
      <c r="B185" s="11"/>
      <c r="C185" s="11"/>
      <c r="D185" s="11"/>
      <c r="E185" s="11"/>
      <c r="F185" s="11"/>
      <c r="G185" s="11"/>
      <c r="H185" s="11"/>
      <c r="I185" s="55"/>
      <c r="J185" s="55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</row>
    <row r="186" spans="1:35" x14ac:dyDescent="0.25">
      <c r="A186" s="11"/>
      <c r="B186" s="11"/>
      <c r="C186" s="11"/>
      <c r="D186" s="11"/>
      <c r="E186" s="11"/>
      <c r="F186" s="11"/>
      <c r="G186" s="11"/>
      <c r="H186" s="11"/>
      <c r="I186" s="55"/>
      <c r="J186" s="55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</row>
    <row r="187" spans="1:35" x14ac:dyDescent="0.25">
      <c r="A187" s="11"/>
      <c r="B187" s="11"/>
      <c r="C187" s="11"/>
      <c r="D187" s="11"/>
      <c r="E187" s="11"/>
      <c r="F187" s="11"/>
      <c r="G187" s="11"/>
      <c r="H187" s="11"/>
      <c r="I187" s="55"/>
      <c r="J187" s="55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</row>
    <row r="188" spans="1:35" x14ac:dyDescent="0.25">
      <c r="A188" s="11"/>
      <c r="B188" s="11"/>
      <c r="C188" s="11"/>
      <c r="D188" s="11"/>
      <c r="E188" s="11"/>
      <c r="F188" s="11"/>
      <c r="G188" s="11"/>
      <c r="H188" s="11"/>
      <c r="I188" s="55"/>
      <c r="J188" s="55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</row>
    <row r="189" spans="1:35" x14ac:dyDescent="0.25">
      <c r="A189" s="11"/>
      <c r="B189" s="11"/>
      <c r="C189" s="11"/>
      <c r="D189" s="11"/>
      <c r="E189" s="11"/>
      <c r="F189" s="11"/>
      <c r="G189" s="11"/>
      <c r="H189" s="11"/>
      <c r="I189" s="55"/>
      <c r="J189" s="55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</row>
    <row r="190" spans="1:35" x14ac:dyDescent="0.25">
      <c r="A190" s="11"/>
      <c r="B190" s="11"/>
      <c r="C190" s="11"/>
      <c r="D190" s="11"/>
      <c r="E190" s="11"/>
      <c r="F190" s="11"/>
      <c r="G190" s="11"/>
      <c r="H190" s="11"/>
      <c r="I190" s="55"/>
      <c r="J190" s="55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</row>
    <row r="191" spans="1:35" x14ac:dyDescent="0.25">
      <c r="A191" s="11"/>
      <c r="B191" s="11"/>
      <c r="C191" s="11"/>
      <c r="D191" s="11"/>
      <c r="E191" s="11"/>
      <c r="F191" s="11"/>
      <c r="G191" s="11"/>
      <c r="H191" s="11"/>
      <c r="I191" s="55"/>
      <c r="J191" s="55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</row>
    <row r="192" spans="1:35" x14ac:dyDescent="0.25">
      <c r="A192" s="11"/>
      <c r="B192" s="11"/>
      <c r="C192" s="11"/>
      <c r="D192" s="11"/>
      <c r="E192" s="11"/>
      <c r="F192" s="11"/>
      <c r="G192" s="11"/>
      <c r="H192" s="11"/>
      <c r="I192" s="55"/>
      <c r="J192" s="55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</row>
    <row r="193" spans="1:35" x14ac:dyDescent="0.25">
      <c r="A193" s="11"/>
      <c r="B193" s="11"/>
      <c r="C193" s="11"/>
      <c r="D193" s="11"/>
      <c r="E193" s="11"/>
      <c r="F193" s="11"/>
      <c r="G193" s="11"/>
      <c r="H193" s="11"/>
      <c r="I193" s="55"/>
      <c r="J193" s="55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</row>
    <row r="194" spans="1:35" x14ac:dyDescent="0.25">
      <c r="A194" s="11"/>
      <c r="B194" s="11"/>
      <c r="C194" s="11"/>
      <c r="D194" s="11"/>
      <c r="E194" s="11"/>
      <c r="F194" s="11"/>
      <c r="G194" s="11"/>
      <c r="H194" s="11"/>
      <c r="I194" s="55"/>
      <c r="J194" s="55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</row>
    <row r="195" spans="1:35" x14ac:dyDescent="0.25">
      <c r="A195" s="11"/>
      <c r="B195" s="11"/>
      <c r="C195" s="11"/>
      <c r="D195" s="11"/>
      <c r="E195" s="11"/>
      <c r="F195" s="11"/>
      <c r="G195" s="11"/>
      <c r="H195" s="11"/>
      <c r="I195" s="55"/>
      <c r="J195" s="55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</row>
    <row r="196" spans="1:35" x14ac:dyDescent="0.25">
      <c r="A196" s="11"/>
      <c r="B196" s="11"/>
      <c r="C196" s="11"/>
      <c r="D196" s="11"/>
      <c r="E196" s="11"/>
      <c r="F196" s="11"/>
      <c r="G196" s="11"/>
      <c r="H196" s="11"/>
      <c r="I196" s="55"/>
      <c r="J196" s="55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</row>
    <row r="197" spans="1:35" x14ac:dyDescent="0.25">
      <c r="A197" s="11"/>
      <c r="B197" s="11"/>
      <c r="C197" s="11"/>
      <c r="D197" s="11"/>
      <c r="E197" s="11"/>
      <c r="F197" s="11"/>
      <c r="G197" s="11"/>
      <c r="H197" s="11"/>
      <c r="I197" s="55"/>
      <c r="J197" s="55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</row>
    <row r="198" spans="1:35" x14ac:dyDescent="0.25">
      <c r="A198" s="11"/>
      <c r="B198" s="11"/>
      <c r="C198" s="11"/>
      <c r="D198" s="11"/>
      <c r="E198" s="11"/>
      <c r="F198" s="11"/>
      <c r="G198" s="11"/>
      <c r="H198" s="11"/>
      <c r="I198" s="55"/>
      <c r="J198" s="55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</row>
    <row r="199" spans="1:35" x14ac:dyDescent="0.25">
      <c r="A199" s="11"/>
      <c r="B199" s="11"/>
      <c r="C199" s="11"/>
      <c r="D199" s="11"/>
      <c r="E199" s="11"/>
      <c r="F199" s="11"/>
      <c r="G199" s="11"/>
      <c r="H199" s="11"/>
      <c r="I199" s="55"/>
      <c r="J199" s="55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</row>
    <row r="200" spans="1:35" x14ac:dyDescent="0.25">
      <c r="A200" s="11"/>
      <c r="B200" s="11"/>
      <c r="C200" s="11"/>
      <c r="D200" s="11"/>
      <c r="E200" s="11"/>
      <c r="F200" s="11"/>
      <c r="G200" s="11"/>
      <c r="H200" s="11"/>
      <c r="I200" s="55"/>
      <c r="J200" s="55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</row>
    <row r="201" spans="1:35" x14ac:dyDescent="0.25">
      <c r="A201" s="11"/>
      <c r="B201" s="11"/>
      <c r="C201" s="11"/>
      <c r="D201" s="11"/>
      <c r="E201" s="11"/>
      <c r="F201" s="11"/>
      <c r="G201" s="11"/>
      <c r="H201" s="11"/>
      <c r="I201" s="55"/>
      <c r="J201" s="55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</row>
    <row r="202" spans="1:35" x14ac:dyDescent="0.25">
      <c r="A202" s="11"/>
      <c r="B202" s="11"/>
      <c r="C202" s="11"/>
      <c r="D202" s="11"/>
      <c r="E202" s="11"/>
      <c r="F202" s="11"/>
      <c r="G202" s="11"/>
      <c r="H202" s="11"/>
      <c r="I202" s="55"/>
      <c r="J202" s="55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</row>
    <row r="203" spans="1:35" x14ac:dyDescent="0.25">
      <c r="A203" s="11"/>
      <c r="B203" s="11"/>
      <c r="C203" s="11"/>
      <c r="D203" s="11"/>
      <c r="E203" s="11"/>
      <c r="F203" s="11"/>
      <c r="G203" s="11"/>
      <c r="H203" s="11"/>
      <c r="I203" s="55"/>
      <c r="J203" s="55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</row>
    <row r="204" spans="1:35" x14ac:dyDescent="0.25">
      <c r="A204" s="11"/>
      <c r="B204" s="11"/>
      <c r="C204" s="11"/>
      <c r="D204" s="11"/>
      <c r="E204" s="11"/>
      <c r="F204" s="11"/>
      <c r="G204" s="11"/>
      <c r="H204" s="11"/>
      <c r="I204" s="55"/>
      <c r="J204" s="55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</row>
    <row r="205" spans="1:35" x14ac:dyDescent="0.25">
      <c r="A205" s="11"/>
      <c r="B205" s="11"/>
      <c r="C205" s="11"/>
      <c r="D205" s="11"/>
      <c r="E205" s="11"/>
      <c r="F205" s="11"/>
      <c r="G205" s="11"/>
      <c r="H205" s="11"/>
      <c r="I205" s="55"/>
      <c r="J205" s="55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</row>
    <row r="206" spans="1:35" x14ac:dyDescent="0.25">
      <c r="A206" s="11"/>
      <c r="B206" s="11"/>
      <c r="C206" s="11"/>
      <c r="D206" s="11"/>
      <c r="E206" s="11"/>
      <c r="F206" s="11"/>
      <c r="G206" s="11"/>
      <c r="H206" s="11"/>
      <c r="I206" s="55"/>
      <c r="J206" s="55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</row>
    <row r="207" spans="1:35" x14ac:dyDescent="0.25">
      <c r="A207" s="11"/>
      <c r="B207" s="11"/>
      <c r="C207" s="11"/>
      <c r="D207" s="11"/>
      <c r="E207" s="263"/>
      <c r="F207" s="11"/>
      <c r="G207" s="11"/>
      <c r="H207" s="11"/>
      <c r="I207" s="55"/>
      <c r="J207" s="55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</row>
    <row r="208" spans="1:35" x14ac:dyDescent="0.25">
      <c r="A208" s="11"/>
      <c r="B208" s="11"/>
      <c r="C208" s="11"/>
      <c r="D208" s="11"/>
      <c r="E208" s="11"/>
      <c r="F208" s="11"/>
      <c r="G208" s="11"/>
      <c r="H208" s="11"/>
      <c r="I208" s="55"/>
      <c r="J208" s="55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</row>
    <row r="209" spans="1:35" x14ac:dyDescent="0.25">
      <c r="A209" s="11"/>
      <c r="B209" s="11"/>
      <c r="C209" s="11"/>
      <c r="D209" s="11"/>
      <c r="E209" s="11"/>
      <c r="F209" s="11"/>
      <c r="G209" s="11"/>
      <c r="H209" s="11"/>
      <c r="I209" s="55"/>
      <c r="J209" s="55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</row>
    <row r="210" spans="1:35" x14ac:dyDescent="0.25">
      <c r="A210" s="11"/>
      <c r="B210" s="11"/>
      <c r="C210" s="11"/>
      <c r="D210" s="11"/>
      <c r="E210" s="11"/>
      <c r="F210" s="11"/>
      <c r="G210" s="11"/>
      <c r="H210" s="11"/>
      <c r="I210" s="55"/>
      <c r="J210" s="55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</row>
    <row r="211" spans="1:35" x14ac:dyDescent="0.25">
      <c r="A211" s="11"/>
      <c r="B211" s="11"/>
      <c r="C211" s="11"/>
      <c r="D211" s="11"/>
      <c r="E211" s="263"/>
      <c r="F211" s="11"/>
      <c r="G211" s="11"/>
      <c r="H211" s="11"/>
      <c r="I211" s="55"/>
      <c r="J211" s="55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</row>
  </sheetData>
  <sheetProtection algorithmName="SHA-512" hashValue="PEP9Q+ksfqmZwSib+TX8Z6WjKaq9bQfkBf8PRJ7ffRqnaR6tsTVdqvSneux2jr1HZXHoJcwA+aRet6mJKAYSyw==" saltValue="VqpkO7Xp20jn1VfIvP1sfQ==" spinCount="100000" sheet="1" scenarios="1"/>
  <mergeCells count="2">
    <mergeCell ref="AD31:AE31"/>
    <mergeCell ref="AG31:AH31"/>
  </mergeCells>
  <conditionalFormatting sqref="AD43 AF43:AG43 O43:AA43">
    <cfRule type="expression" dxfId="29" priority="15">
      <formula>ROUND(O42,2)&lt;&gt;ROUND(O43,2)</formula>
    </cfRule>
  </conditionalFormatting>
  <conditionalFormatting sqref="N43">
    <cfRule type="expression" dxfId="28" priority="14">
      <formula>$G43&lt;&gt;0</formula>
    </cfRule>
  </conditionalFormatting>
  <conditionalFormatting sqref="O53:AA53 AD53 AF53:AG53">
    <cfRule type="expression" dxfId="27" priority="13">
      <formula>ROUND(O52,2)&lt;&gt;ROUND(O53,2)</formula>
    </cfRule>
  </conditionalFormatting>
  <conditionalFormatting sqref="N53">
    <cfRule type="expression" dxfId="26" priority="12">
      <formula>$G53&lt;&gt;0</formula>
    </cfRule>
  </conditionalFormatting>
  <conditionalFormatting sqref="O63:AA63 AD63 AF63:AG63">
    <cfRule type="expression" dxfId="25" priority="11">
      <formula>ROUND(O62,2)&lt;&gt;ROUND(O63,2)</formula>
    </cfRule>
  </conditionalFormatting>
  <conditionalFormatting sqref="N63">
    <cfRule type="expression" dxfId="24" priority="10">
      <formula>$G63&lt;&gt;0</formula>
    </cfRule>
  </conditionalFormatting>
  <conditionalFormatting sqref="O73:AA73 AD73 AF73:AG73">
    <cfRule type="expression" dxfId="23" priority="9">
      <formula>ROUND(O72,2)&lt;&gt;ROUND(O73,2)</formula>
    </cfRule>
  </conditionalFormatting>
  <conditionalFormatting sqref="N73">
    <cfRule type="expression" dxfId="22" priority="8">
      <formula>$G73&lt;&gt;0</formula>
    </cfRule>
  </conditionalFormatting>
  <conditionalFormatting sqref="N82">
    <cfRule type="expression" dxfId="21" priority="7">
      <formula>$G82&lt;&gt;0</formula>
    </cfRule>
  </conditionalFormatting>
  <conditionalFormatting sqref="AD82 AF82:AG82 O82:AA82">
    <cfRule type="expression" dxfId="20" priority="6">
      <formula>ROUND(O81,2)&lt;&gt;ROUND(O82,2)</formula>
    </cfRule>
  </conditionalFormatting>
  <conditionalFormatting sqref="AI43">
    <cfRule type="expression" dxfId="19" priority="5">
      <formula>ROUND(AI42,2)&lt;&gt;ROUND(AI43,2)</formula>
    </cfRule>
  </conditionalFormatting>
  <conditionalFormatting sqref="AI53">
    <cfRule type="expression" dxfId="18" priority="4">
      <formula>ROUND(AI52,2)&lt;&gt;ROUND(AI53,2)</formula>
    </cfRule>
  </conditionalFormatting>
  <conditionalFormatting sqref="AI63">
    <cfRule type="expression" dxfId="17" priority="3">
      <formula>ROUND(AI62,2)&lt;&gt;ROUND(AI63,2)</formula>
    </cfRule>
  </conditionalFormatting>
  <conditionalFormatting sqref="AI73">
    <cfRule type="expression" dxfId="16" priority="2">
      <formula>ROUND(AI72,2)&lt;&gt;ROUND(AI73,2)</formula>
    </cfRule>
  </conditionalFormatting>
  <conditionalFormatting sqref="AI82">
    <cfRule type="expression" dxfId="15" priority="1">
      <formula>ROUND(AI81,2)&lt;&gt;ROUND(AI82,2)</formula>
    </cfRule>
  </conditionalFormatting>
  <dataValidations disablePrompts="1" count="2">
    <dataValidation type="list" allowBlank="1" sqref="B28" xr:uid="{00000000-0002-0000-1200-000000000000}">
      <formula1>"ACCOUNT,BUSINESSUNIT,CATEGORY,DATASRC,DEPARTMENT,INTCO,MEASURES,RPTCURRENCY,TIME"</formula1>
    </dataValidation>
    <dataValidation type="list" allowBlank="1" sqref="B29" xr:uid="{00000000-0002-0000-1200-000001000000}">
      <formula1>"SELF,ALL,BAS,DEP,BASMEMBERS,MEMBERS,NOEXPAND,GDEP"</formula1>
    </dataValidation>
  </dataValidations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rowBreaks count="1" manualBreakCount="1">
    <brk id="95" min="13" max="34" man="1"/>
  </rowBreaks>
  <customProperties>
    <customPr name="EpmWorksheetKeyString_GUID" r:id="rId2"/>
    <customPr name="FPMExcelClientCellBasedFunctionStatus" r:id="rId3"/>
    <customPr name="FPMExcelClientRefreshTime" r:id="rId4"/>
  </customProperties>
  <legacyDrawing r:id="rId5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1">
    <tabColor theme="6" tint="0.39997558519241921"/>
    <pageSetUpPr fitToPage="1"/>
  </sheetPr>
  <dimension ref="A1:AO183"/>
  <sheetViews>
    <sheetView topLeftCell="K1" zoomScale="85" zoomScaleNormal="85" workbookViewId="0">
      <pane xSplit="4" ySplit="32" topLeftCell="O33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3" width="9.7109375" style="1" hidden="1" customWidth="1" outlineLevel="1"/>
    <col min="14" max="14" width="36.7109375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40" width="0" style="1" hidden="1" customWidth="1" outlineLevel="1"/>
    <col min="41" max="41" width="9.140625" style="1" collapsed="1"/>
    <col min="42" max="16384" width="9.140625" style="1"/>
  </cols>
  <sheetData>
    <row r="1" spans="1:41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</row>
    <row r="2" spans="1:41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</row>
    <row r="3" spans="1:41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11"/>
      <c r="H4" s="11"/>
      <c r="I4" s="55"/>
      <c r="J4" s="55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11"/>
      <c r="H5" s="11"/>
      <c r="I5" s="55"/>
      <c r="J5" s="55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idden="1" outlineLevel="1" x14ac:dyDescent="0.25">
      <c r="A6" s="49" t="s">
        <v>52</v>
      </c>
      <c r="B6" s="52" t="s">
        <v>347</v>
      </c>
      <c r="C6" s="11" t="str">
        <f>IF(_epmOfflineCondition_,"Banquet-Catering &amp; CS",_xll.EVDES(B6,$B$1))</f>
        <v>Banquet-Catering &amp; CS</v>
      </c>
      <c r="D6" s="11"/>
      <c r="E6" s="54" t="str">
        <f>IF(_epmOfflineCondition_,"D2148",_xll.EVPRO($B$1,$B$6,$F$6))</f>
        <v>D2148</v>
      </c>
      <c r="F6" s="11" t="s">
        <v>278</v>
      </c>
      <c r="G6" s="11"/>
      <c r="H6" s="11"/>
      <c r="I6" s="55"/>
      <c r="J6" s="55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11"/>
      <c r="H7" s="11"/>
      <c r="I7" s="55"/>
      <c r="J7" s="55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11"/>
      <c r="H8" s="11"/>
      <c r="I8" s="55"/>
      <c r="J8" s="55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59" t="str">
        <f>IF(SetUp!$O$1=TRUE,"TRAILING12",IF(AA17="CURRENT","ROLLINGFORECAST","PERIODIC"))</f>
        <v>PERIODIC</v>
      </c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11"/>
      <c r="M12" s="11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  <c r="AJ12" s="11"/>
      <c r="AK12" s="11"/>
      <c r="AL12" s="11"/>
      <c r="AM12" s="11"/>
      <c r="AN12" s="11"/>
      <c r="AO12" s="11"/>
    </row>
    <row r="13" spans="1:41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11"/>
      <c r="M13" s="11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  <c r="AJ13" s="11"/>
      <c r="AK13" s="11"/>
      <c r="AL13" s="11"/>
      <c r="AM13" s="11"/>
      <c r="AN13" s="11"/>
      <c r="AO13" s="11"/>
    </row>
    <row r="14" spans="1:41" hidden="1" outlineLevel="1" x14ac:dyDescent="0.25">
      <c r="A14" s="56" t="str">
        <f>IF(_epmOfflineCondition_,"Evdre:Ok",_xll.EVDRE($B$1,A17:B24,A27:B33))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11"/>
      <c r="M14" s="11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  <c r="AJ14" s="11"/>
      <c r="AK14" s="11"/>
      <c r="AL14" s="11"/>
      <c r="AM14" s="11"/>
      <c r="AN14" s="11"/>
      <c r="AO14" s="11"/>
    </row>
    <row r="15" spans="1:41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11"/>
      <c r="M15" s="11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  <c r="AJ15" s="11"/>
      <c r="AK15" s="11"/>
      <c r="AL15" s="11"/>
      <c r="AM15" s="11"/>
      <c r="AN15" s="11"/>
      <c r="AO15" s="11"/>
    </row>
    <row r="16" spans="1:41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11"/>
      <c r="M16" s="11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  <c r="AJ16" s="11"/>
      <c r="AK16" s="11"/>
      <c r="AL16" s="11"/>
      <c r="AM16" s="11"/>
      <c r="AN16" s="11"/>
      <c r="AO16" s="11"/>
    </row>
    <row r="17" spans="1:41" hidden="1" outlineLevel="1" x14ac:dyDescent="0.25">
      <c r="A17" s="61" t="s">
        <v>2</v>
      </c>
      <c r="B17" s="62" t="str">
        <f>IF(_epmOfflineCondition_,"'BCC'!$B$2:$B$10",_xll.EVRNG($B$2:$B$10))</f>
        <v>'BCC'!$B$2:$B$10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11"/>
      <c r="M17" s="11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 t="str">
        <f>Z17</f>
        <v>ACTUAL_CON</v>
      </c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  <c r="AJ17" s="11"/>
      <c r="AK17" s="11"/>
      <c r="AL17" s="11"/>
      <c r="AM17" s="11"/>
      <c r="AN17" s="11"/>
      <c r="AO17" s="11"/>
    </row>
    <row r="18" spans="1:41" hidden="1" outlineLevel="1" x14ac:dyDescent="0.25">
      <c r="A18" s="61" t="s">
        <v>3</v>
      </c>
      <c r="B18" s="62" t="str">
        <f>IF(_epmOfflineCondition_,"'BCC'!$O$16:$AN$18",_xll.EVRNG($O$16:$AN$18))</f>
        <v>'BCC'!$O$16:$AN$18</v>
      </c>
      <c r="C18" s="11"/>
      <c r="D18" s="11"/>
      <c r="E18" s="11"/>
      <c r="F18" s="11"/>
      <c r="G18" s="11"/>
      <c r="H18" s="11"/>
      <c r="I18" s="55"/>
      <c r="J18" s="55"/>
      <c r="K18" s="11"/>
      <c r="L18" s="11"/>
      <c r="M18" s="11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11"/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  <c r="AJ18" s="11"/>
      <c r="AK18" s="11"/>
      <c r="AL18" s="11"/>
      <c r="AM18" s="11"/>
      <c r="AN18" s="11"/>
      <c r="AO18" s="11"/>
    </row>
    <row r="19" spans="1:41" hidden="1" outlineLevel="1" x14ac:dyDescent="0.25">
      <c r="A19" s="61" t="s">
        <v>4</v>
      </c>
      <c r="B19" s="62" t="str">
        <f>IF(_epmOfflineCondition_,"'BCC'!$H$35:$H$56",_xll.EVRNG(H35:H56))</f>
        <v>'BCC'!$H$35:$H$56</v>
      </c>
      <c r="C19" s="11"/>
      <c r="D19" s="11"/>
      <c r="E19" s="11"/>
      <c r="F19" s="11"/>
      <c r="G19" s="63" t="str">
        <f>$B$6</f>
        <v>D_BCC_CON</v>
      </c>
      <c r="H19" s="63">
        <v>400000</v>
      </c>
      <c r="I19" s="64"/>
      <c r="J19" s="64"/>
      <c r="K19" s="63"/>
      <c r="L19" s="63"/>
      <c r="M19" s="63"/>
      <c r="N19" s="63" t="str">
        <f>IF(_epmOfflineCondition_,"Total Revenue",_xll.EVDES(H19))</f>
        <v>Total Revenue</v>
      </c>
      <c r="O19" s="65">
        <f>IF(_epmOfflineCondition_,37102.92,_xll.EVGTS($B$1,1,$B$3,$B$5,$B$7,$B$9,O$16,O$17,O$18,$G$19,$H$19))</f>
        <v>37102.92</v>
      </c>
      <c r="P19" s="65">
        <f>IF(_epmOfflineCondition_,36761.39,_xll.EVGTS($B$1,1,$B$3,$B$5,$B$7,$B$9,P$16,P$17,P$18,$G$19,$H$19))</f>
        <v>36761.39</v>
      </c>
      <c r="Q19" s="65">
        <f>IF(_epmOfflineCondition_,36327.55,_xll.EVGTS($B$1,1,$B$3,$B$5,$B$7,$B$9,Q$16,Q$17,Q$18,$G$19,$H$19))</f>
        <v>36327.550000000003</v>
      </c>
      <c r="R19" s="65">
        <f>IF(_epmOfflineCondition_,10924.57,_xll.EVGTS($B$1,1,$B$3,$B$5,$B$7,$B$9,R$16,R$17,R$18,$G$19,$H$19))</f>
        <v>10924.57</v>
      </c>
      <c r="S19" s="65">
        <f>IF(_epmOfflineCondition_,9884.26,_xll.EVGTS($B$1,1,$B$3,$B$5,$B$7,$B$9,S$16,S$17,S$18,$G$19,$H$19))</f>
        <v>9884.26</v>
      </c>
      <c r="T19" s="65">
        <f>IF(_epmOfflineCondition_,5989.78,_xll.EVGTS($B$1,1,$B$3,$B$5,$B$7,$B$9,T$16,T$17,T$18,$G$19,$H$19))</f>
        <v>5989.78</v>
      </c>
      <c r="U19" s="65">
        <f>IF(_epmOfflineCondition_,20921.77,_xll.EVGTS($B$1,1,$B$3,$B$5,$B$7,$B$9,U$16,U$17,U$18,$G$19,$H$19))</f>
        <v>20921.77</v>
      </c>
      <c r="V19" s="65">
        <f>IF(_epmOfflineCondition_,6909.24,_xll.EVGTS($B$1,1,$B$3,$B$5,$B$7,$B$9,V$16,V$17,V$18,$G$19,$H$19))</f>
        <v>6909.24</v>
      </c>
      <c r="W19" s="65">
        <f>IF(_epmOfflineCondition_,3229.96,_xll.EVGTS($B$1,1,$B$3,$B$5,$B$7,$B$9,W$16,W$17,W$18,$G$19,$H$19))</f>
        <v>3229.96</v>
      </c>
      <c r="X19" s="65">
        <f>IF(_epmOfflineCondition_,27459.88,_xll.EVGTS($B$1,1,$B$3,$B$5,$B$7,$B$9,X$16,X$17,X$18,$G$19,$H$19))</f>
        <v>27459.88</v>
      </c>
      <c r="Y19" s="65">
        <f>IF(_epmOfflineCondition_,18801.04,_xll.EVGTS($B$1,1,$B$3,$B$5,$B$7,$B$9,Y$16,Y$17,Y$18,$G$19,$H$19))</f>
        <v>18801.04</v>
      </c>
      <c r="Z19" s="65">
        <f>IF(_epmOfflineCondition_,20761.98,_xll.EVGTS($B$1,1,$B$3,$B$5,$B$7,$B$9,Z$16,Z$17,Z$18,$G$19,$H$19))</f>
        <v>20761.98</v>
      </c>
      <c r="AA19" s="65">
        <f>SUM(O19:Z19)</f>
        <v>235074.34</v>
      </c>
      <c r="AB19" s="63"/>
      <c r="AC19" s="63"/>
      <c r="AD19" s="65">
        <f>IF(_epmOfflineCondition_,280078.529306,_xll.EVGTS($B$1,1,$B$3,$B$5,$B$7,$B$9,AD$16,AD$17,AD$18,$G$19,$H$19))</f>
        <v>280078.52930599998</v>
      </c>
      <c r="AE19" s="63"/>
      <c r="AF19" s="63"/>
      <c r="AG19" s="65">
        <f>IF(_epmOfflineCondition_,46183.55,_xll.EVGTS($B$1,1,$B$3,$B$5,$B$7,$B$9,AG$16,AG$17,AG$18,$G$19,$H$19))</f>
        <v>46183.55</v>
      </c>
      <c r="AH19" s="63"/>
      <c r="AI19" s="63"/>
      <c r="AJ19" s="11"/>
      <c r="AK19" s="11"/>
      <c r="AL19" s="11"/>
      <c r="AM19" s="11"/>
      <c r="AN19" s="11"/>
      <c r="AO19" s="11"/>
    </row>
    <row r="20" spans="1:41" hidden="1" outlineLevel="1" x14ac:dyDescent="0.25">
      <c r="A20" s="61" t="s">
        <v>5</v>
      </c>
      <c r="B20" s="62"/>
      <c r="C20" s="11"/>
      <c r="D20" s="11"/>
      <c r="E20" s="11"/>
      <c r="F20" s="11"/>
      <c r="G20" s="63" t="str">
        <f>$B$6</f>
        <v>D_BCC_CON</v>
      </c>
      <c r="H20" s="63">
        <v>946000</v>
      </c>
      <c r="I20" s="64"/>
      <c r="J20" s="64"/>
      <c r="K20" s="63"/>
      <c r="L20" s="64"/>
      <c r="M20" s="64"/>
      <c r="N20" s="63" t="str">
        <f>IF(_epmOfflineCondition_,"Total Customers",_xll.EVDES(H20))</f>
        <v>Total Customers</v>
      </c>
      <c r="O20" s="65">
        <f>IF(_epmOfflineCondition_,444,_xll.EVGTS($B$1,1,$B$3,$B$5,$B$7,$B$9,O$16,O$17,O$18,$G$20,$H$20))</f>
        <v>444</v>
      </c>
      <c r="P20" s="65">
        <f>IF(_epmOfflineCondition_,609,_xll.EVGTS($B$1,1,$B$3,$B$5,$B$7,$B$9,P$16,P$17,P$18,$G$20,$H$20))</f>
        <v>609</v>
      </c>
      <c r="Q20" s="65">
        <f>IF(_epmOfflineCondition_,396,_xll.EVGTS($B$1,1,$B$3,$B$5,$B$7,$B$9,Q$16,Q$17,Q$18,$G$20,$H$20))</f>
        <v>396</v>
      </c>
      <c r="R20" s="65">
        <f>IF(_epmOfflineCondition_,50,_xll.EVGTS($B$1,1,$B$3,$B$5,$B$7,$B$9,R$16,R$17,R$18,$G$20,$H$20))</f>
        <v>50</v>
      </c>
      <c r="S20" s="65">
        <f>IF(_epmOfflineCondition_,147,_xll.EVGTS($B$1,1,$B$3,$B$5,$B$7,$B$9,S$16,S$17,S$18,$G$20,$H$20))</f>
        <v>147</v>
      </c>
      <c r="T20" s="65">
        <f>IF(_epmOfflineCondition_,46,_xll.EVGTS($B$1,1,$B$3,$B$5,$B$7,$B$9,T$16,T$17,T$18,$G$20,$H$20))</f>
        <v>46</v>
      </c>
      <c r="U20" s="65">
        <f>IF(_epmOfflineCondition_,88,_xll.EVGTS($B$1,1,$B$3,$B$5,$B$7,$B$9,U$16,U$17,U$18,$G$20,$H$20))</f>
        <v>88</v>
      </c>
      <c r="V20" s="65">
        <f>IF(_epmOfflineCondition_,61,_xll.EVGTS($B$1,1,$B$3,$B$5,$B$7,$B$9,V$16,V$17,V$18,$G$20,$H$20))</f>
        <v>61</v>
      </c>
      <c r="W20" s="65">
        <f>IF(_epmOfflineCondition_,62,_xll.EVGTS($B$1,1,$B$3,$B$5,$B$7,$B$9,W$16,W$17,W$18,$G$20,$H$20))</f>
        <v>62</v>
      </c>
      <c r="X20" s="65">
        <f>IF(_epmOfflineCondition_,311,_xll.EVGTS($B$1,1,$B$3,$B$5,$B$7,$B$9,X$16,X$17,X$18,$G$20,$H$20))</f>
        <v>311</v>
      </c>
      <c r="Y20" s="65">
        <f>IF(_epmOfflineCondition_,314,_xll.EVGTS($B$1,1,$B$3,$B$5,$B$7,$B$9,Y$16,Y$17,Y$18,$G$20,$H$20))</f>
        <v>314</v>
      </c>
      <c r="Z20" s="65">
        <f>IF(_epmOfflineCondition_,218,_xll.EVGTS($B$1,1,$B$3,$B$5,$B$7,$B$9,Z$16,Z$17,Z$18,$G$20,$H$20))</f>
        <v>218</v>
      </c>
      <c r="AA20" s="65">
        <f>SUM(O20:Z20)</f>
        <v>2746</v>
      </c>
      <c r="AB20" s="63"/>
      <c r="AC20" s="63"/>
      <c r="AD20" s="65">
        <f>IF(_epmOfflineCondition_,3589.75,_xll.EVGTS($B$1,1,$B$3,$B$5,$B$7,$B$9,AD$16,AD$17,AD$18,$G$20,$H$20))</f>
        <v>3589.75</v>
      </c>
      <c r="AE20" s="63"/>
      <c r="AF20" s="63"/>
      <c r="AG20" s="65">
        <f>IF(_epmOfflineCondition_,594,_xll.EVGTS($B$1,1,$B$3,$B$5,$B$7,$B$9,AG$16,AG$17,AG$18,$G$20,$H$20))</f>
        <v>594</v>
      </c>
      <c r="AH20" s="63"/>
      <c r="AI20" s="63"/>
      <c r="AJ20" s="11"/>
      <c r="AK20" s="11"/>
      <c r="AL20" s="11"/>
      <c r="AM20" s="11"/>
      <c r="AN20" s="11"/>
      <c r="AO20" s="11"/>
    </row>
    <row r="21" spans="1:41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idden="1" outlineLevel="1" x14ac:dyDescent="0.25">
      <c r="A22" s="61" t="s">
        <v>7</v>
      </c>
      <c r="B22" s="62" t="str">
        <f>IF(_epmOfflineCondition_,"'BCC'!$A$36:$F$44",_xll.EVRNG(A36:F44))</f>
        <v>'BCC'!$A$36:$F$44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idden="1" outlineLevel="1" x14ac:dyDescent="0.25">
      <c r="A23" s="61" t="s">
        <v>47</v>
      </c>
      <c r="B23" s="62" t="str">
        <f>IF(_epmOfflineCondition_,"'BCC'!$A$125:$B$146",_xll.EVRNG($A$125:$B$146))</f>
        <v>'BCC'!$A$125:$B$146</v>
      </c>
      <c r="C23" s="11"/>
      <c r="D23" s="11"/>
      <c r="E23" s="11"/>
      <c r="F23" s="11"/>
      <c r="G23" s="11"/>
      <c r="H23" s="11"/>
      <c r="I23" s="55"/>
      <c r="J23" s="55"/>
      <c r="K23" s="6"/>
      <c r="L23" s="6"/>
      <c r="M23" s="6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380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22.5" x14ac:dyDescent="0.3">
      <c r="A26" s="57" t="s">
        <v>9</v>
      </c>
      <c r="B26" s="58" t="s">
        <v>10</v>
      </c>
      <c r="C26" s="11"/>
      <c r="D26" s="11"/>
      <c r="E26" s="11"/>
      <c r="F26" s="11"/>
      <c r="G26" s="11"/>
      <c r="H26" s="11"/>
      <c r="I26" s="55"/>
      <c r="J26" s="55"/>
      <c r="K26" s="11"/>
      <c r="L26" s="11"/>
      <c r="M26" s="11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8" x14ac:dyDescent="0.25">
      <c r="A27" s="61" t="s">
        <v>11</v>
      </c>
      <c r="B27" s="62" t="s">
        <v>21</v>
      </c>
      <c r="C27" s="11"/>
      <c r="D27" s="11"/>
      <c r="E27" s="11"/>
      <c r="F27" s="11"/>
      <c r="G27" s="11"/>
      <c r="H27" s="11"/>
      <c r="I27" s="55"/>
      <c r="J27" s="55"/>
      <c r="K27" s="11"/>
      <c r="L27" s="11"/>
      <c r="M27" s="11"/>
      <c r="N27" s="67" t="str">
        <f>IF(_epmOfflineCondition_,"Banquet-Catering &amp; CS Department",IF(_xll.EVDES(B6,$B$1)="#NODATA","",_xll.EVDES(B6,$B$1)&amp;" Department"))</f>
        <v>Banquet-Catering &amp; CS Department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x14ac:dyDescent="0.25">
      <c r="A28" s="61" t="s">
        <v>12</v>
      </c>
      <c r="B28" s="62" t="s">
        <v>22</v>
      </c>
      <c r="C28" s="11"/>
      <c r="D28" s="11"/>
      <c r="E28" s="11"/>
      <c r="F28" s="11"/>
      <c r="G28" s="11"/>
      <c r="H28" s="11"/>
      <c r="I28" s="55"/>
      <c r="J28" s="55"/>
      <c r="K28" s="11"/>
      <c r="L28" s="11"/>
      <c r="M28" s="11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" customHeight="1" x14ac:dyDescent="0.25">
      <c r="A29" s="61" t="s">
        <v>13</v>
      </c>
      <c r="B29" s="62" t="str">
        <f>"DEP(REV_F) AND "&amp;$E$6&amp;"=Y,REV_F,BEV,DEP(REV_BEV) AND "&amp;$E$6&amp;"=Y,REV_BEV,ALLOW_FB,REV_FB,OTHR_REV,DEP(REV_OTHR) AND "&amp;$E$6&amp;"=Y,REV_OTHR,400000"</f>
        <v>DEP(REV_F) AND D2148=Y,REV_F,BEV,DEP(REV_BEV) AND D2148=Y,REV_BEV,ALLOW_FB,REV_FB,OTHR_REV,DEP(REV_OTHR) AND D2148=Y,REV_OTHR,400000</v>
      </c>
      <c r="C29" s="11"/>
      <c r="D29" s="11"/>
      <c r="E29" s="11"/>
      <c r="F29" s="11"/>
      <c r="G29" s="11"/>
      <c r="H29" s="11"/>
      <c r="I29" s="55"/>
      <c r="J29" s="55"/>
      <c r="K29" s="11"/>
      <c r="L29" s="11"/>
      <c r="M29" s="11"/>
      <c r="N29" s="68" t="str">
        <f>IF(_epmOfflineCondition_,"Local Currency",_xll.EVDES(B9,B1))</f>
        <v>Local Currency</v>
      </c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x14ac:dyDescent="0.25">
      <c r="A30" s="61" t="s">
        <v>14</v>
      </c>
      <c r="B30" s="62"/>
      <c r="C30" s="11"/>
      <c r="D30" s="11"/>
      <c r="E30" s="11"/>
      <c r="F30" s="11"/>
      <c r="G30" s="11"/>
      <c r="H30" s="11"/>
      <c r="I30" s="55"/>
      <c r="J30" s="55"/>
      <c r="K30" s="11"/>
      <c r="L30" s="11"/>
      <c r="M30" s="11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  <c r="AJ30" s="69" t="s">
        <v>752</v>
      </c>
      <c r="AK30" s="70"/>
      <c r="AL30" s="71"/>
      <c r="AM30" s="70" t="s">
        <v>751</v>
      </c>
      <c r="AN30" s="70"/>
      <c r="AO30" s="11"/>
    </row>
    <row r="31" spans="1:41" x14ac:dyDescent="0.25">
      <c r="A31" s="61" t="s">
        <v>15</v>
      </c>
      <c r="B31" s="62"/>
      <c r="C31" s="11"/>
      <c r="D31" s="11"/>
      <c r="E31" s="11"/>
      <c r="F31" s="11"/>
      <c r="G31" s="72"/>
      <c r="H31" s="11"/>
      <c r="I31" s="11"/>
      <c r="J31" s="11"/>
      <c r="K31" s="11"/>
      <c r="L31" s="11"/>
      <c r="M31" s="11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  <c r="AJ31" s="73" t="str">
        <f>IF(_epmOfflineCondition_,"2019",_xll.EVPRO($B$1,AA$16,"YEAR"))</f>
        <v>2019</v>
      </c>
      <c r="AK31" s="76" t="str">
        <f>IF(_epmOfflineCondition_,"2019",_xll.EVPRO($B$1,AD$16,"YEAR"))</f>
        <v>2019</v>
      </c>
      <c r="AL31" s="76" t="str">
        <f>IF(_epmOfflineCondition_,"2018",_xll.EVPRO($B$1,AG$16,"YEAR"))</f>
        <v>2018</v>
      </c>
      <c r="AM31" s="73" t="str">
        <f>"vs "&amp;AK31</f>
        <v>vs 2019</v>
      </c>
      <c r="AN31" s="73" t="str">
        <f>"vs "&amp;AL31</f>
        <v>vs 2018</v>
      </c>
      <c r="AO31" s="11"/>
    </row>
    <row r="32" spans="1:41" s="8" customFormat="1" ht="30" customHeight="1" x14ac:dyDescent="0.25">
      <c r="A32" s="77" t="s">
        <v>16</v>
      </c>
      <c r="B32" s="78"/>
      <c r="C32" s="79"/>
      <c r="D32" s="79"/>
      <c r="E32" s="79"/>
      <c r="F32" s="79"/>
      <c r="G32" s="359"/>
      <c r="H32" s="80"/>
      <c r="I32" s="81"/>
      <c r="J32" s="81"/>
      <c r="K32" s="174" t="s">
        <v>117</v>
      </c>
      <c r="L32" s="174"/>
      <c r="M32" s="174"/>
      <c r="N32" s="82" t="s">
        <v>120</v>
      </c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  <c r="AJ32" s="83" t="str">
        <f>Z32</f>
        <v>Actual</v>
      </c>
      <c r="AK32" s="76" t="str">
        <f>AD32</f>
        <v>Budget</v>
      </c>
      <c r="AL32" s="83" t="str">
        <f>AG32</f>
        <v>Actual</v>
      </c>
      <c r="AM32" s="73" t="s">
        <v>748</v>
      </c>
      <c r="AN32" s="73" t="s">
        <v>748</v>
      </c>
      <c r="AO32" s="79"/>
    </row>
    <row r="33" spans="1:41" x14ac:dyDescent="0.25">
      <c r="A33" s="61" t="s">
        <v>17</v>
      </c>
      <c r="B33" s="62"/>
      <c r="C33" s="11"/>
      <c r="D33" s="11"/>
      <c r="E33" s="11"/>
      <c r="F33" s="11"/>
      <c r="G33" s="11"/>
      <c r="H33" s="11" t="s">
        <v>69</v>
      </c>
      <c r="I33" s="55" t="str">
        <f>IF(_epmOfflineCondition_,"B1",_xll.EVPRO($B$1,$H33,"STYLE"))</f>
        <v>B1</v>
      </c>
      <c r="J33" s="55" t="str">
        <f>IF(_epmOfflineCondition_,"Y",_xll.EVPRO($B$1,$H33,"CALC"))</f>
        <v>Y</v>
      </c>
      <c r="K33" s="11"/>
      <c r="L33" s="11"/>
      <c r="M33" s="11"/>
      <c r="N33" s="101" t="str">
        <f>IF(_epmOfflineCondition_,"Revenues",IF(_xll.EVDES(H33,$B$1)="#NODATA","",_xll.EVDES(H33,$B$1)))</f>
        <v>Revenues</v>
      </c>
      <c r="O33" s="125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7"/>
      <c r="AC33" s="11"/>
      <c r="AD33" s="125"/>
      <c r="AE33" s="126"/>
      <c r="AF33" s="127"/>
      <c r="AG33" s="125"/>
      <c r="AH33" s="126"/>
      <c r="AI33" s="127"/>
      <c r="AJ33" s="11"/>
      <c r="AK33" s="11"/>
      <c r="AL33" s="11"/>
      <c r="AM33" s="11"/>
      <c r="AN33" s="11"/>
      <c r="AO33" s="11"/>
    </row>
    <row r="34" spans="1:41" x14ac:dyDescent="0.25">
      <c r="A34" s="11"/>
      <c r="B34" s="11"/>
      <c r="C34" s="11"/>
      <c r="D34" s="11"/>
      <c r="E34" s="11"/>
      <c r="F34" s="11"/>
      <c r="G34" s="11"/>
      <c r="H34" s="11" t="s">
        <v>259</v>
      </c>
      <c r="I34" s="55" t="str">
        <f>IF(_epmOfflineCondition_,"B1",_xll.EVPRO($B$1,$H34,"STYLE"))</f>
        <v>B1</v>
      </c>
      <c r="J34" s="55" t="str">
        <f>IF(_epmOfflineCondition_,"Y",_xll.EVPRO($B$1,$H34,"CALC"))</f>
        <v>Y</v>
      </c>
      <c r="K34" s="11"/>
      <c r="L34" s="129" t="s">
        <v>364</v>
      </c>
      <c r="M34" s="129" t="s">
        <v>783</v>
      </c>
      <c r="N34" s="49" t="str">
        <f>IF(_epmOfflineCondition_,"Food Revenue",IF(_xll.EVDES(H34,$B$1)="#NODATA","",_xll.EVDES(H34,$B$1)))</f>
        <v>Food Revenue</v>
      </c>
      <c r="O34" s="199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114"/>
      <c r="AC34" s="11"/>
      <c r="AD34" s="199"/>
      <c r="AE34" s="200"/>
      <c r="AF34" s="114"/>
      <c r="AG34" s="199"/>
      <c r="AH34" s="200"/>
      <c r="AI34" s="114"/>
      <c r="AJ34" s="11"/>
      <c r="AK34" s="11"/>
      <c r="AL34" s="11"/>
      <c r="AM34" s="11"/>
      <c r="AN34" s="11"/>
      <c r="AO34" s="11"/>
    </row>
    <row r="35" spans="1:41" x14ac:dyDescent="0.25">
      <c r="A35" s="93" t="s">
        <v>92</v>
      </c>
      <c r="B35" s="94" t="s">
        <v>93</v>
      </c>
      <c r="C35" s="94" t="s">
        <v>94</v>
      </c>
      <c r="D35" s="94" t="s">
        <v>95</v>
      </c>
      <c r="E35" s="94" t="s">
        <v>96</v>
      </c>
      <c r="F35" s="95" t="s">
        <v>97</v>
      </c>
      <c r="G35" s="11"/>
      <c r="H35" s="84" t="s">
        <v>260</v>
      </c>
      <c r="I35" s="118" t="str">
        <f>IF(_epmOfflineCondition_,"T5",_xll.EVPRO($B$1,$H35,"STYLE"))</f>
        <v>T5</v>
      </c>
      <c r="J35" s="118" t="str">
        <f>IF(_epmOfflineCondition_,"Y",_xll.EVPRO($B$1,$H35,"CALC"))</f>
        <v>Y</v>
      </c>
      <c r="K35" s="175" t="str">
        <f t="shared" ref="K35:K56" si="0">IF(AND(I35&gt;="T5"),"&gt;","")</f>
        <v>&gt;</v>
      </c>
      <c r="L35" s="86" t="str">
        <f>IF(_epmOfflineCondition_,"461100",_xll.EVPRO($B$1,H35,"JDEID"))</f>
        <v>461100</v>
      </c>
      <c r="M35" s="86" t="str">
        <f>IF(_epmOfflineCondition_,"",IF(AND(I35="N",J35="N"),_xll.EVPRO($B$1,H35,"PSFTID"),""))</f>
        <v/>
      </c>
      <c r="N35" s="86" t="str">
        <f>IF(_epmOfflineCondition_,"Breakfast Food",IF(_xll.EVDES(H35,$B$1)="#NODATA","",_xll.EVDES(H35,$B$1)))</f>
        <v>Breakfast Food</v>
      </c>
      <c r="O35" s="558">
        <v>6465</v>
      </c>
      <c r="P35" s="559">
        <v>5145.95</v>
      </c>
      <c r="Q35" s="559">
        <v>6541.68</v>
      </c>
      <c r="R35" s="559">
        <v>1219</v>
      </c>
      <c r="S35" s="559">
        <v>2084</v>
      </c>
      <c r="T35" s="559">
        <v>1549</v>
      </c>
      <c r="U35" s="559">
        <v>2239</v>
      </c>
      <c r="V35" s="559">
        <v>1337</v>
      </c>
      <c r="W35" s="559">
        <v>1418</v>
      </c>
      <c r="X35" s="559">
        <v>2734</v>
      </c>
      <c r="Y35" s="559">
        <v>4277</v>
      </c>
      <c r="Z35" s="559">
        <v>2261</v>
      </c>
      <c r="AA35" s="223">
        <f t="shared" ref="AA35:AA56" si="1">IF($I35="B1","",SUM(O35:Z35))</f>
        <v>37270.630000000005</v>
      </c>
      <c r="AB35" s="560">
        <f t="shared" ref="AB35:AB56" si="2">IF(AA35=0,"",IFERROR(AA35/AA$19,""))</f>
        <v>0.1585482703046194</v>
      </c>
      <c r="AC35" s="455"/>
      <c r="AD35" s="559">
        <v>30295.857250000001</v>
      </c>
      <c r="AE35" s="560">
        <f t="shared" ref="AE35:AE56" si="3">IF(AD35=0,"",IFERROR(AD35/AD$19,""))</f>
        <v>0.10816915286248252</v>
      </c>
      <c r="AF35" s="561">
        <f t="shared" ref="AF35:AF56" si="4">IF(AND($AA35="",AD35=""),"",$AA35-AD35)</f>
        <v>6974.7727500000037</v>
      </c>
      <c r="AG35" s="559">
        <v>1720.19</v>
      </c>
      <c r="AH35" s="560">
        <f t="shared" ref="AH35:AH56" si="5">IF(AG35=0,"",IFERROR(AG35/AG$19,""))</f>
        <v>3.7246811905970845E-2</v>
      </c>
      <c r="AI35" s="562">
        <f t="shared" ref="AI35:AI56" si="6">IF(AND($AA35="",AG35=""),"",$AA35-AG35)</f>
        <v>35550.44</v>
      </c>
      <c r="AJ35" s="458">
        <f t="shared" ref="AJ35:AJ56" si="7">IFERROR(AA35/AA$20,0)</f>
        <v>13.572698470502552</v>
      </c>
      <c r="AK35" s="459">
        <f t="shared" ref="AK35:AK56" si="8">IFERROR(AD35/AD$20,0)</f>
        <v>8.4395451633122089</v>
      </c>
      <c r="AL35" s="460">
        <f t="shared" ref="AL35:AL56" si="9">IFERROR(AG35/AG$20,0)</f>
        <v>2.895942760942761</v>
      </c>
      <c r="AM35" s="461" t="str">
        <f t="shared" ref="AM35:AM56" si="10">+IFERROR(ROUND(($AB35-AE35)*100,2)&amp;" pts.",0)</f>
        <v>5.04 pts.</v>
      </c>
      <c r="AN35" s="462" t="str">
        <f t="shared" ref="AN35:AN56" si="11">+IFERROR(ROUND(($AB35-AH35)*100,2)&amp;" pts.",0)</f>
        <v>12.13 pts.</v>
      </c>
      <c r="AO35" s="11"/>
    </row>
    <row r="36" spans="1:41" x14ac:dyDescent="0.25">
      <c r="A36" s="11"/>
      <c r="B36" s="11"/>
      <c r="C36" s="11"/>
      <c r="D36" s="11"/>
      <c r="E36" s="11"/>
      <c r="F36" s="11"/>
      <c r="G36" s="11"/>
      <c r="H36" s="84" t="s">
        <v>261</v>
      </c>
      <c r="I36" s="118" t="str">
        <f>IF(_epmOfflineCondition_,"T5",_xll.EVPRO($B$1,$H36,"STYLE"))</f>
        <v>T5</v>
      </c>
      <c r="J36" s="118" t="str">
        <f>IF(_epmOfflineCondition_,"Y",_xll.EVPRO($B$1,$H36,"CALC"))</f>
        <v>Y</v>
      </c>
      <c r="K36" s="175" t="str">
        <f t="shared" si="0"/>
        <v>&gt;</v>
      </c>
      <c r="L36" s="86" t="str">
        <f>IF(_epmOfflineCondition_,"462100",_xll.EVPRO($B$1,H36,"JDEID"))</f>
        <v>462100</v>
      </c>
      <c r="M36" s="86" t="str">
        <f>IF(_epmOfflineCondition_,"",IF(AND(I36="N",J36="N"),_xll.EVPRO($B$1,H36,"PSFTID"),""))</f>
        <v/>
      </c>
      <c r="N36" s="86" t="str">
        <f>IF(_epmOfflineCondition_,"Lunch Food",IF(_xll.EVDES(H36,$B$1)="#NODATA","",_xll.EVDES(H36,$B$1)))</f>
        <v>Lunch Food</v>
      </c>
      <c r="O36" s="558">
        <v>11686.2</v>
      </c>
      <c r="P36" s="559">
        <v>9042</v>
      </c>
      <c r="Q36" s="559">
        <v>10306</v>
      </c>
      <c r="R36" s="559">
        <v>3428</v>
      </c>
      <c r="S36" s="559">
        <v>2569</v>
      </c>
      <c r="T36" s="559"/>
      <c r="U36" s="559"/>
      <c r="V36" s="559"/>
      <c r="W36" s="559"/>
      <c r="X36" s="559">
        <v>2465</v>
      </c>
      <c r="Y36" s="559">
        <v>5133</v>
      </c>
      <c r="Z36" s="559">
        <v>497</v>
      </c>
      <c r="AA36" s="223">
        <f t="shared" si="1"/>
        <v>45126.2</v>
      </c>
      <c r="AB36" s="560">
        <f t="shared" si="2"/>
        <v>0.1919656564812646</v>
      </c>
      <c r="AC36" s="455"/>
      <c r="AD36" s="559">
        <v>25134.032329999998</v>
      </c>
      <c r="AE36" s="560">
        <f t="shared" si="3"/>
        <v>8.9739232751182424E-2</v>
      </c>
      <c r="AF36" s="561">
        <f t="shared" si="4"/>
        <v>19992.167669999999</v>
      </c>
      <c r="AG36" s="559">
        <v>21299.919999999998</v>
      </c>
      <c r="AH36" s="560">
        <f t="shared" si="5"/>
        <v>0.46120144510328887</v>
      </c>
      <c r="AI36" s="562">
        <f t="shared" si="6"/>
        <v>23826.28</v>
      </c>
      <c r="AJ36" s="458">
        <f t="shared" si="7"/>
        <v>16.433430444282592</v>
      </c>
      <c r="AK36" s="459">
        <f t="shared" si="8"/>
        <v>7.0016107890521617</v>
      </c>
      <c r="AL36" s="460">
        <f t="shared" si="9"/>
        <v>35.858451178451176</v>
      </c>
      <c r="AM36" s="461" t="str">
        <f t="shared" si="10"/>
        <v>10.22 pts.</v>
      </c>
      <c r="AN36" s="462" t="str">
        <f t="shared" si="11"/>
        <v>-26.92 pts.</v>
      </c>
      <c r="AO36" s="11"/>
    </row>
    <row r="37" spans="1:41" x14ac:dyDescent="0.25">
      <c r="A37" s="11" t="s">
        <v>209</v>
      </c>
      <c r="B37" s="11" t="s">
        <v>21</v>
      </c>
      <c r="C37" s="391"/>
      <c r="D37" s="11" t="s">
        <v>590</v>
      </c>
      <c r="E37" s="11"/>
      <c r="F37" s="11" t="s">
        <v>99</v>
      </c>
      <c r="G37" s="11"/>
      <c r="H37" s="84" t="s">
        <v>262</v>
      </c>
      <c r="I37" s="118" t="str">
        <f>IF(_epmOfflineCondition_,"T5",_xll.EVPRO($B$1,$H37,"STYLE"))</f>
        <v>T5</v>
      </c>
      <c r="J37" s="118" t="str">
        <f>IF(_epmOfflineCondition_,"Y",_xll.EVPRO($B$1,$H37,"CALC"))</f>
        <v>Y</v>
      </c>
      <c r="K37" s="175" t="str">
        <f t="shared" si="0"/>
        <v>&gt;</v>
      </c>
      <c r="L37" s="86" t="str">
        <f>IF(_epmOfflineCondition_,"463100",_xll.EVPRO($B$1,H37,"JDEID"))</f>
        <v>463100</v>
      </c>
      <c r="M37" s="86" t="str">
        <f>IF(_epmOfflineCondition_,"",IF(AND(I37="N",J37="N"),_xll.EVPRO($B$1,H37,"PSFTID"),""))</f>
        <v/>
      </c>
      <c r="N37" s="86" t="str">
        <f>IF(_epmOfflineCondition_,"Dinner Food",IF(_xll.EVDES(H37,$B$1)="#NODATA","",_xll.EVDES(H37,$B$1)))</f>
        <v>Dinner Food</v>
      </c>
      <c r="O37" s="558">
        <v>4810.25</v>
      </c>
      <c r="P37" s="559">
        <v>6380</v>
      </c>
      <c r="Q37" s="559">
        <v>1500</v>
      </c>
      <c r="R37" s="559"/>
      <c r="S37" s="559"/>
      <c r="T37" s="559"/>
      <c r="U37" s="559"/>
      <c r="V37" s="559"/>
      <c r="W37" s="559"/>
      <c r="X37" s="559">
        <v>12865.96</v>
      </c>
      <c r="Y37" s="559">
        <v>1640</v>
      </c>
      <c r="Z37" s="559"/>
      <c r="AA37" s="223">
        <f t="shared" si="1"/>
        <v>27196.21</v>
      </c>
      <c r="AB37" s="560">
        <f t="shared" si="2"/>
        <v>0.11569195514916686</v>
      </c>
      <c r="AC37" s="455"/>
      <c r="AD37" s="559">
        <v>76934.092449999996</v>
      </c>
      <c r="AE37" s="560">
        <f t="shared" si="3"/>
        <v>0.27468757651874703</v>
      </c>
      <c r="AF37" s="561">
        <f t="shared" si="4"/>
        <v>-49737.882449999997</v>
      </c>
      <c r="AG37" s="559">
        <v>2555.2199999999998</v>
      </c>
      <c r="AH37" s="560">
        <f t="shared" si="5"/>
        <v>5.5327492148178295E-2</v>
      </c>
      <c r="AI37" s="562">
        <f t="shared" si="6"/>
        <v>24640.989999999998</v>
      </c>
      <c r="AJ37" s="458">
        <f t="shared" si="7"/>
        <v>9.9039366351056071</v>
      </c>
      <c r="AK37" s="459">
        <f t="shared" si="8"/>
        <v>21.431601768925411</v>
      </c>
      <c r="AL37" s="460">
        <f t="shared" si="9"/>
        <v>4.3017171717171712</v>
      </c>
      <c r="AM37" s="461" t="str">
        <f t="shared" si="10"/>
        <v>-15.9 pts.</v>
      </c>
      <c r="AN37" s="462" t="str">
        <f t="shared" si="11"/>
        <v>6.04 pts.</v>
      </c>
      <c r="AO37" s="11"/>
    </row>
    <row r="38" spans="1:41" x14ac:dyDescent="0.25">
      <c r="A38" s="11" t="s">
        <v>105</v>
      </c>
      <c r="B38" s="11"/>
      <c r="C38" s="100" t="s">
        <v>101</v>
      </c>
      <c r="D38" s="11" t="s">
        <v>106</v>
      </c>
      <c r="E38" s="11"/>
      <c r="F38" s="11" t="s">
        <v>98</v>
      </c>
      <c r="G38" s="11"/>
      <c r="H38" s="84" t="s">
        <v>820</v>
      </c>
      <c r="I38" s="118" t="str">
        <f>IF(_epmOfflineCondition_,"N",_xll.EVPRO($B$1,$H38,"STYLE"))</f>
        <v>N</v>
      </c>
      <c r="J38" s="118" t="str">
        <f>IF(_epmOfflineCondition_,"N",_xll.EVPRO($B$1,$H38,"CALC"))</f>
        <v>N</v>
      </c>
      <c r="K38" s="175" t="str">
        <f t="shared" si="0"/>
        <v/>
      </c>
      <c r="L38" s="86" t="str">
        <f>IF(_epmOfflineCondition_,"470110",_xll.EVPRO($B$1,H38,"JDEID"))</f>
        <v>470110</v>
      </c>
      <c r="M38" s="86" t="str">
        <f>IF(_epmOfflineCondition_,"201016",IF(AND(I38="N",J38="N"),_xll.EVPRO($B$1,H38,"PSFTID"),""))</f>
        <v>201016</v>
      </c>
      <c r="N38" s="86" t="str">
        <f>IF(_epmOfflineCondition_,"Break Food",IF(_xll.EVDES(H38,$B$1)="#NODATA","",_xll.EVDES(H38,$B$1)))</f>
        <v>Break Food</v>
      </c>
      <c r="O38" s="558"/>
      <c r="P38" s="559"/>
      <c r="Q38" s="559"/>
      <c r="R38" s="559"/>
      <c r="S38" s="559"/>
      <c r="T38" s="559"/>
      <c r="U38" s="559"/>
      <c r="V38" s="559"/>
      <c r="W38" s="559"/>
      <c r="X38" s="559"/>
      <c r="Y38" s="559"/>
      <c r="Z38" s="559">
        <v>573</v>
      </c>
      <c r="AA38" s="223">
        <f t="shared" si="1"/>
        <v>573</v>
      </c>
      <c r="AB38" s="560">
        <f t="shared" si="2"/>
        <v>2.4375267840803043E-3</v>
      </c>
      <c r="AC38" s="455"/>
      <c r="AD38" s="559"/>
      <c r="AE38" s="560" t="str">
        <f t="shared" si="3"/>
        <v/>
      </c>
      <c r="AF38" s="561">
        <f t="shared" si="4"/>
        <v>573</v>
      </c>
      <c r="AG38" s="559"/>
      <c r="AH38" s="560" t="str">
        <f t="shared" si="5"/>
        <v/>
      </c>
      <c r="AI38" s="562">
        <f t="shared" si="6"/>
        <v>573</v>
      </c>
      <c r="AJ38" s="458">
        <f t="shared" si="7"/>
        <v>0.20866715222141297</v>
      </c>
      <c r="AK38" s="459">
        <f t="shared" si="8"/>
        <v>0</v>
      </c>
      <c r="AL38" s="460">
        <f t="shared" si="9"/>
        <v>0</v>
      </c>
      <c r="AM38" s="461">
        <f t="shared" si="10"/>
        <v>0</v>
      </c>
      <c r="AN38" s="462">
        <f t="shared" si="11"/>
        <v>0</v>
      </c>
      <c r="AO38" s="11"/>
    </row>
    <row r="39" spans="1:41" x14ac:dyDescent="0.25">
      <c r="A39" s="11" t="s">
        <v>104</v>
      </c>
      <c r="B39" s="11"/>
      <c r="C39" s="100" t="s">
        <v>101</v>
      </c>
      <c r="D39" s="11" t="s">
        <v>106</v>
      </c>
      <c r="E39" s="11"/>
      <c r="F39" s="11" t="s">
        <v>98</v>
      </c>
      <c r="G39" s="11"/>
      <c r="H39" s="84" t="s">
        <v>821</v>
      </c>
      <c r="I39" s="118" t="str">
        <f>IF(_epmOfflineCondition_,"N",_xll.EVPRO($B$1,$H39,"STYLE"))</f>
        <v>N</v>
      </c>
      <c r="J39" s="118" t="str">
        <f>IF(_epmOfflineCondition_,"N",_xll.EVPRO($B$1,$H39,"CALC"))</f>
        <v>N</v>
      </c>
      <c r="K39" s="175" t="str">
        <f t="shared" si="0"/>
        <v/>
      </c>
      <c r="L39" s="86" t="str">
        <f>IF(_epmOfflineCondition_,"471110",_xll.EVPRO($B$1,H39,"JDEID"))</f>
        <v>471110</v>
      </c>
      <c r="M39" s="86" t="str">
        <f>IF(_epmOfflineCondition_,"201017",IF(AND(I39="N",J39="N"),_xll.EVPRO($B$1,H39,"PSFTID"),""))</f>
        <v>201017</v>
      </c>
      <c r="N39" s="86" t="str">
        <f>IF(_epmOfflineCondition_,"Reception Food",IF(_xll.EVDES(H39,$B$1)="#NODATA","",_xll.EVDES(H39,$B$1)))</f>
        <v>Reception Food</v>
      </c>
      <c r="O39" s="463"/>
      <c r="P39" s="229"/>
      <c r="Q39" s="229"/>
      <c r="R39" s="229"/>
      <c r="S39" s="229"/>
      <c r="T39" s="229"/>
      <c r="U39" s="229"/>
      <c r="V39" s="229"/>
      <c r="W39" s="229"/>
      <c r="X39" s="229"/>
      <c r="Y39" s="229"/>
      <c r="Z39" s="229">
        <v>7700</v>
      </c>
      <c r="AA39" s="229">
        <f t="shared" si="1"/>
        <v>7700</v>
      </c>
      <c r="AB39" s="464">
        <f t="shared" si="2"/>
        <v>3.27555955277807E-2</v>
      </c>
      <c r="AC39" s="455"/>
      <c r="AD39" s="229"/>
      <c r="AE39" s="464" t="str">
        <f t="shared" si="3"/>
        <v/>
      </c>
      <c r="AF39" s="465">
        <f t="shared" si="4"/>
        <v>7700</v>
      </c>
      <c r="AG39" s="229"/>
      <c r="AH39" s="464" t="str">
        <f t="shared" si="5"/>
        <v/>
      </c>
      <c r="AI39" s="466">
        <f t="shared" si="6"/>
        <v>7700</v>
      </c>
      <c r="AJ39" s="467">
        <f t="shared" si="7"/>
        <v>2.8040786598689</v>
      </c>
      <c r="AK39" s="468">
        <f t="shared" si="8"/>
        <v>0</v>
      </c>
      <c r="AL39" s="469">
        <f t="shared" si="9"/>
        <v>0</v>
      </c>
      <c r="AM39" s="470">
        <f t="shared" si="10"/>
        <v>0</v>
      </c>
      <c r="AN39" s="471">
        <f t="shared" si="11"/>
        <v>0</v>
      </c>
      <c r="AO39" s="11"/>
    </row>
    <row r="40" spans="1:41" x14ac:dyDescent="0.25">
      <c r="A40" s="11" t="s">
        <v>100</v>
      </c>
      <c r="B40" s="11"/>
      <c r="C40" s="49" t="s">
        <v>101</v>
      </c>
      <c r="D40" s="11" t="s">
        <v>106</v>
      </c>
      <c r="E40" s="11"/>
      <c r="F40" s="11" t="s">
        <v>98</v>
      </c>
      <c r="G40" s="11"/>
      <c r="H40" s="84" t="s">
        <v>265</v>
      </c>
      <c r="I40" s="184" t="str">
        <f>IF(_epmOfflineCondition_,"T4",_xll.EVPRO($B$1,$H40,"STYLE"))</f>
        <v>T4</v>
      </c>
      <c r="J40" s="184" t="str">
        <f>IF(_epmOfflineCondition_,"Y",_xll.EVPRO($B$1,$H40,"CALC"))</f>
        <v>Y</v>
      </c>
      <c r="K40" s="185" t="str">
        <f t="shared" si="0"/>
        <v/>
      </c>
      <c r="L40" s="186" t="str">
        <f>IF(_epmOfflineCondition_,"",_xll.EVPRO($B$1,H40,"JDEID"))</f>
        <v/>
      </c>
      <c r="M40" s="186" t="str">
        <f>IF(_epmOfflineCondition_,"",IF(AND(I40="N",J40="N"),_xll.EVPRO($B$1,H40,"PSFTID"),""))</f>
        <v/>
      </c>
      <c r="N40" s="186" t="str">
        <f>IF(_epmOfflineCondition_,"Total Food Revenue",IF(_xll.EVDES(H40,$B$1)="#NODATA","",_xll.EVDES(H40,$B$1)))</f>
        <v>Total Food Revenue</v>
      </c>
      <c r="O40" s="472">
        <v>22961.45</v>
      </c>
      <c r="P40" s="236">
        <v>20567.95</v>
      </c>
      <c r="Q40" s="236">
        <v>18347.68</v>
      </c>
      <c r="R40" s="236">
        <v>4647</v>
      </c>
      <c r="S40" s="236">
        <v>4653</v>
      </c>
      <c r="T40" s="236">
        <v>1549</v>
      </c>
      <c r="U40" s="236">
        <v>2239</v>
      </c>
      <c r="V40" s="236">
        <v>1337</v>
      </c>
      <c r="W40" s="236">
        <v>1418</v>
      </c>
      <c r="X40" s="236">
        <v>18064.96</v>
      </c>
      <c r="Y40" s="236">
        <v>11050</v>
      </c>
      <c r="Z40" s="236">
        <v>11031</v>
      </c>
      <c r="AA40" s="236">
        <f t="shared" si="1"/>
        <v>117866.04000000001</v>
      </c>
      <c r="AB40" s="237">
        <f t="shared" si="2"/>
        <v>0.50139900424691186</v>
      </c>
      <c r="AC40" s="238"/>
      <c r="AD40" s="236">
        <v>132363.98203000001</v>
      </c>
      <c r="AE40" s="237">
        <f t="shared" si="3"/>
        <v>0.47259596213241201</v>
      </c>
      <c r="AF40" s="239">
        <f t="shared" si="4"/>
        <v>-14497.942030000006</v>
      </c>
      <c r="AG40" s="236">
        <v>25575.33</v>
      </c>
      <c r="AH40" s="237">
        <f t="shared" si="5"/>
        <v>0.5537757491574381</v>
      </c>
      <c r="AI40" s="473">
        <f t="shared" si="6"/>
        <v>92290.71</v>
      </c>
      <c r="AJ40" s="215">
        <f t="shared" si="7"/>
        <v>42.922811361981069</v>
      </c>
      <c r="AK40" s="216">
        <f t="shared" si="8"/>
        <v>36.872757721289787</v>
      </c>
      <c r="AL40" s="218">
        <f t="shared" si="9"/>
        <v>43.056111111111115</v>
      </c>
      <c r="AM40" s="423" t="str">
        <f t="shared" si="10"/>
        <v>2.88 pts.</v>
      </c>
      <c r="AN40" s="474" t="str">
        <f t="shared" si="11"/>
        <v>-5.24 pts.</v>
      </c>
      <c r="AO40" s="11"/>
    </row>
    <row r="41" spans="1:41" x14ac:dyDescent="0.25">
      <c r="A41" s="11" t="s">
        <v>102</v>
      </c>
      <c r="B41" s="11"/>
      <c r="C41" s="102" t="s">
        <v>101</v>
      </c>
      <c r="D41" s="11" t="s">
        <v>106</v>
      </c>
      <c r="E41" s="11"/>
      <c r="F41" s="11" t="s">
        <v>98</v>
      </c>
      <c r="G41" s="11"/>
      <c r="H41" s="84" t="s">
        <v>266</v>
      </c>
      <c r="I41" s="184" t="str">
        <f>IF(_epmOfflineCondition_,"B1",_xll.EVPRO($B$1,$H41,"STYLE"))</f>
        <v>B1</v>
      </c>
      <c r="J41" s="184" t="str">
        <f>IF(_epmOfflineCondition_,"Y",_xll.EVPRO($B$1,$H41,"CALC"))</f>
        <v>Y</v>
      </c>
      <c r="K41" s="185" t="str">
        <f t="shared" si="0"/>
        <v/>
      </c>
      <c r="L41" s="186" t="str">
        <f>IF(_epmOfflineCondition_,"",_xll.EVPRO($B$1,H41,"JDEID"))</f>
        <v/>
      </c>
      <c r="M41" s="186" t="str">
        <f>IF(_epmOfflineCondition_,"",IF(AND(I41="N",J41="N"),_xll.EVPRO($B$1,H41,"PSFTID"),""))</f>
        <v/>
      </c>
      <c r="N41" s="186" t="str">
        <f>IF(_epmOfflineCondition_,"Beverage Revenue",IF(_xll.EVDES(H41,$B$1)="#NODATA","",_xll.EVDES(H41,$B$1)))</f>
        <v>Beverage Revenue</v>
      </c>
      <c r="O41" s="563"/>
      <c r="P41" s="240"/>
      <c r="Q41" s="240"/>
      <c r="R41" s="240"/>
      <c r="S41" s="240"/>
      <c r="T41" s="240"/>
      <c r="U41" s="240"/>
      <c r="V41" s="240"/>
      <c r="W41" s="240"/>
      <c r="X41" s="240"/>
      <c r="Y41" s="240"/>
      <c r="Z41" s="240"/>
      <c r="AA41" s="241" t="str">
        <f t="shared" si="1"/>
        <v/>
      </c>
      <c r="AB41" s="242" t="str">
        <f t="shared" si="2"/>
        <v/>
      </c>
      <c r="AC41" s="477"/>
      <c r="AD41" s="240"/>
      <c r="AE41" s="242" t="str">
        <f t="shared" si="3"/>
        <v/>
      </c>
      <c r="AF41" s="243" t="str">
        <f t="shared" si="4"/>
        <v/>
      </c>
      <c r="AG41" s="240"/>
      <c r="AH41" s="242" t="str">
        <f t="shared" si="5"/>
        <v/>
      </c>
      <c r="AI41" s="564" t="str">
        <f t="shared" si="6"/>
        <v/>
      </c>
      <c r="AJ41" s="244">
        <f t="shared" si="7"/>
        <v>0</v>
      </c>
      <c r="AK41" s="245">
        <f t="shared" si="8"/>
        <v>0</v>
      </c>
      <c r="AL41" s="247">
        <f t="shared" si="9"/>
        <v>0</v>
      </c>
      <c r="AM41" s="425">
        <f t="shared" si="10"/>
        <v>0</v>
      </c>
      <c r="AN41" s="480">
        <f t="shared" si="11"/>
        <v>0</v>
      </c>
      <c r="AO41" s="11"/>
    </row>
    <row r="42" spans="1:41" x14ac:dyDescent="0.25">
      <c r="A42" s="11" t="s">
        <v>102</v>
      </c>
      <c r="B42" s="11"/>
      <c r="C42" s="192" t="s">
        <v>101</v>
      </c>
      <c r="D42" s="11" t="s">
        <v>107</v>
      </c>
      <c r="E42" s="11"/>
      <c r="F42" s="11" t="s">
        <v>99</v>
      </c>
      <c r="G42" s="11"/>
      <c r="H42" s="84" t="s">
        <v>267</v>
      </c>
      <c r="I42" s="118" t="str">
        <f>IF(_epmOfflineCondition_,"T5",_xll.EVPRO($B$1,$H42,"STYLE"))</f>
        <v>T5</v>
      </c>
      <c r="J42" s="118" t="str">
        <f>IF(_epmOfflineCondition_,"Y",_xll.EVPRO($B$1,$H42,"CALC"))</f>
        <v>Y</v>
      </c>
      <c r="K42" s="175" t="str">
        <f t="shared" si="0"/>
        <v>&gt;</v>
      </c>
      <c r="L42" s="86" t="str">
        <f>IF(_epmOfflineCondition_,"",_xll.EVPRO($B$1,H42,"JDEID"))</f>
        <v/>
      </c>
      <c r="M42" s="86" t="str">
        <f>IF(_epmOfflineCondition_,"",IF(AND(I42="N",J42="N"),_xll.EVPRO($B$1,H42,"PSFTID"),""))</f>
        <v/>
      </c>
      <c r="N42" s="86" t="str">
        <f>IF(_epmOfflineCondition_,"Breakfast  Beverage Revenue",IF(_xll.EVDES(H42,$B$1)="#NODATA","",_xll.EVDES(H42,$B$1)))</f>
        <v>Breakfast  Beverage Revenue</v>
      </c>
      <c r="O42" s="558"/>
      <c r="P42" s="559"/>
      <c r="Q42" s="559"/>
      <c r="R42" s="559"/>
      <c r="S42" s="559"/>
      <c r="T42" s="559"/>
      <c r="U42" s="559"/>
      <c r="V42" s="559"/>
      <c r="W42" s="559"/>
      <c r="X42" s="559"/>
      <c r="Y42" s="559"/>
      <c r="Z42" s="559">
        <v>1028</v>
      </c>
      <c r="AA42" s="223">
        <f t="shared" si="1"/>
        <v>1028</v>
      </c>
      <c r="AB42" s="560">
        <f t="shared" si="2"/>
        <v>4.3730847016309818E-3</v>
      </c>
      <c r="AC42" s="455"/>
      <c r="AD42" s="559">
        <v>2123.9200500000002</v>
      </c>
      <c r="AE42" s="560">
        <f t="shared" si="3"/>
        <v>7.5833019234384435E-3</v>
      </c>
      <c r="AF42" s="561">
        <f t="shared" si="4"/>
        <v>-1095.9200500000002</v>
      </c>
      <c r="AG42" s="559"/>
      <c r="AH42" s="560" t="str">
        <f t="shared" si="5"/>
        <v/>
      </c>
      <c r="AI42" s="562">
        <f t="shared" si="6"/>
        <v>1028</v>
      </c>
      <c r="AJ42" s="458">
        <f t="shared" si="7"/>
        <v>0.37436270939548433</v>
      </c>
      <c r="AK42" s="459">
        <f t="shared" si="8"/>
        <v>0.59166238596002507</v>
      </c>
      <c r="AL42" s="460">
        <f t="shared" si="9"/>
        <v>0</v>
      </c>
      <c r="AM42" s="461" t="str">
        <f t="shared" si="10"/>
        <v>-0.32 pts.</v>
      </c>
      <c r="AN42" s="462">
        <f t="shared" si="11"/>
        <v>0</v>
      </c>
      <c r="AO42" s="11"/>
    </row>
    <row r="43" spans="1:41" x14ac:dyDescent="0.25">
      <c r="A43" s="11" t="s">
        <v>108</v>
      </c>
      <c r="B43" s="11"/>
      <c r="C43" s="102" t="s">
        <v>101</v>
      </c>
      <c r="D43" s="11" t="s">
        <v>106</v>
      </c>
      <c r="E43" s="11"/>
      <c r="F43" s="11" t="s">
        <v>98</v>
      </c>
      <c r="G43" s="11"/>
      <c r="H43" s="84" t="s">
        <v>268</v>
      </c>
      <c r="I43" s="118" t="str">
        <f>IF(_epmOfflineCondition_,"T5",_xll.EVPRO($B$1,$H43,"STYLE"))</f>
        <v>T5</v>
      </c>
      <c r="J43" s="118" t="str">
        <f>IF(_epmOfflineCondition_,"Y",_xll.EVPRO($B$1,$H43,"CALC"))</f>
        <v>Y</v>
      </c>
      <c r="K43" s="175" t="str">
        <f t="shared" si="0"/>
        <v>&gt;</v>
      </c>
      <c r="L43" s="86" t="str">
        <f>IF(_epmOfflineCondition_,"",_xll.EVPRO($B$1,H43,"JDEID"))</f>
        <v/>
      </c>
      <c r="M43" s="86" t="str">
        <f>IF(_epmOfflineCondition_,"",IF(AND(I43="N",J43="N"),_xll.EVPRO($B$1,H43,"PSFTID"),""))</f>
        <v/>
      </c>
      <c r="N43" s="86" t="str">
        <f>IF(_epmOfflineCondition_,"Lunch Beverage Revenue",IF(_xll.EVDES(H43,$B$1)="#NODATA","",_xll.EVDES(H43,$B$1)))</f>
        <v>Lunch Beverage Revenue</v>
      </c>
      <c r="O43" s="558"/>
      <c r="P43" s="559">
        <v>6</v>
      </c>
      <c r="Q43" s="559"/>
      <c r="R43" s="559"/>
      <c r="S43" s="559"/>
      <c r="T43" s="559"/>
      <c r="U43" s="559"/>
      <c r="V43" s="559">
        <v>1135</v>
      </c>
      <c r="W43" s="559"/>
      <c r="X43" s="559"/>
      <c r="Y43" s="559">
        <v>172</v>
      </c>
      <c r="Z43" s="559"/>
      <c r="AA43" s="223">
        <f t="shared" si="1"/>
        <v>1313</v>
      </c>
      <c r="AB43" s="560">
        <f t="shared" si="2"/>
        <v>5.5854671335033848E-3</v>
      </c>
      <c r="AC43" s="455"/>
      <c r="AD43" s="559">
        <v>18418.267670000001</v>
      </c>
      <c r="AE43" s="560">
        <f t="shared" si="3"/>
        <v>6.5761083920421154E-2</v>
      </c>
      <c r="AF43" s="561">
        <f t="shared" si="4"/>
        <v>-17105.267670000001</v>
      </c>
      <c r="AG43" s="559">
        <v>2045</v>
      </c>
      <c r="AH43" s="560">
        <f t="shared" si="5"/>
        <v>4.427983556915828E-2</v>
      </c>
      <c r="AI43" s="562">
        <f t="shared" si="6"/>
        <v>-732</v>
      </c>
      <c r="AJ43" s="458">
        <f t="shared" si="7"/>
        <v>0.47815003641660597</v>
      </c>
      <c r="AK43" s="459">
        <f t="shared" si="8"/>
        <v>5.1307939745107598</v>
      </c>
      <c r="AL43" s="460">
        <f t="shared" si="9"/>
        <v>3.4427609427609429</v>
      </c>
      <c r="AM43" s="461" t="str">
        <f t="shared" si="10"/>
        <v>-6.02 pts.</v>
      </c>
      <c r="AN43" s="462" t="str">
        <f t="shared" si="11"/>
        <v>-3.87 pts.</v>
      </c>
      <c r="AO43" s="11"/>
    </row>
    <row r="44" spans="1:41" x14ac:dyDescent="0.25">
      <c r="A44" s="11" t="s">
        <v>108</v>
      </c>
      <c r="B44" s="11"/>
      <c r="C44" s="192" t="s">
        <v>101</v>
      </c>
      <c r="D44" s="11" t="s">
        <v>107</v>
      </c>
      <c r="E44" s="11"/>
      <c r="F44" s="11" t="s">
        <v>99</v>
      </c>
      <c r="G44" s="11"/>
      <c r="H44" s="84" t="s">
        <v>269</v>
      </c>
      <c r="I44" s="118" t="str">
        <f>IF(_epmOfflineCondition_,"T5",_xll.EVPRO($B$1,$H44,"STYLE"))</f>
        <v>T5</v>
      </c>
      <c r="J44" s="118" t="str">
        <f>IF(_epmOfflineCondition_,"Y",_xll.EVPRO($B$1,$H44,"CALC"))</f>
        <v>Y</v>
      </c>
      <c r="K44" s="175" t="str">
        <f t="shared" si="0"/>
        <v>&gt;</v>
      </c>
      <c r="L44" s="86" t="str">
        <f>IF(_epmOfflineCondition_,"",_xll.EVPRO($B$1,H44,"JDEID"))</f>
        <v/>
      </c>
      <c r="M44" s="86" t="str">
        <f>IF(_epmOfflineCondition_,"",IF(AND(I44="N",J44="N"),_xll.EVPRO($B$1,H44,"PSFTID"),""))</f>
        <v/>
      </c>
      <c r="N44" s="86" t="str">
        <f>IF(_epmOfflineCondition_,"Dinner Beverage Revenue",IF(_xll.EVDES(H44,$B$1)="#NODATA","",_xll.EVDES(H44,$B$1)))</f>
        <v>Dinner Beverage Revenue</v>
      </c>
      <c r="O44" s="558">
        <v>3289.75</v>
      </c>
      <c r="P44" s="559">
        <v>1809</v>
      </c>
      <c r="Q44" s="559">
        <v>1469.92</v>
      </c>
      <c r="R44" s="559"/>
      <c r="S44" s="559"/>
      <c r="T44" s="559"/>
      <c r="U44" s="559"/>
      <c r="V44" s="559"/>
      <c r="W44" s="559"/>
      <c r="X44" s="559">
        <v>1864</v>
      </c>
      <c r="Y44" s="559">
        <v>1190</v>
      </c>
      <c r="Z44" s="559"/>
      <c r="AA44" s="223">
        <f t="shared" si="1"/>
        <v>9622.67</v>
      </c>
      <c r="AB44" s="560">
        <f t="shared" si="2"/>
        <v>4.093458265159864E-2</v>
      </c>
      <c r="AC44" s="455"/>
      <c r="AD44" s="559">
        <v>57990.657550000004</v>
      </c>
      <c r="AE44" s="560">
        <f t="shared" si="3"/>
        <v>0.20705142123422918</v>
      </c>
      <c r="AF44" s="561">
        <f t="shared" si="4"/>
        <v>-48367.987550000005</v>
      </c>
      <c r="AG44" s="559"/>
      <c r="AH44" s="560" t="str">
        <f t="shared" si="5"/>
        <v/>
      </c>
      <c r="AI44" s="562">
        <f t="shared" si="6"/>
        <v>9622.67</v>
      </c>
      <c r="AJ44" s="458">
        <f t="shared" si="7"/>
        <v>3.5042498179169703</v>
      </c>
      <c r="AK44" s="459">
        <f t="shared" si="8"/>
        <v>16.154511470158091</v>
      </c>
      <c r="AL44" s="460">
        <f t="shared" si="9"/>
        <v>0</v>
      </c>
      <c r="AM44" s="461" t="str">
        <f t="shared" si="10"/>
        <v>-16.61 pts.</v>
      </c>
      <c r="AN44" s="462">
        <f t="shared" si="11"/>
        <v>0</v>
      </c>
      <c r="AO44" s="11"/>
    </row>
    <row r="45" spans="1:41" x14ac:dyDescent="0.25">
      <c r="A45" s="11"/>
      <c r="B45" s="11"/>
      <c r="C45" s="11"/>
      <c r="D45" s="11"/>
      <c r="E45" s="11"/>
      <c r="F45" s="11"/>
      <c r="G45" s="11"/>
      <c r="H45" s="84" t="s">
        <v>822</v>
      </c>
      <c r="I45" s="118" t="str">
        <f>IF(_epmOfflineCondition_,"T5",_xll.EVPRO($B$1,$H45,"STYLE"))</f>
        <v>T5</v>
      </c>
      <c r="J45" s="118" t="str">
        <f>IF(_epmOfflineCondition_,"Y",_xll.EVPRO($B$1,$H45,"CALC"))</f>
        <v>Y</v>
      </c>
      <c r="K45" s="175" t="str">
        <f t="shared" si="0"/>
        <v>&gt;</v>
      </c>
      <c r="L45" s="86" t="str">
        <f>IF(_epmOfflineCondition_,"",_xll.EVPRO($B$1,H45,"JDEID"))</f>
        <v/>
      </c>
      <c r="M45" s="86" t="str">
        <f>IF(_epmOfflineCondition_,"",IF(AND(I45="N",J45="N"),_xll.EVPRO($B$1,H45,"PSFTID"),""))</f>
        <v/>
      </c>
      <c r="N45" s="86" t="str">
        <f>IF(_epmOfflineCondition_,"Reception Beverage Revenue",IF(_xll.EVDES(H45,$B$1)="#NODATA","",_xll.EVDES(H45,$B$1)))</f>
        <v>Reception Beverage Revenue</v>
      </c>
      <c r="O45" s="463"/>
      <c r="P45" s="229"/>
      <c r="Q45" s="229"/>
      <c r="R45" s="229"/>
      <c r="S45" s="229"/>
      <c r="T45" s="229"/>
      <c r="U45" s="229"/>
      <c r="V45" s="229"/>
      <c r="W45" s="229"/>
      <c r="X45" s="229"/>
      <c r="Y45" s="229"/>
      <c r="Z45" s="229"/>
      <c r="AA45" s="229">
        <f t="shared" si="1"/>
        <v>0</v>
      </c>
      <c r="AB45" s="464" t="str">
        <f t="shared" si="2"/>
        <v/>
      </c>
      <c r="AC45" s="455"/>
      <c r="AD45" s="229"/>
      <c r="AE45" s="464" t="str">
        <f t="shared" si="3"/>
        <v/>
      </c>
      <c r="AF45" s="465">
        <f t="shared" si="4"/>
        <v>0</v>
      </c>
      <c r="AG45" s="229"/>
      <c r="AH45" s="464" t="str">
        <f t="shared" si="5"/>
        <v/>
      </c>
      <c r="AI45" s="466">
        <f t="shared" si="6"/>
        <v>0</v>
      </c>
      <c r="AJ45" s="467">
        <f t="shared" si="7"/>
        <v>0</v>
      </c>
      <c r="AK45" s="468">
        <f t="shared" si="8"/>
        <v>0</v>
      </c>
      <c r="AL45" s="469">
        <f t="shared" si="9"/>
        <v>0</v>
      </c>
      <c r="AM45" s="470">
        <f t="shared" si="10"/>
        <v>0</v>
      </c>
      <c r="AN45" s="471">
        <f t="shared" si="11"/>
        <v>0</v>
      </c>
      <c r="AO45" s="11"/>
    </row>
    <row r="46" spans="1:41" x14ac:dyDescent="0.25">
      <c r="A46" s="11"/>
      <c r="B46" s="11"/>
      <c r="C46" s="11"/>
      <c r="D46" s="11"/>
      <c r="E46" s="11"/>
      <c r="F46" s="11"/>
      <c r="G46" s="11"/>
      <c r="H46" s="84" t="s">
        <v>272</v>
      </c>
      <c r="I46" s="184" t="str">
        <f>IF(_epmOfflineCondition_,"T4",_xll.EVPRO($B$1,$H46,"STYLE"))</f>
        <v>T4</v>
      </c>
      <c r="J46" s="184" t="str">
        <f>IF(_epmOfflineCondition_,"Y",_xll.EVPRO($B$1,$H46,"CALC"))</f>
        <v>Y</v>
      </c>
      <c r="K46" s="185" t="str">
        <f t="shared" si="0"/>
        <v/>
      </c>
      <c r="L46" s="186" t="str">
        <f>IF(_epmOfflineCondition_,"",_xll.EVPRO($B$1,H46,"JDEID"))</f>
        <v/>
      </c>
      <c r="M46" s="186" t="str">
        <f>IF(_epmOfflineCondition_,"",IF(AND(I46="N",J46="N"),_xll.EVPRO($B$1,H46,"PSFTID"),""))</f>
        <v/>
      </c>
      <c r="N46" s="186" t="str">
        <f>IF(_epmOfflineCondition_,"Total Beverage Revenue",IF(_xll.EVDES(H46,$B$1)="#NODATA","",_xll.EVDES(H46,$B$1)))</f>
        <v>Total Beverage Revenue</v>
      </c>
      <c r="O46" s="472">
        <v>3289.75</v>
      </c>
      <c r="P46" s="236">
        <v>1815</v>
      </c>
      <c r="Q46" s="236">
        <v>1469.92</v>
      </c>
      <c r="R46" s="236"/>
      <c r="S46" s="236"/>
      <c r="T46" s="236"/>
      <c r="U46" s="236"/>
      <c r="V46" s="236">
        <v>1135</v>
      </c>
      <c r="W46" s="236"/>
      <c r="X46" s="236">
        <v>1864</v>
      </c>
      <c r="Y46" s="236">
        <v>1362</v>
      </c>
      <c r="Z46" s="236">
        <v>1028</v>
      </c>
      <c r="AA46" s="236">
        <f t="shared" si="1"/>
        <v>11963.67</v>
      </c>
      <c r="AB46" s="237">
        <f t="shared" si="2"/>
        <v>5.0893134486733008E-2</v>
      </c>
      <c r="AC46" s="238"/>
      <c r="AD46" s="236">
        <v>78532.845270000005</v>
      </c>
      <c r="AE46" s="237">
        <f t="shared" si="3"/>
        <v>0.28039580707808875</v>
      </c>
      <c r="AF46" s="239">
        <f t="shared" si="4"/>
        <v>-66569.175270000007</v>
      </c>
      <c r="AG46" s="236">
        <v>2045</v>
      </c>
      <c r="AH46" s="237">
        <f t="shared" si="5"/>
        <v>4.427983556915828E-2</v>
      </c>
      <c r="AI46" s="473">
        <f t="shared" si="6"/>
        <v>9918.67</v>
      </c>
      <c r="AJ46" s="215">
        <f t="shared" si="7"/>
        <v>4.3567625637290606</v>
      </c>
      <c r="AK46" s="216">
        <f t="shared" si="8"/>
        <v>21.876967830628875</v>
      </c>
      <c r="AL46" s="218">
        <f t="shared" si="9"/>
        <v>3.4427609427609429</v>
      </c>
      <c r="AM46" s="423" t="str">
        <f t="shared" si="10"/>
        <v>-22.95 pts.</v>
      </c>
      <c r="AN46" s="474" t="str">
        <f t="shared" si="11"/>
        <v>0.66 pts.</v>
      </c>
      <c r="AO46" s="11"/>
    </row>
    <row r="47" spans="1:41" x14ac:dyDescent="0.25">
      <c r="A47" s="56" t="str">
        <f>IF(_epmOfflineCondition_,"Evdre:Ok",_xll.EVDRE($B$1,A50:B57,A60:B66))</f>
        <v>Evdre:Ok</v>
      </c>
      <c r="B47" s="11"/>
      <c r="C47" s="11"/>
      <c r="D47" s="11"/>
      <c r="E47" s="11"/>
      <c r="F47" s="11"/>
      <c r="G47" s="11"/>
      <c r="H47" s="84" t="s">
        <v>486</v>
      </c>
      <c r="I47" s="118" t="str">
        <f>IF(_epmOfflineCondition_,"T5",_xll.EVPRO($B$1,$H47,"STYLE"))</f>
        <v>T5</v>
      </c>
      <c r="J47" s="118" t="str">
        <f>IF(_epmOfflineCondition_,"Y",_xll.EVPRO($B$1,$H47,"CALC"))</f>
        <v>Y</v>
      </c>
      <c r="K47" s="175" t="str">
        <f t="shared" si="0"/>
        <v>&gt;</v>
      </c>
      <c r="L47" s="86" t="str">
        <f>IF(_epmOfflineCondition_,"",_xll.EVPRO($B$1,H47,"JDEID"))</f>
        <v/>
      </c>
      <c r="M47" s="86" t="str">
        <f>IF(_epmOfflineCondition_,"",IF(AND(I47="N",J47="N"),_xll.EVPRO($B$1,H47,"PSFTID"),""))</f>
        <v/>
      </c>
      <c r="N47" s="86" t="str">
        <f>IF(_epmOfflineCondition_,"Food &amp; Beverage: Allowances",IF(_xll.EVDES(H47,$B$1)="#NODATA","",_xll.EVDES(H47,$B$1)))</f>
        <v>Food &amp; Beverage: Allowances</v>
      </c>
      <c r="O47" s="530"/>
      <c r="P47" s="248"/>
      <c r="Q47" s="248"/>
      <c r="R47" s="248"/>
      <c r="S47" s="248"/>
      <c r="T47" s="248"/>
      <c r="U47" s="248"/>
      <c r="V47" s="248"/>
      <c r="W47" s="248"/>
      <c r="X47" s="248"/>
      <c r="Y47" s="248"/>
      <c r="Z47" s="248"/>
      <c r="AA47" s="248">
        <f t="shared" si="1"/>
        <v>0</v>
      </c>
      <c r="AB47" s="249" t="str">
        <f t="shared" si="2"/>
        <v/>
      </c>
      <c r="AC47" s="477"/>
      <c r="AD47" s="248"/>
      <c r="AE47" s="249" t="str">
        <f t="shared" si="3"/>
        <v/>
      </c>
      <c r="AF47" s="250">
        <f t="shared" si="4"/>
        <v>0</v>
      </c>
      <c r="AG47" s="248"/>
      <c r="AH47" s="249" t="str">
        <f t="shared" si="5"/>
        <v/>
      </c>
      <c r="AI47" s="531">
        <f t="shared" si="6"/>
        <v>0</v>
      </c>
      <c r="AJ47" s="532">
        <f t="shared" si="7"/>
        <v>0</v>
      </c>
      <c r="AK47" s="533">
        <f t="shared" si="8"/>
        <v>0</v>
      </c>
      <c r="AL47" s="534">
        <f t="shared" si="9"/>
        <v>0</v>
      </c>
      <c r="AM47" s="535">
        <f t="shared" si="10"/>
        <v>0</v>
      </c>
      <c r="AN47" s="536">
        <f t="shared" si="11"/>
        <v>0</v>
      </c>
      <c r="AO47" s="11"/>
    </row>
    <row r="48" spans="1:41" x14ac:dyDescent="0.25">
      <c r="A48" s="11"/>
      <c r="B48" s="11"/>
      <c r="C48" s="11"/>
      <c r="D48" s="11"/>
      <c r="E48" s="11"/>
      <c r="F48" s="11"/>
      <c r="G48" s="11"/>
      <c r="H48" s="84" t="s">
        <v>273</v>
      </c>
      <c r="I48" s="184" t="str">
        <f>IF(_epmOfflineCondition_,"T4",_xll.EVPRO($B$1,$H48,"STYLE"))</f>
        <v>T4</v>
      </c>
      <c r="J48" s="184" t="str">
        <f>IF(_epmOfflineCondition_,"Y",_xll.EVPRO($B$1,$H48,"CALC"))</f>
        <v>Y</v>
      </c>
      <c r="K48" s="185" t="str">
        <f t="shared" si="0"/>
        <v/>
      </c>
      <c r="L48" s="186" t="str">
        <f>IF(_epmOfflineCondition_,"",_xll.EVPRO($B$1,H48,"JDEID"))</f>
        <v/>
      </c>
      <c r="M48" s="186" t="str">
        <f>IF(_epmOfflineCondition_,"",IF(AND(I48="N",J48="N"),_xll.EVPRO($B$1,H48,"PSFTID"),""))</f>
        <v/>
      </c>
      <c r="N48" s="186" t="str">
        <f>IF(_epmOfflineCondition_,"Total Food &amp; Beverage Revenue",IF(_xll.EVDES(H48,$B$1)="#NODATA","",_xll.EVDES(H48,$B$1)))</f>
        <v>Total Food &amp; Beverage Revenue</v>
      </c>
      <c r="O48" s="472">
        <v>26251.200000000001</v>
      </c>
      <c r="P48" s="236">
        <v>22382.95</v>
      </c>
      <c r="Q48" s="236">
        <v>19817.599999999999</v>
      </c>
      <c r="R48" s="236">
        <v>4647</v>
      </c>
      <c r="S48" s="236">
        <v>4653</v>
      </c>
      <c r="T48" s="236">
        <v>1549</v>
      </c>
      <c r="U48" s="236">
        <v>2239</v>
      </c>
      <c r="V48" s="236">
        <v>2472</v>
      </c>
      <c r="W48" s="236">
        <v>1418</v>
      </c>
      <c r="X48" s="236">
        <v>19928.96</v>
      </c>
      <c r="Y48" s="236">
        <v>12412</v>
      </c>
      <c r="Z48" s="236">
        <v>12059</v>
      </c>
      <c r="AA48" s="236">
        <f t="shared" si="1"/>
        <v>129829.70999999999</v>
      </c>
      <c r="AB48" s="237">
        <f t="shared" si="2"/>
        <v>0.5522921387336448</v>
      </c>
      <c r="AC48" s="238"/>
      <c r="AD48" s="236">
        <v>210896.8273</v>
      </c>
      <c r="AE48" s="237">
        <f t="shared" si="3"/>
        <v>0.75299176921050071</v>
      </c>
      <c r="AF48" s="239">
        <f t="shared" si="4"/>
        <v>-81067.117300000013</v>
      </c>
      <c r="AG48" s="236">
        <v>27620.33</v>
      </c>
      <c r="AH48" s="237">
        <f t="shared" si="5"/>
        <v>0.59805558472659637</v>
      </c>
      <c r="AI48" s="473">
        <f t="shared" si="6"/>
        <v>102209.37999999999</v>
      </c>
      <c r="AJ48" s="215">
        <f t="shared" si="7"/>
        <v>47.279573925710118</v>
      </c>
      <c r="AK48" s="216">
        <f t="shared" si="8"/>
        <v>58.749725551918658</v>
      </c>
      <c r="AL48" s="218">
        <f t="shared" si="9"/>
        <v>46.498872053872056</v>
      </c>
      <c r="AM48" s="423" t="str">
        <f t="shared" si="10"/>
        <v>-20.07 pts.</v>
      </c>
      <c r="AN48" s="474" t="str">
        <f t="shared" si="11"/>
        <v>-4.58 pts.</v>
      </c>
      <c r="AO48" s="11"/>
    </row>
    <row r="49" spans="1:41" x14ac:dyDescent="0.25">
      <c r="A49" s="57" t="s">
        <v>0</v>
      </c>
      <c r="B49" s="58" t="s">
        <v>1</v>
      </c>
      <c r="C49" s="11"/>
      <c r="D49" s="11"/>
      <c r="E49" s="11"/>
      <c r="F49" s="11"/>
      <c r="G49" s="11"/>
      <c r="H49" s="84" t="s">
        <v>279</v>
      </c>
      <c r="I49" s="184" t="str">
        <f>IF(_epmOfflineCondition_,"B1",_xll.EVPRO($B$1,$H49,"STYLE"))</f>
        <v>B1</v>
      </c>
      <c r="J49" s="184" t="str">
        <f>IF(_epmOfflineCondition_,"Y",_xll.EVPRO($B$1,$H49,"CALC"))</f>
        <v>Y</v>
      </c>
      <c r="K49" s="185" t="str">
        <f t="shared" si="0"/>
        <v/>
      </c>
      <c r="L49" s="186" t="str">
        <f>IF(_epmOfflineCondition_,"",_xll.EVPRO($B$1,H49,"JDEID"))</f>
        <v/>
      </c>
      <c r="M49" s="186" t="str">
        <f>IF(_epmOfflineCondition_,"",IF(AND(I49="N",J49="N"),_xll.EVPRO($B$1,H49,"PSFTID"),""))</f>
        <v/>
      </c>
      <c r="N49" s="186" t="str">
        <f>IF(_epmOfflineCondition_,"Other Revenue",IF(_xll.EVDES(H49,$B$1)="#NODATA","",_xll.EVDES(H49,$B$1)))</f>
        <v>Other Revenue</v>
      </c>
      <c r="O49" s="563"/>
      <c r="P49" s="240"/>
      <c r="Q49" s="240"/>
      <c r="R49" s="240"/>
      <c r="S49" s="240"/>
      <c r="T49" s="240"/>
      <c r="U49" s="240"/>
      <c r="V49" s="240"/>
      <c r="W49" s="240"/>
      <c r="X49" s="240"/>
      <c r="Y49" s="240"/>
      <c r="Z49" s="240"/>
      <c r="AA49" s="241" t="str">
        <f t="shared" si="1"/>
        <v/>
      </c>
      <c r="AB49" s="242" t="str">
        <f t="shared" si="2"/>
        <v/>
      </c>
      <c r="AC49" s="477"/>
      <c r="AD49" s="240"/>
      <c r="AE49" s="242" t="str">
        <f t="shared" si="3"/>
        <v/>
      </c>
      <c r="AF49" s="243" t="str">
        <f t="shared" si="4"/>
        <v/>
      </c>
      <c r="AG49" s="240"/>
      <c r="AH49" s="242" t="str">
        <f t="shared" si="5"/>
        <v/>
      </c>
      <c r="AI49" s="564" t="str">
        <f t="shared" si="6"/>
        <v/>
      </c>
      <c r="AJ49" s="244">
        <f t="shared" si="7"/>
        <v>0</v>
      </c>
      <c r="AK49" s="245">
        <f t="shared" si="8"/>
        <v>0</v>
      </c>
      <c r="AL49" s="247">
        <f t="shared" si="9"/>
        <v>0</v>
      </c>
      <c r="AM49" s="425">
        <f t="shared" si="10"/>
        <v>0</v>
      </c>
      <c r="AN49" s="480">
        <f t="shared" si="11"/>
        <v>0</v>
      </c>
      <c r="AO49" s="11"/>
    </row>
    <row r="50" spans="1:41" x14ac:dyDescent="0.25">
      <c r="A50" s="61" t="s">
        <v>2</v>
      </c>
      <c r="B50" s="62" t="str">
        <f>IF(_epmOfflineCondition_,"'BCC'!$B$2:$B$10",_xll.EVRNG($B$2:$B$10))</f>
        <v>'BCC'!$B$2:$B$10</v>
      </c>
      <c r="C50" s="11"/>
      <c r="D50" s="11"/>
      <c r="E50" s="11"/>
      <c r="F50" s="11"/>
      <c r="G50" s="11"/>
      <c r="H50" s="84" t="s">
        <v>274</v>
      </c>
      <c r="I50" s="118" t="str">
        <f>IF(_epmOfflineCondition_,"T5",_xll.EVPRO($B$1,$H50,"STYLE"))</f>
        <v>T5</v>
      </c>
      <c r="J50" s="118" t="str">
        <f>IF(_epmOfflineCondition_,"Y",_xll.EVPRO($B$1,$H50,"CALC"))</f>
        <v>Y</v>
      </c>
      <c r="K50" s="175" t="str">
        <f t="shared" si="0"/>
        <v>&gt;</v>
      </c>
      <c r="L50" s="86" t="str">
        <f>IF(_epmOfflineCondition_,"468300",_xll.EVPRO($B$1,H50,"JDEID"))</f>
        <v>468300</v>
      </c>
      <c r="M50" s="86" t="str">
        <f>IF(_epmOfflineCondition_,"",IF(AND(I50="N",J50="N"),_xll.EVPRO($B$1,H50,"PSFTID"),""))</f>
        <v/>
      </c>
      <c r="N50" s="86" t="str">
        <f>IF(_epmOfflineCondition_,"Audio/Visual Rentals",IF(_xll.EVDES(H50,$B$1)="#NODATA","",_xll.EVDES(H50,$B$1)))</f>
        <v>Audio/Visual Rentals</v>
      </c>
      <c r="O50" s="558">
        <v>100</v>
      </c>
      <c r="P50" s="559">
        <v>1100</v>
      </c>
      <c r="Q50" s="559">
        <v>3250</v>
      </c>
      <c r="R50" s="559">
        <v>955.23</v>
      </c>
      <c r="S50" s="559">
        <v>1207.5999999999999</v>
      </c>
      <c r="T50" s="559">
        <v>1200</v>
      </c>
      <c r="U50" s="559">
        <v>2800</v>
      </c>
      <c r="V50" s="559">
        <v>400</v>
      </c>
      <c r="W50" s="559">
        <v>600</v>
      </c>
      <c r="X50" s="559">
        <v>2600</v>
      </c>
      <c r="Y50" s="559">
        <v>1180</v>
      </c>
      <c r="Z50" s="559">
        <v>400</v>
      </c>
      <c r="AA50" s="223">
        <f t="shared" si="1"/>
        <v>15792.83</v>
      </c>
      <c r="AB50" s="560">
        <f t="shared" si="2"/>
        <v>6.7182279444026091E-2</v>
      </c>
      <c r="AC50" s="455"/>
      <c r="AD50" s="559">
        <v>13334.4</v>
      </c>
      <c r="AE50" s="560">
        <f t="shared" si="3"/>
        <v>4.7609504495189248E-2</v>
      </c>
      <c r="AF50" s="561">
        <f t="shared" si="4"/>
        <v>2458.4300000000003</v>
      </c>
      <c r="AG50" s="559">
        <v>2650.94</v>
      </c>
      <c r="AH50" s="560">
        <f t="shared" si="5"/>
        <v>5.7400091591053519E-2</v>
      </c>
      <c r="AI50" s="562">
        <f t="shared" si="6"/>
        <v>13141.89</v>
      </c>
      <c r="AJ50" s="458">
        <f t="shared" si="7"/>
        <v>5.7512126729788786</v>
      </c>
      <c r="AK50" s="459">
        <f t="shared" si="8"/>
        <v>3.7145762239710285</v>
      </c>
      <c r="AL50" s="460">
        <f t="shared" si="9"/>
        <v>4.4628619528619531</v>
      </c>
      <c r="AM50" s="461" t="str">
        <f t="shared" si="10"/>
        <v>1.96 pts.</v>
      </c>
      <c r="AN50" s="462" t="str">
        <f t="shared" si="11"/>
        <v>0.98 pts.</v>
      </c>
      <c r="AO50" s="11"/>
    </row>
    <row r="51" spans="1:41" x14ac:dyDescent="0.25">
      <c r="A51" s="61" t="s">
        <v>3</v>
      </c>
      <c r="B51" s="62" t="str">
        <f>IF(_epmOfflineCondition_,"'BCC'!$O$16:$AN$18",_xll.EVRNG($O$16:$AN$18))</f>
        <v>'BCC'!$O$16:$AN$18</v>
      </c>
      <c r="C51" s="11"/>
      <c r="D51" s="11"/>
      <c r="E51" s="11"/>
      <c r="F51" s="11"/>
      <c r="G51" s="11"/>
      <c r="H51" s="84" t="s">
        <v>275</v>
      </c>
      <c r="I51" s="118" t="str">
        <f>IF(_epmOfflineCondition_,"T5",_xll.EVPRO($B$1,$H51,"STYLE"))</f>
        <v>T5</v>
      </c>
      <c r="J51" s="118" t="str">
        <f>IF(_epmOfflineCondition_,"Y",_xll.EVPRO($B$1,$H51,"CALC"))</f>
        <v>Y</v>
      </c>
      <c r="K51" s="175" t="str">
        <f t="shared" si="0"/>
        <v>&gt;</v>
      </c>
      <c r="L51" s="86" t="str">
        <f>IF(_epmOfflineCondition_,"468350",_xll.EVPRO($B$1,H51,"JDEID"))</f>
        <v>468350</v>
      </c>
      <c r="M51" s="86" t="str">
        <f>IF(_epmOfflineCondition_,"",IF(AND(I51="N",J51="N"),_xll.EVPRO($B$1,H51,"PSFTID"),""))</f>
        <v/>
      </c>
      <c r="N51" s="86" t="str">
        <f>IF(_epmOfflineCondition_,"Public Room Rental",IF(_xll.EVDES(H51,$B$1)="#NODATA","",_xll.EVDES(H51,$B$1)))</f>
        <v>Public Room Rental</v>
      </c>
      <c r="O51" s="558">
        <v>4000</v>
      </c>
      <c r="P51" s="559">
        <v>7750</v>
      </c>
      <c r="Q51" s="559">
        <v>8150</v>
      </c>
      <c r="R51" s="559">
        <v>4300</v>
      </c>
      <c r="S51" s="559">
        <v>3000</v>
      </c>
      <c r="T51" s="559">
        <v>2600</v>
      </c>
      <c r="U51" s="559">
        <v>15390.19</v>
      </c>
      <c r="V51" s="559">
        <v>3500</v>
      </c>
      <c r="W51" s="559">
        <v>600</v>
      </c>
      <c r="X51" s="559">
        <v>600</v>
      </c>
      <c r="Y51" s="559">
        <v>2480</v>
      </c>
      <c r="Z51" s="559">
        <v>5500</v>
      </c>
      <c r="AA51" s="223">
        <f t="shared" si="1"/>
        <v>57870.19</v>
      </c>
      <c r="AB51" s="560">
        <f t="shared" si="2"/>
        <v>0.24617825152672981</v>
      </c>
      <c r="AC51" s="455"/>
      <c r="AD51" s="559">
        <v>9450</v>
      </c>
      <c r="AE51" s="560">
        <f t="shared" si="3"/>
        <v>3.374053706799994E-2</v>
      </c>
      <c r="AF51" s="561">
        <f t="shared" si="4"/>
        <v>48420.19</v>
      </c>
      <c r="AG51" s="559">
        <v>8157.3</v>
      </c>
      <c r="AH51" s="560">
        <f t="shared" si="5"/>
        <v>0.17662782527544979</v>
      </c>
      <c r="AI51" s="562">
        <f t="shared" si="6"/>
        <v>49712.89</v>
      </c>
      <c r="AJ51" s="458">
        <f t="shared" si="7"/>
        <v>21.074359067734889</v>
      </c>
      <c r="AK51" s="459">
        <f t="shared" si="8"/>
        <v>2.6324952991155373</v>
      </c>
      <c r="AL51" s="460">
        <f t="shared" si="9"/>
        <v>13.732828282828283</v>
      </c>
      <c r="AM51" s="461" t="str">
        <f t="shared" si="10"/>
        <v>21.24 pts.</v>
      </c>
      <c r="AN51" s="462" t="str">
        <f t="shared" si="11"/>
        <v>6.96 pts.</v>
      </c>
      <c r="AO51" s="11"/>
    </row>
    <row r="52" spans="1:41" x14ac:dyDescent="0.25">
      <c r="A52" s="61" t="s">
        <v>4</v>
      </c>
      <c r="B52" s="62" t="str">
        <f>IF(_epmOfflineCondition_,"'BCC'!$H$60:$H$68",_xll.EVRNG(H60:H68))</f>
        <v>'BCC'!$H$60:$H$68</v>
      </c>
      <c r="C52" s="11"/>
      <c r="D52" s="11"/>
      <c r="E52" s="11"/>
      <c r="F52" s="11"/>
      <c r="G52" s="11"/>
      <c r="H52" s="84" t="s">
        <v>282</v>
      </c>
      <c r="I52" s="118" t="str">
        <f>IF(_epmOfflineCondition_,"T5",_xll.EVPRO($B$1,$H52,"STYLE"))</f>
        <v>T5</v>
      </c>
      <c r="J52" s="118" t="str">
        <f>IF(_epmOfflineCondition_,"Y",_xll.EVPRO($B$1,$H52,"CALC"))</f>
        <v>Y</v>
      </c>
      <c r="K52" s="175" t="str">
        <f t="shared" si="0"/>
        <v>&gt;</v>
      </c>
      <c r="L52" s="86" t="str">
        <f>IF(_epmOfflineCondition_,"",_xll.EVPRO($B$1,H52,"JDEID"))</f>
        <v/>
      </c>
      <c r="M52" s="86" t="str">
        <f>IF(_epmOfflineCondition_,"",IF(AND(I52="N",J52="N"),_xll.EVPRO($B$1,H52,"PSFTID"),""))</f>
        <v/>
      </c>
      <c r="N52" s="86" t="str">
        <f>IF(_epmOfflineCondition_,"Surcharges &amp; Services Charges",IF(_xll.EVDES(H52,$B$1)="#NODATA","",_xll.EVDES(H52,$B$1)))</f>
        <v>Surcharges &amp; Services Charges</v>
      </c>
      <c r="O52" s="558">
        <v>5451.72</v>
      </c>
      <c r="P52" s="559">
        <v>4928.4399999999996</v>
      </c>
      <c r="Q52" s="559">
        <v>4359.95</v>
      </c>
      <c r="R52" s="559">
        <v>1022.34</v>
      </c>
      <c r="S52" s="559">
        <v>1023.66</v>
      </c>
      <c r="T52" s="559">
        <v>340.78</v>
      </c>
      <c r="U52" s="559">
        <v>492.58</v>
      </c>
      <c r="V52" s="559">
        <v>537.24</v>
      </c>
      <c r="W52" s="559">
        <v>311.95999999999998</v>
      </c>
      <c r="X52" s="559">
        <v>4330.92</v>
      </c>
      <c r="Y52" s="559">
        <v>2729.04</v>
      </c>
      <c r="Z52" s="559">
        <v>2652.98</v>
      </c>
      <c r="AA52" s="223">
        <f t="shared" si="1"/>
        <v>28181.610000000004</v>
      </c>
      <c r="AB52" s="560">
        <f t="shared" si="2"/>
        <v>0.11988382058203377</v>
      </c>
      <c r="AC52" s="455"/>
      <c r="AD52" s="559">
        <v>46397.302005999998</v>
      </c>
      <c r="AE52" s="560">
        <f t="shared" si="3"/>
        <v>0.16565818922631015</v>
      </c>
      <c r="AF52" s="561">
        <f t="shared" si="4"/>
        <v>-18215.692005999994</v>
      </c>
      <c r="AG52" s="559">
        <v>6349.23</v>
      </c>
      <c r="AH52" s="560">
        <f t="shared" si="5"/>
        <v>0.13747817134022827</v>
      </c>
      <c r="AI52" s="562">
        <f t="shared" si="6"/>
        <v>21832.380000000005</v>
      </c>
      <c r="AJ52" s="458">
        <f t="shared" si="7"/>
        <v>10.262785870356884</v>
      </c>
      <c r="AK52" s="459">
        <f t="shared" si="8"/>
        <v>12.924939621422103</v>
      </c>
      <c r="AL52" s="460">
        <f t="shared" si="9"/>
        <v>10.688939393939393</v>
      </c>
      <c r="AM52" s="461" t="str">
        <f t="shared" si="10"/>
        <v>-4.58 pts.</v>
      </c>
      <c r="AN52" s="462" t="str">
        <f t="shared" si="11"/>
        <v>-1.76 pts.</v>
      </c>
      <c r="AO52" s="11"/>
    </row>
    <row r="53" spans="1:41" x14ac:dyDescent="0.25">
      <c r="A53" s="61" t="s">
        <v>5</v>
      </c>
      <c r="B53" s="62"/>
      <c r="C53" s="11"/>
      <c r="D53" s="11"/>
      <c r="E53" s="11"/>
      <c r="F53" s="380"/>
      <c r="G53" s="11"/>
      <c r="H53" s="84" t="s">
        <v>283</v>
      </c>
      <c r="I53" s="118" t="str">
        <f>IF(_epmOfflineCondition_,"T5",_xll.EVPRO($B$1,$H53,"STYLE"))</f>
        <v>T5</v>
      </c>
      <c r="J53" s="118" t="str">
        <f>IF(_epmOfflineCondition_,"Y",_xll.EVPRO($B$1,$H53,"CALC"))</f>
        <v>Y</v>
      </c>
      <c r="K53" s="175" t="str">
        <f t="shared" si="0"/>
        <v>&gt;</v>
      </c>
      <c r="L53" s="86" t="str">
        <f>IF(_epmOfflineCondition_,"",_xll.EVPRO($B$1,H53,"JDEID"))</f>
        <v/>
      </c>
      <c r="M53" s="86" t="str">
        <f>IF(_epmOfflineCondition_,"",IF(AND(I53="N",J53="N"),_xll.EVPRO($B$1,H53,"PSFTID"),""))</f>
        <v/>
      </c>
      <c r="N53" s="86" t="str">
        <f>IF(_epmOfflineCondition_,"Miscellaneous Other Revenue",IF(_xll.EVDES(H53,$B$1)="#NODATA","",_xll.EVDES(H53,$B$1)))</f>
        <v>Miscellaneous Other Revenue</v>
      </c>
      <c r="O53" s="558">
        <v>1300</v>
      </c>
      <c r="P53" s="559">
        <v>600</v>
      </c>
      <c r="Q53" s="559">
        <v>750</v>
      </c>
      <c r="R53" s="559"/>
      <c r="S53" s="559"/>
      <c r="T53" s="559">
        <v>300</v>
      </c>
      <c r="U53" s="559"/>
      <c r="V53" s="559"/>
      <c r="W53" s="559">
        <v>300</v>
      </c>
      <c r="X53" s="559"/>
      <c r="Y53" s="559"/>
      <c r="Z53" s="559">
        <v>150</v>
      </c>
      <c r="AA53" s="223">
        <f t="shared" si="1"/>
        <v>3400</v>
      </c>
      <c r="AB53" s="560">
        <f t="shared" si="2"/>
        <v>1.4463509713565505E-2</v>
      </c>
      <c r="AC53" s="455"/>
      <c r="AD53" s="559"/>
      <c r="AE53" s="560" t="str">
        <f t="shared" si="3"/>
        <v/>
      </c>
      <c r="AF53" s="561">
        <f t="shared" si="4"/>
        <v>3400</v>
      </c>
      <c r="AG53" s="559">
        <v>1405.75</v>
      </c>
      <c r="AH53" s="560">
        <f t="shared" si="5"/>
        <v>3.0438327066672006E-2</v>
      </c>
      <c r="AI53" s="562">
        <f t="shared" si="6"/>
        <v>1994.25</v>
      </c>
      <c r="AJ53" s="458">
        <f t="shared" si="7"/>
        <v>1.238164603058995</v>
      </c>
      <c r="AK53" s="459">
        <f t="shared" si="8"/>
        <v>0</v>
      </c>
      <c r="AL53" s="460">
        <f t="shared" si="9"/>
        <v>2.3665824915824918</v>
      </c>
      <c r="AM53" s="461">
        <f t="shared" si="10"/>
        <v>0</v>
      </c>
      <c r="AN53" s="462" t="str">
        <f t="shared" si="11"/>
        <v>-1.6 pts.</v>
      </c>
      <c r="AO53" s="11"/>
    </row>
    <row r="54" spans="1:41" x14ac:dyDescent="0.25">
      <c r="A54" s="61" t="s">
        <v>6</v>
      </c>
      <c r="B54" s="62"/>
      <c r="C54" s="11"/>
      <c r="D54" s="11"/>
      <c r="E54" s="11"/>
      <c r="F54" s="380"/>
      <c r="G54" s="11"/>
      <c r="H54" s="84" t="s">
        <v>473</v>
      </c>
      <c r="I54" s="118" t="str">
        <f>IF(_epmOfflineCondition_,"N",_xll.EVPRO($B$1,$H54,"STYLE"))</f>
        <v>N</v>
      </c>
      <c r="J54" s="118" t="str">
        <f>IF(_epmOfflineCondition_,"N",_xll.EVPRO($B$1,$H54,"CALC"))</f>
        <v>N</v>
      </c>
      <c r="K54" s="175" t="str">
        <f t="shared" si="0"/>
        <v/>
      </c>
      <c r="L54" s="86" t="str">
        <f>IF(_epmOfflineCondition_,"468990",_xll.EVPRO($B$1,H54,"JDEID"))</f>
        <v>468990</v>
      </c>
      <c r="M54" s="86" t="str">
        <f>IF(_epmOfflineCondition_,"206022",IF(AND(I54="N",J54="N"),_xll.EVPRO($B$1,H54,"PSFTID"),""))</f>
        <v>206022</v>
      </c>
      <c r="N54" s="86" t="str">
        <f>IF(_epmOfflineCondition_,"Other Revenue: Allowances",IF(_xll.EVDES(H54,$B$1)="#NODATA","",_xll.EVDES(H54,$B$1)))</f>
        <v>Other Revenue: Allowances</v>
      </c>
      <c r="O54" s="463"/>
      <c r="P54" s="229"/>
      <c r="Q54" s="229"/>
      <c r="R54" s="229"/>
      <c r="S54" s="229"/>
      <c r="T54" s="229"/>
      <c r="U54" s="229"/>
      <c r="V54" s="229"/>
      <c r="W54" s="229"/>
      <c r="X54" s="229"/>
      <c r="Y54" s="229"/>
      <c r="Z54" s="229"/>
      <c r="AA54" s="229">
        <f t="shared" si="1"/>
        <v>0</v>
      </c>
      <c r="AB54" s="464" t="str">
        <f t="shared" si="2"/>
        <v/>
      </c>
      <c r="AC54" s="455"/>
      <c r="AD54" s="229"/>
      <c r="AE54" s="464" t="str">
        <f t="shared" si="3"/>
        <v/>
      </c>
      <c r="AF54" s="465">
        <f t="shared" si="4"/>
        <v>0</v>
      </c>
      <c r="AG54" s="229"/>
      <c r="AH54" s="464" t="str">
        <f t="shared" si="5"/>
        <v/>
      </c>
      <c r="AI54" s="466">
        <f t="shared" si="6"/>
        <v>0</v>
      </c>
      <c r="AJ54" s="467">
        <f t="shared" si="7"/>
        <v>0</v>
      </c>
      <c r="AK54" s="468">
        <f t="shared" si="8"/>
        <v>0</v>
      </c>
      <c r="AL54" s="469">
        <f t="shared" si="9"/>
        <v>0</v>
      </c>
      <c r="AM54" s="470">
        <f t="shared" si="10"/>
        <v>0</v>
      </c>
      <c r="AN54" s="471">
        <f t="shared" si="11"/>
        <v>0</v>
      </c>
      <c r="AO54" s="11"/>
    </row>
    <row r="55" spans="1:41" x14ac:dyDescent="0.25">
      <c r="A55" s="61" t="s">
        <v>7</v>
      </c>
      <c r="B55" s="62" t="str">
        <f>IF(_epmOfflineCondition_,"'BCC'!$A$69:$F$77",_xll.EVRNG(A69:F77))</f>
        <v>'BCC'!$A$69:$F$77</v>
      </c>
      <c r="C55" s="11"/>
      <c r="D55" s="11"/>
      <c r="E55" s="11"/>
      <c r="F55" s="380"/>
      <c r="G55" s="11"/>
      <c r="H55" s="84" t="s">
        <v>277</v>
      </c>
      <c r="I55" s="184" t="str">
        <f>IF(_epmOfflineCondition_,"T4",_xll.EVPRO($B$1,$H55,"STYLE"))</f>
        <v>T4</v>
      </c>
      <c r="J55" s="184" t="str">
        <f>IF(_epmOfflineCondition_,"Y",_xll.EVPRO($B$1,$H55,"CALC"))</f>
        <v>Y</v>
      </c>
      <c r="K55" s="185" t="str">
        <f t="shared" si="0"/>
        <v/>
      </c>
      <c r="L55" s="186" t="str">
        <f>IF(_epmOfflineCondition_,"",_xll.EVPRO($B$1,H55,"JDEID"))</f>
        <v/>
      </c>
      <c r="M55" s="186" t="str">
        <f>IF(_epmOfflineCondition_,"",IF(AND(I55="N",J55="N"),_xll.EVPRO($B$1,H55,"PSFTID"),""))</f>
        <v/>
      </c>
      <c r="N55" s="186" t="str">
        <f>IF(_epmOfflineCondition_,"Total Other Revenue",IF(_xll.EVDES(H55,$B$1)="#NODATA","",_xll.EVDES(H55,$B$1)))</f>
        <v>Total Other Revenue</v>
      </c>
      <c r="O55" s="481">
        <v>10851.72</v>
      </c>
      <c r="P55" s="210">
        <v>14378.44</v>
      </c>
      <c r="Q55" s="210">
        <v>16509.95</v>
      </c>
      <c r="R55" s="210">
        <v>6277.57</v>
      </c>
      <c r="S55" s="210">
        <v>5231.26</v>
      </c>
      <c r="T55" s="210">
        <v>4440.78</v>
      </c>
      <c r="U55" s="210">
        <v>18682.77</v>
      </c>
      <c r="V55" s="210">
        <v>4437.24</v>
      </c>
      <c r="W55" s="210">
        <v>1811.96</v>
      </c>
      <c r="X55" s="210">
        <v>7530.92</v>
      </c>
      <c r="Y55" s="210">
        <v>6389.04</v>
      </c>
      <c r="Z55" s="210">
        <v>8702.98</v>
      </c>
      <c r="AA55" s="210">
        <f t="shared" si="1"/>
        <v>105244.63</v>
      </c>
      <c r="AB55" s="211">
        <f t="shared" si="2"/>
        <v>0.44770786126635514</v>
      </c>
      <c r="AC55" s="251"/>
      <c r="AD55" s="210">
        <v>69181.702006000007</v>
      </c>
      <c r="AE55" s="211">
        <f t="shared" si="3"/>
        <v>0.24700823078949938</v>
      </c>
      <c r="AF55" s="252">
        <f t="shared" si="4"/>
        <v>36062.927993999998</v>
      </c>
      <c r="AG55" s="210">
        <v>18563.22</v>
      </c>
      <c r="AH55" s="211">
        <f t="shared" si="5"/>
        <v>0.40194441527340363</v>
      </c>
      <c r="AI55" s="482">
        <f t="shared" si="6"/>
        <v>86681.41</v>
      </c>
      <c r="AJ55" s="253">
        <f t="shared" si="7"/>
        <v>38.326522214129646</v>
      </c>
      <c r="AK55" s="254">
        <f t="shared" si="8"/>
        <v>19.272011144508671</v>
      </c>
      <c r="AL55" s="256">
        <f t="shared" si="9"/>
        <v>31.251212121212124</v>
      </c>
      <c r="AM55" s="427" t="str">
        <f t="shared" si="10"/>
        <v>20.07 pts.</v>
      </c>
      <c r="AN55" s="483" t="str">
        <f t="shared" si="11"/>
        <v>4.58 pts.</v>
      </c>
      <c r="AO55" s="11"/>
    </row>
    <row r="56" spans="1:41" x14ac:dyDescent="0.25">
      <c r="A56" s="61" t="s">
        <v>47</v>
      </c>
      <c r="B56" s="62" t="str">
        <f>IF(_epmOfflineCondition_,"'BCC'!$A$125:$B$146",_xll.EVRNG($A$125:$B$146))</f>
        <v>'BCC'!$A$125:$B$146</v>
      </c>
      <c r="C56" s="11"/>
      <c r="D56" s="11"/>
      <c r="E56" s="11"/>
      <c r="F56" s="11"/>
      <c r="G56" s="11"/>
      <c r="H56" s="84" t="s">
        <v>280</v>
      </c>
      <c r="I56" s="184" t="str">
        <f>IF(_epmOfflineCondition_,"T3",_xll.EVPRO($B$1,$H56,"STYLE"))</f>
        <v>T3</v>
      </c>
      <c r="J56" s="184" t="str">
        <f>IF(_epmOfflineCondition_,"Y",_xll.EVPRO($B$1,$H56,"CALC"))</f>
        <v>Y</v>
      </c>
      <c r="K56" s="185" t="str">
        <f t="shared" si="0"/>
        <v/>
      </c>
      <c r="L56" s="186" t="str">
        <f>IF(_epmOfflineCondition_,"400000",_xll.EVPRO($B$1,H56,"JDEID"))</f>
        <v>400000</v>
      </c>
      <c r="M56" s="186" t="str">
        <f>IF(_epmOfflineCondition_,"",IF(AND(I56="N",J56="N"),_xll.EVPRO($B$1,H56,"PSFTID"),""))</f>
        <v/>
      </c>
      <c r="N56" s="186" t="str">
        <f>IF(_epmOfflineCondition_,"Total Revenue",IF(_xll.EVDES(H56,$B$1)="#NODATA","",_xll.EVDES(H56,$B$1)))</f>
        <v>Total Revenue</v>
      </c>
      <c r="O56" s="472">
        <v>37102.92</v>
      </c>
      <c r="P56" s="236">
        <v>36761.39</v>
      </c>
      <c r="Q56" s="236">
        <v>36327.550000000003</v>
      </c>
      <c r="R56" s="236">
        <v>10924.57</v>
      </c>
      <c r="S56" s="236">
        <v>9884.26</v>
      </c>
      <c r="T56" s="236">
        <v>5989.78</v>
      </c>
      <c r="U56" s="236">
        <v>20921.77</v>
      </c>
      <c r="V56" s="236">
        <v>6909.24</v>
      </c>
      <c r="W56" s="236">
        <v>3229.96</v>
      </c>
      <c r="X56" s="236">
        <v>27459.88</v>
      </c>
      <c r="Y56" s="236">
        <v>18801.04</v>
      </c>
      <c r="Z56" s="236">
        <v>20761.98</v>
      </c>
      <c r="AA56" s="236">
        <f t="shared" si="1"/>
        <v>235074.34</v>
      </c>
      <c r="AB56" s="237">
        <f t="shared" si="2"/>
        <v>1</v>
      </c>
      <c r="AC56" s="238"/>
      <c r="AD56" s="236">
        <v>280078.52930599998</v>
      </c>
      <c r="AE56" s="237">
        <f t="shared" si="3"/>
        <v>1</v>
      </c>
      <c r="AF56" s="239">
        <f t="shared" si="4"/>
        <v>-45004.189305999986</v>
      </c>
      <c r="AG56" s="236">
        <v>46183.55</v>
      </c>
      <c r="AH56" s="237">
        <f t="shared" si="5"/>
        <v>1</v>
      </c>
      <c r="AI56" s="473">
        <f t="shared" si="6"/>
        <v>188890.78999999998</v>
      </c>
      <c r="AJ56" s="215">
        <f t="shared" si="7"/>
        <v>85.606096139839764</v>
      </c>
      <c r="AK56" s="216">
        <f t="shared" si="8"/>
        <v>78.021736696427325</v>
      </c>
      <c r="AL56" s="218">
        <f t="shared" si="9"/>
        <v>77.750084175084183</v>
      </c>
      <c r="AM56" s="423" t="str">
        <f t="shared" si="10"/>
        <v>0 pts.</v>
      </c>
      <c r="AN56" s="474" t="str">
        <f t="shared" si="11"/>
        <v>0 pts.</v>
      </c>
      <c r="AO56" s="11"/>
    </row>
    <row r="57" spans="1:41" x14ac:dyDescent="0.25">
      <c r="A57" s="61" t="s">
        <v>8</v>
      </c>
      <c r="B57" s="62"/>
      <c r="C57" s="11"/>
      <c r="D57" s="11"/>
      <c r="E57" s="11"/>
      <c r="F57" s="11"/>
      <c r="G57" s="11"/>
      <c r="H57" s="11"/>
      <c r="I57" s="55"/>
      <c r="J57" s="55"/>
      <c r="K57" s="11"/>
      <c r="L57" s="11"/>
      <c r="M57" s="11"/>
      <c r="N57" s="11"/>
      <c r="O57" s="389"/>
      <c r="P57" s="390"/>
      <c r="Q57" s="390"/>
      <c r="R57" s="390"/>
      <c r="S57" s="390"/>
      <c r="T57" s="390"/>
      <c r="U57" s="390"/>
      <c r="V57" s="390"/>
      <c r="W57" s="390"/>
      <c r="X57" s="390"/>
      <c r="Y57" s="390"/>
      <c r="Z57" s="390"/>
      <c r="AA57" s="390"/>
      <c r="AB57" s="114"/>
      <c r="AC57" s="11"/>
      <c r="AD57" s="199"/>
      <c r="AE57" s="200"/>
      <c r="AF57" s="114"/>
      <c r="AG57" s="200"/>
      <c r="AH57" s="200"/>
      <c r="AI57" s="114"/>
      <c r="AJ57" s="11"/>
      <c r="AK57" s="11"/>
      <c r="AL57" s="11"/>
      <c r="AM57" s="11"/>
      <c r="AN57" s="11"/>
      <c r="AO57" s="11"/>
    </row>
    <row r="58" spans="1:41" x14ac:dyDescent="0.25">
      <c r="A58" s="11"/>
      <c r="B58" s="11"/>
      <c r="C58" s="11"/>
      <c r="D58" s="11"/>
      <c r="E58" s="11"/>
      <c r="F58" s="11"/>
      <c r="G58" s="72"/>
      <c r="H58" s="11" t="s">
        <v>281</v>
      </c>
      <c r="I58" s="55" t="str">
        <f>IF(_epmOfflineCondition_,"B1",_xll.EVPRO($B$1,$H58,"STYLE"))</f>
        <v>B1</v>
      </c>
      <c r="J58" s="55" t="str">
        <f>IF(_epmOfflineCondition_,"Y",_xll.EVPRO($B$1,$H58,"CALC"))</f>
        <v>Y</v>
      </c>
      <c r="K58" s="11"/>
      <c r="L58" s="11"/>
      <c r="M58" s="11"/>
      <c r="N58" s="101" t="str">
        <f>IF(_epmOfflineCondition_,"Cost of Sales",IF(_xll.EVDES(H58,$B$1)="#NODATA","",_xll.EVDES(H58,$B$1)))</f>
        <v>Cost of Sales</v>
      </c>
      <c r="O58" s="199"/>
      <c r="P58" s="200"/>
      <c r="Q58" s="200"/>
      <c r="R58" s="200"/>
      <c r="S58" s="200"/>
      <c r="T58" s="200"/>
      <c r="U58" s="200"/>
      <c r="V58" s="200"/>
      <c r="W58" s="200"/>
      <c r="X58" s="200"/>
      <c r="Y58" s="200"/>
      <c r="Z58" s="200"/>
      <c r="AA58" s="200"/>
      <c r="AB58" s="406"/>
      <c r="AC58" s="11"/>
      <c r="AD58" s="407"/>
      <c r="AE58" s="408"/>
      <c r="AF58" s="114"/>
      <c r="AG58" s="200"/>
      <c r="AH58" s="408"/>
      <c r="AI58" s="114"/>
      <c r="AJ58" s="11"/>
      <c r="AK58" s="11"/>
      <c r="AL58" s="11"/>
      <c r="AM58" s="11"/>
      <c r="AN58" s="11"/>
      <c r="AO58" s="11"/>
    </row>
    <row r="59" spans="1:41" x14ac:dyDescent="0.25">
      <c r="A59" s="57" t="s">
        <v>9</v>
      </c>
      <c r="B59" s="58" t="s">
        <v>10</v>
      </c>
      <c r="C59" s="11"/>
      <c r="D59" s="11"/>
      <c r="E59" s="11"/>
      <c r="F59" s="11"/>
      <c r="G59" s="11"/>
      <c r="H59" s="11" t="s">
        <v>284</v>
      </c>
      <c r="I59" s="55" t="str">
        <f>IF(_epmOfflineCondition_,"B1",_xll.EVPRO($B$1,$H59,"STYLE"))</f>
        <v>B1</v>
      </c>
      <c r="J59" s="55" t="str">
        <f>IF(_epmOfflineCondition_,"Y",_xll.EVPRO($B$1,$H59,"CALC"))</f>
        <v>Y</v>
      </c>
      <c r="K59" s="11"/>
      <c r="L59" s="11"/>
      <c r="M59" s="11"/>
      <c r="N59" s="49" t="str">
        <f>IF(_epmOfflineCondition_,"Cost of Food &amp; Beverage Sales",IF(_xll.EVDES(H59,$B$1)="#NODATA","",_xll.EVDES(H59,$B$1)))</f>
        <v>Cost of Food &amp; Beverage Sales</v>
      </c>
      <c r="O59" s="199"/>
      <c r="P59" s="200"/>
      <c r="Q59" s="200"/>
      <c r="R59" s="200"/>
      <c r="S59" s="200"/>
      <c r="T59" s="200"/>
      <c r="U59" s="200"/>
      <c r="V59" s="200"/>
      <c r="W59" s="200"/>
      <c r="X59" s="200"/>
      <c r="Y59" s="200"/>
      <c r="Z59" s="200"/>
      <c r="AA59" s="200"/>
      <c r="AB59" s="114"/>
      <c r="AC59" s="11"/>
      <c r="AD59" s="199"/>
      <c r="AE59" s="200"/>
      <c r="AF59" s="114"/>
      <c r="AG59" s="200"/>
      <c r="AH59" s="200"/>
      <c r="AI59" s="114"/>
      <c r="AJ59" s="11"/>
      <c r="AK59" s="11"/>
      <c r="AL59" s="11"/>
      <c r="AM59" s="11"/>
      <c r="AN59" s="11"/>
      <c r="AO59" s="11"/>
    </row>
    <row r="60" spans="1:41" x14ac:dyDescent="0.25">
      <c r="A60" s="61" t="s">
        <v>11</v>
      </c>
      <c r="B60" s="62" t="s">
        <v>21</v>
      </c>
      <c r="C60" s="11"/>
      <c r="D60" s="11"/>
      <c r="E60" s="11"/>
      <c r="F60" s="11"/>
      <c r="G60" s="11"/>
      <c r="H60" s="84" t="s">
        <v>285</v>
      </c>
      <c r="I60" s="118" t="str">
        <f>IF(_epmOfflineCondition_,"T5",_xll.EVPRO($B$1,$H60,"STYLE"))</f>
        <v>T5</v>
      </c>
      <c r="J60" s="118" t="str">
        <f>IF(_epmOfflineCondition_,"Y",_xll.EVPRO($B$1,$H60,"CALC"))</f>
        <v>Y</v>
      </c>
      <c r="K60" s="175" t="str">
        <f t="shared" ref="K60:K70" si="12">IF(AND(I60&gt;="T5"),"&gt;","")</f>
        <v>&gt;</v>
      </c>
      <c r="L60" s="86" t="str">
        <f>IF(_epmOfflineCondition_,"561100",_xll.EVPRO($B$1,H60,"JDEID"))</f>
        <v>561100</v>
      </c>
      <c r="M60" s="86" t="str">
        <f>IF(_epmOfflineCondition_,"",IF(AND(I60="N",J60="N"),_xll.EVPRO($B$1,H60,"PSFTID"),""))</f>
        <v/>
      </c>
      <c r="N60" s="86" t="str">
        <f>IF(_epmOfflineCondition_,"Cost of Food Sales",IF(_xll.EVDES(H60,$B$1)="#NODATA","",_xll.EVDES(H60,$B$1)))</f>
        <v>Cost of Food Sales</v>
      </c>
      <c r="O60" s="558">
        <v>2245.6999999999998</v>
      </c>
      <c r="P60" s="559">
        <v>6851.64</v>
      </c>
      <c r="Q60" s="559">
        <v>3834.73</v>
      </c>
      <c r="R60" s="559">
        <v>971.22</v>
      </c>
      <c r="S60" s="559">
        <v>971.64</v>
      </c>
      <c r="T60" s="559">
        <v>323.72000000000003</v>
      </c>
      <c r="U60" s="559">
        <v>467.95</v>
      </c>
      <c r="V60" s="559">
        <v>516.65</v>
      </c>
      <c r="W60" s="559">
        <v>296.36</v>
      </c>
      <c r="X60" s="559">
        <v>3775.54</v>
      </c>
      <c r="Y60" s="559">
        <v>2309.17</v>
      </c>
      <c r="Z60" s="559">
        <v>2113.48</v>
      </c>
      <c r="AA60" s="223">
        <f t="shared" ref="AA60:AA68" si="13">IF($I60="B1","",SUM(O60:Z60))</f>
        <v>24677.8</v>
      </c>
      <c r="AB60" s="560">
        <f>IF(_epmOfflineCondition_,0.209371588287856,IF(AA60=0,"",IFERROR(AA60/_xll.EVGTS($B$1,1,_xll.EVPRO($B$1,$H60,"COSBASIS"),$B$3,$B$5,$B$6,$B$7,$B$9,AA$16,AA$17,AA$11),"")))</f>
        <v>0.20937158828785599</v>
      </c>
      <c r="AC60" s="455"/>
      <c r="AD60" s="559">
        <v>27664.080000000002</v>
      </c>
      <c r="AE60" s="560">
        <f>IF(_epmOfflineCondition_,0.209000058593961,IF(AD60=0,"",IFERROR(AD60/_xll.EVGTS($B$1,1,_xll.EVPRO($B$1,$H60,"COSBASIS"),$B$3,$B$5,$B$6,$B$7,$B$9,AD$16,AD$17,AD$18),"")))</f>
        <v>0.20900005859396101</v>
      </c>
      <c r="AF60" s="561">
        <f t="shared" ref="AF60:AF70" si="14">IF(AND($AA60="",AD60=""),"",$AA60-AD60)</f>
        <v>-2986.2800000000025</v>
      </c>
      <c r="AG60" s="559">
        <v>3413.25</v>
      </c>
      <c r="AH60" s="560">
        <f>IF(_epmOfflineCondition_,0.133458688509591,IF(AG60=0,"",IFERROR(AG60/_xll.EVGTS($B$1,1,_xll.EVPRO($B$1,$H60,"COSBASIS"),$B$3,$B$5,$B$6,$B$7,$B$9,AG$16,AG$17,AG$18),"")))</f>
        <v>0.133458688509591</v>
      </c>
      <c r="AI60" s="562">
        <f t="shared" ref="AI60:AI70" si="15">IF(AND($AA60="",AG60=""),"",$AA60-AG60)</f>
        <v>21264.55</v>
      </c>
      <c r="AJ60" s="458">
        <f t="shared" ref="AJ60:AJ70" si="16">IFERROR(AA60/AA$20,0)</f>
        <v>8.9868171886380193</v>
      </c>
      <c r="AK60" s="459">
        <f t="shared" ref="AK60:AK70" si="17">IFERROR(AD60/AD$20,0)</f>
        <v>7.7064085242704925</v>
      </c>
      <c r="AL60" s="460">
        <f t="shared" ref="AL60:AL70" si="18">IFERROR(AG60/AG$20,0)</f>
        <v>5.7462121212121211</v>
      </c>
      <c r="AM60" s="461" t="str">
        <f t="shared" ref="AM60:AM70" si="19">+IFERROR(ROUND(($AB60-AE60)*100,2)&amp;" pts.",0)</f>
        <v>0.04 pts.</v>
      </c>
      <c r="AN60" s="462" t="str">
        <f t="shared" ref="AN60:AN70" si="20">+IFERROR(ROUND(($AB60-AH60)*100,2)&amp;" pts.",0)</f>
        <v>7.59 pts.</v>
      </c>
      <c r="AO60" s="11"/>
    </row>
    <row r="61" spans="1:41" x14ac:dyDescent="0.25">
      <c r="A61" s="61" t="s">
        <v>12</v>
      </c>
      <c r="B61" s="62" t="s">
        <v>22</v>
      </c>
      <c r="C61" s="11"/>
      <c r="D61" s="11"/>
      <c r="E61" s="11"/>
      <c r="F61" s="11"/>
      <c r="G61" s="11"/>
      <c r="H61" s="84" t="s">
        <v>637</v>
      </c>
      <c r="I61" s="118" t="str">
        <f>IF(_epmOfflineCondition_,"T5",_xll.EVPRO($B$1,$H61,"STYLE"))</f>
        <v>T5</v>
      </c>
      <c r="J61" s="118" t="str">
        <f>IF(_epmOfflineCondition_,"Y",_xll.EVPRO($B$1,$H61,"CALC"))</f>
        <v>Y</v>
      </c>
      <c r="K61" s="175" t="str">
        <f t="shared" si="12"/>
        <v>&gt;</v>
      </c>
      <c r="L61" s="86" t="str">
        <f>IF(_epmOfflineCondition_,"",_xll.EVPRO($B$1,H61,"JDEID"))</f>
        <v/>
      </c>
      <c r="M61" s="86" t="str">
        <f>IF(_epmOfflineCondition_,"",IF(AND(I61="N",J61="N"),_xll.EVPRO($B$1,H61,"PSFTID"),""))</f>
        <v/>
      </c>
      <c r="N61" s="86" t="str">
        <f>IF(_epmOfflineCondition_,"Cost of Beverage Sales",IF(_xll.EVDES(H61,$B$1)="#NODATA","",_xll.EVDES(H61,$B$1)))</f>
        <v>Cost of Beverage Sales</v>
      </c>
      <c r="O61" s="463">
        <v>-2039.71</v>
      </c>
      <c r="P61" s="229">
        <v>3054.49</v>
      </c>
      <c r="Q61" s="229">
        <v>291.88</v>
      </c>
      <c r="R61" s="229"/>
      <c r="S61" s="229"/>
      <c r="T61" s="229"/>
      <c r="U61" s="229"/>
      <c r="V61" s="229"/>
      <c r="W61" s="229"/>
      <c r="X61" s="229">
        <v>375.12</v>
      </c>
      <c r="Y61" s="229">
        <v>274.12</v>
      </c>
      <c r="Z61" s="229">
        <v>205.6</v>
      </c>
      <c r="AA61" s="229">
        <f t="shared" si="13"/>
        <v>2161.4999999999995</v>
      </c>
      <c r="AB61" s="464">
        <f>IF(_epmOfflineCondition_,0.18067198443287,IF(AA61=0,"",IFERROR(AA61/_xll.EVGTS($B$1,1,_xll.EVPRO($B$1,$H61,"COSBASIS"),$B$3,$B$5,$B$6,$B$7,$B$9,AA$16,AA$17,AA$11),"")))</f>
        <v>0.18067198443287</v>
      </c>
      <c r="AC61" s="455"/>
      <c r="AD61" s="229">
        <v>15612.36</v>
      </c>
      <c r="AE61" s="464">
        <f>IF(_epmOfflineCondition_,0.198800386593965,IF(AD61=0,"",IFERROR(AD61/_xll.EVGTS($B$1,1,_xll.EVPRO($B$1,$H61,"COSBASIS"),$B$3,$B$5,$B$6,$B$7,$B$9,AD$16,AD$17,AD$18),"")))</f>
        <v>0.19880038659396501</v>
      </c>
      <c r="AF61" s="465">
        <f t="shared" si="14"/>
        <v>-13450.86</v>
      </c>
      <c r="AG61" s="229">
        <v>985.14</v>
      </c>
      <c r="AH61" s="464">
        <f>IF(_epmOfflineCondition_,0.481731051344743,IF(AG61=0,"",IFERROR(AG61/_xll.EVGTS($B$1,1,_xll.EVPRO($B$1,$H61,"COSBASIS"),$B$3,$B$5,$B$6,$B$7,$B$9,AG$16,AG$17,AG$18),"")))</f>
        <v>0.48173105134474298</v>
      </c>
      <c r="AI61" s="466">
        <f t="shared" si="15"/>
        <v>1176.3599999999997</v>
      </c>
      <c r="AJ61" s="467">
        <f t="shared" si="16"/>
        <v>0.78714493809176966</v>
      </c>
      <c r="AK61" s="468">
        <f t="shared" si="17"/>
        <v>4.3491496622327466</v>
      </c>
      <c r="AL61" s="469">
        <f t="shared" si="18"/>
        <v>1.6584848484848485</v>
      </c>
      <c r="AM61" s="470" t="str">
        <f t="shared" si="19"/>
        <v>-1.81 pts.</v>
      </c>
      <c r="AN61" s="471" t="str">
        <f t="shared" si="20"/>
        <v>-30.11 pts.</v>
      </c>
      <c r="AO61" s="11"/>
    </row>
    <row r="62" spans="1:41" x14ac:dyDescent="0.25">
      <c r="A62" s="61" t="s">
        <v>13</v>
      </c>
      <c r="B62" s="62" t="str">
        <f>"DEP(COS_FB) AND "&amp;$E$6&amp;"=Y,COS_FB,COSOTH,DEP(COS_OTHR) AND "&amp;$E$6&amp;"=Y,COS_OTHR,500001"</f>
        <v>DEP(COS_FB) AND D2148=Y,COS_FB,COSOTH,DEP(COS_OTHR) AND D2148=Y,COS_OTHR,500001</v>
      </c>
      <c r="C62" s="11"/>
      <c r="D62" s="11"/>
      <c r="E62" s="11"/>
      <c r="F62" s="11"/>
      <c r="G62" s="11"/>
      <c r="H62" s="84" t="s">
        <v>286</v>
      </c>
      <c r="I62" s="184" t="str">
        <f>IF(_epmOfflineCondition_,"T4",_xll.EVPRO($B$1,$H62,"STYLE"))</f>
        <v>T4</v>
      </c>
      <c r="J62" s="184" t="str">
        <f>IF(_epmOfflineCondition_,"Y",_xll.EVPRO($B$1,$H62,"CALC"))</f>
        <v>Y</v>
      </c>
      <c r="K62" s="185" t="str">
        <f t="shared" si="12"/>
        <v/>
      </c>
      <c r="L62" s="186" t="str">
        <f>IF(_epmOfflineCondition_,"",_xll.EVPRO($B$1,H62,"JDEID"))</f>
        <v/>
      </c>
      <c r="M62" s="186" t="str">
        <f>IF(_epmOfflineCondition_,"",IF(AND(I62="N",J62="N"),_xll.EVPRO($B$1,H62,"PSFTID"),""))</f>
        <v/>
      </c>
      <c r="N62" s="186" t="str">
        <f>IF(_epmOfflineCondition_,"Total Cost of Food &amp; Beverage Sales",IF(_xll.EVDES(H62,$B$1)="#NODATA","",_xll.EVDES(H62,$B$1)))</f>
        <v>Total Cost of Food &amp; Beverage Sales</v>
      </c>
      <c r="O62" s="472">
        <v>205.99</v>
      </c>
      <c r="P62" s="236">
        <v>9906.1299999999992</v>
      </c>
      <c r="Q62" s="236">
        <v>4126.6099999999997</v>
      </c>
      <c r="R62" s="236">
        <v>971.22</v>
      </c>
      <c r="S62" s="236">
        <v>971.64</v>
      </c>
      <c r="T62" s="236">
        <v>323.72000000000003</v>
      </c>
      <c r="U62" s="236">
        <v>467.95</v>
      </c>
      <c r="V62" s="236">
        <v>516.65</v>
      </c>
      <c r="W62" s="236">
        <v>296.36</v>
      </c>
      <c r="X62" s="236">
        <v>4150.66</v>
      </c>
      <c r="Y62" s="236">
        <v>2583.29</v>
      </c>
      <c r="Z62" s="236">
        <v>2319.08</v>
      </c>
      <c r="AA62" s="236">
        <f t="shared" si="13"/>
        <v>26839.300000000003</v>
      </c>
      <c r="AB62" s="237">
        <f>IF(_epmOfflineCondition_,0.206726950248907,IF(AA62=0,"",IFERROR(AA62/_xll.EVGTS($B$1,1,_xll.EVPRO($B$1,$H62,"COSBASIS"),$B$3,$B$5,$B$6,$B$7,$B$9,AA$16,AA$17,AA$11),"")))</f>
        <v>0.206726950248907</v>
      </c>
      <c r="AC62" s="238"/>
      <c r="AD62" s="236">
        <v>43276.44</v>
      </c>
      <c r="AE62" s="237">
        <f>IF(_epmOfflineCondition_,0.205201949000586,IF(AD62=0,"",IFERROR(AD62/_xll.EVGTS($B$1,1,_xll.EVPRO($B$1,$H62,"COSBASIS"),$B$3,$B$5,$B$6,$B$7,$B$9,AD$16,AD$17,AD$18),"")))</f>
        <v>0.205201949000586</v>
      </c>
      <c r="AF62" s="239">
        <f t="shared" si="14"/>
        <v>-16437.14</v>
      </c>
      <c r="AG62" s="236">
        <v>4398.3900000000003</v>
      </c>
      <c r="AH62" s="237">
        <f>IF(_epmOfflineCondition_,0.159244657829939,IF(AG62=0,"",IFERROR(AG62/_xll.EVGTS($B$1,1,_xll.EVPRO($B$1,$H62,"COSBASIS"),$B$3,$B$5,$B$6,$B$7,$B$9,AG$16,AG$17,AG$18),"")))</f>
        <v>0.15924465782993899</v>
      </c>
      <c r="AI62" s="473">
        <f t="shared" si="15"/>
        <v>22440.910000000003</v>
      </c>
      <c r="AJ62" s="215">
        <f t="shared" si="16"/>
        <v>9.7739621267297903</v>
      </c>
      <c r="AK62" s="216">
        <f t="shared" si="17"/>
        <v>12.055558186503239</v>
      </c>
      <c r="AL62" s="218">
        <f t="shared" si="18"/>
        <v>7.4046969696969702</v>
      </c>
      <c r="AM62" s="423" t="str">
        <f t="shared" si="19"/>
        <v>0.15 pts.</v>
      </c>
      <c r="AN62" s="474" t="str">
        <f t="shared" si="20"/>
        <v>4.75 pts.</v>
      </c>
      <c r="AO62" s="11"/>
    </row>
    <row r="63" spans="1:41" x14ac:dyDescent="0.25">
      <c r="A63" s="61" t="s">
        <v>14</v>
      </c>
      <c r="B63" s="62"/>
      <c r="C63" s="11"/>
      <c r="D63" s="11"/>
      <c r="E63" s="11"/>
      <c r="F63" s="11"/>
      <c r="G63" s="11"/>
      <c r="H63" s="84" t="s">
        <v>287</v>
      </c>
      <c r="I63" s="184" t="str">
        <f>IF(_epmOfflineCondition_,"B1",_xll.EVPRO($B$1,$H63,"STYLE"))</f>
        <v>B1</v>
      </c>
      <c r="J63" s="184" t="str">
        <f>IF(_epmOfflineCondition_,"Y",_xll.EVPRO($B$1,$H63,"CALC"))</f>
        <v>Y</v>
      </c>
      <c r="K63" s="185" t="str">
        <f t="shared" si="12"/>
        <v/>
      </c>
      <c r="L63" s="186" t="str">
        <f>IF(_epmOfflineCondition_,"",_xll.EVPRO($B$1,H63,"JDEID"))</f>
        <v/>
      </c>
      <c r="M63" s="186" t="str">
        <f>IF(_epmOfflineCondition_,"",IF(AND(I63="N",J63="N"),_xll.EVPRO($B$1,H63,"PSFTID"),""))</f>
        <v/>
      </c>
      <c r="N63" s="186" t="str">
        <f>IF(_epmOfflineCondition_,"Cost of Other Revenue",IF(_xll.EVDES(H63,$B$1)="#NODATA","",_xll.EVDES(H63,$B$1)))</f>
        <v>Cost of Other Revenue</v>
      </c>
      <c r="O63" s="563"/>
      <c r="P63" s="240"/>
      <c r="Q63" s="240"/>
      <c r="R63" s="240"/>
      <c r="S63" s="240"/>
      <c r="T63" s="240"/>
      <c r="U63" s="240"/>
      <c r="V63" s="240"/>
      <c r="W63" s="240"/>
      <c r="X63" s="240"/>
      <c r="Y63" s="240"/>
      <c r="Z63" s="240"/>
      <c r="AA63" s="241" t="str">
        <f t="shared" si="13"/>
        <v/>
      </c>
      <c r="AB63" s="242" t="str">
        <f>IF(_epmOfflineCondition_,"",IF(AA63=0,"",IFERROR(AA63/_xll.EVGTS($B$1,1,_xll.EVPRO($B$1,$H63,"COSBASIS"),$B$3,$B$5,$B$6,$B$7,$B$9,AA$16,AA$17,AA$11),"")))</f>
        <v/>
      </c>
      <c r="AC63" s="477"/>
      <c r="AD63" s="240"/>
      <c r="AE63" s="242" t="str">
        <f>IF(_epmOfflineCondition_,"",IF(AD63=0,"",IFERROR(AD63/_xll.EVGTS($B$1,1,_xll.EVPRO($B$1,$H63,"COSBASIS"),$B$3,$B$5,$B$6,$B$7,$B$9,AD$16,AD$17,AD$18),"")))</f>
        <v/>
      </c>
      <c r="AF63" s="243" t="str">
        <f t="shared" si="14"/>
        <v/>
      </c>
      <c r="AG63" s="240"/>
      <c r="AH63" s="242" t="str">
        <f>IF(_epmOfflineCondition_,"",IF(AG63=0,"",IFERROR(AG63/_xll.EVGTS($B$1,1,_xll.EVPRO($B$1,$H63,"COSBASIS"),$B$3,$B$5,$B$6,$B$7,$B$9,AG$16,AG$17,AG$18),"")))</f>
        <v/>
      </c>
      <c r="AI63" s="564" t="str">
        <f t="shared" si="15"/>
        <v/>
      </c>
      <c r="AJ63" s="244">
        <f t="shared" si="16"/>
        <v>0</v>
      </c>
      <c r="AK63" s="245">
        <f t="shared" si="17"/>
        <v>0</v>
      </c>
      <c r="AL63" s="247">
        <f t="shared" si="18"/>
        <v>0</v>
      </c>
      <c r="AM63" s="425">
        <f t="shared" si="19"/>
        <v>0</v>
      </c>
      <c r="AN63" s="480">
        <f t="shared" si="20"/>
        <v>0</v>
      </c>
      <c r="AO63" s="11"/>
    </row>
    <row r="64" spans="1:41" x14ac:dyDescent="0.25">
      <c r="A64" s="61" t="s">
        <v>15</v>
      </c>
      <c r="B64" s="62"/>
      <c r="C64" s="11"/>
      <c r="D64" s="11"/>
      <c r="E64" s="11"/>
      <c r="F64" s="11"/>
      <c r="G64" s="11"/>
      <c r="H64" s="84" t="s">
        <v>638</v>
      </c>
      <c r="I64" s="118" t="str">
        <f>IF(_epmOfflineCondition_,"N",_xll.EVPRO($B$1,$H64,"STYLE"))</f>
        <v>N</v>
      </c>
      <c r="J64" s="118" t="str">
        <f>IF(_epmOfflineCondition_,"N",_xll.EVPRO($B$1,$H64,"CALC"))</f>
        <v>N</v>
      </c>
      <c r="K64" s="175" t="str">
        <f t="shared" si="12"/>
        <v/>
      </c>
      <c r="L64" s="86" t="str">
        <f>IF(_epmOfflineCondition_,"568300",_xll.EVPRO($B$1,H64,"JDEID"))</f>
        <v>568300</v>
      </c>
      <c r="M64" s="86" t="str">
        <f>IF(_epmOfflineCondition_,"306005",IF(AND(I64="N",J64="N"),_xll.EVPRO($B$1,H64,"PSFTID"),""))</f>
        <v>306005</v>
      </c>
      <c r="N64" s="86" t="str">
        <f>IF(_epmOfflineCondition_,"A/V Cost of Sales",IF(_xll.EVDES(H64,$B$1)="#NODATA","",_xll.EVDES(H64,$B$1)))</f>
        <v>A/V Cost of Sales</v>
      </c>
      <c r="O64" s="558"/>
      <c r="P64" s="559"/>
      <c r="Q64" s="559"/>
      <c r="R64" s="559"/>
      <c r="S64" s="559"/>
      <c r="T64" s="559"/>
      <c r="U64" s="559"/>
      <c r="V64" s="559"/>
      <c r="W64" s="559"/>
      <c r="X64" s="559"/>
      <c r="Y64" s="559"/>
      <c r="Z64" s="559"/>
      <c r="AA64" s="223">
        <f t="shared" si="13"/>
        <v>0</v>
      </c>
      <c r="AB64" s="560" t="str">
        <f>IF(_epmOfflineCondition_,"",IF(AA64=0,"",IFERROR(AA64/_xll.EVGTS($B$1,1,_xll.EVPRO($B$1,$H64,"COSBASIS"),$B$3,$B$5,$B$6,$B$7,$B$9,AA$16,AA$17,AA$11),"")))</f>
        <v/>
      </c>
      <c r="AC64" s="455"/>
      <c r="AD64" s="559"/>
      <c r="AE64" s="560" t="str">
        <f>IF(_epmOfflineCondition_,"",IF(AD64=0,"",IFERROR(AD64/_xll.EVGTS($B$1,1,_xll.EVPRO($B$1,$H64,"COSBASIS"),$B$3,$B$5,$B$6,$B$7,$B$9,AD$16,AD$17,AD$18),"")))</f>
        <v/>
      </c>
      <c r="AF64" s="561">
        <f t="shared" si="14"/>
        <v>0</v>
      </c>
      <c r="AG64" s="559"/>
      <c r="AH64" s="560" t="str">
        <f>IF(_epmOfflineCondition_,"",IF(AG64=0,"",IFERROR(AG64/_xll.EVGTS($B$1,1,_xll.EVPRO($B$1,$H64,"COSBASIS"),$B$3,$B$5,$B$6,$B$7,$B$9,AG$16,AG$17,AG$18),"")))</f>
        <v/>
      </c>
      <c r="AI64" s="562">
        <f t="shared" si="15"/>
        <v>0</v>
      </c>
      <c r="AJ64" s="458">
        <f t="shared" si="16"/>
        <v>0</v>
      </c>
      <c r="AK64" s="459">
        <f t="shared" si="17"/>
        <v>0</v>
      </c>
      <c r="AL64" s="460">
        <f t="shared" si="18"/>
        <v>0</v>
      </c>
      <c r="AM64" s="461">
        <f t="shared" si="19"/>
        <v>0</v>
      </c>
      <c r="AN64" s="462">
        <f t="shared" si="20"/>
        <v>0</v>
      </c>
      <c r="AO64" s="11"/>
    </row>
    <row r="65" spans="1:41" x14ac:dyDescent="0.25">
      <c r="A65" s="61" t="s">
        <v>16</v>
      </c>
      <c r="B65" s="62"/>
      <c r="C65" s="11"/>
      <c r="D65" s="11"/>
      <c r="E65" s="11"/>
      <c r="F65" s="11"/>
      <c r="G65" s="11"/>
      <c r="H65" s="84" t="s">
        <v>639</v>
      </c>
      <c r="I65" s="118" t="str">
        <f>IF(_epmOfflineCondition_,"N",_xll.EVPRO($B$1,$H65,"STYLE"))</f>
        <v>N</v>
      </c>
      <c r="J65" s="118" t="str">
        <f>IF(_epmOfflineCondition_,"N",_xll.EVPRO($B$1,$H65,"CALC"))</f>
        <v>N</v>
      </c>
      <c r="K65" s="175" t="str">
        <f t="shared" si="12"/>
        <v/>
      </c>
      <c r="L65" s="86" t="str">
        <f>IF(_epmOfflineCondition_,"568350",_xll.EVPRO($B$1,H65,"JDEID"))</f>
        <v>568350</v>
      </c>
      <c r="M65" s="86" t="str">
        <f>IF(_epmOfflineCondition_,"306099",IF(AND(I65="N",J65="N"),_xll.EVPRO($B$1,H65,"PSFTID"),""))</f>
        <v>306099</v>
      </c>
      <c r="N65" s="86" t="str">
        <f>IF(_epmOfflineCondition_,"Public Room Rental",IF(_xll.EVDES(H65,$B$1)="#NODATA","",_xll.EVDES(H65,$B$1)))</f>
        <v>Public Room Rental</v>
      </c>
      <c r="O65" s="558"/>
      <c r="P65" s="559"/>
      <c r="Q65" s="559"/>
      <c r="R65" s="559"/>
      <c r="S65" s="559"/>
      <c r="T65" s="559"/>
      <c r="U65" s="559"/>
      <c r="V65" s="559"/>
      <c r="W65" s="559"/>
      <c r="X65" s="559"/>
      <c r="Y65" s="559"/>
      <c r="Z65" s="559"/>
      <c r="AA65" s="223">
        <f t="shared" si="13"/>
        <v>0</v>
      </c>
      <c r="AB65" s="560" t="str">
        <f>IF(_epmOfflineCondition_,"",IF(AA65=0,"",IFERROR(AA65/_xll.EVGTS($B$1,1,_xll.EVPRO($B$1,$H65,"COSBASIS"),$B$3,$B$5,$B$6,$B$7,$B$9,AA$16,AA$17,AA$11),"")))</f>
        <v/>
      </c>
      <c r="AC65" s="455"/>
      <c r="AD65" s="559"/>
      <c r="AE65" s="560" t="str">
        <f>IF(_epmOfflineCondition_,"",IF(AD65=0,"",IFERROR(AD65/_xll.EVGTS($B$1,1,_xll.EVPRO($B$1,$H65,"COSBASIS"),$B$3,$B$5,$B$6,$B$7,$B$9,AD$16,AD$17,AD$18),"")))</f>
        <v/>
      </c>
      <c r="AF65" s="561">
        <f t="shared" si="14"/>
        <v>0</v>
      </c>
      <c r="AG65" s="559"/>
      <c r="AH65" s="560" t="str">
        <f>IF(_epmOfflineCondition_,"",IF(AG65=0,"",IFERROR(AG65/_xll.EVGTS($B$1,1,_xll.EVPRO($B$1,$H65,"COSBASIS"),$B$3,$B$5,$B$6,$B$7,$B$9,AG$16,AG$17,AG$18),"")))</f>
        <v/>
      </c>
      <c r="AI65" s="562">
        <f t="shared" si="15"/>
        <v>0</v>
      </c>
      <c r="AJ65" s="458">
        <f t="shared" si="16"/>
        <v>0</v>
      </c>
      <c r="AK65" s="459">
        <f t="shared" si="17"/>
        <v>0</v>
      </c>
      <c r="AL65" s="460">
        <f t="shared" si="18"/>
        <v>0</v>
      </c>
      <c r="AM65" s="461">
        <f t="shared" si="19"/>
        <v>0</v>
      </c>
      <c r="AN65" s="462">
        <f t="shared" si="20"/>
        <v>0</v>
      </c>
      <c r="AO65" s="11"/>
    </row>
    <row r="66" spans="1:41" x14ac:dyDescent="0.25">
      <c r="A66" s="61" t="s">
        <v>17</v>
      </c>
      <c r="B66" s="62"/>
      <c r="C66" s="11"/>
      <c r="D66" s="11"/>
      <c r="E66" s="11"/>
      <c r="F66" s="11"/>
      <c r="G66" s="11"/>
      <c r="H66" s="84" t="s">
        <v>640</v>
      </c>
      <c r="I66" s="118" t="str">
        <f>IF(_epmOfflineCondition_,"T5",_xll.EVPRO($B$1,$H66,"STYLE"))</f>
        <v>T5</v>
      </c>
      <c r="J66" s="118" t="str">
        <f>IF(_epmOfflineCondition_,"Y",_xll.EVPRO($B$1,$H66,"CALC"))</f>
        <v>Y</v>
      </c>
      <c r="K66" s="175" t="str">
        <f t="shared" si="12"/>
        <v>&gt;</v>
      </c>
      <c r="L66" s="86" t="str">
        <f>IF(_epmOfflineCondition_,"",_xll.EVPRO($B$1,H66,"JDEID"))</f>
        <v/>
      </c>
      <c r="M66" s="86" t="str">
        <f>IF(_epmOfflineCondition_,"",IF(AND(I66="N",J66="N"),_xll.EVPRO($B$1,H66,"PSFTID"),""))</f>
        <v/>
      </c>
      <c r="N66" s="86" t="str">
        <f>IF(_epmOfflineCondition_,"Miscellaneous Cost",IF(_xll.EVDES(H66,$B$1)="#NODATA","",_xll.EVDES(H66,$B$1)))</f>
        <v>Miscellaneous Cost</v>
      </c>
      <c r="O66" s="463"/>
      <c r="P66" s="229"/>
      <c r="Q66" s="229"/>
      <c r="R66" s="229"/>
      <c r="S66" s="229"/>
      <c r="T66" s="229"/>
      <c r="U66" s="229"/>
      <c r="V66" s="229"/>
      <c r="W66" s="229"/>
      <c r="X66" s="229"/>
      <c r="Y66" s="229"/>
      <c r="Z66" s="229"/>
      <c r="AA66" s="229">
        <f t="shared" si="13"/>
        <v>0</v>
      </c>
      <c r="AB66" s="464" t="str">
        <f>IF(_epmOfflineCondition_,"",IF(AA66=0,"",IFERROR(AA66/_xll.EVGTS($B$1,1,_xll.EVPRO($B$1,$H66,"COSBASIS"),$B$3,$B$5,$B$6,$B$7,$B$9,AA$16,AA$17,AA$11),"")))</f>
        <v/>
      </c>
      <c r="AC66" s="455"/>
      <c r="AD66" s="229"/>
      <c r="AE66" s="464" t="str">
        <f>IF(_epmOfflineCondition_,"",IF(AD66=0,"",IFERROR(AD66/_xll.EVGTS($B$1,1,_xll.EVPRO($B$1,$H66,"COSBASIS"),$B$3,$B$5,$B$6,$B$7,$B$9,AD$16,AD$17,AD$18),"")))</f>
        <v/>
      </c>
      <c r="AF66" s="465">
        <f t="shared" si="14"/>
        <v>0</v>
      </c>
      <c r="AG66" s="229"/>
      <c r="AH66" s="464" t="str">
        <f>IF(_epmOfflineCondition_,"",IF(AG66=0,"",IFERROR(AG66/_xll.EVGTS($B$1,1,_xll.EVPRO($B$1,$H66,"COSBASIS"),$B$3,$B$5,$B$6,$B$7,$B$9,AG$16,AG$17,AG$18),"")))</f>
        <v/>
      </c>
      <c r="AI66" s="466">
        <f t="shared" si="15"/>
        <v>0</v>
      </c>
      <c r="AJ66" s="467">
        <f t="shared" si="16"/>
        <v>0</v>
      </c>
      <c r="AK66" s="468">
        <f t="shared" si="17"/>
        <v>0</v>
      </c>
      <c r="AL66" s="469">
        <f t="shared" si="18"/>
        <v>0</v>
      </c>
      <c r="AM66" s="470">
        <f t="shared" si="19"/>
        <v>0</v>
      </c>
      <c r="AN66" s="471">
        <f t="shared" si="20"/>
        <v>0</v>
      </c>
      <c r="AO66" s="11"/>
    </row>
    <row r="67" spans="1:41" x14ac:dyDescent="0.25">
      <c r="A67" s="11"/>
      <c r="B67" s="11"/>
      <c r="C67" s="11"/>
      <c r="D67" s="11"/>
      <c r="E67" s="11"/>
      <c r="F67" s="11"/>
      <c r="G67" s="11"/>
      <c r="H67" s="84" t="s">
        <v>288</v>
      </c>
      <c r="I67" s="184" t="str">
        <f>IF(_epmOfflineCondition_,"T4",_xll.EVPRO($B$1,$H67,"STYLE"))</f>
        <v>T4</v>
      </c>
      <c r="J67" s="184" t="str">
        <f>IF(_epmOfflineCondition_,"Y",_xll.EVPRO($B$1,$H67,"CALC"))</f>
        <v>Y</v>
      </c>
      <c r="K67" s="185" t="str">
        <f t="shared" si="12"/>
        <v/>
      </c>
      <c r="L67" s="186" t="str">
        <f>IF(_epmOfflineCondition_,"",_xll.EVPRO($B$1,H67,"JDEID"))</f>
        <v/>
      </c>
      <c r="M67" s="186" t="str">
        <f>IF(_epmOfflineCondition_,"",IF(AND(I67="N",J67="N"),_xll.EVPRO($B$1,H67,"PSFTID"),""))</f>
        <v/>
      </c>
      <c r="N67" s="186" t="str">
        <f>IF(_epmOfflineCondition_,"Total Cost of Other Revenue",IF(_xll.EVDES(H67,$B$1)="#NODATA","",_xll.EVDES(H67,$B$1)))</f>
        <v>Total Cost of Other Revenue</v>
      </c>
      <c r="O67" s="481"/>
      <c r="P67" s="210"/>
      <c r="Q67" s="210"/>
      <c r="R67" s="210"/>
      <c r="S67" s="210"/>
      <c r="T67" s="210"/>
      <c r="U67" s="210"/>
      <c r="V67" s="210"/>
      <c r="W67" s="210"/>
      <c r="X67" s="210"/>
      <c r="Y67" s="210"/>
      <c r="Z67" s="210"/>
      <c r="AA67" s="210">
        <f t="shared" si="13"/>
        <v>0</v>
      </c>
      <c r="AB67" s="211" t="str">
        <f>IF(_epmOfflineCondition_,"",IF(AA67=0,"",IFERROR(AA67/_xll.EVGTS($B$1,1,_xll.EVPRO($B$1,$H67,"COSBASIS"),$B$3,$B$5,$B$6,$B$7,$B$9,AA$16,AA$17,AA$11),"")))</f>
        <v/>
      </c>
      <c r="AC67" s="251"/>
      <c r="AD67" s="210"/>
      <c r="AE67" s="211" t="str">
        <f>IF(_epmOfflineCondition_,"",IF(AD67=0,"",IFERROR(AD67/_xll.EVGTS($B$1,1,_xll.EVPRO($B$1,$H67,"COSBASIS"),$B$3,$B$5,$B$6,$B$7,$B$9,AD$16,AD$17,AD$18),"")))</f>
        <v/>
      </c>
      <c r="AF67" s="252">
        <f t="shared" si="14"/>
        <v>0</v>
      </c>
      <c r="AG67" s="210"/>
      <c r="AH67" s="211" t="str">
        <f>IF(_epmOfflineCondition_,"",IF(AG67=0,"",IFERROR(AG67/_xll.EVGTS($B$1,1,_xll.EVPRO($B$1,$H67,"COSBASIS"),$B$3,$B$5,$B$6,$B$7,$B$9,AG$16,AG$17,AG$18),"")))</f>
        <v/>
      </c>
      <c r="AI67" s="482">
        <f t="shared" si="15"/>
        <v>0</v>
      </c>
      <c r="AJ67" s="253">
        <f t="shared" si="16"/>
        <v>0</v>
      </c>
      <c r="AK67" s="254">
        <f t="shared" si="17"/>
        <v>0</v>
      </c>
      <c r="AL67" s="256">
        <f t="shared" si="18"/>
        <v>0</v>
      </c>
      <c r="AM67" s="427">
        <f t="shared" si="19"/>
        <v>0</v>
      </c>
      <c r="AN67" s="483">
        <f t="shared" si="20"/>
        <v>0</v>
      </c>
      <c r="AO67" s="11"/>
    </row>
    <row r="68" spans="1:41" x14ac:dyDescent="0.25">
      <c r="A68" s="93" t="s">
        <v>92</v>
      </c>
      <c r="B68" s="94" t="s">
        <v>93</v>
      </c>
      <c r="C68" s="94" t="s">
        <v>94</v>
      </c>
      <c r="D68" s="94" t="s">
        <v>95</v>
      </c>
      <c r="E68" s="94" t="s">
        <v>96</v>
      </c>
      <c r="F68" s="95" t="s">
        <v>97</v>
      </c>
      <c r="G68" s="11"/>
      <c r="H68" s="84" t="s">
        <v>289</v>
      </c>
      <c r="I68" s="184" t="str">
        <f>IF(_epmOfflineCondition_,"T3",_xll.EVPRO($B$1,$H68,"STYLE"))</f>
        <v>T3</v>
      </c>
      <c r="J68" s="184" t="str">
        <f>IF(_epmOfflineCondition_,"Y",_xll.EVPRO($B$1,$H68,"CALC"))</f>
        <v>Y</v>
      </c>
      <c r="K68" s="185" t="str">
        <f t="shared" si="12"/>
        <v/>
      </c>
      <c r="L68" s="186" t="str">
        <f>IF(_epmOfflineCondition_,"500001",_xll.EVPRO($B$1,H68,"JDEID"))</f>
        <v>500001</v>
      </c>
      <c r="M68" s="186" t="str">
        <f>IF(_epmOfflineCondition_,"",IF(AND(I68="N",J68="N"),_xll.EVPRO($B$1,H68,"PSFTID"),""))</f>
        <v/>
      </c>
      <c r="N68" s="186" t="str">
        <f>IF(_epmOfflineCondition_,"Total Cost of Sales",IF(_xll.EVDES(H68,$B$1)="#NODATA","",_xll.EVDES(H68,$B$1)))</f>
        <v>Total Cost of Sales</v>
      </c>
      <c r="O68" s="472">
        <v>205.99</v>
      </c>
      <c r="P68" s="236">
        <v>9906.1299999999992</v>
      </c>
      <c r="Q68" s="236">
        <v>4126.6099999999997</v>
      </c>
      <c r="R68" s="236">
        <v>971.22</v>
      </c>
      <c r="S68" s="236">
        <v>971.64</v>
      </c>
      <c r="T68" s="236">
        <v>323.72000000000003</v>
      </c>
      <c r="U68" s="236">
        <v>467.95</v>
      </c>
      <c r="V68" s="236">
        <v>516.65</v>
      </c>
      <c r="W68" s="236">
        <v>296.36</v>
      </c>
      <c r="X68" s="236">
        <v>4150.66</v>
      </c>
      <c r="Y68" s="236">
        <v>2583.29</v>
      </c>
      <c r="Z68" s="236">
        <v>2319.08</v>
      </c>
      <c r="AA68" s="236">
        <f t="shared" si="13"/>
        <v>26839.300000000003</v>
      </c>
      <c r="AB68" s="237">
        <f>IF(_epmOfflineCondition_,0.114173669486853,IF(AA68=0,"",IFERROR(AA68/_xll.EVGTS($B$1,1,_xll.EVPRO($B$1,$H68,"COSBASIS"),$B$3,$B$5,$B$6,$B$7,$B$9,AA$16,AA$17,AA$11),"")))</f>
        <v>0.11417366948685299</v>
      </c>
      <c r="AC68" s="238"/>
      <c r="AD68" s="236">
        <v>43276.44</v>
      </c>
      <c r="AE68" s="237">
        <f>IF(_epmOfflineCondition_,0.154515378623394,IF(AD68=0,"",IFERROR(AD68/_xll.EVGTS($B$1,1,_xll.EVPRO($B$1,$H68,"COSBASIS"),$B$3,$B$5,$B$6,$B$7,$B$9,AD$16,AD$17,AD$18),"")))</f>
        <v>0.15451537862339401</v>
      </c>
      <c r="AF68" s="239">
        <f t="shared" si="14"/>
        <v>-16437.14</v>
      </c>
      <c r="AG68" s="236">
        <v>4398.3900000000003</v>
      </c>
      <c r="AH68" s="237">
        <f>IF(_epmOfflineCondition_,0.095237156953071,IF(AG68=0,"",IFERROR(AG68/_xll.EVGTS($B$1,1,_xll.EVPRO($B$1,$H68,"COSBASIS"),$B$3,$B$5,$B$6,$B$7,$B$9,AG$16,AG$17,AG$18),"")))</f>
        <v>9.5237156953071E-2</v>
      </c>
      <c r="AI68" s="473">
        <f t="shared" si="15"/>
        <v>22440.910000000003</v>
      </c>
      <c r="AJ68" s="215">
        <f t="shared" si="16"/>
        <v>9.7739621267297903</v>
      </c>
      <c r="AK68" s="216">
        <f t="shared" si="17"/>
        <v>12.055558186503239</v>
      </c>
      <c r="AL68" s="218">
        <f t="shared" si="18"/>
        <v>7.4046969696969702</v>
      </c>
      <c r="AM68" s="423" t="str">
        <f t="shared" si="19"/>
        <v>-4.03 pts.</v>
      </c>
      <c r="AN68" s="474" t="str">
        <f t="shared" si="20"/>
        <v>1.89 pts.</v>
      </c>
      <c r="AO68" s="11"/>
    </row>
    <row r="69" spans="1:41" x14ac:dyDescent="0.25">
      <c r="A69" s="11"/>
      <c r="B69" s="11"/>
      <c r="C69" s="11"/>
      <c r="D69" s="11"/>
      <c r="E69" s="11"/>
      <c r="F69" s="11"/>
      <c r="G69" s="11"/>
      <c r="H69" s="181" t="s">
        <v>175</v>
      </c>
      <c r="I69" s="85" t="str">
        <f>IF(_epmOfflineCondition_,"B1",_xll.EVPRO($B$1,$H69,"STYLE"))</f>
        <v>B1</v>
      </c>
      <c r="J69" s="85" t="str">
        <f>IF(_epmOfflineCondition_,"Y",_xll.EVPRO($B$1,$H69,"CALC"))</f>
        <v>Y</v>
      </c>
      <c r="K69" s="261" t="str">
        <f t="shared" si="12"/>
        <v/>
      </c>
      <c r="L69" s="261"/>
      <c r="M69" s="261"/>
      <c r="N69" s="102" t="str">
        <f>IF(_epmOfflineCondition_,"BLANKROW",IF(_xll.EVDES(H69,$B$1)="#NODATA","",_xll.EVDES(H69,$B$1)))</f>
        <v>BLANKROW</v>
      </c>
      <c r="O69" s="201"/>
      <c r="P69" s="201"/>
      <c r="Q69" s="201"/>
      <c r="R69" s="201"/>
      <c r="S69" s="201"/>
      <c r="T69" s="201"/>
      <c r="U69" s="201"/>
      <c r="V69" s="201"/>
      <c r="W69" s="201"/>
      <c r="X69" s="201"/>
      <c r="Y69" s="201"/>
      <c r="Z69" s="201"/>
      <c r="AA69" s="201"/>
      <c r="AB69" s="202" t="str">
        <f>IF(_epmOfflineCondition_,"",IF(O69=0,"",IFERROR(O69/_xll.EVGTS($B$1,1,INDEX($C$152:$C$175,MATCH($H69,$A$152:$A$175,0)),$B$3,$B$5,$B$6,$B$7,$B$9,O$16,O$17,O$18),"")))</f>
        <v/>
      </c>
      <c r="AC69" s="11"/>
      <c r="AD69" s="201"/>
      <c r="AE69" s="202" t="str">
        <f>IF(_epmOfflineCondition_,"",IF(AD69=0,"",IFERROR(AD69/_xll.EVGTS($B$1,1,INDEX($C$152:$C$175,MATCH($H69,$A$152:$A$175,0)),$B$3,$B$5,$B$6,$B$7,$B$9,AD$16,AD$17,AD$18),"")))</f>
        <v/>
      </c>
      <c r="AF69" s="203" t="str">
        <f t="shared" si="14"/>
        <v/>
      </c>
      <c r="AG69" s="201"/>
      <c r="AH69" s="202" t="str">
        <f>IF(_epmOfflineCondition_,"",IF(AG69=0,"",IFERROR(AG69/_xll.EVGTS($B$1,1,INDEX($C$152:$C$175,MATCH($H69,$A$152:$A$175,0)),$B$3,$B$5,$B$6,$B$7,$B$9,AG$16,AG$17,AG$18),"")))</f>
        <v/>
      </c>
      <c r="AI69" s="203" t="str">
        <f t="shared" si="15"/>
        <v/>
      </c>
      <c r="AJ69" s="518">
        <f t="shared" si="16"/>
        <v>0</v>
      </c>
      <c r="AK69" s="519">
        <f t="shared" si="17"/>
        <v>0</v>
      </c>
      <c r="AL69" s="520">
        <f t="shared" si="18"/>
        <v>0</v>
      </c>
      <c r="AM69" s="521">
        <f t="shared" si="19"/>
        <v>0</v>
      </c>
      <c r="AN69" s="522">
        <f t="shared" si="20"/>
        <v>0</v>
      </c>
      <c r="AO69" s="11"/>
    </row>
    <row r="70" spans="1:41" x14ac:dyDescent="0.25">
      <c r="A70" s="11" t="s">
        <v>209</v>
      </c>
      <c r="B70" s="11" t="s">
        <v>21</v>
      </c>
      <c r="C70" s="391"/>
      <c r="D70" s="11" t="s">
        <v>590</v>
      </c>
      <c r="E70" s="11"/>
      <c r="F70" s="11" t="s">
        <v>99</v>
      </c>
      <c r="G70" s="11"/>
      <c r="H70" s="181" t="s">
        <v>292</v>
      </c>
      <c r="I70" s="85" t="str">
        <f>IF(_epmOfflineCondition_,"T3",_xll.EVPRO($B$1,$H70,"STYLE"))</f>
        <v>T3</v>
      </c>
      <c r="J70" s="85" t="str">
        <f>IF(_epmOfflineCondition_,"Y",_xll.EVPRO($B$1,$H70,"CALC"))</f>
        <v>Y</v>
      </c>
      <c r="K70" s="261" t="str">
        <f t="shared" si="12"/>
        <v/>
      </c>
      <c r="L70" s="261"/>
      <c r="M70" s="261"/>
      <c r="N70" s="102" t="str">
        <f>IF(_epmOfflineCondition_,"Gross Profit",IF(_xll.EVDES(H70,$B$1)="#NODATA","",_xll.EVDES(H70,$B$1)))</f>
        <v>Gross Profit</v>
      </c>
      <c r="O70" s="119">
        <f t="shared" ref="O70:Z70" si="21">SUMIF($H$35:$H$68,"400000",O35:O68)-SUMIF($H$35:$H$68,"500001",O35:O68)</f>
        <v>36896.93</v>
      </c>
      <c r="P70" s="119">
        <f t="shared" si="21"/>
        <v>26855.260000000002</v>
      </c>
      <c r="Q70" s="119">
        <f t="shared" si="21"/>
        <v>32200.940000000002</v>
      </c>
      <c r="R70" s="119">
        <f t="shared" si="21"/>
        <v>9953.35</v>
      </c>
      <c r="S70" s="119">
        <f t="shared" si="21"/>
        <v>8912.6200000000008</v>
      </c>
      <c r="T70" s="119">
        <f t="shared" si="21"/>
        <v>5666.0599999999995</v>
      </c>
      <c r="U70" s="119">
        <f t="shared" si="21"/>
        <v>20453.82</v>
      </c>
      <c r="V70" s="119">
        <f t="shared" si="21"/>
        <v>6392.59</v>
      </c>
      <c r="W70" s="119">
        <f t="shared" si="21"/>
        <v>2933.6</v>
      </c>
      <c r="X70" s="119">
        <f t="shared" si="21"/>
        <v>23309.22</v>
      </c>
      <c r="Y70" s="119">
        <f t="shared" si="21"/>
        <v>16217.75</v>
      </c>
      <c r="Z70" s="119">
        <f t="shared" si="21"/>
        <v>18442.900000000001</v>
      </c>
      <c r="AA70" s="119">
        <f>IF($I70="B1","",SUM(O70:Z70))</f>
        <v>208235.04</v>
      </c>
      <c r="AB70" s="188">
        <f>IF(O70=0,"",IFERROR(O70/O$19,""))</f>
        <v>0.99444814586021801</v>
      </c>
      <c r="AC70" s="11"/>
      <c r="AD70" s="119">
        <f>SUMIF($H$35:$H$68,"400000",AD35:AD68)-SUMIF($H$35:$H$68,"500001",AD35:AD68)</f>
        <v>236802.08930599998</v>
      </c>
      <c r="AE70" s="188">
        <f>IF(AD70=0,"",IFERROR(AD70/AD$19,""))</f>
        <v>0.84548462137660574</v>
      </c>
      <c r="AF70" s="121">
        <f t="shared" si="14"/>
        <v>-28567.049305999972</v>
      </c>
      <c r="AG70" s="119">
        <f>SUMIF($H$35:$H$68,"400000",AG35:AG68)-SUMIF($H$35:$H$68,"500001",AG35:AG68)</f>
        <v>41785.160000000003</v>
      </c>
      <c r="AH70" s="188">
        <f>IF(AG70=0,"",IFERROR(AG70/AG$19,""))</f>
        <v>0.90476284304692911</v>
      </c>
      <c r="AI70" s="121">
        <f t="shared" si="15"/>
        <v>166449.88</v>
      </c>
      <c r="AJ70" s="384">
        <f t="shared" si="16"/>
        <v>75.832134013109979</v>
      </c>
      <c r="AK70" s="385">
        <f t="shared" si="17"/>
        <v>65.966178509924077</v>
      </c>
      <c r="AL70" s="386">
        <f t="shared" si="18"/>
        <v>70.345387205387212</v>
      </c>
      <c r="AM70" s="387" t="str">
        <f t="shared" si="19"/>
        <v>14.9 pts.</v>
      </c>
      <c r="AN70" s="539" t="str">
        <f t="shared" si="20"/>
        <v>8.97 pts.</v>
      </c>
      <c r="AO70" s="11"/>
    </row>
    <row r="71" spans="1:41" x14ac:dyDescent="0.25">
      <c r="A71" s="11" t="s">
        <v>105</v>
      </c>
      <c r="B71" s="11"/>
      <c r="C71" s="100" t="s">
        <v>101</v>
      </c>
      <c r="D71" s="11" t="s">
        <v>106</v>
      </c>
      <c r="E71" s="11"/>
      <c r="F71" s="11" t="s">
        <v>98</v>
      </c>
      <c r="G71" s="11"/>
      <c r="H71" s="11"/>
      <c r="I71" s="55"/>
      <c r="J71" s="55"/>
      <c r="K71" s="11"/>
      <c r="L71" s="11"/>
      <c r="M71" s="11"/>
      <c r="N71" s="11"/>
      <c r="O71" s="389"/>
      <c r="P71" s="390"/>
      <c r="Q71" s="390"/>
      <c r="R71" s="390"/>
      <c r="S71" s="390"/>
      <c r="T71" s="390"/>
      <c r="U71" s="390"/>
      <c r="V71" s="390"/>
      <c r="W71" s="390"/>
      <c r="X71" s="390"/>
      <c r="Y71" s="390"/>
      <c r="Z71" s="390"/>
      <c r="AA71" s="390"/>
      <c r="AB71" s="114"/>
      <c r="AC71" s="11"/>
      <c r="AD71" s="199"/>
      <c r="AE71" s="200"/>
      <c r="AF71" s="114"/>
      <c r="AG71" s="200"/>
      <c r="AH71" s="200"/>
      <c r="AI71" s="114"/>
      <c r="AJ71" s="11"/>
      <c r="AK71" s="11"/>
      <c r="AL71" s="11"/>
      <c r="AM71" s="11"/>
      <c r="AN71" s="11"/>
      <c r="AO71" s="11"/>
    </row>
    <row r="72" spans="1:41" x14ac:dyDescent="0.25">
      <c r="A72" s="11" t="s">
        <v>104</v>
      </c>
      <c r="B72" s="11"/>
      <c r="C72" s="100" t="s">
        <v>101</v>
      </c>
      <c r="D72" s="11" t="s">
        <v>106</v>
      </c>
      <c r="E72" s="11"/>
      <c r="F72" s="11" t="s">
        <v>98</v>
      </c>
      <c r="G72" s="11"/>
      <c r="H72" s="11" t="s">
        <v>73</v>
      </c>
      <c r="I72" s="55" t="str">
        <f>IF(_epmOfflineCondition_,"B1",_xll.EVPRO($B$1,$H72,"STYLE"))</f>
        <v>B1</v>
      </c>
      <c r="J72" s="55" t="str">
        <f>IF(_epmOfflineCondition_,"Y",_xll.EVPRO($B$1,$H72,"CALC"))</f>
        <v>Y</v>
      </c>
      <c r="K72" s="11"/>
      <c r="L72" s="11"/>
      <c r="M72" s="11"/>
      <c r="N72" s="101" t="str">
        <f>IF(_epmOfflineCondition_,"Labor &amp; Related Expenses",IF(_xll.EVDES(H72,$B$1)="#NODATA","",_xll.EVDES(H72,$B$1)))</f>
        <v>Labor &amp; Related Expenses</v>
      </c>
      <c r="O72" s="199"/>
      <c r="P72" s="200"/>
      <c r="Q72" s="200"/>
      <c r="R72" s="200"/>
      <c r="S72" s="200"/>
      <c r="T72" s="200"/>
      <c r="U72" s="200"/>
      <c r="V72" s="200"/>
      <c r="W72" s="200"/>
      <c r="X72" s="200"/>
      <c r="Y72" s="200"/>
      <c r="Z72" s="200"/>
      <c r="AA72" s="200"/>
      <c r="AB72" s="406"/>
      <c r="AC72" s="11"/>
      <c r="AD72" s="407"/>
      <c r="AE72" s="408"/>
      <c r="AF72" s="114"/>
      <c r="AG72" s="200"/>
      <c r="AH72" s="408"/>
      <c r="AI72" s="114"/>
      <c r="AJ72" s="11"/>
      <c r="AK72" s="11"/>
      <c r="AL72" s="11"/>
      <c r="AM72" s="11"/>
      <c r="AN72" s="11"/>
      <c r="AO72" s="11"/>
    </row>
    <row r="73" spans="1:41" x14ac:dyDescent="0.25">
      <c r="A73" s="11" t="s">
        <v>100</v>
      </c>
      <c r="B73" s="11"/>
      <c r="C73" s="49" t="s">
        <v>101</v>
      </c>
      <c r="D73" s="11" t="s">
        <v>106</v>
      </c>
      <c r="E73" s="11"/>
      <c r="F73" s="11" t="s">
        <v>98</v>
      </c>
      <c r="G73" s="11"/>
      <c r="H73" s="11" t="s">
        <v>74</v>
      </c>
      <c r="I73" s="55" t="str">
        <f>IF(_epmOfflineCondition_,"B1",_xll.EVPRO($B$1,$H73,"STYLE"))</f>
        <v>B1</v>
      </c>
      <c r="J73" s="55" t="str">
        <f>IF(_epmOfflineCondition_,"Y",_xll.EVPRO($B$1,$H73,"CALC"))</f>
        <v>Y</v>
      </c>
      <c r="K73" s="11"/>
      <c r="L73" s="11"/>
      <c r="M73" s="11"/>
      <c r="N73" s="49" t="str">
        <f>IF(_epmOfflineCondition_,"Salaries &amp; Wages",IF(_xll.EVDES(H73,$B$1)="#NODATA","",_xll.EVDES(H73,$B$1)))</f>
        <v>Salaries &amp; Wages</v>
      </c>
      <c r="O73" s="115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7"/>
      <c r="AC73" s="11"/>
      <c r="AD73" s="115"/>
      <c r="AE73" s="116"/>
      <c r="AF73" s="117"/>
      <c r="AG73" s="116"/>
      <c r="AH73" s="116"/>
      <c r="AI73" s="117"/>
      <c r="AJ73" s="11"/>
      <c r="AK73" s="11"/>
      <c r="AL73" s="11"/>
      <c r="AM73" s="11"/>
      <c r="AN73" s="11"/>
      <c r="AO73" s="11"/>
    </row>
    <row r="74" spans="1:41" hidden="1" x14ac:dyDescent="0.25">
      <c r="A74" s="11" t="s">
        <v>102</v>
      </c>
      <c r="B74" s="11"/>
      <c r="C74" s="102" t="s">
        <v>101</v>
      </c>
      <c r="D74" s="11" t="s">
        <v>106</v>
      </c>
      <c r="E74" s="11"/>
      <c r="F74" s="11" t="s">
        <v>98</v>
      </c>
      <c r="G74" s="11"/>
      <c r="H74" s="84" t="s">
        <v>668</v>
      </c>
      <c r="I74" s="118" t="str">
        <f>IF(_epmOfflineCondition_,"",_xll.EVPRO($B$1,$H74,"STYLE"))</f>
        <v/>
      </c>
      <c r="J74" s="118" t="str">
        <f>IF(_epmOfflineCondition_,"",_xll.EVPRO($B$1,$H74,"CALC"))</f>
        <v/>
      </c>
      <c r="K74" s="175" t="str">
        <f t="shared" ref="K74:K87" si="22">IF(AND(I74&gt;="T3"),"&gt;","")</f>
        <v/>
      </c>
      <c r="L74" s="86" t="str">
        <f>IF(_epmOfflineCondition_,"",_xll.EVPRO($B$1,H74,"JDEID"))</f>
        <v/>
      </c>
      <c r="M74" s="86" t="str">
        <f>IF(_epmOfflineCondition_,"",IF(AND(I74="N",J74="N"),_xll.EVPRO($B$1,H74,"PSFTID"),""))</f>
        <v/>
      </c>
      <c r="N74" s="86" t="str">
        <f>IF(_epmOfflineCondition_,"",IF(_xll.EVDES(H74,$B$1)="#NODATA","",_xll.EVDES(H74,$B$1)))</f>
        <v/>
      </c>
      <c r="O74" s="240"/>
      <c r="P74" s="240"/>
      <c r="Q74" s="240"/>
      <c r="R74" s="240"/>
      <c r="S74" s="240"/>
      <c r="T74" s="240"/>
      <c r="U74" s="240"/>
      <c r="V74" s="240"/>
      <c r="W74" s="240"/>
      <c r="X74" s="240"/>
      <c r="Y74" s="240"/>
      <c r="Z74" s="240"/>
      <c r="AA74" s="223">
        <f t="shared" ref="AA74:AA87" si="23">IF($I74="B1","",SUM(O74:Z74))</f>
        <v>0</v>
      </c>
      <c r="AB74" s="242" t="str">
        <f t="shared" ref="AB74:AB87" si="24">IF(AA74=0,"",IFERROR(AA74/AA$19,""))</f>
        <v/>
      </c>
      <c r="AC74" s="136"/>
      <c r="AD74" s="240"/>
      <c r="AE74" s="242" t="str">
        <f t="shared" ref="AE74:AE87" si="25">IF(AD74=0,"",IFERROR(AD74/AD$19,""))</f>
        <v/>
      </c>
      <c r="AF74" s="243">
        <f t="shared" ref="AF74:AF87" si="26">IF(AND($AA74="",AD74=""),"",$AA74-AD74)</f>
        <v>0</v>
      </c>
      <c r="AG74" s="240"/>
      <c r="AH74" s="242" t="str">
        <f t="shared" ref="AH74:AH87" si="27">IF(AG74=0,"",IFERROR(AG74/AG$19,""))</f>
        <v/>
      </c>
      <c r="AI74" s="243">
        <f t="shared" ref="AI74:AI87" si="28">IF(AND($AA74="",AG74=""),"",$AA74-AG74)</f>
        <v>0</v>
      </c>
      <c r="AJ74" s="458">
        <f t="shared" ref="AJ74:AJ87" si="29">IFERROR(AA74/AA$20,0)</f>
        <v>0</v>
      </c>
      <c r="AK74" s="459">
        <f t="shared" ref="AK74:AK87" si="30">IFERROR(AD74/AD$20,0)</f>
        <v>0</v>
      </c>
      <c r="AL74" s="460">
        <f t="shared" ref="AL74:AL87" si="31">IFERROR(AG74/AG$20,0)</f>
        <v>0</v>
      </c>
      <c r="AM74" s="461">
        <f t="shared" ref="AM74:AM87" si="32">+IFERROR(ROUND(($AB74-AE74)*100,2)&amp;" pts.",0)</f>
        <v>0</v>
      </c>
      <c r="AN74" s="462">
        <f t="shared" ref="AN74:AN87" si="33">+IFERROR(ROUND(($AB74-AH74)*100,2)&amp;" pts.",0)</f>
        <v>0</v>
      </c>
      <c r="AO74" s="11"/>
    </row>
    <row r="75" spans="1:41" hidden="1" x14ac:dyDescent="0.25">
      <c r="A75" s="11" t="s">
        <v>102</v>
      </c>
      <c r="B75" s="11"/>
      <c r="C75" s="192" t="s">
        <v>101</v>
      </c>
      <c r="D75" s="11" t="s">
        <v>107</v>
      </c>
      <c r="E75" s="11"/>
      <c r="F75" s="11" t="s">
        <v>99</v>
      </c>
      <c r="G75" s="11"/>
      <c r="H75" s="84"/>
      <c r="I75" s="118" t="str">
        <f>IF(_epmOfflineCondition_,"",_xll.EVPRO($B$1,$H75,"STYLE"))</f>
        <v/>
      </c>
      <c r="J75" s="118" t="str">
        <f>IF(_epmOfflineCondition_,"",_xll.EVPRO($B$1,$H75,"CALC"))</f>
        <v/>
      </c>
      <c r="K75" s="175" t="str">
        <f t="shared" si="22"/>
        <v/>
      </c>
      <c r="L75" s="86" t="str">
        <f>IF(_epmOfflineCondition_,"",_xll.EVPRO($B$1,H75,"JDEID"))</f>
        <v/>
      </c>
      <c r="M75" s="86" t="str">
        <f>IF(_epmOfflineCondition_,"",IF(AND(I75="N",J75="N"),_xll.EVPRO($B$1,H75,"PSFTID"),""))</f>
        <v/>
      </c>
      <c r="N75" s="86" t="str">
        <f>IF(_epmOfflineCondition_,"",IF(_xll.EVDES(H75,$B$1)="#NODATA","",_xll.EVDES(H75,$B$1)))</f>
        <v/>
      </c>
      <c r="O75" s="240"/>
      <c r="P75" s="240"/>
      <c r="Q75" s="240"/>
      <c r="R75" s="240"/>
      <c r="S75" s="240"/>
      <c r="T75" s="240"/>
      <c r="U75" s="240"/>
      <c r="V75" s="240"/>
      <c r="W75" s="240"/>
      <c r="X75" s="240"/>
      <c r="Y75" s="240"/>
      <c r="Z75" s="240"/>
      <c r="AA75" s="223">
        <f t="shared" si="23"/>
        <v>0</v>
      </c>
      <c r="AB75" s="242" t="str">
        <f t="shared" si="24"/>
        <v/>
      </c>
      <c r="AC75" s="136"/>
      <c r="AD75" s="240"/>
      <c r="AE75" s="242" t="str">
        <f t="shared" si="25"/>
        <v/>
      </c>
      <c r="AF75" s="243">
        <f t="shared" si="26"/>
        <v>0</v>
      </c>
      <c r="AG75" s="240"/>
      <c r="AH75" s="242" t="str">
        <f t="shared" si="27"/>
        <v/>
      </c>
      <c r="AI75" s="243">
        <f t="shared" si="28"/>
        <v>0</v>
      </c>
      <c r="AJ75" s="458">
        <f t="shared" si="29"/>
        <v>0</v>
      </c>
      <c r="AK75" s="459">
        <f t="shared" si="30"/>
        <v>0</v>
      </c>
      <c r="AL75" s="460">
        <f t="shared" si="31"/>
        <v>0</v>
      </c>
      <c r="AM75" s="461">
        <f t="shared" si="32"/>
        <v>0</v>
      </c>
      <c r="AN75" s="462">
        <f t="shared" si="33"/>
        <v>0</v>
      </c>
      <c r="AO75" s="11"/>
    </row>
    <row r="76" spans="1:41" x14ac:dyDescent="0.25">
      <c r="A76" s="11" t="s">
        <v>108</v>
      </c>
      <c r="B76" s="11"/>
      <c r="C76" s="102" t="s">
        <v>101</v>
      </c>
      <c r="D76" s="11" t="s">
        <v>106</v>
      </c>
      <c r="E76" s="11"/>
      <c r="F76" s="11" t="s">
        <v>98</v>
      </c>
      <c r="G76" s="11"/>
      <c r="H76" s="84" t="s">
        <v>75</v>
      </c>
      <c r="I76" s="85" t="str">
        <f>IF(_epmOfflineCondition_,"B1",_xll.EVPRO($B$1,$H76,"STYLE"))</f>
        <v>B1</v>
      </c>
      <c r="J76" s="85" t="str">
        <f>IF(_epmOfflineCondition_,"Y",_xll.EVPRO($B$1,$H76,"CALC"))</f>
        <v>Y</v>
      </c>
      <c r="K76" s="261" t="str">
        <f t="shared" si="22"/>
        <v/>
      </c>
      <c r="L76" s="102" t="str">
        <f>IF(_epmOfflineCondition_,"",_xll.EVPRO($B$1,H76,"JDEID"))</f>
        <v/>
      </c>
      <c r="M76" s="86" t="str">
        <f>IF(_epmOfflineCondition_,"",IF(AND(I76="N",J76="N"),_xll.EVPRO($B$1,H76,"PSFTID"),""))</f>
        <v/>
      </c>
      <c r="N76" s="102" t="str">
        <f>IF(_epmOfflineCondition_,"Non-Management",IF(_xll.EVDES(H76,$B$1)="#NODATA","",_xll.EVDES(H76,$B$1)))</f>
        <v>Non-Management</v>
      </c>
      <c r="O76" s="193"/>
      <c r="P76" s="193"/>
      <c r="Q76" s="193"/>
      <c r="R76" s="193"/>
      <c r="S76" s="193"/>
      <c r="T76" s="193"/>
      <c r="U76" s="193"/>
      <c r="V76" s="193"/>
      <c r="W76" s="193"/>
      <c r="X76" s="193"/>
      <c r="Y76" s="193"/>
      <c r="Z76" s="193"/>
      <c r="AA76" s="176" t="str">
        <f t="shared" si="23"/>
        <v/>
      </c>
      <c r="AB76" s="194" t="str">
        <f t="shared" si="24"/>
        <v/>
      </c>
      <c r="AC76" s="11"/>
      <c r="AD76" s="193"/>
      <c r="AE76" s="194" t="str">
        <f t="shared" si="25"/>
        <v/>
      </c>
      <c r="AF76" s="195" t="str">
        <f t="shared" si="26"/>
        <v/>
      </c>
      <c r="AG76" s="193"/>
      <c r="AH76" s="194" t="str">
        <f t="shared" si="27"/>
        <v/>
      </c>
      <c r="AI76" s="195" t="str">
        <f t="shared" si="28"/>
        <v/>
      </c>
      <c r="AJ76" s="393">
        <f t="shared" si="29"/>
        <v>0</v>
      </c>
      <c r="AK76" s="394">
        <f t="shared" si="30"/>
        <v>0</v>
      </c>
      <c r="AL76" s="395">
        <f t="shared" si="31"/>
        <v>0</v>
      </c>
      <c r="AM76" s="396">
        <f t="shared" si="32"/>
        <v>0</v>
      </c>
      <c r="AN76" s="397">
        <f t="shared" si="33"/>
        <v>0</v>
      </c>
      <c r="AO76" s="11"/>
    </row>
    <row r="77" spans="1:41" x14ac:dyDescent="0.25">
      <c r="A77" s="11" t="s">
        <v>108</v>
      </c>
      <c r="B77" s="11"/>
      <c r="C77" s="192" t="s">
        <v>101</v>
      </c>
      <c r="D77" s="11" t="s">
        <v>107</v>
      </c>
      <c r="E77" s="11"/>
      <c r="F77" s="11" t="s">
        <v>99</v>
      </c>
      <c r="G77" s="11"/>
      <c r="H77" s="84" t="s">
        <v>833</v>
      </c>
      <c r="I77" s="118" t="str">
        <f>IF(_epmOfflineCondition_,"T3",_xll.EVPRO($B$1,$H77,"STYLE"))</f>
        <v>T3</v>
      </c>
      <c r="J77" s="118" t="str">
        <f>IF(_epmOfflineCondition_,"Y",_xll.EVPRO($B$1,$H77,"CALC"))</f>
        <v>Y</v>
      </c>
      <c r="K77" s="175" t="str">
        <f t="shared" si="22"/>
        <v>&gt;</v>
      </c>
      <c r="L77" s="86" t="str">
        <f>IF(_epmOfflineCondition_,"",_xll.EVPRO($B$1,H77,"JDEID"))</f>
        <v/>
      </c>
      <c r="M77" s="86" t="str">
        <f>IF(_epmOfflineCondition_,"",IF(AND(I77="N",J77="N"),_xll.EVPRO($B$1,H77,"PSFTID"),""))</f>
        <v/>
      </c>
      <c r="N77" s="86" t="str">
        <f>IF(_epmOfflineCondition_,"Banquet &amp; Conf/Catering Service",IF(_xll.EVDES(H77,$B$1)="#NODATA","",_xll.EVDES(H77,$B$1)))</f>
        <v>Banquet &amp; Conf/Catering Service</v>
      </c>
      <c r="O77" s="248">
        <v>3243.93</v>
      </c>
      <c r="P77" s="248">
        <v>2333.75</v>
      </c>
      <c r="Q77" s="248">
        <v>1378.89</v>
      </c>
      <c r="R77" s="248">
        <v>590.05999999999995</v>
      </c>
      <c r="S77" s="248">
        <v>497.71</v>
      </c>
      <c r="T77" s="248">
        <v>437.44</v>
      </c>
      <c r="U77" s="248">
        <v>215.21</v>
      </c>
      <c r="V77" s="248">
        <v>497.8</v>
      </c>
      <c r="W77" s="248">
        <v>221.13</v>
      </c>
      <c r="X77" s="248">
        <v>1165.52</v>
      </c>
      <c r="Y77" s="248">
        <v>977.8</v>
      </c>
      <c r="Z77" s="248">
        <v>1124.3399999999999</v>
      </c>
      <c r="AA77" s="229">
        <f t="shared" si="23"/>
        <v>12683.579999999998</v>
      </c>
      <c r="AB77" s="249">
        <f t="shared" si="24"/>
        <v>5.3955612509642689E-2</v>
      </c>
      <c r="AC77" s="136"/>
      <c r="AD77" s="248">
        <v>14920</v>
      </c>
      <c r="AE77" s="249">
        <f t="shared" si="25"/>
        <v>5.3270773868207312E-2</v>
      </c>
      <c r="AF77" s="250">
        <f t="shared" si="26"/>
        <v>-2236.4200000000019</v>
      </c>
      <c r="AG77" s="248">
        <v>708.77</v>
      </c>
      <c r="AH77" s="249">
        <f t="shared" si="27"/>
        <v>1.5346806384524358E-2</v>
      </c>
      <c r="AI77" s="250">
        <f t="shared" si="28"/>
        <v>11974.809999999998</v>
      </c>
      <c r="AJ77" s="467">
        <f t="shared" si="29"/>
        <v>4.6189293517844128</v>
      </c>
      <c r="AK77" s="468">
        <f t="shared" si="30"/>
        <v>4.1562782923601924</v>
      </c>
      <c r="AL77" s="469">
        <f t="shared" si="31"/>
        <v>1.1932154882154882</v>
      </c>
      <c r="AM77" s="470" t="str">
        <f t="shared" si="32"/>
        <v>0.07 pts.</v>
      </c>
      <c r="AN77" s="471" t="str">
        <f t="shared" si="33"/>
        <v>3.86 pts.</v>
      </c>
      <c r="AO77" s="11"/>
    </row>
    <row r="78" spans="1:41" x14ac:dyDescent="0.25">
      <c r="A78" s="11"/>
      <c r="B78" s="11"/>
      <c r="C78" s="11"/>
      <c r="D78" s="11"/>
      <c r="E78" s="11"/>
      <c r="F78" s="11"/>
      <c r="G78" s="11"/>
      <c r="H78" s="84" t="s">
        <v>834</v>
      </c>
      <c r="I78" s="118" t="str">
        <f>IF(_epmOfflineCondition_,"T3",_xll.EVPRO($B$1,$H78,"STYLE"))</f>
        <v>T3</v>
      </c>
      <c r="J78" s="118" t="str">
        <f>IF(_epmOfflineCondition_,"Y",_xll.EVPRO($B$1,$H78,"CALC"))</f>
        <v>Y</v>
      </c>
      <c r="K78" s="175" t="str">
        <f t="shared" si="22"/>
        <v>&gt;</v>
      </c>
      <c r="L78" s="86" t="str">
        <f>IF(_epmOfflineCondition_,"",_xll.EVPRO($B$1,H78,"JDEID"))</f>
        <v/>
      </c>
      <c r="M78" s="86" t="str">
        <f>IF(_epmOfflineCondition_,"",IF(AND(I78="N",J78="N"),_xll.EVPRO($B$1,H78,"PSFTID"),""))</f>
        <v/>
      </c>
      <c r="N78" s="86" t="str">
        <f>IF(_epmOfflineCondition_,"F&amp;B Kitchen",IF(_xll.EVDES(H78,$B$1)="#NODATA","",_xll.EVDES(H78,$B$1)))</f>
        <v>F&amp;B Kitchen</v>
      </c>
      <c r="O78" s="248">
        <v>1970.25</v>
      </c>
      <c r="P78" s="248">
        <v>1829.07</v>
      </c>
      <c r="Q78" s="248">
        <v>2959.53</v>
      </c>
      <c r="R78" s="248">
        <v>1857.75</v>
      </c>
      <c r="S78" s="248">
        <v>1922.03</v>
      </c>
      <c r="T78" s="248">
        <v>281.25</v>
      </c>
      <c r="U78" s="248"/>
      <c r="V78" s="248"/>
      <c r="W78" s="248"/>
      <c r="X78" s="248">
        <v>1552</v>
      </c>
      <c r="Y78" s="248">
        <v>717</v>
      </c>
      <c r="Z78" s="248">
        <v>1156</v>
      </c>
      <c r="AA78" s="229">
        <f t="shared" si="23"/>
        <v>14244.880000000001</v>
      </c>
      <c r="AB78" s="249">
        <f t="shared" si="24"/>
        <v>6.0597341249580883E-2</v>
      </c>
      <c r="AC78" s="136"/>
      <c r="AD78" s="248"/>
      <c r="AE78" s="249" t="str">
        <f t="shared" si="25"/>
        <v/>
      </c>
      <c r="AF78" s="250">
        <f t="shared" si="26"/>
        <v>14244.880000000001</v>
      </c>
      <c r="AG78" s="248"/>
      <c r="AH78" s="249" t="str">
        <f t="shared" si="27"/>
        <v/>
      </c>
      <c r="AI78" s="250">
        <f t="shared" si="28"/>
        <v>14244.880000000001</v>
      </c>
      <c r="AJ78" s="467">
        <f t="shared" si="29"/>
        <v>5.187501820830299</v>
      </c>
      <c r="AK78" s="468">
        <f t="shared" si="30"/>
        <v>0</v>
      </c>
      <c r="AL78" s="469">
        <f t="shared" si="31"/>
        <v>0</v>
      </c>
      <c r="AM78" s="470">
        <f t="shared" si="32"/>
        <v>0</v>
      </c>
      <c r="AN78" s="471">
        <f t="shared" si="33"/>
        <v>0</v>
      </c>
      <c r="AO78" s="11"/>
    </row>
    <row r="79" spans="1:41" x14ac:dyDescent="0.25">
      <c r="A79" s="11"/>
      <c r="B79" s="11"/>
      <c r="C79" s="204"/>
      <c r="D79" s="11"/>
      <c r="E79" s="11"/>
      <c r="F79" s="11"/>
      <c r="G79" s="11"/>
      <c r="H79" s="84" t="s">
        <v>835</v>
      </c>
      <c r="I79" s="118" t="str">
        <f>IF(_epmOfflineCondition_,"T3",_xll.EVPRO($B$1,$H79,"STYLE"))</f>
        <v>T3</v>
      </c>
      <c r="J79" s="118" t="str">
        <f>IF(_epmOfflineCondition_,"Y",_xll.EVPRO($B$1,$H79,"CALC"))</f>
        <v>Y</v>
      </c>
      <c r="K79" s="175" t="str">
        <f t="shared" si="22"/>
        <v>&gt;</v>
      </c>
      <c r="L79" s="86" t="str">
        <f>IF(_epmOfflineCondition_,"",_xll.EVPRO($B$1,H79,"JDEID"))</f>
        <v/>
      </c>
      <c r="M79" s="86" t="str">
        <f>IF(_epmOfflineCondition_,"",IF(AND(I79="N",J79="N"),_xll.EVPRO($B$1,H79,"PSFTID"),""))</f>
        <v/>
      </c>
      <c r="N79" s="86" t="str">
        <f>IF(_epmOfflineCondition_,"F&amp;B Venues",IF(_xll.EVDES(H79,$B$1)="#NODATA","",_xll.EVDES(H79,$B$1)))</f>
        <v>F&amp;B Venues</v>
      </c>
      <c r="O79" s="248">
        <v>622.09</v>
      </c>
      <c r="P79" s="248">
        <v>232.91</v>
      </c>
      <c r="Q79" s="248">
        <v>-763.5</v>
      </c>
      <c r="R79" s="248"/>
      <c r="S79" s="248"/>
      <c r="T79" s="248"/>
      <c r="U79" s="248"/>
      <c r="V79" s="248"/>
      <c r="W79" s="248"/>
      <c r="X79" s="248"/>
      <c r="Y79" s="248"/>
      <c r="Z79" s="248"/>
      <c r="AA79" s="229">
        <f t="shared" si="23"/>
        <v>91.5</v>
      </c>
      <c r="AB79" s="249">
        <f t="shared" si="24"/>
        <v>3.8923857023271871E-4</v>
      </c>
      <c r="AC79" s="136"/>
      <c r="AD79" s="248"/>
      <c r="AE79" s="249" t="str">
        <f t="shared" si="25"/>
        <v/>
      </c>
      <c r="AF79" s="250">
        <f t="shared" si="26"/>
        <v>91.5</v>
      </c>
      <c r="AG79" s="248">
        <v>715.63</v>
      </c>
      <c r="AH79" s="249">
        <f t="shared" si="27"/>
        <v>1.5495344121445839E-2</v>
      </c>
      <c r="AI79" s="250">
        <f t="shared" si="28"/>
        <v>-624.13</v>
      </c>
      <c r="AJ79" s="467">
        <f t="shared" si="29"/>
        <v>3.3321194464675893E-2</v>
      </c>
      <c r="AK79" s="468">
        <f t="shared" si="30"/>
        <v>0</v>
      </c>
      <c r="AL79" s="469">
        <f t="shared" si="31"/>
        <v>1.2047643097643097</v>
      </c>
      <c r="AM79" s="470">
        <f t="shared" si="32"/>
        <v>0</v>
      </c>
      <c r="AN79" s="471" t="str">
        <f t="shared" si="33"/>
        <v>-1.51 pts.</v>
      </c>
      <c r="AO79" s="11"/>
    </row>
    <row r="80" spans="1:41" x14ac:dyDescent="0.25">
      <c r="A80" s="56" t="str">
        <f>IF(_epmOfflineCondition_,"Evdre:Ok",_xll.EVDRE($B$1,A83:B90,A93:B99))</f>
        <v>Evdre:Ok</v>
      </c>
      <c r="B80" s="11"/>
      <c r="C80" s="11"/>
      <c r="D80" s="11"/>
      <c r="E80" s="11"/>
      <c r="F80" s="11"/>
      <c r="G80" s="11"/>
      <c r="H80" s="84" t="s">
        <v>812</v>
      </c>
      <c r="I80" s="184" t="str">
        <f>IF(_epmOfflineCondition_,"T2",_xll.EVPRO($B$1,$H80,"STYLE"))</f>
        <v>T2</v>
      </c>
      <c r="J80" s="184" t="str">
        <f>IF(_epmOfflineCondition_,"Y",_xll.EVPRO($B$1,$H80,"CALC"))</f>
        <v>Y</v>
      </c>
      <c r="K80" s="185" t="str">
        <f t="shared" si="22"/>
        <v/>
      </c>
      <c r="L80" s="186" t="str">
        <f>IF(_epmOfflineCondition_,"",_xll.EVPRO($B$1,H80,"JDEID"))</f>
        <v/>
      </c>
      <c r="M80" s="186" t="str">
        <f>IF(_epmOfflineCondition_,"",IF(AND(I80="N",J80="N"),_xll.EVPRO($B$1,H80,"PSFTID"),""))</f>
        <v/>
      </c>
      <c r="N80" s="186" t="str">
        <f>IF(_epmOfflineCondition_,"Total Salaries and Wages",IF(_xll.EVDES(H80,$B$1)="#NODATA","",_xll.EVDES(H80,$B$1)))</f>
        <v>Total Salaries and Wages</v>
      </c>
      <c r="O80" s="236">
        <v>5836.27</v>
      </c>
      <c r="P80" s="236">
        <v>4395.7299999999996</v>
      </c>
      <c r="Q80" s="236">
        <v>3574.92</v>
      </c>
      <c r="R80" s="236">
        <v>2447.81</v>
      </c>
      <c r="S80" s="236">
        <v>2419.7399999999998</v>
      </c>
      <c r="T80" s="236">
        <v>718.69</v>
      </c>
      <c r="U80" s="236">
        <v>215.21</v>
      </c>
      <c r="V80" s="236">
        <v>497.8</v>
      </c>
      <c r="W80" s="236">
        <v>221.13</v>
      </c>
      <c r="X80" s="236">
        <v>2717.52</v>
      </c>
      <c r="Y80" s="236">
        <v>1694.8</v>
      </c>
      <c r="Z80" s="236">
        <v>2280.34</v>
      </c>
      <c r="AA80" s="236">
        <f t="shared" si="23"/>
        <v>27019.96</v>
      </c>
      <c r="AB80" s="237">
        <f t="shared" si="24"/>
        <v>0.11494219232945629</v>
      </c>
      <c r="AC80" s="238"/>
      <c r="AD80" s="236">
        <v>14920</v>
      </c>
      <c r="AE80" s="237">
        <f t="shared" si="25"/>
        <v>5.3270773868207312E-2</v>
      </c>
      <c r="AF80" s="239">
        <f t="shared" si="26"/>
        <v>12099.96</v>
      </c>
      <c r="AG80" s="236">
        <v>1424.4</v>
      </c>
      <c r="AH80" s="237">
        <f t="shared" si="27"/>
        <v>3.0842150505970198E-2</v>
      </c>
      <c r="AI80" s="239">
        <f t="shared" si="28"/>
        <v>25595.559999999998</v>
      </c>
      <c r="AJ80" s="215">
        <f t="shared" si="29"/>
        <v>9.8397523670793881</v>
      </c>
      <c r="AK80" s="216">
        <f t="shared" si="30"/>
        <v>4.1562782923601924</v>
      </c>
      <c r="AL80" s="218">
        <f t="shared" si="31"/>
        <v>2.3979797979797981</v>
      </c>
      <c r="AM80" s="423" t="str">
        <f t="shared" si="32"/>
        <v>6.17 pts.</v>
      </c>
      <c r="AN80" s="474" t="str">
        <f t="shared" si="33"/>
        <v>8.41 pts.</v>
      </c>
      <c r="AO80" s="11"/>
    </row>
    <row r="81" spans="1:41" x14ac:dyDescent="0.25">
      <c r="A81" s="11"/>
      <c r="B81" s="11"/>
      <c r="C81" s="11"/>
      <c r="D81" s="11"/>
      <c r="E81" s="11"/>
      <c r="F81" s="11"/>
      <c r="G81" s="11"/>
      <c r="H81" s="84" t="s">
        <v>836</v>
      </c>
      <c r="I81" s="118" t="str">
        <f>IF(_epmOfflineCondition_,"T3",_xll.EVPRO($B$1,$H81,"STYLE"))</f>
        <v>T3</v>
      </c>
      <c r="J81" s="118" t="str">
        <f>IF(_epmOfflineCondition_,"Y",_xll.EVPRO($B$1,$H81,"CALC"))</f>
        <v>Y</v>
      </c>
      <c r="K81" s="175" t="str">
        <f t="shared" si="22"/>
        <v>&gt;</v>
      </c>
      <c r="L81" s="86" t="str">
        <f>IF(_epmOfflineCondition_,"",_xll.EVPRO($B$1,H81,"JDEID"))</f>
        <v/>
      </c>
      <c r="M81" s="86" t="str">
        <f>IF(_epmOfflineCondition_,"",IF(AND(I81="N",J81="N"),_xll.EVPRO($B$1,H81,"PSFTID"),""))</f>
        <v/>
      </c>
      <c r="N81" s="86" t="str">
        <f>IF(_epmOfflineCondition_,"Service Charge Distribution",IF(_xll.EVDES(H81,$B$1)="#NODATA","",_xll.EVDES(H81,$B$1)))</f>
        <v>Service Charge Distribution</v>
      </c>
      <c r="O81" s="248">
        <v>5951.6</v>
      </c>
      <c r="P81" s="248">
        <v>4032.36</v>
      </c>
      <c r="Q81" s="248">
        <v>2833.66</v>
      </c>
      <c r="R81" s="248">
        <v>1335.05</v>
      </c>
      <c r="S81" s="248">
        <v>858.06</v>
      </c>
      <c r="T81" s="248">
        <v>295.98</v>
      </c>
      <c r="U81" s="248">
        <v>403.02</v>
      </c>
      <c r="V81" s="248">
        <v>444.96</v>
      </c>
      <c r="W81" s="248">
        <v>255.24</v>
      </c>
      <c r="X81" s="248">
        <v>3554.22</v>
      </c>
      <c r="Y81" s="248">
        <v>2737.25</v>
      </c>
      <c r="Z81" s="248">
        <v>2000.55</v>
      </c>
      <c r="AA81" s="248">
        <f t="shared" si="23"/>
        <v>24701.95</v>
      </c>
      <c r="AB81" s="249">
        <f t="shared" si="24"/>
        <v>0.1050814393438263</v>
      </c>
      <c r="AC81" s="136"/>
      <c r="AD81" s="248">
        <v>44077.4369057</v>
      </c>
      <c r="AE81" s="249">
        <f t="shared" si="25"/>
        <v>0.15737527976499466</v>
      </c>
      <c r="AF81" s="250">
        <f t="shared" si="26"/>
        <v>-19375.4869057</v>
      </c>
      <c r="AG81" s="248">
        <v>3475.27</v>
      </c>
      <c r="AH81" s="249">
        <f t="shared" si="27"/>
        <v>7.5249087608033588E-2</v>
      </c>
      <c r="AI81" s="250">
        <f t="shared" si="28"/>
        <v>21226.68</v>
      </c>
      <c r="AJ81" s="532">
        <f t="shared" si="29"/>
        <v>8.9956117989803346</v>
      </c>
      <c r="AK81" s="533">
        <f t="shared" si="30"/>
        <v>12.278692640351</v>
      </c>
      <c r="AL81" s="534">
        <f t="shared" si="31"/>
        <v>5.8506228956228954</v>
      </c>
      <c r="AM81" s="535" t="str">
        <f t="shared" si="32"/>
        <v>-5.23 pts.</v>
      </c>
      <c r="AN81" s="536" t="str">
        <f t="shared" si="33"/>
        <v>2.98 pts.</v>
      </c>
      <c r="AO81" s="11"/>
    </row>
    <row r="82" spans="1:41" x14ac:dyDescent="0.25">
      <c r="A82" s="57" t="s">
        <v>0</v>
      </c>
      <c r="B82" s="58" t="s">
        <v>1</v>
      </c>
      <c r="C82" s="11"/>
      <c r="D82" s="11"/>
      <c r="E82" s="11"/>
      <c r="F82" s="11"/>
      <c r="G82" s="11"/>
      <c r="H82" s="84" t="s">
        <v>814</v>
      </c>
      <c r="I82" s="184" t="str">
        <f>IF(_epmOfflineCondition_,"T2",_xll.EVPRO($B$1,$H82,"STYLE"))</f>
        <v>T2</v>
      </c>
      <c r="J82" s="184" t="str">
        <f>IF(_epmOfflineCondition_,"Y",_xll.EVPRO($B$1,$H82,"CALC"))</f>
        <v>Y</v>
      </c>
      <c r="K82" s="185" t="str">
        <f t="shared" si="22"/>
        <v/>
      </c>
      <c r="L82" s="186" t="str">
        <f>IF(_epmOfflineCondition_,"",_xll.EVPRO($B$1,H82,"JDEID"))</f>
        <v/>
      </c>
      <c r="M82" s="186" t="str">
        <f>IF(_epmOfflineCondition_,"",IF(AND(I82="N",J82="N"),_xll.EVPRO($B$1,H82,"PSFTID"),""))</f>
        <v/>
      </c>
      <c r="N82" s="186" t="str">
        <f>IF(_epmOfflineCondition_,"Total Labor Expense",IF(_xll.EVDES(H82,$B$1)="#NODATA","",_xll.EVDES(H82,$B$1)))</f>
        <v>Total Labor Expense</v>
      </c>
      <c r="O82" s="236">
        <v>11787.87</v>
      </c>
      <c r="P82" s="236">
        <v>8428.09</v>
      </c>
      <c r="Q82" s="236">
        <v>6408.58</v>
      </c>
      <c r="R82" s="236">
        <v>3782.86</v>
      </c>
      <c r="S82" s="236">
        <v>3277.8</v>
      </c>
      <c r="T82" s="236">
        <v>1014.67</v>
      </c>
      <c r="U82" s="236">
        <v>618.23</v>
      </c>
      <c r="V82" s="236">
        <v>942.76</v>
      </c>
      <c r="W82" s="236">
        <v>476.37</v>
      </c>
      <c r="X82" s="236">
        <v>6271.74</v>
      </c>
      <c r="Y82" s="236">
        <v>4432.05</v>
      </c>
      <c r="Z82" s="236">
        <v>4280.8900000000003</v>
      </c>
      <c r="AA82" s="236">
        <f t="shared" si="23"/>
        <v>51721.910000000011</v>
      </c>
      <c r="AB82" s="237">
        <f t="shared" si="24"/>
        <v>0.22002363167328265</v>
      </c>
      <c r="AC82" s="238"/>
      <c r="AD82" s="236">
        <v>58997.4369057</v>
      </c>
      <c r="AE82" s="237">
        <f t="shared" si="25"/>
        <v>0.21064605363320196</v>
      </c>
      <c r="AF82" s="239">
        <f t="shared" si="26"/>
        <v>-7275.5269056999896</v>
      </c>
      <c r="AG82" s="236">
        <v>4899.67</v>
      </c>
      <c r="AH82" s="237">
        <f t="shared" si="27"/>
        <v>0.1060912381140038</v>
      </c>
      <c r="AI82" s="239">
        <f t="shared" si="28"/>
        <v>46822.240000000013</v>
      </c>
      <c r="AJ82" s="215">
        <f t="shared" si="29"/>
        <v>18.835364166059726</v>
      </c>
      <c r="AK82" s="216">
        <f t="shared" si="30"/>
        <v>16.434970932711192</v>
      </c>
      <c r="AL82" s="218">
        <f t="shared" si="31"/>
        <v>8.2486026936026935</v>
      </c>
      <c r="AM82" s="423" t="str">
        <f t="shared" si="32"/>
        <v>0.94 pts.</v>
      </c>
      <c r="AN82" s="474" t="str">
        <f t="shared" si="33"/>
        <v>11.39 pts.</v>
      </c>
      <c r="AO82" s="11"/>
    </row>
    <row r="83" spans="1:41" x14ac:dyDescent="0.25">
      <c r="A83" s="61" t="s">
        <v>2</v>
      </c>
      <c r="B83" s="62" t="str">
        <f>IF(_epmOfflineCondition_,"'BCC'!$B$2:$B$10",_xll.EVRNG($B$2:$B$10))</f>
        <v>'BCC'!$B$2:$B$10</v>
      </c>
      <c r="C83" s="11"/>
      <c r="D83" s="11"/>
      <c r="E83" s="11"/>
      <c r="F83" s="11"/>
      <c r="G83" s="11"/>
      <c r="H83" s="84" t="s">
        <v>815</v>
      </c>
      <c r="I83" s="118" t="str">
        <f>IF(_epmOfflineCondition_,"T3",_xll.EVPRO($B$1,$H83,"STYLE"))</f>
        <v>T3</v>
      </c>
      <c r="J83" s="118" t="str">
        <f>IF(_epmOfflineCondition_,"Y",_xll.EVPRO($B$1,$H83,"CALC"))</f>
        <v>Y</v>
      </c>
      <c r="K83" s="175" t="str">
        <f t="shared" si="22"/>
        <v>&gt;</v>
      </c>
      <c r="L83" s="86" t="str">
        <f>IF(_epmOfflineCondition_,"",_xll.EVPRO($B$1,H83,"JDEID"))</f>
        <v/>
      </c>
      <c r="M83" s="86" t="str">
        <f>IF(_epmOfflineCondition_,"",IF(AND(I83="N",J83="N"),_xll.EVPRO($B$1,H83,"PSFTID"),""))</f>
        <v/>
      </c>
      <c r="N83" s="86" t="str">
        <f>IF(_epmOfflineCondition_,"Payroll Taxes",IF(_xll.EVDES(H83,$B$1)="#NODATA","",_xll.EVDES(H83,$B$1)))</f>
        <v>Payroll Taxes</v>
      </c>
      <c r="O83" s="248">
        <v>443.39</v>
      </c>
      <c r="P83" s="248">
        <v>252.72</v>
      </c>
      <c r="Q83" s="248">
        <v>247.09</v>
      </c>
      <c r="R83" s="248">
        <v>310.56</v>
      </c>
      <c r="S83" s="248">
        <v>119.67</v>
      </c>
      <c r="T83" s="248">
        <v>162.97999999999999</v>
      </c>
      <c r="U83" s="248">
        <v>15.81</v>
      </c>
      <c r="V83" s="248">
        <v>121.4</v>
      </c>
      <c r="W83" s="248">
        <v>49.13</v>
      </c>
      <c r="X83" s="248">
        <v>362.01</v>
      </c>
      <c r="Y83" s="248">
        <v>264.91000000000003</v>
      </c>
      <c r="Z83" s="248">
        <v>178.57</v>
      </c>
      <c r="AA83" s="248">
        <f t="shared" si="23"/>
        <v>2528.2400000000002</v>
      </c>
      <c r="AB83" s="249">
        <f t="shared" si="24"/>
        <v>1.0755065823007311E-2</v>
      </c>
      <c r="AC83" s="136"/>
      <c r="AD83" s="248">
        <v>7678.2825013942002</v>
      </c>
      <c r="AE83" s="249">
        <f t="shared" si="25"/>
        <v>2.7414748715012309E-2</v>
      </c>
      <c r="AF83" s="250">
        <f t="shared" si="26"/>
        <v>-5150.0425013942004</v>
      </c>
      <c r="AG83" s="248">
        <v>94.28</v>
      </c>
      <c r="AH83" s="249">
        <f t="shared" si="27"/>
        <v>2.0414195097605099E-3</v>
      </c>
      <c r="AI83" s="250">
        <f t="shared" si="28"/>
        <v>2433.96</v>
      </c>
      <c r="AJ83" s="532">
        <f t="shared" si="29"/>
        <v>0.92069919883466866</v>
      </c>
      <c r="AK83" s="533">
        <f t="shared" si="30"/>
        <v>2.1389463058414098</v>
      </c>
      <c r="AL83" s="534">
        <f t="shared" si="31"/>
        <v>0.15872053872053873</v>
      </c>
      <c r="AM83" s="535" t="str">
        <f t="shared" si="32"/>
        <v>-1.67 pts.</v>
      </c>
      <c r="AN83" s="536" t="str">
        <f t="shared" si="33"/>
        <v>0.87 pts.</v>
      </c>
      <c r="AO83" s="11"/>
    </row>
    <row r="84" spans="1:41" x14ac:dyDescent="0.25">
      <c r="A84" s="61" t="s">
        <v>3</v>
      </c>
      <c r="B84" s="62" t="str">
        <f>IF(_epmOfflineCondition_,"'BCC'!$O$16:$AN$18",_xll.EVRNG($O$16:$AN$18))</f>
        <v>'BCC'!$O$16:$AN$18</v>
      </c>
      <c r="C84" s="11"/>
      <c r="D84" s="11"/>
      <c r="E84" s="11"/>
      <c r="F84" s="11"/>
      <c r="G84" s="11"/>
      <c r="H84" s="84" t="s">
        <v>816</v>
      </c>
      <c r="I84" s="118" t="str">
        <f>IF(_epmOfflineCondition_,"T3",_xll.EVPRO($B$1,$H84,"STYLE"))</f>
        <v>T3</v>
      </c>
      <c r="J84" s="118" t="str">
        <f>IF(_epmOfflineCondition_,"Y",_xll.EVPRO($B$1,$H84,"CALC"))</f>
        <v>Y</v>
      </c>
      <c r="K84" s="175" t="str">
        <f t="shared" si="22"/>
        <v>&gt;</v>
      </c>
      <c r="L84" s="86" t="str">
        <f>IF(_epmOfflineCondition_,"",_xll.EVPRO($B$1,H84,"JDEID"))</f>
        <v/>
      </c>
      <c r="M84" s="86" t="str">
        <f>IF(_epmOfflineCondition_,"",IF(AND(I84="N",J84="N"),_xll.EVPRO($B$1,H84,"PSFTID"),""))</f>
        <v/>
      </c>
      <c r="N84" s="86" t="str">
        <f>IF(_epmOfflineCondition_,"Supplemental Pay",IF(_xll.EVDES(H84,$B$1)="#NODATA","",_xll.EVDES(H84,$B$1)))</f>
        <v>Supplemental Pay</v>
      </c>
      <c r="O84" s="248"/>
      <c r="P84" s="248"/>
      <c r="Q84" s="248"/>
      <c r="R84" s="248"/>
      <c r="S84" s="248"/>
      <c r="T84" s="248"/>
      <c r="U84" s="248"/>
      <c r="V84" s="248"/>
      <c r="W84" s="248">
        <v>10.81</v>
      </c>
      <c r="X84" s="248">
        <v>10.57</v>
      </c>
      <c r="Y84" s="248">
        <v>11.24</v>
      </c>
      <c r="Z84" s="248"/>
      <c r="AA84" s="229">
        <f t="shared" si="23"/>
        <v>32.620000000000005</v>
      </c>
      <c r="AB84" s="249">
        <f t="shared" si="24"/>
        <v>1.3876461378132553E-4</v>
      </c>
      <c r="AC84" s="136"/>
      <c r="AD84" s="248">
        <v>585.6748387097</v>
      </c>
      <c r="AE84" s="249">
        <f t="shared" si="25"/>
        <v>2.091109376220055E-3</v>
      </c>
      <c r="AF84" s="250">
        <f t="shared" si="26"/>
        <v>-553.05483870969999</v>
      </c>
      <c r="AG84" s="248"/>
      <c r="AH84" s="249" t="str">
        <f t="shared" si="27"/>
        <v/>
      </c>
      <c r="AI84" s="250">
        <f t="shared" si="28"/>
        <v>32.620000000000005</v>
      </c>
      <c r="AJ84" s="467">
        <f t="shared" si="29"/>
        <v>1.1879096868171887E-2</v>
      </c>
      <c r="AK84" s="468">
        <f t="shared" si="30"/>
        <v>0.1631519851548715</v>
      </c>
      <c r="AL84" s="469">
        <f t="shared" si="31"/>
        <v>0</v>
      </c>
      <c r="AM84" s="470" t="str">
        <f t="shared" si="32"/>
        <v>-0.2 pts.</v>
      </c>
      <c r="AN84" s="471">
        <f t="shared" si="33"/>
        <v>0</v>
      </c>
      <c r="AO84" s="11"/>
    </row>
    <row r="85" spans="1:41" x14ac:dyDescent="0.25">
      <c r="A85" s="61" t="s">
        <v>4</v>
      </c>
      <c r="B85" s="62" t="str">
        <f>IF(_epmOfflineCondition_,"'BCC'!$H$74:$H$75,'BCC'!$H$77:$H$87,'BCC'!$H$90:$H$102",_xll.EVRNG(H74:H75,H77:H87,H90:H102))</f>
        <v>'BCC'!$H$74:$H$75,'BCC'!$H$77:$H$87,'BCC'!$H$90:$H$102</v>
      </c>
      <c r="C85" s="11"/>
      <c r="D85" s="11"/>
      <c r="E85" s="11"/>
      <c r="F85" s="11"/>
      <c r="G85" s="11"/>
      <c r="H85" s="84" t="s">
        <v>817</v>
      </c>
      <c r="I85" s="118" t="str">
        <f>IF(_epmOfflineCondition_,"T3",_xll.EVPRO($B$1,$H85,"STYLE"))</f>
        <v>T3</v>
      </c>
      <c r="J85" s="118" t="str">
        <f>IF(_epmOfflineCondition_,"Y",_xll.EVPRO($B$1,$H85,"CALC"))</f>
        <v>Y</v>
      </c>
      <c r="K85" s="175" t="str">
        <f t="shared" si="22"/>
        <v>&gt;</v>
      </c>
      <c r="L85" s="86" t="str">
        <f>IF(_epmOfflineCondition_,"",_xll.EVPRO($B$1,H85,"JDEID"))</f>
        <v/>
      </c>
      <c r="M85" s="86" t="str">
        <f>IF(_epmOfflineCondition_,"",IF(AND(I85="N",J85="N"),_xll.EVPRO($B$1,H85,"PSFTID"),""))</f>
        <v/>
      </c>
      <c r="N85" s="86" t="str">
        <f>IF(_epmOfflineCondition_,"Employee Benefits",IF(_xll.EVDES(H85,$B$1)="#NODATA","",_xll.EVDES(H85,$B$1)))</f>
        <v>Employee Benefits</v>
      </c>
      <c r="O85" s="248">
        <v>-4.4800000000000004</v>
      </c>
      <c r="P85" s="248">
        <v>-0.62999999999999901</v>
      </c>
      <c r="Q85" s="248">
        <v>-2.52</v>
      </c>
      <c r="R85" s="248">
        <v>279.31</v>
      </c>
      <c r="S85" s="248">
        <v>135.24</v>
      </c>
      <c r="T85" s="248">
        <v>135.51</v>
      </c>
      <c r="U85" s="248">
        <v>131.66</v>
      </c>
      <c r="V85" s="248">
        <v>137.33000000000001</v>
      </c>
      <c r="W85" s="248">
        <v>-37</v>
      </c>
      <c r="X85" s="248">
        <v>106.72</v>
      </c>
      <c r="Y85" s="248">
        <v>94.41</v>
      </c>
      <c r="Z85" s="248">
        <v>97.13</v>
      </c>
      <c r="AA85" s="229">
        <f t="shared" si="23"/>
        <v>1072.68</v>
      </c>
      <c r="AB85" s="249">
        <f t="shared" si="24"/>
        <v>4.5631522351610139E-3</v>
      </c>
      <c r="AC85" s="136"/>
      <c r="AD85" s="248">
        <v>470.25808813060002</v>
      </c>
      <c r="AE85" s="249">
        <f t="shared" si="25"/>
        <v>1.6790222702748458E-3</v>
      </c>
      <c r="AF85" s="250">
        <f t="shared" si="26"/>
        <v>602.42191186939999</v>
      </c>
      <c r="AG85" s="248">
        <v>0.17</v>
      </c>
      <c r="AH85" s="249">
        <f t="shared" si="27"/>
        <v>3.6809643260424977E-6</v>
      </c>
      <c r="AI85" s="250">
        <f t="shared" si="28"/>
        <v>1072.51</v>
      </c>
      <c r="AJ85" s="467">
        <f t="shared" si="29"/>
        <v>0.39063364894391844</v>
      </c>
      <c r="AK85" s="468">
        <f t="shared" si="30"/>
        <v>0.13100023347882164</v>
      </c>
      <c r="AL85" s="469">
        <f t="shared" si="31"/>
        <v>2.8619528619528621E-4</v>
      </c>
      <c r="AM85" s="470" t="str">
        <f t="shared" si="32"/>
        <v>0.29 pts.</v>
      </c>
      <c r="AN85" s="471" t="str">
        <f t="shared" si="33"/>
        <v>0.46 pts.</v>
      </c>
      <c r="AO85" s="11"/>
    </row>
    <row r="86" spans="1:41" x14ac:dyDescent="0.25">
      <c r="A86" s="61" t="s">
        <v>5</v>
      </c>
      <c r="B86" s="62"/>
      <c r="C86" s="11"/>
      <c r="D86" s="11"/>
      <c r="E86" s="11"/>
      <c r="F86" s="11"/>
      <c r="G86" s="11"/>
      <c r="H86" s="84" t="s">
        <v>818</v>
      </c>
      <c r="I86" s="184" t="str">
        <f>IF(_epmOfflineCondition_,"T2",_xll.EVPRO($B$1,$H86,"STYLE"))</f>
        <v>T2</v>
      </c>
      <c r="J86" s="184" t="str">
        <f>IF(_epmOfflineCondition_,"Y",_xll.EVPRO($B$1,$H86,"CALC"))</f>
        <v>Y</v>
      </c>
      <c r="K86" s="185" t="str">
        <f t="shared" si="22"/>
        <v/>
      </c>
      <c r="L86" s="186" t="str">
        <f>IF(_epmOfflineCondition_,"",_xll.EVPRO($B$1,H86,"JDEID"))</f>
        <v/>
      </c>
      <c r="M86" s="186" t="str">
        <f>IF(_epmOfflineCondition_,"",IF(AND(I86="N",J86="N"),_xll.EVPRO($B$1,H86,"PSFTID"),""))</f>
        <v/>
      </c>
      <c r="N86" s="186" t="str">
        <f>IF(_epmOfflineCondition_,"Total Payroll Related",IF(_xll.EVDES(H86,$B$1)="#NODATA","",_xll.EVDES(H86,$B$1)))</f>
        <v>Total Payroll Related</v>
      </c>
      <c r="O86" s="210">
        <v>438.91</v>
      </c>
      <c r="P86" s="210">
        <v>252.09</v>
      </c>
      <c r="Q86" s="210">
        <v>244.57</v>
      </c>
      <c r="R86" s="210">
        <v>589.87</v>
      </c>
      <c r="S86" s="210">
        <v>254.91</v>
      </c>
      <c r="T86" s="210">
        <v>298.49</v>
      </c>
      <c r="U86" s="210">
        <v>147.47</v>
      </c>
      <c r="V86" s="210">
        <v>258.73</v>
      </c>
      <c r="W86" s="210">
        <v>22.94</v>
      </c>
      <c r="X86" s="210">
        <v>479.3</v>
      </c>
      <c r="Y86" s="210">
        <v>370.56</v>
      </c>
      <c r="Z86" s="210">
        <v>275.7</v>
      </c>
      <c r="AA86" s="210">
        <f t="shared" si="23"/>
        <v>3633.54</v>
      </c>
      <c r="AB86" s="211">
        <f t="shared" si="24"/>
        <v>1.5456982671949648E-2</v>
      </c>
      <c r="AC86" s="251"/>
      <c r="AD86" s="210">
        <v>8734.2154282345</v>
      </c>
      <c r="AE86" s="211">
        <f t="shared" si="25"/>
        <v>3.1184880361507208E-2</v>
      </c>
      <c r="AF86" s="252">
        <f t="shared" si="26"/>
        <v>-5100.6754282345</v>
      </c>
      <c r="AG86" s="210">
        <v>94.45</v>
      </c>
      <c r="AH86" s="211">
        <f t="shared" si="27"/>
        <v>2.0451004740865524E-3</v>
      </c>
      <c r="AI86" s="252">
        <f t="shared" si="28"/>
        <v>3539.09</v>
      </c>
      <c r="AJ86" s="253">
        <f t="shared" si="29"/>
        <v>1.323211944646759</v>
      </c>
      <c r="AK86" s="254">
        <f t="shared" si="30"/>
        <v>2.4330985244751027</v>
      </c>
      <c r="AL86" s="256">
        <f t="shared" si="31"/>
        <v>0.15900673400673401</v>
      </c>
      <c r="AM86" s="427" t="str">
        <f t="shared" si="32"/>
        <v>-1.57 pts.</v>
      </c>
      <c r="AN86" s="483" t="str">
        <f t="shared" si="33"/>
        <v>1.34 pts.</v>
      </c>
      <c r="AO86" s="11"/>
    </row>
    <row r="87" spans="1:41" x14ac:dyDescent="0.25">
      <c r="A87" s="61" t="s">
        <v>6</v>
      </c>
      <c r="B87" s="62"/>
      <c r="C87" s="11"/>
      <c r="D87" s="11"/>
      <c r="E87" s="11"/>
      <c r="F87" s="11"/>
      <c r="G87" s="11"/>
      <c r="H87" s="84" t="s">
        <v>76</v>
      </c>
      <c r="I87" s="184" t="str">
        <f>IF(_epmOfflineCondition_,"T1",_xll.EVPRO($B$1,$H87,"STYLE"))</f>
        <v>T1</v>
      </c>
      <c r="J87" s="184" t="str">
        <f>IF(_epmOfflineCondition_,"Y",_xll.EVPRO($B$1,$H87,"CALC"))</f>
        <v>Y</v>
      </c>
      <c r="K87" s="185" t="str">
        <f t="shared" si="22"/>
        <v/>
      </c>
      <c r="L87" s="186" t="str">
        <f>IF(_epmOfflineCondition_,"600000",_xll.EVPRO($B$1,H87,"JDEID"))</f>
        <v>600000</v>
      </c>
      <c r="M87" s="186" t="str">
        <f>IF(_epmOfflineCondition_,"",IF(AND(I87="N",J87="N"),_xll.EVPRO($B$1,H87,"PSFTID"),""))</f>
        <v/>
      </c>
      <c r="N87" s="186" t="str">
        <f>IF(_epmOfflineCondition_,"Total Labor &amp; Related Exp",IF(_xll.EVDES(H87,$B$1)="#NODATA","",_xll.EVDES(H87,$B$1)))</f>
        <v>Total Labor &amp; Related Exp</v>
      </c>
      <c r="O87" s="210">
        <v>12226.78</v>
      </c>
      <c r="P87" s="210">
        <v>8680.18</v>
      </c>
      <c r="Q87" s="210">
        <v>6653.15</v>
      </c>
      <c r="R87" s="210">
        <v>4372.7299999999996</v>
      </c>
      <c r="S87" s="210">
        <v>3532.71</v>
      </c>
      <c r="T87" s="210">
        <v>1313.16</v>
      </c>
      <c r="U87" s="210">
        <v>765.7</v>
      </c>
      <c r="V87" s="210">
        <v>1201.49</v>
      </c>
      <c r="W87" s="210">
        <v>499.31</v>
      </c>
      <c r="X87" s="210">
        <v>6751.04</v>
      </c>
      <c r="Y87" s="210">
        <v>4802.6099999999997</v>
      </c>
      <c r="Z87" s="210">
        <v>4556.59</v>
      </c>
      <c r="AA87" s="210">
        <f t="shared" si="23"/>
        <v>55355.45</v>
      </c>
      <c r="AB87" s="211">
        <f t="shared" si="24"/>
        <v>0.23548061434523224</v>
      </c>
      <c r="AC87" s="251"/>
      <c r="AD87" s="210">
        <v>67731.6523339345</v>
      </c>
      <c r="AE87" s="211">
        <f t="shared" si="25"/>
        <v>0.24183093399470917</v>
      </c>
      <c r="AF87" s="252">
        <f t="shared" si="26"/>
        <v>-12376.202333934503</v>
      </c>
      <c r="AG87" s="210">
        <v>4994.12</v>
      </c>
      <c r="AH87" s="211">
        <f t="shared" si="27"/>
        <v>0.10813633858809034</v>
      </c>
      <c r="AI87" s="252">
        <f t="shared" si="28"/>
        <v>50361.329999999994</v>
      </c>
      <c r="AJ87" s="253">
        <f t="shared" si="29"/>
        <v>20.15857611070648</v>
      </c>
      <c r="AK87" s="254">
        <f t="shared" si="30"/>
        <v>18.868069457186294</v>
      </c>
      <c r="AL87" s="256">
        <f t="shared" si="31"/>
        <v>8.4076094276094278</v>
      </c>
      <c r="AM87" s="427" t="str">
        <f t="shared" si="32"/>
        <v>-0.64 pts.</v>
      </c>
      <c r="AN87" s="483" t="str">
        <f t="shared" si="33"/>
        <v>12.73 pts.</v>
      </c>
      <c r="AO87" s="11"/>
    </row>
    <row r="88" spans="1:41" x14ac:dyDescent="0.25">
      <c r="A88" s="61" t="s">
        <v>7</v>
      </c>
      <c r="B88" s="62" t="str">
        <f>IF(_epmOfflineCondition_,"'BCC'!$A$102:$F$108",_xll.EVRNG(A102:F108))</f>
        <v>'BCC'!$A$102:$F$108</v>
      </c>
      <c r="C88" s="11"/>
      <c r="D88" s="11"/>
      <c r="E88" s="11"/>
      <c r="F88" s="11"/>
      <c r="G88" s="11"/>
      <c r="H88" s="11"/>
      <c r="I88" s="55"/>
      <c r="J88" s="55"/>
      <c r="K88" s="11"/>
      <c r="L88" s="11"/>
      <c r="M88" s="11"/>
      <c r="N88" s="11"/>
      <c r="O88" s="125"/>
      <c r="P88" s="126"/>
      <c r="Q88" s="126"/>
      <c r="R88" s="126"/>
      <c r="S88" s="126"/>
      <c r="T88" s="126"/>
      <c r="U88" s="126"/>
      <c r="V88" s="126"/>
      <c r="W88" s="126"/>
      <c r="X88" s="126"/>
      <c r="Y88" s="126"/>
      <c r="Z88" s="126"/>
      <c r="AA88" s="126"/>
      <c r="AB88" s="127"/>
      <c r="AC88" s="11"/>
      <c r="AD88" s="125"/>
      <c r="AE88" s="126"/>
      <c r="AF88" s="127"/>
      <c r="AG88" s="125"/>
      <c r="AH88" s="126"/>
      <c r="AI88" s="127"/>
      <c r="AJ88" s="11"/>
      <c r="AK88" s="11"/>
      <c r="AL88" s="11"/>
      <c r="AM88" s="11"/>
      <c r="AN88" s="11"/>
      <c r="AO88" s="11"/>
    </row>
    <row r="89" spans="1:41" x14ac:dyDescent="0.25">
      <c r="A89" s="61" t="s">
        <v>47</v>
      </c>
      <c r="B89" s="62" t="str">
        <f>IF(_epmOfflineCondition_,"'BCC'!$A$125:$B$146",_xll.EVRNG($A$125:$B$146))</f>
        <v>'BCC'!$A$125:$B$146</v>
      </c>
      <c r="C89" s="11"/>
      <c r="D89" s="11"/>
      <c r="E89" s="11"/>
      <c r="F89" s="11"/>
      <c r="G89" s="11"/>
      <c r="H89" s="11" t="s">
        <v>82</v>
      </c>
      <c r="I89" s="55" t="str">
        <f>IF(_epmOfflineCondition_,"B1",_xll.EVPRO($B$1,$H89,"STYLE"))</f>
        <v>B1</v>
      </c>
      <c r="J89" s="55" t="str">
        <f>IF(_epmOfflineCondition_,"Y",_xll.EVPRO($B$1,$H89,"CALC"))</f>
        <v>Y</v>
      </c>
      <c r="K89" s="11"/>
      <c r="L89" s="11"/>
      <c r="M89" s="11"/>
      <c r="N89" s="101" t="str">
        <f>IF(_epmOfflineCondition_,"Other Expenses",IF(_xll.EVDES(H89,$B$1)="#NODATA","",_xll.EVDES(H89,$B$1)))</f>
        <v>Other Expenses</v>
      </c>
      <c r="O89" s="115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7"/>
      <c r="AC89" s="11"/>
      <c r="AD89" s="115"/>
      <c r="AE89" s="116"/>
      <c r="AF89" s="117"/>
      <c r="AG89" s="115"/>
      <c r="AH89" s="116"/>
      <c r="AI89" s="117"/>
      <c r="AJ89" s="11"/>
      <c r="AK89" s="11"/>
      <c r="AL89" s="11"/>
      <c r="AM89" s="11"/>
      <c r="AN89" s="11"/>
      <c r="AO89" s="11"/>
    </row>
    <row r="90" spans="1:41" x14ac:dyDescent="0.25">
      <c r="A90" s="61" t="s">
        <v>8</v>
      </c>
      <c r="B90" s="62"/>
      <c r="C90" s="11"/>
      <c r="D90" s="11"/>
      <c r="E90" s="11"/>
      <c r="F90" s="11"/>
      <c r="G90" s="11"/>
      <c r="H90" s="84" t="s">
        <v>789</v>
      </c>
      <c r="I90" s="118" t="str">
        <f>IF(_epmOfflineCondition_,"N",_xll.EVPRO($B$1,$H90,"STYLE"))</f>
        <v>N</v>
      </c>
      <c r="J90" s="118" t="str">
        <f>IF(_epmOfflineCondition_,"N",_xll.EVPRO($B$1,$H90,"CALC"))</f>
        <v>N</v>
      </c>
      <c r="K90" s="175" t="str">
        <f t="shared" ref="K90:K102" si="34">IF(AND(I90&lt;&gt;"B1",J90="Y"),"&gt;","")</f>
        <v/>
      </c>
      <c r="L90" s="86" t="str">
        <f>IF(_epmOfflineCondition_,"701100",_xll.EVPRO($B$1,H90,"JDEID"))</f>
        <v>701100</v>
      </c>
      <c r="M90" s="86" t="str">
        <f>IF(_epmOfflineCondition_,"690015",IF(AND(I90="N",J90="N"),_xll.EVPRO($B$1,H90,"PSFTID"),""))</f>
        <v>690015</v>
      </c>
      <c r="N90" s="86" t="str">
        <f>IF(_epmOfflineCondition_,"Dues and Subscriptions",IF(_xll.EVDES(H90,$B$1)="#NODATA","",_xll.EVDES(H90,$B$1)))</f>
        <v>Dues and Subscriptions</v>
      </c>
      <c r="O90" s="134"/>
      <c r="P90" s="134"/>
      <c r="Q90" s="134"/>
      <c r="R90" s="134"/>
      <c r="S90" s="134"/>
      <c r="T90" s="134"/>
      <c r="U90" s="134"/>
      <c r="V90" s="134">
        <v>1850</v>
      </c>
      <c r="W90" s="134"/>
      <c r="X90" s="134"/>
      <c r="Y90" s="134"/>
      <c r="Z90" s="134"/>
      <c r="AA90" s="223">
        <f t="shared" ref="AA90:AA103" si="35">IF($I90="B1","",SUM(O90:Z90))</f>
        <v>1850</v>
      </c>
      <c r="AB90" s="138">
        <f t="shared" ref="AB90:AB103" si="36">IF(AA90=0,"",IFERROR(AA90/AA$19,""))</f>
        <v>7.8698508735577013E-3</v>
      </c>
      <c r="AC90" s="136"/>
      <c r="AD90" s="134">
        <v>1495</v>
      </c>
      <c r="AE90" s="138">
        <f t="shared" ref="AE90:AE103" si="37">IF(AD90=0,"",IFERROR(AD90/AD$19,""))</f>
        <v>5.3377886684296202E-3</v>
      </c>
      <c r="AF90" s="137">
        <f t="shared" ref="AF90:AF103" si="38">IF(AND($AA90="",AD90=""),"",$AA90-AD90)</f>
        <v>355</v>
      </c>
      <c r="AG90" s="134"/>
      <c r="AH90" s="138" t="str">
        <f t="shared" ref="AH90:AH103" si="39">IF(AG90=0,"",IFERROR(AG90/AG$19,""))</f>
        <v/>
      </c>
      <c r="AI90" s="137">
        <f t="shared" ref="AI90:AI103" si="40">IF(AND($AA90="",AG90=""),"",$AA90-AG90)</f>
        <v>1850</v>
      </c>
      <c r="AJ90" s="458">
        <f t="shared" ref="AJ90:AJ103" si="41">IFERROR(AA90/AA$20,0)</f>
        <v>0.67370721048798254</v>
      </c>
      <c r="AK90" s="459">
        <f t="shared" ref="AK90:AK103" si="42">IFERROR(AD90/AD$20,0)</f>
        <v>0.41646354202938923</v>
      </c>
      <c r="AL90" s="460">
        <f t="shared" ref="AL90:AL103" si="43">IFERROR(AG90/AG$20,0)</f>
        <v>0</v>
      </c>
      <c r="AM90" s="461" t="str">
        <f t="shared" ref="AM90:AM103" si="44">+IFERROR(ROUND(($AB90-AE90)*100,2)&amp;" pts.",0)</f>
        <v>0.25 pts.</v>
      </c>
      <c r="AN90" s="462">
        <f t="shared" ref="AN90:AN103" si="45">+IFERROR(ROUND(($AB90-AH90)*100,2)&amp;" pts.",0)</f>
        <v>0</v>
      </c>
      <c r="AO90" s="11"/>
    </row>
    <row r="91" spans="1:41" x14ac:dyDescent="0.25">
      <c r="A91" s="11"/>
      <c r="B91" s="11"/>
      <c r="C91" s="11"/>
      <c r="D91" s="11"/>
      <c r="E91" s="11"/>
      <c r="F91" s="11"/>
      <c r="G91" s="72"/>
      <c r="H91" s="84" t="s">
        <v>823</v>
      </c>
      <c r="I91" s="118" t="str">
        <f>IF(_epmOfflineCondition_,"N",_xll.EVPRO($B$1,$H91,"STYLE"))</f>
        <v>N</v>
      </c>
      <c r="J91" s="118" t="str">
        <f>IF(_epmOfflineCondition_,"N",_xll.EVPRO($B$1,$H91,"CALC"))</f>
        <v>N</v>
      </c>
      <c r="K91" s="175" t="str">
        <f t="shared" si="34"/>
        <v/>
      </c>
      <c r="L91" s="86" t="str">
        <f>IF(_epmOfflineCondition_,"701300",_xll.EVPRO($B$1,H91,"JDEID"))</f>
        <v>701300</v>
      </c>
      <c r="M91" s="86" t="str">
        <f>IF(_epmOfflineCondition_,"690205",IF(AND(I91="N",J91="N"),_xll.EVPRO($B$1,H91,"PSFTID"),""))</f>
        <v>690205</v>
      </c>
      <c r="N91" s="86" t="str">
        <f>IF(_epmOfflineCondition_,"Printing &amp; Stationery",IF(_xll.EVDES(H91,$B$1)="#NODATA","",_xll.EVDES(H91,$B$1)))</f>
        <v>Printing &amp; Stationery</v>
      </c>
      <c r="O91" s="134"/>
      <c r="P91" s="134"/>
      <c r="Q91" s="134"/>
      <c r="R91" s="134"/>
      <c r="S91" s="134"/>
      <c r="T91" s="134"/>
      <c r="U91" s="134"/>
      <c r="V91" s="134"/>
      <c r="W91" s="134"/>
      <c r="X91" s="134"/>
      <c r="Y91" s="134"/>
      <c r="Z91" s="134"/>
      <c r="AA91" s="223">
        <f t="shared" si="35"/>
        <v>0</v>
      </c>
      <c r="AB91" s="138" t="str">
        <f t="shared" si="36"/>
        <v/>
      </c>
      <c r="AC91" s="136"/>
      <c r="AD91" s="134">
        <v>538.46249999999998</v>
      </c>
      <c r="AE91" s="138">
        <f t="shared" si="37"/>
        <v>1.922541157775441E-3</v>
      </c>
      <c r="AF91" s="137">
        <f t="shared" si="38"/>
        <v>-538.46249999999998</v>
      </c>
      <c r="AG91" s="134"/>
      <c r="AH91" s="138" t="str">
        <f t="shared" si="39"/>
        <v/>
      </c>
      <c r="AI91" s="137">
        <f t="shared" si="40"/>
        <v>0</v>
      </c>
      <c r="AJ91" s="458">
        <f t="shared" si="41"/>
        <v>0</v>
      </c>
      <c r="AK91" s="459">
        <f t="shared" si="42"/>
        <v>0.15</v>
      </c>
      <c r="AL91" s="460">
        <f t="shared" si="43"/>
        <v>0</v>
      </c>
      <c r="AM91" s="461">
        <f t="shared" si="44"/>
        <v>0</v>
      </c>
      <c r="AN91" s="462">
        <f t="shared" si="45"/>
        <v>0</v>
      </c>
      <c r="AO91" s="11"/>
    </row>
    <row r="92" spans="1:41" x14ac:dyDescent="0.25">
      <c r="A92" s="57" t="s">
        <v>9</v>
      </c>
      <c r="B92" s="58" t="s">
        <v>10</v>
      </c>
      <c r="C92" s="11"/>
      <c r="D92" s="11"/>
      <c r="E92" s="11"/>
      <c r="F92" s="11"/>
      <c r="G92" s="11"/>
      <c r="H92" s="84" t="s">
        <v>792</v>
      </c>
      <c r="I92" s="118" t="str">
        <f>IF(_epmOfflineCondition_,"T4",_xll.EVPRO($B$1,$H92,"STYLE"))</f>
        <v>T4</v>
      </c>
      <c r="J92" s="118" t="str">
        <f>IF(_epmOfflineCondition_,"Y",_xll.EVPRO($B$1,$H92,"CALC"))</f>
        <v>Y</v>
      </c>
      <c r="K92" s="175" t="str">
        <f t="shared" si="34"/>
        <v>&gt;</v>
      </c>
      <c r="L92" s="86" t="str">
        <f>IF(_epmOfflineCondition_,"701500",_xll.EVPRO($B$1,H92,"JDEID"))</f>
        <v>701500</v>
      </c>
      <c r="M92" s="86" t="str">
        <f>IF(_epmOfflineCondition_,"",IF(AND(I92="N",J92="N"),_xll.EVPRO($B$1,H92,"PSFTID"),""))</f>
        <v/>
      </c>
      <c r="N92" s="86" t="str">
        <f>IF(_epmOfflineCondition_,"Operating Supplies",IF(_xll.EVDES(H92,$B$1)="#NODATA","",_xll.EVDES(H92,$B$1)))</f>
        <v>Operating Supplies</v>
      </c>
      <c r="O92" s="134">
        <v>202.87</v>
      </c>
      <c r="P92" s="134">
        <v>120.43</v>
      </c>
      <c r="Q92" s="134">
        <v>445.92</v>
      </c>
      <c r="R92" s="134">
        <v>568.54</v>
      </c>
      <c r="S92" s="134"/>
      <c r="T92" s="134">
        <v>85.68</v>
      </c>
      <c r="U92" s="134">
        <v>35.979999999999997</v>
      </c>
      <c r="V92" s="134"/>
      <c r="W92" s="134">
        <v>71.97</v>
      </c>
      <c r="X92" s="134">
        <v>480</v>
      </c>
      <c r="Y92" s="134">
        <v>110.98</v>
      </c>
      <c r="Z92" s="134">
        <v>8.49</v>
      </c>
      <c r="AA92" s="223">
        <f t="shared" si="35"/>
        <v>2130.8599999999997</v>
      </c>
      <c r="AB92" s="138">
        <f t="shared" si="36"/>
        <v>9.0646218553671141E-3</v>
      </c>
      <c r="AC92" s="136"/>
      <c r="AD92" s="134">
        <v>538.46249999999998</v>
      </c>
      <c r="AE92" s="138">
        <f t="shared" si="37"/>
        <v>1.922541157775441E-3</v>
      </c>
      <c r="AF92" s="137">
        <f t="shared" si="38"/>
        <v>1592.3974999999996</v>
      </c>
      <c r="AG92" s="134">
        <v>743.08</v>
      </c>
      <c r="AH92" s="138">
        <f t="shared" si="39"/>
        <v>1.6089711596445056E-2</v>
      </c>
      <c r="AI92" s="137">
        <f t="shared" si="40"/>
        <v>1387.7799999999997</v>
      </c>
      <c r="AJ92" s="458">
        <f t="shared" si="41"/>
        <v>0.77598689002184984</v>
      </c>
      <c r="AK92" s="459">
        <f t="shared" si="42"/>
        <v>0.15</v>
      </c>
      <c r="AL92" s="460">
        <f t="shared" si="43"/>
        <v>1.2509764309764311</v>
      </c>
      <c r="AM92" s="461" t="str">
        <f t="shared" si="44"/>
        <v>0.71 pts.</v>
      </c>
      <c r="AN92" s="462" t="str">
        <f t="shared" si="45"/>
        <v>-0.7 pts.</v>
      </c>
      <c r="AO92" s="11"/>
    </row>
    <row r="93" spans="1:41" x14ac:dyDescent="0.25">
      <c r="A93" s="61" t="s">
        <v>11</v>
      </c>
      <c r="B93" s="62" t="s">
        <v>21</v>
      </c>
      <c r="C93" s="11"/>
      <c r="D93" s="11"/>
      <c r="E93" s="11"/>
      <c r="F93" s="11"/>
      <c r="G93" s="11"/>
      <c r="H93" s="84" t="s">
        <v>824</v>
      </c>
      <c r="I93" s="118" t="str">
        <f>IF(_epmOfflineCondition_,"N",_xll.EVPRO($B$1,$H93,"STYLE"))</f>
        <v>N</v>
      </c>
      <c r="J93" s="118" t="str">
        <f>IF(_epmOfflineCondition_,"N",_xll.EVPRO($B$1,$H93,"CALC"))</f>
        <v>N</v>
      </c>
      <c r="K93" s="175" t="str">
        <f t="shared" si="34"/>
        <v/>
      </c>
      <c r="L93" s="86" t="str">
        <f>IF(_epmOfflineCondition_,"701600",_xll.EVPRO($B$1,H93,"JDEID"))</f>
        <v>701600</v>
      </c>
      <c r="M93" s="86" t="str">
        <f>IF(_epmOfflineCondition_,"590015",IF(AND(I93="N",J93="N"),_xll.EVPRO($B$1,H93,"PSFTID"),""))</f>
        <v>590015</v>
      </c>
      <c r="N93" s="86" t="str">
        <f>IF(_epmOfflineCondition_,"Cleaning Supplies",IF(_xll.EVDES(H93,$B$1)="#NODATA","",_xll.EVDES(H93,$B$1)))</f>
        <v>Cleaning Supplies</v>
      </c>
      <c r="O93" s="134"/>
      <c r="P93" s="134"/>
      <c r="Q93" s="134"/>
      <c r="R93" s="134"/>
      <c r="S93" s="134"/>
      <c r="T93" s="134"/>
      <c r="U93" s="134"/>
      <c r="V93" s="134"/>
      <c r="W93" s="134"/>
      <c r="X93" s="134">
        <v>13.1</v>
      </c>
      <c r="Y93" s="134"/>
      <c r="Z93" s="134">
        <v>5.34</v>
      </c>
      <c r="AA93" s="223">
        <f t="shared" si="35"/>
        <v>18.439999999999998</v>
      </c>
      <c r="AB93" s="138">
        <f t="shared" si="36"/>
        <v>7.8443270328867019E-5</v>
      </c>
      <c r="AC93" s="136"/>
      <c r="AD93" s="134">
        <v>215.38499999999999</v>
      </c>
      <c r="AE93" s="138">
        <f t="shared" si="37"/>
        <v>7.6901646311017637E-4</v>
      </c>
      <c r="AF93" s="137">
        <f t="shared" si="38"/>
        <v>-196.94499999999999</v>
      </c>
      <c r="AG93" s="134"/>
      <c r="AH93" s="138" t="str">
        <f t="shared" si="39"/>
        <v/>
      </c>
      <c r="AI93" s="137">
        <f t="shared" si="40"/>
        <v>18.439999999999998</v>
      </c>
      <c r="AJ93" s="458">
        <f t="shared" si="41"/>
        <v>6.7152221412964301E-3</v>
      </c>
      <c r="AK93" s="459">
        <f t="shared" si="42"/>
        <v>0.06</v>
      </c>
      <c r="AL93" s="460">
        <f t="shared" si="43"/>
        <v>0</v>
      </c>
      <c r="AM93" s="461" t="str">
        <f t="shared" si="44"/>
        <v>-0.07 pts.</v>
      </c>
      <c r="AN93" s="462">
        <f t="shared" si="45"/>
        <v>0</v>
      </c>
      <c r="AO93" s="11"/>
    </row>
    <row r="94" spans="1:41" x14ac:dyDescent="0.25">
      <c r="A94" s="61" t="s">
        <v>12</v>
      </c>
      <c r="B94" s="62" t="s">
        <v>22</v>
      </c>
      <c r="C94" s="11"/>
      <c r="D94" s="11"/>
      <c r="E94" s="11"/>
      <c r="F94" s="11"/>
      <c r="G94" s="11"/>
      <c r="H94" s="84" t="s">
        <v>825</v>
      </c>
      <c r="I94" s="118" t="str">
        <f>IF(_epmOfflineCondition_,"N",_xll.EVPRO($B$1,$H94,"STYLE"))</f>
        <v>N</v>
      </c>
      <c r="J94" s="118" t="str">
        <f>IF(_epmOfflineCondition_,"N",_xll.EVPRO($B$1,$H94,"CALC"))</f>
        <v>N</v>
      </c>
      <c r="K94" s="175" t="str">
        <f t="shared" si="34"/>
        <v/>
      </c>
      <c r="L94" s="86" t="str">
        <f>IF(_epmOfflineCondition_,"701700",_xll.EVPRO($B$1,H94,"JDEID"))</f>
        <v>701700</v>
      </c>
      <c r="M94" s="86" t="str">
        <f>IF(_epmOfflineCondition_,"590026",IF(AND(I94="N",J94="N"),_xll.EVPRO($B$1,H94,"PSFTID"),""))</f>
        <v>590026</v>
      </c>
      <c r="N94" s="86" t="str">
        <f>IF(_epmOfflineCondition_,"Dishwashing Supplies",IF(_xll.EVDES(H94,$B$1)="#NODATA","",_xll.EVDES(H94,$B$1)))</f>
        <v>Dishwashing Supplies</v>
      </c>
      <c r="O94" s="134"/>
      <c r="P94" s="134"/>
      <c r="Q94" s="134"/>
      <c r="R94" s="134"/>
      <c r="S94" s="134"/>
      <c r="T94" s="134"/>
      <c r="U94" s="134"/>
      <c r="V94" s="134"/>
      <c r="W94" s="134"/>
      <c r="X94" s="134"/>
      <c r="Y94" s="134"/>
      <c r="Z94" s="134"/>
      <c r="AA94" s="223">
        <f t="shared" si="35"/>
        <v>0</v>
      </c>
      <c r="AB94" s="138" t="str">
        <f t="shared" si="36"/>
        <v/>
      </c>
      <c r="AC94" s="136"/>
      <c r="AD94" s="134">
        <v>538.46249999999998</v>
      </c>
      <c r="AE94" s="138">
        <f t="shared" si="37"/>
        <v>1.922541157775441E-3</v>
      </c>
      <c r="AF94" s="137">
        <f t="shared" si="38"/>
        <v>-538.46249999999998</v>
      </c>
      <c r="AG94" s="134"/>
      <c r="AH94" s="138" t="str">
        <f t="shared" si="39"/>
        <v/>
      </c>
      <c r="AI94" s="137">
        <f t="shared" si="40"/>
        <v>0</v>
      </c>
      <c r="AJ94" s="458">
        <f t="shared" si="41"/>
        <v>0</v>
      </c>
      <c r="AK94" s="459">
        <f t="shared" si="42"/>
        <v>0.15</v>
      </c>
      <c r="AL94" s="460">
        <f t="shared" si="43"/>
        <v>0</v>
      </c>
      <c r="AM94" s="461">
        <f t="shared" si="44"/>
        <v>0</v>
      </c>
      <c r="AN94" s="462">
        <f t="shared" si="45"/>
        <v>0</v>
      </c>
      <c r="AO94" s="11"/>
    </row>
    <row r="95" spans="1:41" x14ac:dyDescent="0.25">
      <c r="A95" s="61" t="s">
        <v>13</v>
      </c>
      <c r="B95" s="62" t="s">
        <v>738</v>
      </c>
      <c r="C95" s="11"/>
      <c r="D95" s="11"/>
      <c r="E95" s="11"/>
      <c r="F95" s="11"/>
      <c r="G95" s="11"/>
      <c r="H95" s="84" t="s">
        <v>826</v>
      </c>
      <c r="I95" s="118" t="str">
        <f>IF(_epmOfflineCondition_,"N",_xll.EVPRO($B$1,$H95,"STYLE"))</f>
        <v>N</v>
      </c>
      <c r="J95" s="118" t="str">
        <f>IF(_epmOfflineCondition_,"N",_xll.EVPRO($B$1,$H95,"CALC"))</f>
        <v>N</v>
      </c>
      <c r="K95" s="175" t="str">
        <f t="shared" si="34"/>
        <v/>
      </c>
      <c r="L95" s="86" t="str">
        <f>IF(_epmOfflineCondition_,"702000",_xll.EVPRO($B$1,H95,"JDEID"))</f>
        <v>702000</v>
      </c>
      <c r="M95" s="86" t="str">
        <f>IF(_epmOfflineCondition_,"590031",IF(AND(I95="N",J95="N"),_xll.EVPRO($B$1,H95,"PSFTID"),""))</f>
        <v>590031</v>
      </c>
      <c r="N95" s="86" t="str">
        <f>IF(_epmOfflineCondition_,"Paper and Plastics",IF(_xll.EVDES(H95,$B$1)="#NODATA","",_xll.EVDES(H95,$B$1)))</f>
        <v>Paper and Plastics</v>
      </c>
      <c r="O95" s="134"/>
      <c r="P95" s="134"/>
      <c r="Q95" s="134"/>
      <c r="R95" s="134"/>
      <c r="S95" s="134"/>
      <c r="T95" s="134"/>
      <c r="U95" s="134"/>
      <c r="V95" s="134"/>
      <c r="W95" s="134"/>
      <c r="X95" s="134"/>
      <c r="Y95" s="134">
        <v>164.48</v>
      </c>
      <c r="Z95" s="134"/>
      <c r="AA95" s="223">
        <f t="shared" si="35"/>
        <v>164.48</v>
      </c>
      <c r="AB95" s="138">
        <f t="shared" si="36"/>
        <v>6.9969355226095706E-4</v>
      </c>
      <c r="AC95" s="136"/>
      <c r="AD95" s="134">
        <v>394.8725</v>
      </c>
      <c r="AE95" s="138">
        <f t="shared" si="37"/>
        <v>1.4098635157019901E-3</v>
      </c>
      <c r="AF95" s="137">
        <f t="shared" si="38"/>
        <v>-230.39250000000001</v>
      </c>
      <c r="AG95" s="134"/>
      <c r="AH95" s="138" t="str">
        <f t="shared" si="39"/>
        <v/>
      </c>
      <c r="AI95" s="137">
        <f t="shared" si="40"/>
        <v>164.48</v>
      </c>
      <c r="AJ95" s="458">
        <f t="shared" si="41"/>
        <v>5.9898033503277492E-2</v>
      </c>
      <c r="AK95" s="459">
        <f t="shared" si="42"/>
        <v>0.11</v>
      </c>
      <c r="AL95" s="460">
        <f t="shared" si="43"/>
        <v>0</v>
      </c>
      <c r="AM95" s="461" t="str">
        <f t="shared" si="44"/>
        <v>-0.07 pts.</v>
      </c>
      <c r="AN95" s="462">
        <f t="shared" si="45"/>
        <v>0</v>
      </c>
      <c r="AO95" s="11"/>
    </row>
    <row r="96" spans="1:41" x14ac:dyDescent="0.25">
      <c r="A96" s="61" t="s">
        <v>14</v>
      </c>
      <c r="B96" s="62"/>
      <c r="C96" s="11"/>
      <c r="D96" s="11"/>
      <c r="E96" s="11"/>
      <c r="F96" s="11"/>
      <c r="G96" s="11"/>
      <c r="H96" s="84" t="s">
        <v>793</v>
      </c>
      <c r="I96" s="118" t="str">
        <f>IF(_epmOfflineCondition_,"N",_xll.EVPRO($B$1,$H96,"STYLE"))</f>
        <v>N</v>
      </c>
      <c r="J96" s="118" t="str">
        <f>IF(_epmOfflineCondition_,"N",_xll.EVPRO($B$1,$H96,"CALC"))</f>
        <v>N</v>
      </c>
      <c r="K96" s="175" t="str">
        <f t="shared" si="34"/>
        <v/>
      </c>
      <c r="L96" s="86" t="str">
        <f>IF(_epmOfflineCondition_,"702300",_xll.EVPRO($B$1,H96,"JDEID"))</f>
        <v>702300</v>
      </c>
      <c r="M96" s="86" t="str">
        <f>IF(_epmOfflineCondition_,"590040",IF(AND(I96="N",J96="N"),_xll.EVPRO($B$1,H96,"PSFTID"),""))</f>
        <v>590040</v>
      </c>
      <c r="N96" s="86" t="str">
        <f>IF(_epmOfflineCondition_,"Decorations",IF(_xll.EVDES(H96,$B$1)="#NODATA","",_xll.EVDES(H96,$B$1)))</f>
        <v>Decorations</v>
      </c>
      <c r="O96" s="134"/>
      <c r="P96" s="134"/>
      <c r="Q96" s="134"/>
      <c r="R96" s="134"/>
      <c r="S96" s="134"/>
      <c r="T96" s="134"/>
      <c r="U96" s="134"/>
      <c r="V96" s="134">
        <v>118.53</v>
      </c>
      <c r="W96" s="134"/>
      <c r="X96" s="134"/>
      <c r="Y96" s="134"/>
      <c r="Z96" s="134"/>
      <c r="AA96" s="223">
        <f t="shared" si="35"/>
        <v>118.53</v>
      </c>
      <c r="AB96" s="138">
        <f t="shared" si="36"/>
        <v>5.0422347245556451E-4</v>
      </c>
      <c r="AC96" s="136"/>
      <c r="AD96" s="134"/>
      <c r="AE96" s="138" t="str">
        <f t="shared" si="37"/>
        <v/>
      </c>
      <c r="AF96" s="137">
        <f t="shared" si="38"/>
        <v>118.53</v>
      </c>
      <c r="AG96" s="134"/>
      <c r="AH96" s="138" t="str">
        <f t="shared" si="39"/>
        <v/>
      </c>
      <c r="AI96" s="137">
        <f t="shared" si="40"/>
        <v>118.53</v>
      </c>
      <c r="AJ96" s="458">
        <f t="shared" si="41"/>
        <v>4.3164603058994902E-2</v>
      </c>
      <c r="AK96" s="459">
        <f t="shared" si="42"/>
        <v>0</v>
      </c>
      <c r="AL96" s="460">
        <f t="shared" si="43"/>
        <v>0</v>
      </c>
      <c r="AM96" s="461">
        <f t="shared" si="44"/>
        <v>0</v>
      </c>
      <c r="AN96" s="462">
        <f t="shared" si="45"/>
        <v>0</v>
      </c>
      <c r="AO96" s="11"/>
    </row>
    <row r="97" spans="1:41" x14ac:dyDescent="0.25">
      <c r="A97" s="61" t="s">
        <v>15</v>
      </c>
      <c r="B97" s="62"/>
      <c r="C97" s="11"/>
      <c r="D97" s="11"/>
      <c r="E97" s="11"/>
      <c r="F97" s="11"/>
      <c r="G97" s="11"/>
      <c r="H97" s="84" t="s">
        <v>797</v>
      </c>
      <c r="I97" s="118" t="str">
        <f>IF(_epmOfflineCondition_,"T4",_xll.EVPRO($B$1,$H97,"STYLE"))</f>
        <v>T4</v>
      </c>
      <c r="J97" s="118" t="str">
        <f>IF(_epmOfflineCondition_,"Y",_xll.EVPRO($B$1,$H97,"CALC"))</f>
        <v>Y</v>
      </c>
      <c r="K97" s="175" t="str">
        <f t="shared" si="34"/>
        <v>&gt;</v>
      </c>
      <c r="L97" s="86" t="str">
        <f>IF(_epmOfflineCondition_,"703000",_xll.EVPRO($B$1,H97,"JDEID"))</f>
        <v>703000</v>
      </c>
      <c r="M97" s="86" t="str">
        <f>IF(_epmOfflineCondition_,"",IF(AND(I97="N",J97="N"),_xll.EVPRO($B$1,H97,"PSFTID"),""))</f>
        <v/>
      </c>
      <c r="N97" s="86" t="str">
        <f>IF(_epmOfflineCondition_,"Complimentary Services &amp; Gifts",IF(_xll.EVDES(H97,$B$1)="#NODATA","",_xll.EVDES(H97,$B$1)))</f>
        <v>Complimentary Services &amp; Gifts</v>
      </c>
      <c r="O97" s="134"/>
      <c r="P97" s="134"/>
      <c r="Q97" s="134"/>
      <c r="R97" s="134"/>
      <c r="S97" s="134"/>
      <c r="T97" s="134"/>
      <c r="U97" s="134"/>
      <c r="V97" s="134"/>
      <c r="W97" s="134"/>
      <c r="X97" s="134"/>
      <c r="Y97" s="134"/>
      <c r="Z97" s="134"/>
      <c r="AA97" s="223">
        <f t="shared" si="35"/>
        <v>0</v>
      </c>
      <c r="AB97" s="138" t="str">
        <f t="shared" si="36"/>
        <v/>
      </c>
      <c r="AC97" s="136"/>
      <c r="AD97" s="134">
        <v>1870.8975</v>
      </c>
      <c r="AE97" s="138">
        <f t="shared" si="37"/>
        <v>6.6799033279553886E-3</v>
      </c>
      <c r="AF97" s="137">
        <f t="shared" si="38"/>
        <v>-1870.8975</v>
      </c>
      <c r="AG97" s="134"/>
      <c r="AH97" s="138" t="str">
        <f t="shared" si="39"/>
        <v/>
      </c>
      <c r="AI97" s="137">
        <f t="shared" si="40"/>
        <v>0</v>
      </c>
      <c r="AJ97" s="458">
        <f t="shared" si="41"/>
        <v>0</v>
      </c>
      <c r="AK97" s="459">
        <f t="shared" si="42"/>
        <v>0.52117765861132392</v>
      </c>
      <c r="AL97" s="460">
        <f t="shared" si="43"/>
        <v>0</v>
      </c>
      <c r="AM97" s="461">
        <f t="shared" si="44"/>
        <v>0</v>
      </c>
      <c r="AN97" s="462">
        <f t="shared" si="45"/>
        <v>0</v>
      </c>
      <c r="AO97" s="11"/>
    </row>
    <row r="98" spans="1:41" x14ac:dyDescent="0.25">
      <c r="A98" s="61" t="s">
        <v>16</v>
      </c>
      <c r="B98" s="62" t="s">
        <v>78</v>
      </c>
      <c r="C98" s="11"/>
      <c r="D98" s="11"/>
      <c r="E98" s="11"/>
      <c r="F98" s="11"/>
      <c r="G98" s="11"/>
      <c r="H98" s="84" t="s">
        <v>800</v>
      </c>
      <c r="I98" s="118" t="str">
        <f>IF(_epmOfflineCondition_,"N",_xll.EVPRO($B$1,$H98,"STYLE"))</f>
        <v>N</v>
      </c>
      <c r="J98" s="118" t="str">
        <f>IF(_epmOfflineCondition_,"N",_xll.EVPRO($B$1,$H98,"CALC"))</f>
        <v>N</v>
      </c>
      <c r="K98" s="175" t="str">
        <f t="shared" si="34"/>
        <v/>
      </c>
      <c r="L98" s="86" t="str">
        <f>IF(_epmOfflineCondition_,"703300",_xll.EVPRO($B$1,H98,"JDEID"))</f>
        <v>703300</v>
      </c>
      <c r="M98" s="86" t="str">
        <f>IF(_epmOfflineCondition_,"590115",IF(AND(I98="N",J98="N"),_xll.EVPRO($B$1,H98,"PSFTID"),""))</f>
        <v>590115</v>
      </c>
      <c r="N98" s="86" t="str">
        <f>IF(_epmOfflineCondition_,"Uniforms Laundry",IF(_xll.EVDES(H98,$B$1)="#NODATA","",_xll.EVDES(H98,$B$1)))</f>
        <v>Uniforms Laundry</v>
      </c>
      <c r="O98" s="134"/>
      <c r="P98" s="134"/>
      <c r="Q98" s="134"/>
      <c r="R98" s="134"/>
      <c r="S98" s="134"/>
      <c r="T98" s="134"/>
      <c r="U98" s="134"/>
      <c r="V98" s="134"/>
      <c r="W98" s="134"/>
      <c r="X98" s="134"/>
      <c r="Y98" s="134"/>
      <c r="Z98" s="134"/>
      <c r="AA98" s="223">
        <f t="shared" si="35"/>
        <v>0</v>
      </c>
      <c r="AB98" s="138" t="str">
        <f t="shared" si="36"/>
        <v/>
      </c>
      <c r="AC98" s="136"/>
      <c r="AD98" s="134">
        <v>323.07749999999999</v>
      </c>
      <c r="AE98" s="138">
        <f t="shared" si="37"/>
        <v>1.1535246946652645E-3</v>
      </c>
      <c r="AF98" s="137">
        <f t="shared" si="38"/>
        <v>-323.07749999999999</v>
      </c>
      <c r="AG98" s="134"/>
      <c r="AH98" s="138" t="str">
        <f t="shared" si="39"/>
        <v/>
      </c>
      <c r="AI98" s="137">
        <f t="shared" si="40"/>
        <v>0</v>
      </c>
      <c r="AJ98" s="458">
        <f t="shared" si="41"/>
        <v>0</v>
      </c>
      <c r="AK98" s="459">
        <f t="shared" si="42"/>
        <v>0.09</v>
      </c>
      <c r="AL98" s="460">
        <f t="shared" si="43"/>
        <v>0</v>
      </c>
      <c r="AM98" s="461">
        <f t="shared" si="44"/>
        <v>0</v>
      </c>
      <c r="AN98" s="462">
        <f t="shared" si="45"/>
        <v>0</v>
      </c>
      <c r="AO98" s="11"/>
    </row>
    <row r="99" spans="1:41" x14ac:dyDescent="0.25">
      <c r="A99" s="61" t="s">
        <v>17</v>
      </c>
      <c r="B99" s="62"/>
      <c r="C99" s="11"/>
      <c r="D99" s="11"/>
      <c r="E99" s="11"/>
      <c r="F99" s="11"/>
      <c r="G99" s="11"/>
      <c r="H99" s="84" t="s">
        <v>827</v>
      </c>
      <c r="I99" s="118" t="str">
        <f>IF(_epmOfflineCondition_,"N",_xll.EVPRO($B$1,$H99,"STYLE"))</f>
        <v>N</v>
      </c>
      <c r="J99" s="118" t="str">
        <f>IF(_epmOfflineCondition_,"N",_xll.EVPRO($B$1,$H99,"CALC"))</f>
        <v>N</v>
      </c>
      <c r="K99" s="175" t="str">
        <f t="shared" si="34"/>
        <v/>
      </c>
      <c r="L99" s="86" t="str">
        <f>IF(_epmOfflineCondition_,"703400",_xll.EVPRO($B$1,H99,"JDEID"))</f>
        <v>703400</v>
      </c>
      <c r="M99" s="86" t="str">
        <f>IF(_epmOfflineCondition_,"590010",IF(AND(I99="N",J99="N"),_xll.EVPRO($B$1,H99,"PSFTID"),""))</f>
        <v>590010</v>
      </c>
      <c r="N99" s="86" t="str">
        <f>IF(_epmOfflineCondition_,"Linen",IF(_xll.EVDES(H99,$B$1)="#NODATA","",_xll.EVDES(H99,$B$1)))</f>
        <v>Linen</v>
      </c>
      <c r="O99" s="134"/>
      <c r="P99" s="134"/>
      <c r="Q99" s="134"/>
      <c r="R99" s="134"/>
      <c r="S99" s="134"/>
      <c r="T99" s="134">
        <v>43.57</v>
      </c>
      <c r="U99" s="134">
        <v>55.77</v>
      </c>
      <c r="V99" s="134">
        <v>43.23</v>
      </c>
      <c r="W99" s="134">
        <v>282.37</v>
      </c>
      <c r="X99" s="134">
        <v>41.75</v>
      </c>
      <c r="Y99" s="134">
        <v>242.34</v>
      </c>
      <c r="Z99" s="134">
        <v>209.91</v>
      </c>
      <c r="AA99" s="223">
        <f t="shared" si="35"/>
        <v>918.93999999999994</v>
      </c>
      <c r="AB99" s="138">
        <f t="shared" si="36"/>
        <v>3.9091463577011426E-3</v>
      </c>
      <c r="AC99" s="136"/>
      <c r="AD99" s="134">
        <v>574.36</v>
      </c>
      <c r="AE99" s="138">
        <f t="shared" si="37"/>
        <v>2.0507105682938038E-3</v>
      </c>
      <c r="AF99" s="137">
        <f t="shared" si="38"/>
        <v>344.57999999999993</v>
      </c>
      <c r="AG99" s="134"/>
      <c r="AH99" s="138" t="str">
        <f t="shared" si="39"/>
        <v/>
      </c>
      <c r="AI99" s="137">
        <f t="shared" si="40"/>
        <v>918.93999999999994</v>
      </c>
      <c r="AJ99" s="458">
        <f t="shared" si="41"/>
        <v>0.33464675892206847</v>
      </c>
      <c r="AK99" s="459">
        <f t="shared" si="42"/>
        <v>0.16</v>
      </c>
      <c r="AL99" s="460">
        <f t="shared" si="43"/>
        <v>0</v>
      </c>
      <c r="AM99" s="461" t="str">
        <f t="shared" si="44"/>
        <v>0.19 pts.</v>
      </c>
      <c r="AN99" s="462">
        <f t="shared" si="45"/>
        <v>0</v>
      </c>
      <c r="AO99" s="11"/>
    </row>
    <row r="100" spans="1:41" x14ac:dyDescent="0.25">
      <c r="A100" s="11"/>
      <c r="B100" s="11"/>
      <c r="C100" s="11"/>
      <c r="D100" s="11"/>
      <c r="E100" s="11"/>
      <c r="F100" s="11"/>
      <c r="G100" s="11"/>
      <c r="H100" s="84" t="s">
        <v>828</v>
      </c>
      <c r="I100" s="118" t="str">
        <f>IF(_epmOfflineCondition_,"N",_xll.EVPRO($B$1,$H100,"STYLE"))</f>
        <v>N</v>
      </c>
      <c r="J100" s="118" t="str">
        <f>IF(_epmOfflineCondition_,"N",_xll.EVPRO($B$1,$H100,"CALC"))</f>
        <v>N</v>
      </c>
      <c r="K100" s="175" t="str">
        <f t="shared" si="34"/>
        <v/>
      </c>
      <c r="L100" s="86" t="str">
        <f>IF(_epmOfflineCondition_,"703500",_xll.EVPRO($B$1,H100,"JDEID"))</f>
        <v>703500</v>
      </c>
      <c r="M100" s="86" t="str">
        <f>IF(_epmOfflineCondition_,"590004",IF(AND(I100="N",J100="N"),_xll.EVPRO($B$1,H100,"PSFTID"),""))</f>
        <v>590004</v>
      </c>
      <c r="N100" s="86" t="str">
        <f>IF(_epmOfflineCondition_,"China",IF(_xll.EVDES(H100,$B$1)="#NODATA","",_xll.EVDES(H100,$B$1)))</f>
        <v>China</v>
      </c>
      <c r="O100" s="134"/>
      <c r="P100" s="134"/>
      <c r="Q100" s="134"/>
      <c r="R100" s="134"/>
      <c r="S100" s="134"/>
      <c r="T100" s="134"/>
      <c r="U100" s="134"/>
      <c r="V100" s="134"/>
      <c r="W100" s="134"/>
      <c r="X100" s="134"/>
      <c r="Y100" s="134"/>
      <c r="Z100" s="134"/>
      <c r="AA100" s="223">
        <f t="shared" si="35"/>
        <v>0</v>
      </c>
      <c r="AB100" s="138" t="str">
        <f t="shared" si="36"/>
        <v/>
      </c>
      <c r="AC100" s="136"/>
      <c r="AD100" s="134">
        <v>1750</v>
      </c>
      <c r="AE100" s="138">
        <f t="shared" si="37"/>
        <v>6.2482476051851739E-3</v>
      </c>
      <c r="AF100" s="137">
        <f t="shared" si="38"/>
        <v>-1750</v>
      </c>
      <c r="AG100" s="134"/>
      <c r="AH100" s="138" t="str">
        <f t="shared" si="39"/>
        <v/>
      </c>
      <c r="AI100" s="137">
        <f t="shared" si="40"/>
        <v>0</v>
      </c>
      <c r="AJ100" s="458">
        <f t="shared" si="41"/>
        <v>0</v>
      </c>
      <c r="AK100" s="459">
        <f t="shared" si="42"/>
        <v>0.48749912946584023</v>
      </c>
      <c r="AL100" s="460">
        <f t="shared" si="43"/>
        <v>0</v>
      </c>
      <c r="AM100" s="461">
        <f t="shared" si="44"/>
        <v>0</v>
      </c>
      <c r="AN100" s="462">
        <f t="shared" si="45"/>
        <v>0</v>
      </c>
      <c r="AO100" s="11"/>
    </row>
    <row r="101" spans="1:41" x14ac:dyDescent="0.25">
      <c r="A101" s="93" t="s">
        <v>92</v>
      </c>
      <c r="B101" s="94" t="s">
        <v>93</v>
      </c>
      <c r="C101" s="94" t="s">
        <v>94</v>
      </c>
      <c r="D101" s="94" t="s">
        <v>95</v>
      </c>
      <c r="E101" s="94" t="s">
        <v>96</v>
      </c>
      <c r="F101" s="95" t="s">
        <v>97</v>
      </c>
      <c r="G101" s="11"/>
      <c r="H101" s="84" t="s">
        <v>831</v>
      </c>
      <c r="I101" s="118" t="str">
        <f>IF(_epmOfflineCondition_,"N",_xll.EVPRO($B$1,$H101,"STYLE"))</f>
        <v>N</v>
      </c>
      <c r="J101" s="118" t="str">
        <f>IF(_epmOfflineCondition_,"N",_xll.EVPRO($B$1,$H101,"CALC"))</f>
        <v>N</v>
      </c>
      <c r="K101" s="175" t="str">
        <f t="shared" si="34"/>
        <v/>
      </c>
      <c r="L101" s="86" t="str">
        <f>IF(_epmOfflineCondition_,"703800",_xll.EVPRO($B$1,H101,"JDEID"))</f>
        <v>703800</v>
      </c>
      <c r="M101" s="86" t="str">
        <f>IF(_epmOfflineCondition_,"690065",IF(AND(I101="N",J101="N"),_xll.EVPRO($B$1,H101,"PSFTID"),""))</f>
        <v>690065</v>
      </c>
      <c r="N101" s="86" t="str">
        <f>IF(_epmOfflineCondition_,"Equipment Rental",IF(_xll.EVDES(H101,$B$1)="#NODATA","",_xll.EVDES(H101,$B$1)))</f>
        <v>Equipment Rental</v>
      </c>
      <c r="O101" s="134">
        <v>1783.04</v>
      </c>
      <c r="P101" s="134">
        <v>352</v>
      </c>
      <c r="Q101" s="134"/>
      <c r="R101" s="134"/>
      <c r="S101" s="134"/>
      <c r="T101" s="134"/>
      <c r="U101" s="134"/>
      <c r="V101" s="134"/>
      <c r="W101" s="134"/>
      <c r="X101" s="134"/>
      <c r="Y101" s="134">
        <v>817</v>
      </c>
      <c r="Z101" s="134">
        <v>654</v>
      </c>
      <c r="AA101" s="223">
        <f t="shared" si="35"/>
        <v>3606.04</v>
      </c>
      <c r="AB101" s="138">
        <f t="shared" si="36"/>
        <v>1.5339998402207573E-2</v>
      </c>
      <c r="AC101" s="136"/>
      <c r="AD101" s="134"/>
      <c r="AE101" s="138" t="str">
        <f t="shared" si="37"/>
        <v/>
      </c>
      <c r="AF101" s="137">
        <f t="shared" si="38"/>
        <v>3606.04</v>
      </c>
      <c r="AG101" s="134">
        <v>680.62</v>
      </c>
      <c r="AH101" s="138">
        <f t="shared" si="39"/>
        <v>1.473728199759438E-2</v>
      </c>
      <c r="AI101" s="137">
        <f t="shared" si="40"/>
        <v>2925.42</v>
      </c>
      <c r="AJ101" s="458">
        <f t="shared" si="41"/>
        <v>1.31319737800437</v>
      </c>
      <c r="AK101" s="459">
        <f t="shared" si="42"/>
        <v>0</v>
      </c>
      <c r="AL101" s="460">
        <f t="shared" si="43"/>
        <v>1.1458249158249159</v>
      </c>
      <c r="AM101" s="461">
        <f t="shared" si="44"/>
        <v>0</v>
      </c>
      <c r="AN101" s="462" t="str">
        <f t="shared" si="45"/>
        <v>0.06 pts.</v>
      </c>
      <c r="AO101" s="11"/>
    </row>
    <row r="102" spans="1:41" x14ac:dyDescent="0.25">
      <c r="A102" s="11"/>
      <c r="B102" s="11"/>
      <c r="C102" s="11"/>
      <c r="D102" s="11"/>
      <c r="E102" s="11"/>
      <c r="F102" s="11"/>
      <c r="G102" s="11"/>
      <c r="H102" s="84" t="s">
        <v>832</v>
      </c>
      <c r="I102" s="118" t="str">
        <f>IF(_epmOfflineCondition_,"N",_xll.EVPRO($B$1,$H102,"STYLE"))</f>
        <v>N</v>
      </c>
      <c r="J102" s="118" t="str">
        <f>IF(_epmOfflineCondition_,"N",_xll.EVPRO($B$1,$H102,"CALC"))</f>
        <v>N</v>
      </c>
      <c r="K102" s="175" t="str">
        <f t="shared" si="34"/>
        <v/>
      </c>
      <c r="L102" s="86" t="str">
        <f>IF(_epmOfflineCondition_,"706110",_xll.EVPRO($B$1,H102,"JDEID"))</f>
        <v>706110</v>
      </c>
      <c r="M102" s="86" t="str">
        <f>IF(_epmOfflineCondition_,"590056",IF(AND(I102="N",J102="N"),_xll.EVPRO($B$1,H102,"PSFTID"),""))</f>
        <v>590056</v>
      </c>
      <c r="N102" s="86" t="str">
        <f>IF(_epmOfflineCondition_,"Kitchen Fuel",IF(_xll.EVDES(H102,$B$1)="#NODATA","",_xll.EVDES(H102,$B$1)))</f>
        <v>Kitchen Fuel</v>
      </c>
      <c r="O102" s="134"/>
      <c r="P102" s="134"/>
      <c r="Q102" s="134"/>
      <c r="R102" s="134"/>
      <c r="S102" s="134"/>
      <c r="T102" s="134"/>
      <c r="U102" s="134"/>
      <c r="V102" s="134"/>
      <c r="W102" s="134"/>
      <c r="X102" s="134"/>
      <c r="Y102" s="134">
        <v>148.94999999999999</v>
      </c>
      <c r="Z102" s="134"/>
      <c r="AA102" s="223">
        <f t="shared" si="35"/>
        <v>148.94999999999999</v>
      </c>
      <c r="AB102" s="138">
        <f t="shared" si="36"/>
        <v>6.3362934465752401E-4</v>
      </c>
      <c r="AC102" s="136"/>
      <c r="AD102" s="134"/>
      <c r="AE102" s="138" t="str">
        <f t="shared" si="37"/>
        <v/>
      </c>
      <c r="AF102" s="137">
        <f t="shared" si="38"/>
        <v>148.94999999999999</v>
      </c>
      <c r="AG102" s="134"/>
      <c r="AH102" s="138" t="str">
        <f t="shared" si="39"/>
        <v/>
      </c>
      <c r="AI102" s="137">
        <f t="shared" si="40"/>
        <v>148.94999999999999</v>
      </c>
      <c r="AJ102" s="458">
        <f t="shared" si="41"/>
        <v>5.4242534595775667E-2</v>
      </c>
      <c r="AK102" s="459">
        <f t="shared" si="42"/>
        <v>0</v>
      </c>
      <c r="AL102" s="460">
        <f t="shared" si="43"/>
        <v>0</v>
      </c>
      <c r="AM102" s="461">
        <f t="shared" si="44"/>
        <v>0</v>
      </c>
      <c r="AN102" s="462">
        <f t="shared" si="45"/>
        <v>0</v>
      </c>
      <c r="AO102" s="11"/>
    </row>
    <row r="103" spans="1:41" x14ac:dyDescent="0.25">
      <c r="A103" s="11" t="s">
        <v>108</v>
      </c>
      <c r="B103" s="11"/>
      <c r="C103" s="100" t="s">
        <v>101</v>
      </c>
      <c r="D103" s="11" t="s">
        <v>106</v>
      </c>
      <c r="E103" s="11"/>
      <c r="F103" s="11" t="s">
        <v>98</v>
      </c>
      <c r="G103" s="11"/>
      <c r="H103" s="84" t="s">
        <v>79</v>
      </c>
      <c r="I103" s="132" t="str">
        <f>IF(_epmOfflineCondition_,"T3",_xll.EVPRO($B$1,$H103,"STYLE"))</f>
        <v>T3</v>
      </c>
      <c r="J103" s="132" t="str">
        <f>IF(_epmOfflineCondition_,"Y",_xll.EVPRO($B$1,$H103,"CALC"))</f>
        <v>Y</v>
      </c>
      <c r="K103" s="100"/>
      <c r="L103" s="100"/>
      <c r="M103" s="100"/>
      <c r="N103" s="102" t="str">
        <f>IF(_epmOfflineCondition_,"Total Operations Expense",IF(_xll.EVDES(H103,$B$1)="#NODATA","",_xll.EVDES(H103,$B$1)))</f>
        <v>Total Operations Expense</v>
      </c>
      <c r="O103" s="146">
        <v>1985.91</v>
      </c>
      <c r="P103" s="146">
        <v>472.43</v>
      </c>
      <c r="Q103" s="146">
        <v>445.92</v>
      </c>
      <c r="R103" s="146">
        <v>568.54</v>
      </c>
      <c r="S103" s="146"/>
      <c r="T103" s="146">
        <v>129.25</v>
      </c>
      <c r="U103" s="146">
        <v>91.75</v>
      </c>
      <c r="V103" s="146">
        <v>2011.76</v>
      </c>
      <c r="W103" s="146">
        <v>354.34</v>
      </c>
      <c r="X103" s="146">
        <v>534.85</v>
      </c>
      <c r="Y103" s="146">
        <v>1483.75</v>
      </c>
      <c r="Z103" s="146">
        <v>877.74</v>
      </c>
      <c r="AA103" s="146">
        <f t="shared" si="35"/>
        <v>8956.2400000000016</v>
      </c>
      <c r="AB103" s="147">
        <f t="shared" si="36"/>
        <v>3.8099607128536453E-2</v>
      </c>
      <c r="AC103" s="136"/>
      <c r="AD103" s="146">
        <v>8238.9800000000105</v>
      </c>
      <c r="AE103" s="147">
        <f t="shared" si="37"/>
        <v>2.9416678316667777E-2</v>
      </c>
      <c r="AF103" s="148">
        <f t="shared" si="38"/>
        <v>717.25999999999112</v>
      </c>
      <c r="AG103" s="146">
        <v>1423.7</v>
      </c>
      <c r="AH103" s="147">
        <f t="shared" si="39"/>
        <v>3.0826993594039436E-2</v>
      </c>
      <c r="AI103" s="148">
        <f t="shared" si="40"/>
        <v>7532.5400000000018</v>
      </c>
      <c r="AJ103" s="431">
        <f t="shared" si="41"/>
        <v>3.2615586307356161</v>
      </c>
      <c r="AK103" s="432">
        <f t="shared" si="42"/>
        <v>2.2951403301065563</v>
      </c>
      <c r="AL103" s="433">
        <f t="shared" si="43"/>
        <v>2.3968013468013467</v>
      </c>
      <c r="AM103" s="434" t="str">
        <f t="shared" si="44"/>
        <v>0.87 pts.</v>
      </c>
      <c r="AN103" s="550" t="str">
        <f t="shared" si="45"/>
        <v>0.73 pts.</v>
      </c>
      <c r="AO103" s="11"/>
    </row>
    <row r="104" spans="1:41" x14ac:dyDescent="0.25">
      <c r="A104" s="11" t="s">
        <v>100</v>
      </c>
      <c r="B104" s="11"/>
      <c r="C104" s="49" t="s">
        <v>101</v>
      </c>
      <c r="D104" s="11" t="s">
        <v>106</v>
      </c>
      <c r="E104" s="11"/>
      <c r="F104" s="11" t="s">
        <v>98</v>
      </c>
      <c r="G104" s="11"/>
      <c r="H104" s="11"/>
      <c r="I104" s="55"/>
      <c r="J104" s="55"/>
      <c r="K104" s="11"/>
      <c r="L104" s="11"/>
      <c r="M104" s="11"/>
      <c r="N104" s="11"/>
      <c r="O104" s="136"/>
      <c r="P104" s="136"/>
      <c r="Q104" s="136"/>
      <c r="R104" s="136"/>
      <c r="S104" s="136"/>
      <c r="T104" s="136"/>
      <c r="U104" s="136"/>
      <c r="V104" s="136"/>
      <c r="W104" s="136"/>
      <c r="X104" s="136"/>
      <c r="Y104" s="136"/>
      <c r="Z104" s="136"/>
      <c r="AA104" s="136"/>
      <c r="AB104" s="136"/>
      <c r="AC104" s="136"/>
      <c r="AD104" s="136"/>
      <c r="AE104" s="136"/>
      <c r="AF104" s="136"/>
      <c r="AG104" s="136"/>
      <c r="AH104" s="136"/>
      <c r="AI104" s="136"/>
      <c r="AJ104" s="136"/>
      <c r="AK104" s="136"/>
      <c r="AL104" s="136"/>
      <c r="AM104" s="136"/>
      <c r="AN104" s="136"/>
      <c r="AO104" s="11"/>
    </row>
    <row r="105" spans="1:41" x14ac:dyDescent="0.25">
      <c r="A105" s="11" t="s">
        <v>109</v>
      </c>
      <c r="B105" s="11"/>
      <c r="C105" s="102" t="s">
        <v>101</v>
      </c>
      <c r="D105" s="11" t="s">
        <v>106</v>
      </c>
      <c r="E105" s="11"/>
      <c r="F105" s="11" t="s">
        <v>98</v>
      </c>
      <c r="G105" s="72"/>
      <c r="H105" s="84" t="s">
        <v>80</v>
      </c>
      <c r="I105" s="132" t="str">
        <f>IF(_epmOfflineCondition_,"T3",_xll.EVPRO($B$1,$H105,"STYLE"))</f>
        <v>T3</v>
      </c>
      <c r="J105" s="132" t="str">
        <f>IF(_epmOfflineCondition_,"Y",_xll.EVPRO($B$1,$H105,"CALC"))</f>
        <v>Y</v>
      </c>
      <c r="K105" s="102"/>
      <c r="L105" s="102"/>
      <c r="M105" s="102"/>
      <c r="N105" s="102" t="str">
        <f>IF(_epmOfflineCondition_,"Total Expenses",IF(_xll.EVDES(H105,$B$1)="#NODATA","",_xll.EVDES(H105,$B$1)))</f>
        <v>Total Expenses</v>
      </c>
      <c r="O105" s="210">
        <v>14212.69</v>
      </c>
      <c r="P105" s="210">
        <v>9152.61</v>
      </c>
      <c r="Q105" s="210">
        <v>7099.07</v>
      </c>
      <c r="R105" s="210">
        <v>4941.2700000000004</v>
      </c>
      <c r="S105" s="210">
        <v>3532.71</v>
      </c>
      <c r="T105" s="210">
        <v>1442.41</v>
      </c>
      <c r="U105" s="210">
        <v>857.45</v>
      </c>
      <c r="V105" s="210">
        <v>3213.25</v>
      </c>
      <c r="W105" s="210">
        <v>853.65</v>
      </c>
      <c r="X105" s="210">
        <v>7285.89</v>
      </c>
      <c r="Y105" s="210">
        <v>6286.36</v>
      </c>
      <c r="Z105" s="210">
        <v>5434.33</v>
      </c>
      <c r="AA105" s="210">
        <f>IF($I105="B1","",SUM(O105:Z105))</f>
        <v>64311.69</v>
      </c>
      <c r="AB105" s="211">
        <f>IF(AA105=0,"",IFERROR(AA105/AA$19,""))</f>
        <v>0.2735802214737687</v>
      </c>
      <c r="AC105" s="136"/>
      <c r="AD105" s="210">
        <v>75970.632333934496</v>
      </c>
      <c r="AE105" s="211">
        <f>IF(AD105=0,"",IFERROR(AD105/AD$19,""))</f>
        <v>0.2712476123113769</v>
      </c>
      <c r="AF105" s="212">
        <f>IF(AND($AA105="",AD105=""),"",$AA105-AD105)</f>
        <v>-11658.942333934494</v>
      </c>
      <c r="AG105" s="213">
        <v>6417.82</v>
      </c>
      <c r="AH105" s="214">
        <f>IF(AG105=0,"",IFERROR(AG105/AG$19,""))</f>
        <v>0.13896333218212978</v>
      </c>
      <c r="AI105" s="212">
        <f>IF(AND($AA105="",AG105=""),"",$AA105-AG105)</f>
        <v>57893.87</v>
      </c>
      <c r="AJ105" s="437">
        <f>IFERROR(AA105/AA$20,0)</f>
        <v>23.420134741442098</v>
      </c>
      <c r="AK105" s="438">
        <f>IFERROR(AD105/AD$20,0)</f>
        <v>21.163209787292846</v>
      </c>
      <c r="AL105" s="439">
        <f>IFERROR(AG105/AG$20,0)</f>
        <v>10.804410774410774</v>
      </c>
      <c r="AM105" s="440" t="str">
        <f>+IFERROR(ROUND(($AB105-AE105)*100,2)&amp;" pts.",0)</f>
        <v>0.23 pts.</v>
      </c>
      <c r="AN105" s="551" t="str">
        <f>+IFERROR(ROUND(($AB105-AH105)*100,2)&amp;" pts.",0)</f>
        <v>13.46 pts.</v>
      </c>
      <c r="AO105" s="11"/>
    </row>
    <row r="106" spans="1:41" ht="15.75" thickBot="1" x14ac:dyDescent="0.3">
      <c r="A106" s="11" t="s">
        <v>109</v>
      </c>
      <c r="B106" s="11"/>
      <c r="C106" s="192" t="s">
        <v>101</v>
      </c>
      <c r="D106" s="11" t="s">
        <v>107</v>
      </c>
      <c r="E106" s="11"/>
      <c r="F106" s="11" t="s">
        <v>99</v>
      </c>
      <c r="G106" s="11"/>
      <c r="H106" s="84" t="s">
        <v>81</v>
      </c>
      <c r="I106" s="132" t="str">
        <f>IF(_epmOfflineCondition_,"T3",_xll.EVPRO($B$1,$H106,"STYLE"))</f>
        <v>T3</v>
      </c>
      <c r="J106" s="132" t="str">
        <f>IF(_epmOfflineCondition_,"Y",_xll.EVPRO($B$1,$H106,"CALC"))</f>
        <v>Y</v>
      </c>
      <c r="K106" s="102"/>
      <c r="L106" s="102"/>
      <c r="M106" s="102"/>
      <c r="N106" s="102" t="str">
        <f>IF(_epmOfflineCondition_,"Department Profit (Loss)",IF(_xll.EVDES(H106,$B$1)="#NODATA","",_xll.EVDES(H106,$B$1)))</f>
        <v>Department Profit (Loss)</v>
      </c>
      <c r="O106" s="161">
        <v>22684.240000000002</v>
      </c>
      <c r="P106" s="161">
        <v>17702.650000000001</v>
      </c>
      <c r="Q106" s="161">
        <v>25101.87</v>
      </c>
      <c r="R106" s="161">
        <v>5012.08</v>
      </c>
      <c r="S106" s="161">
        <v>5379.91</v>
      </c>
      <c r="T106" s="161">
        <v>4223.6499999999996</v>
      </c>
      <c r="U106" s="161">
        <v>19596.37</v>
      </c>
      <c r="V106" s="161">
        <v>3179.34</v>
      </c>
      <c r="W106" s="161">
        <v>2079.9499999999998</v>
      </c>
      <c r="X106" s="161">
        <v>16023.33</v>
      </c>
      <c r="Y106" s="161">
        <v>9931.39</v>
      </c>
      <c r="Z106" s="161">
        <v>13008.57</v>
      </c>
      <c r="AA106" s="161">
        <f>IF($I106="B1","",SUM(O106:Z106))</f>
        <v>143923.34999999998</v>
      </c>
      <c r="AB106" s="162">
        <f>IF(AA106=0,"",IFERROR(AA106/AA$19,""))</f>
        <v>0.61224610903937871</v>
      </c>
      <c r="AC106" s="136"/>
      <c r="AD106" s="161">
        <v>160831.45697206599</v>
      </c>
      <c r="AE106" s="162">
        <f>IF(AD106=0,"",IFERROR(AD106/AD$19,""))</f>
        <v>0.57423700906523067</v>
      </c>
      <c r="AF106" s="163">
        <f>IF(AND($AA106="",AD106=""),"",$AA106-AD106)</f>
        <v>-16908.106972066016</v>
      </c>
      <c r="AG106" s="161">
        <v>35367.339999999997</v>
      </c>
      <c r="AH106" s="162">
        <f>IF(AG106=0,"",IFERROR(AG106/AG$19,""))</f>
        <v>0.76579951086479914</v>
      </c>
      <c r="AI106" s="163">
        <f>IF(AND($AA106="",AG106=""),"",$AA106-AG106)</f>
        <v>108556.00999999998</v>
      </c>
      <c r="AJ106" s="442">
        <f>IFERROR(AA106/AA$20,0)</f>
        <v>52.411999271667874</v>
      </c>
      <c r="AK106" s="443">
        <f>IFERROR(AD106/AD$20,0)</f>
        <v>44.802968722631377</v>
      </c>
      <c r="AL106" s="444">
        <f>IFERROR(AG106/AG$20,0)</f>
        <v>59.540976430976428</v>
      </c>
      <c r="AM106" s="445" t="str">
        <f>+IFERROR(ROUND(($AB106-AE106)*100,2)&amp;" pts.",0)</f>
        <v>3.8 pts.</v>
      </c>
      <c r="AN106" s="552" t="str">
        <f>+IFERROR(ROUND(($AB106-AH106)*100,2)&amp;" pts.",0)</f>
        <v>-15.36 pts.</v>
      </c>
      <c r="AO106" s="11"/>
    </row>
    <row r="107" spans="1:41" ht="15.75" thickTop="1" x14ac:dyDescent="0.25">
      <c r="A107" s="11" t="s">
        <v>110</v>
      </c>
      <c r="B107" s="11"/>
      <c r="C107" s="102" t="s">
        <v>101</v>
      </c>
      <c r="D107" s="11" t="s">
        <v>106</v>
      </c>
      <c r="E107" s="11"/>
      <c r="F107" s="11" t="s">
        <v>98</v>
      </c>
      <c r="G107" s="11"/>
      <c r="H107" s="11"/>
      <c r="I107" s="55"/>
      <c r="J107" s="55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x14ac:dyDescent="0.25">
      <c r="A108" s="11" t="s">
        <v>110</v>
      </c>
      <c r="B108" s="11"/>
      <c r="C108" s="105" t="s">
        <v>101</v>
      </c>
      <c r="D108" s="11" t="s">
        <v>107</v>
      </c>
      <c r="E108" s="11"/>
      <c r="F108" s="11" t="s">
        <v>99</v>
      </c>
      <c r="G108" s="11"/>
      <c r="H108" s="11"/>
      <c r="I108" s="55"/>
      <c r="J108" s="55"/>
      <c r="K108" s="11"/>
      <c r="L108" s="11"/>
      <c r="M108" s="11"/>
      <c r="N108" s="100" t="str">
        <f>N105&amp;" - Check"</f>
        <v>Total Expenses - Check</v>
      </c>
      <c r="O108" s="205">
        <f t="shared" ref="O108:AA108" si="46">SUMIF($H$35:$H$106,"600000",O$35:O$106)+SUMIF($H$35:$H$106,"700000",O$35:O$106)-SUMIF($H$35:$H$106,"TOTDEPTEXP",O$35:O$106)</f>
        <v>0</v>
      </c>
      <c r="P108" s="205">
        <f t="shared" si="46"/>
        <v>0</v>
      </c>
      <c r="Q108" s="205">
        <f t="shared" si="46"/>
        <v>0</v>
      </c>
      <c r="R108" s="205">
        <f t="shared" si="46"/>
        <v>0</v>
      </c>
      <c r="S108" s="205">
        <f t="shared" si="46"/>
        <v>0</v>
      </c>
      <c r="T108" s="205">
        <f t="shared" si="46"/>
        <v>0</v>
      </c>
      <c r="U108" s="205">
        <f t="shared" si="46"/>
        <v>0</v>
      </c>
      <c r="V108" s="205">
        <f t="shared" si="46"/>
        <v>0</v>
      </c>
      <c r="W108" s="205">
        <f t="shared" si="46"/>
        <v>0</v>
      </c>
      <c r="X108" s="205">
        <f t="shared" si="46"/>
        <v>0</v>
      </c>
      <c r="Y108" s="205">
        <f t="shared" si="46"/>
        <v>0</v>
      </c>
      <c r="Z108" s="205">
        <f t="shared" si="46"/>
        <v>0</v>
      </c>
      <c r="AA108" s="205">
        <f t="shared" si="46"/>
        <v>0</v>
      </c>
      <c r="AB108" s="96"/>
      <c r="AC108" s="11"/>
      <c r="AD108" s="205">
        <f>SUMIF($H$35:$H$106,"600000",AD$35:AD$106)+SUMIF($H$35:$H$106,"700000",AD$35:AD$106)-SUMIF($H$35:$H$106,"TOTDEPTEXP",AD$35:AD$106)</f>
        <v>0</v>
      </c>
      <c r="AE108" s="96"/>
      <c r="AF108" s="87"/>
      <c r="AG108" s="205">
        <f>SUMIF($H$35:$H$106,"600000",AG$35:AG$106)+SUMIF($H$35:$H$106,"700000",AG$35:AG$106)-SUMIF($H$35:$H$106,"TOTDEPTEXP",AG$35:AG$106)</f>
        <v>0</v>
      </c>
      <c r="AH108" s="96"/>
      <c r="AI108" s="87"/>
      <c r="AJ108" s="11"/>
      <c r="AK108" s="11"/>
      <c r="AL108" s="11"/>
      <c r="AM108" s="11"/>
      <c r="AN108" s="11"/>
      <c r="AO108" s="11"/>
    </row>
    <row r="109" spans="1:41" x14ac:dyDescent="0.25">
      <c r="A109" s="11"/>
      <c r="B109" s="11"/>
      <c r="C109" s="204"/>
      <c r="D109" s="11"/>
      <c r="E109" s="11"/>
      <c r="F109" s="11"/>
      <c r="G109" s="11"/>
      <c r="H109" s="11"/>
      <c r="I109" s="55"/>
      <c r="J109" s="55"/>
      <c r="K109" s="11"/>
      <c r="L109" s="11"/>
      <c r="M109" s="11"/>
      <c r="N109" s="100" t="str">
        <f>N106&amp;" - Check"</f>
        <v>Department Profit (Loss) - Check</v>
      </c>
      <c r="O109" s="205">
        <f t="shared" ref="O109:AA109" si="47">SUMIF($H$35:$H$106,"KPI_GP",O$35:O$106)-SUMIF($H$35:$H$106,"TOTDEPTEXP",O$35:O$106)-SUMIF($H$35:$H$106,"TOTDEPTPL",O$35:O$106)</f>
        <v>0</v>
      </c>
      <c r="P109" s="205">
        <f t="shared" si="47"/>
        <v>0</v>
      </c>
      <c r="Q109" s="205">
        <f t="shared" si="47"/>
        <v>0</v>
      </c>
      <c r="R109" s="205">
        <f t="shared" si="47"/>
        <v>0</v>
      </c>
      <c r="S109" s="205">
        <f t="shared" si="47"/>
        <v>0</v>
      </c>
      <c r="T109" s="205">
        <f t="shared" si="47"/>
        <v>0</v>
      </c>
      <c r="U109" s="205">
        <f t="shared" si="47"/>
        <v>0</v>
      </c>
      <c r="V109" s="205">
        <f t="shared" si="47"/>
        <v>0</v>
      </c>
      <c r="W109" s="205">
        <f t="shared" si="47"/>
        <v>0</v>
      </c>
      <c r="X109" s="205">
        <f t="shared" si="47"/>
        <v>0</v>
      </c>
      <c r="Y109" s="205">
        <f t="shared" si="47"/>
        <v>0</v>
      </c>
      <c r="Z109" s="205">
        <f t="shared" si="47"/>
        <v>0</v>
      </c>
      <c r="AA109" s="205">
        <f t="shared" si="47"/>
        <v>0</v>
      </c>
      <c r="AB109" s="96"/>
      <c r="AC109" s="11"/>
      <c r="AD109" s="205">
        <f>SUMIF($H$35:$H$106,"KPI_GP",AD$35:AD$106)-SUMIF($H$35:$H$106,"TOTDEPTEXP",AD$35:AD$106)-SUMIF($H$35:$H$106,"TOTDEPTPL",AD$35:AD$106)</f>
        <v>-4.9476511776447296E-10</v>
      </c>
      <c r="AE109" s="96"/>
      <c r="AF109" s="87"/>
      <c r="AG109" s="205">
        <f>SUMIF($H$35:$H$106,"KPI_GP",AG$35:AG$106)-SUMIF($H$35:$H$106,"TOTDEPTEXP",AG$35:AG$106)-SUMIF($H$35:$H$106,"TOTDEPTPL",AG$35:AG$106)</f>
        <v>0</v>
      </c>
      <c r="AH109" s="96"/>
      <c r="AI109" s="87"/>
      <c r="AJ109" s="11"/>
      <c r="AK109" s="11"/>
      <c r="AL109" s="11"/>
      <c r="AM109" s="11"/>
      <c r="AN109" s="11"/>
      <c r="AO109" s="11"/>
    </row>
    <row r="110" spans="1:41" x14ac:dyDescent="0.25">
      <c r="A110" s="11"/>
      <c r="B110" s="11"/>
      <c r="C110" s="11"/>
      <c r="D110" s="11"/>
      <c r="E110" s="11"/>
      <c r="F110" s="11"/>
      <c r="G110" s="11"/>
      <c r="H110" s="11"/>
      <c r="I110" s="55"/>
      <c r="J110" s="55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x14ac:dyDescent="0.25">
      <c r="A111" s="56" t="str">
        <f>IF(_epmOfflineCondition_,"Evdre:Ok",_xll.EVDRE($B$1,A114:B121))</f>
        <v>Evdre:Ok</v>
      </c>
      <c r="B111" s="11" t="s">
        <v>737</v>
      </c>
      <c r="C111" s="11"/>
      <c r="D111" s="11"/>
      <c r="E111" s="11"/>
      <c r="F111" s="11"/>
      <c r="G111" s="11"/>
      <c r="H111" s="11"/>
      <c r="I111" s="55"/>
      <c r="J111" s="55"/>
      <c r="K111" s="11"/>
      <c r="L111" s="11"/>
      <c r="M111" s="11"/>
      <c r="N111" s="11"/>
      <c r="O111" s="133"/>
      <c r="P111" s="133"/>
      <c r="Q111" s="133"/>
      <c r="R111" s="133"/>
      <c r="S111" s="133"/>
      <c r="T111" s="133"/>
      <c r="U111" s="133"/>
      <c r="V111" s="133"/>
      <c r="W111" s="133"/>
      <c r="X111" s="133"/>
      <c r="Y111" s="133"/>
      <c r="Z111" s="133"/>
      <c r="AA111" s="133"/>
      <c r="AB111" s="11"/>
      <c r="AC111" s="11"/>
      <c r="AD111" s="133"/>
      <c r="AE111" s="11"/>
      <c r="AF111" s="11"/>
      <c r="AG111" s="133"/>
      <c r="AH111" s="11"/>
      <c r="AI111" s="11"/>
      <c r="AJ111" s="11"/>
      <c r="AK111" s="11"/>
      <c r="AL111" s="11"/>
      <c r="AM111" s="11"/>
      <c r="AN111" s="11"/>
      <c r="AO111" s="11"/>
    </row>
    <row r="112" spans="1:41" x14ac:dyDescent="0.25">
      <c r="A112" s="11"/>
      <c r="B112" s="11"/>
      <c r="C112" s="11"/>
      <c r="D112" s="11"/>
      <c r="E112" s="11"/>
      <c r="F112" s="11"/>
      <c r="G112" s="11"/>
      <c r="H112" s="11"/>
      <c r="I112" s="55"/>
      <c r="J112" s="55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x14ac:dyDescent="0.25">
      <c r="A113" s="57" t="s">
        <v>0</v>
      </c>
      <c r="B113" s="58" t="s">
        <v>1</v>
      </c>
      <c r="C113" s="11"/>
      <c r="D113" s="11"/>
      <c r="E113" s="11"/>
      <c r="F113" s="11"/>
      <c r="G113" s="11"/>
      <c r="H113" s="11"/>
      <c r="I113" s="55"/>
      <c r="J113" s="55"/>
      <c r="K113" s="11"/>
      <c r="L113" s="11"/>
      <c r="M113" s="11"/>
      <c r="N113" s="11"/>
      <c r="O113" s="133"/>
      <c r="P113" s="133"/>
      <c r="Q113" s="133"/>
      <c r="R113" s="133"/>
      <c r="S113" s="133"/>
      <c r="T113" s="133"/>
      <c r="U113" s="133"/>
      <c r="V113" s="133"/>
      <c r="W113" s="133"/>
      <c r="X113" s="133"/>
      <c r="Y113" s="133"/>
      <c r="Z113" s="133"/>
      <c r="AA113" s="133"/>
      <c r="AB113" s="11"/>
      <c r="AC113" s="11"/>
      <c r="AD113" s="133"/>
      <c r="AE113" s="11"/>
      <c r="AF113" s="11"/>
      <c r="AG113" s="133"/>
      <c r="AH113" s="11"/>
      <c r="AI113" s="11"/>
      <c r="AJ113" s="11"/>
      <c r="AK113" s="11"/>
      <c r="AL113" s="11"/>
      <c r="AM113" s="11"/>
      <c r="AN113" s="11"/>
      <c r="AO113" s="11"/>
    </row>
    <row r="114" spans="1:41" x14ac:dyDescent="0.25">
      <c r="A114" s="61" t="s">
        <v>2</v>
      </c>
      <c r="B114" s="62" t="str">
        <f>IF(_epmOfflineCondition_,"'BCC'!$B$2:$B$10",_xll.EVRNG($B$2:$B$10))</f>
        <v>'BCC'!$B$2:$B$10</v>
      </c>
      <c r="C114" s="11"/>
      <c r="D114" s="11"/>
      <c r="E114" s="11"/>
      <c r="F114" s="11"/>
      <c r="G114" s="11"/>
      <c r="H114" s="11"/>
      <c r="I114" s="55"/>
      <c r="J114" s="55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x14ac:dyDescent="0.25">
      <c r="A115" s="61" t="s">
        <v>3</v>
      </c>
      <c r="B115" s="62" t="str">
        <f>IF(_epmOfflineCondition_,"'BCC'!$O$16:$AN$18",_xll.EVRNG($O$16:$AN$18))</f>
        <v>'BCC'!$O$16:$AN$18</v>
      </c>
      <c r="C115" s="11"/>
      <c r="D115" s="11"/>
      <c r="E115" s="11"/>
      <c r="F115" s="11"/>
      <c r="G115" s="11"/>
      <c r="H115" s="11"/>
      <c r="I115" s="55"/>
      <c r="J115" s="55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x14ac:dyDescent="0.25">
      <c r="A116" s="61" t="s">
        <v>4</v>
      </c>
      <c r="B116" s="62" t="str">
        <f>IF(_epmOfflineCondition_,"'BCC'!$H$103:$H$106",_xll.EVRNG(H103:H106))</f>
        <v>'BCC'!$H$103:$H$106</v>
      </c>
      <c r="C116" s="11"/>
      <c r="D116" s="11"/>
      <c r="E116" s="11"/>
      <c r="F116" s="11"/>
      <c r="G116" s="11"/>
      <c r="H116" s="55"/>
      <c r="I116" s="55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x14ac:dyDescent="0.25">
      <c r="A117" s="61" t="s">
        <v>5</v>
      </c>
      <c r="B117" s="62"/>
      <c r="C117" s="11"/>
      <c r="D117" s="11"/>
      <c r="E117" s="11"/>
      <c r="F117" s="11"/>
      <c r="G117" s="11"/>
      <c r="H117" s="55"/>
      <c r="I117" s="55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x14ac:dyDescent="0.25">
      <c r="A118" s="61" t="s">
        <v>6</v>
      </c>
      <c r="B118" s="62"/>
      <c r="C118" s="11"/>
      <c r="D118" s="11"/>
      <c r="E118" s="11"/>
      <c r="F118" s="11"/>
      <c r="G118" s="11"/>
      <c r="H118" s="55"/>
      <c r="I118" s="55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x14ac:dyDescent="0.25">
      <c r="A119" s="61" t="s">
        <v>7</v>
      </c>
      <c r="B119" s="62"/>
      <c r="C119" s="11"/>
      <c r="D119" s="11"/>
      <c r="E119" s="11"/>
      <c r="F119" s="11"/>
      <c r="G119" s="11"/>
      <c r="H119" s="55"/>
      <c r="I119" s="55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x14ac:dyDescent="0.25">
      <c r="A120" s="61" t="s">
        <v>47</v>
      </c>
      <c r="B120" s="62" t="str">
        <f>IF(_epmOfflineCondition_,"'BCC'!$A$125:$B$146",_xll.EVRNG($A$125:$B$146))</f>
        <v>'BCC'!$A$125:$B$146</v>
      </c>
      <c r="C120" s="11"/>
      <c r="D120" s="11"/>
      <c r="E120" s="11"/>
      <c r="F120" s="11"/>
      <c r="G120" s="11"/>
      <c r="H120" s="55"/>
      <c r="I120" s="55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x14ac:dyDescent="0.25">
      <c r="A121" s="61" t="s">
        <v>8</v>
      </c>
      <c r="B121" s="62"/>
      <c r="C121" s="11"/>
      <c r="D121" s="11"/>
      <c r="E121" s="11"/>
      <c r="F121" s="11"/>
      <c r="G121" s="11"/>
      <c r="H121" s="55"/>
      <c r="I121" s="55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x14ac:dyDescent="0.25">
      <c r="A122" s="11"/>
      <c r="B122" s="11"/>
      <c r="C122" s="11"/>
      <c r="D122" s="11"/>
      <c r="E122" s="11"/>
      <c r="F122" s="11"/>
      <c r="G122" s="11"/>
      <c r="H122" s="55"/>
      <c r="I122" s="55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x14ac:dyDescent="0.25">
      <c r="A123" s="11"/>
      <c r="B123" s="11"/>
      <c r="C123" s="11"/>
      <c r="D123" s="11"/>
      <c r="E123" s="11"/>
      <c r="F123" s="11"/>
      <c r="G123" s="11"/>
      <c r="H123" s="55"/>
      <c r="I123" s="55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x14ac:dyDescent="0.25">
      <c r="A124" s="57" t="s">
        <v>23</v>
      </c>
      <c r="B124" s="58" t="s">
        <v>24</v>
      </c>
      <c r="C124" s="11"/>
      <c r="D124" s="11"/>
      <c r="E124" s="11"/>
      <c r="F124" s="11"/>
      <c r="G124" s="11"/>
      <c r="H124" s="55"/>
      <c r="I124" s="55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x14ac:dyDescent="0.25">
      <c r="A125" s="61" t="s">
        <v>25</v>
      </c>
      <c r="B125" s="62"/>
      <c r="C125" s="11"/>
      <c r="D125" s="11"/>
      <c r="E125" s="11"/>
      <c r="F125" s="11"/>
      <c r="G125" s="11"/>
      <c r="H125" s="55"/>
      <c r="I125" s="55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x14ac:dyDescent="0.25">
      <c r="A126" s="61" t="s">
        <v>26</v>
      </c>
      <c r="B126" s="62"/>
      <c r="C126" s="11"/>
      <c r="D126" s="11"/>
      <c r="E126" s="11"/>
      <c r="F126" s="11"/>
      <c r="G126" s="11"/>
      <c r="H126" s="55"/>
      <c r="I126" s="55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x14ac:dyDescent="0.25">
      <c r="A127" s="61" t="s">
        <v>27</v>
      </c>
      <c r="B127" s="62"/>
      <c r="C127" s="11"/>
      <c r="D127" s="11"/>
      <c r="E127" s="11"/>
      <c r="F127" s="11"/>
      <c r="G127" s="11"/>
      <c r="H127" s="55"/>
      <c r="I127" s="55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x14ac:dyDescent="0.25">
      <c r="A128" s="61" t="s">
        <v>28</v>
      </c>
      <c r="B128" s="62"/>
      <c r="C128" s="11"/>
      <c r="D128" s="11"/>
      <c r="E128" s="11"/>
      <c r="F128" s="11"/>
      <c r="G128" s="11"/>
      <c r="H128" s="55"/>
      <c r="I128" s="55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</row>
    <row r="129" spans="1:41" x14ac:dyDescent="0.25">
      <c r="A129" s="61" t="s">
        <v>29</v>
      </c>
      <c r="B129" s="62"/>
      <c r="C129" s="11"/>
      <c r="D129" s="11"/>
      <c r="E129" s="11"/>
      <c r="F129" s="11"/>
      <c r="G129" s="11"/>
      <c r="H129" s="55"/>
      <c r="I129" s="55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x14ac:dyDescent="0.25">
      <c r="A130" s="61" t="s">
        <v>30</v>
      </c>
      <c r="B130" s="62" t="s">
        <v>78</v>
      </c>
      <c r="C130" s="11"/>
      <c r="D130" s="11"/>
      <c r="E130" s="11"/>
      <c r="F130" s="11"/>
      <c r="G130" s="11"/>
      <c r="H130" s="55"/>
      <c r="I130" s="55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x14ac:dyDescent="0.25">
      <c r="A131" s="61" t="s">
        <v>31</v>
      </c>
      <c r="B131" s="62" t="s">
        <v>78</v>
      </c>
      <c r="C131" s="11"/>
      <c r="D131" s="11"/>
      <c r="E131" s="11"/>
      <c r="F131" s="11"/>
      <c r="G131" s="11"/>
      <c r="H131" s="55"/>
      <c r="I131" s="55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x14ac:dyDescent="0.25">
      <c r="A132" s="61" t="s">
        <v>32</v>
      </c>
      <c r="B132" s="62"/>
      <c r="C132" s="11"/>
      <c r="D132" s="11"/>
      <c r="E132" s="11"/>
      <c r="F132" s="11"/>
      <c r="G132" s="11"/>
      <c r="H132" s="55"/>
      <c r="I132" s="55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x14ac:dyDescent="0.25">
      <c r="A133" s="61" t="s">
        <v>33</v>
      </c>
      <c r="B133" s="62"/>
      <c r="C133" s="11"/>
      <c r="D133" s="11"/>
      <c r="E133" s="11"/>
      <c r="F133" s="11"/>
      <c r="G133" s="11"/>
      <c r="H133" s="55"/>
      <c r="I133" s="55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x14ac:dyDescent="0.25">
      <c r="A134" s="61" t="s">
        <v>34</v>
      </c>
      <c r="B134" s="62"/>
      <c r="C134" s="11"/>
      <c r="D134" s="11"/>
      <c r="E134" s="11"/>
      <c r="F134" s="11"/>
      <c r="G134" s="11"/>
      <c r="H134" s="55"/>
      <c r="I134" s="55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x14ac:dyDescent="0.25">
      <c r="A135" s="61" t="s">
        <v>35</v>
      </c>
      <c r="B135" s="62"/>
      <c r="C135" s="11"/>
      <c r="D135" s="11"/>
      <c r="E135" s="11"/>
      <c r="F135" s="11"/>
      <c r="G135" s="11"/>
      <c r="H135" s="55"/>
      <c r="I135" s="55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x14ac:dyDescent="0.25">
      <c r="A136" s="61" t="s">
        <v>36</v>
      </c>
      <c r="B136" s="62"/>
      <c r="C136" s="11"/>
      <c r="D136" s="11"/>
      <c r="E136" s="11"/>
      <c r="F136" s="11"/>
      <c r="G136" s="11"/>
      <c r="H136" s="55"/>
      <c r="I136" s="55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x14ac:dyDescent="0.25">
      <c r="A137" s="61" t="s">
        <v>37</v>
      </c>
      <c r="B137" s="62"/>
      <c r="C137" s="11"/>
      <c r="D137" s="11"/>
      <c r="E137" s="11"/>
      <c r="F137" s="11"/>
      <c r="G137" s="11"/>
      <c r="H137" s="55"/>
      <c r="I137" s="55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x14ac:dyDescent="0.25">
      <c r="A138" s="61" t="s">
        <v>38</v>
      </c>
      <c r="B138" s="62"/>
      <c r="C138" s="11"/>
      <c r="D138" s="11"/>
      <c r="E138" s="11"/>
      <c r="F138" s="11"/>
      <c r="G138" s="11"/>
      <c r="H138" s="55"/>
      <c r="I138" s="55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x14ac:dyDescent="0.25">
      <c r="A139" s="61" t="s">
        <v>39</v>
      </c>
      <c r="B139" s="62"/>
      <c r="C139" s="11"/>
      <c r="D139" s="11"/>
      <c r="E139" s="11"/>
      <c r="F139" s="11"/>
      <c r="G139" s="11"/>
      <c r="H139" s="11"/>
      <c r="I139" s="55"/>
      <c r="J139" s="55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x14ac:dyDescent="0.25">
      <c r="A140" s="61" t="s">
        <v>40</v>
      </c>
      <c r="B140" s="62"/>
      <c r="C140" s="11"/>
      <c r="D140" s="11"/>
      <c r="E140" s="11"/>
      <c r="F140" s="11"/>
      <c r="G140" s="11"/>
      <c r="H140" s="11"/>
      <c r="I140" s="55"/>
      <c r="J140" s="55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</row>
    <row r="141" spans="1:41" x14ac:dyDescent="0.25">
      <c r="A141" s="61" t="s">
        <v>41</v>
      </c>
      <c r="B141" s="62"/>
      <c r="C141" s="11"/>
      <c r="D141" s="11"/>
      <c r="E141" s="11"/>
      <c r="F141" s="11"/>
      <c r="G141" s="11"/>
      <c r="H141" s="11"/>
      <c r="I141" s="55"/>
      <c r="J141" s="55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x14ac:dyDescent="0.25">
      <c r="A142" s="61" t="s">
        <v>42</v>
      </c>
      <c r="B142" s="62"/>
      <c r="C142" s="11"/>
      <c r="D142" s="11"/>
      <c r="E142" s="11"/>
      <c r="F142" s="11"/>
      <c r="G142" s="11"/>
      <c r="H142" s="11"/>
      <c r="I142" s="55"/>
      <c r="J142" s="55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</row>
    <row r="143" spans="1:41" x14ac:dyDescent="0.25">
      <c r="A143" s="61" t="s">
        <v>43</v>
      </c>
      <c r="B143" s="62"/>
      <c r="C143" s="11"/>
      <c r="D143" s="11"/>
      <c r="E143" s="11"/>
      <c r="F143" s="11"/>
      <c r="G143" s="11"/>
      <c r="H143" s="11"/>
      <c r="I143" s="55"/>
      <c r="J143" s="55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x14ac:dyDescent="0.25">
      <c r="A144" s="61" t="s">
        <v>44</v>
      </c>
      <c r="B144" s="62"/>
      <c r="C144" s="11"/>
      <c r="D144" s="11"/>
      <c r="E144" s="11"/>
      <c r="F144" s="11"/>
      <c r="G144" s="11"/>
      <c r="H144" s="11"/>
      <c r="I144" s="55"/>
      <c r="J144" s="55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</row>
    <row r="145" spans="1:41" x14ac:dyDescent="0.25">
      <c r="A145" s="61" t="s">
        <v>45</v>
      </c>
      <c r="B145" s="62"/>
      <c r="C145" s="11"/>
      <c r="D145" s="11"/>
      <c r="E145" s="11"/>
      <c r="F145" s="11"/>
      <c r="G145" s="11"/>
      <c r="H145" s="11"/>
      <c r="I145" s="55"/>
      <c r="J145" s="55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</row>
    <row r="146" spans="1:41" x14ac:dyDescent="0.25">
      <c r="A146" s="61" t="s">
        <v>46</v>
      </c>
      <c r="B146" s="62"/>
      <c r="C146" s="11"/>
      <c r="D146" s="11"/>
      <c r="E146" s="11"/>
      <c r="F146" s="11"/>
      <c r="G146" s="11"/>
      <c r="H146" s="11"/>
      <c r="I146" s="55"/>
      <c r="J146" s="55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</row>
    <row r="147" spans="1:41" x14ac:dyDescent="0.25">
      <c r="A147" s="11"/>
      <c r="B147" s="11"/>
      <c r="C147" s="11"/>
      <c r="D147" s="11"/>
      <c r="E147" s="11"/>
      <c r="F147" s="11"/>
      <c r="G147" s="11"/>
      <c r="H147" s="11"/>
      <c r="I147" s="55"/>
      <c r="J147" s="55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</row>
    <row r="148" spans="1:41" x14ac:dyDescent="0.25">
      <c r="A148" s="11"/>
      <c r="B148" s="11"/>
      <c r="C148" s="11"/>
      <c r="D148" s="11"/>
      <c r="E148" s="11"/>
      <c r="F148" s="11"/>
      <c r="G148" s="11"/>
      <c r="H148" s="11"/>
      <c r="I148" s="55"/>
      <c r="J148" s="55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x14ac:dyDescent="0.25">
      <c r="A149" s="11"/>
      <c r="B149" s="11"/>
      <c r="C149" s="11"/>
      <c r="D149" s="11"/>
      <c r="E149" s="11"/>
      <c r="F149" s="11"/>
      <c r="G149" s="11"/>
      <c r="H149" s="11"/>
      <c r="I149" s="55"/>
      <c r="J149" s="55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</row>
    <row r="150" spans="1:41" x14ac:dyDescent="0.25">
      <c r="A150" s="11"/>
      <c r="B150" s="11"/>
      <c r="C150" s="11"/>
      <c r="D150" s="11"/>
      <c r="E150" s="11"/>
      <c r="F150" s="11"/>
      <c r="G150" s="11"/>
      <c r="H150" s="11"/>
      <c r="I150" s="55"/>
      <c r="J150" s="55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x14ac:dyDescent="0.25">
      <c r="A151" s="11"/>
      <c r="B151" s="11"/>
      <c r="C151" s="11"/>
      <c r="D151" s="11"/>
      <c r="E151" s="11"/>
      <c r="F151" s="11"/>
      <c r="G151" s="11"/>
      <c r="H151" s="11"/>
      <c r="I151" s="55"/>
      <c r="J151" s="55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</row>
    <row r="152" spans="1:41" x14ac:dyDescent="0.25">
      <c r="A152" s="11"/>
      <c r="B152" s="11"/>
      <c r="C152" s="11"/>
      <c r="D152" s="11"/>
      <c r="E152" s="11"/>
      <c r="F152" s="11"/>
      <c r="G152" s="11"/>
      <c r="H152" s="11"/>
      <c r="I152" s="55"/>
      <c r="J152" s="55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x14ac:dyDescent="0.25">
      <c r="A153" s="11"/>
      <c r="B153" s="11"/>
      <c r="C153" s="11"/>
      <c r="D153" s="11"/>
      <c r="E153" s="11"/>
      <c r="F153" s="11"/>
      <c r="G153" s="11"/>
      <c r="H153" s="11"/>
      <c r="I153" s="55"/>
      <c r="J153" s="55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x14ac:dyDescent="0.25">
      <c r="A154" s="11"/>
      <c r="B154" s="11"/>
      <c r="C154" s="11"/>
      <c r="D154" s="11"/>
      <c r="E154" s="11"/>
      <c r="F154" s="11"/>
      <c r="G154" s="11"/>
      <c r="H154" s="11"/>
      <c r="I154" s="55"/>
      <c r="J154" s="55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x14ac:dyDescent="0.25">
      <c r="A155" s="11"/>
      <c r="B155" s="11"/>
      <c r="C155" s="11"/>
      <c r="D155" s="11"/>
      <c r="E155" s="11"/>
      <c r="F155" s="11"/>
      <c r="G155" s="11"/>
      <c r="H155" s="11"/>
      <c r="I155" s="55"/>
      <c r="J155" s="55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x14ac:dyDescent="0.25">
      <c r="A156" s="11"/>
      <c r="B156" s="11"/>
      <c r="C156" s="11"/>
      <c r="D156" s="11"/>
      <c r="E156" s="11"/>
      <c r="F156" s="11"/>
      <c r="G156" s="11"/>
      <c r="H156" s="11"/>
      <c r="I156" s="55"/>
      <c r="J156" s="55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x14ac:dyDescent="0.25">
      <c r="A157" s="11"/>
      <c r="B157" s="11"/>
      <c r="C157" s="11"/>
      <c r="D157" s="11"/>
      <c r="E157" s="11"/>
      <c r="F157" s="11"/>
      <c r="G157" s="11"/>
      <c r="H157" s="11"/>
      <c r="I157" s="55"/>
      <c r="J157" s="55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</row>
    <row r="158" spans="1:41" x14ac:dyDescent="0.25">
      <c r="A158" s="11"/>
      <c r="B158" s="11"/>
      <c r="C158" s="11"/>
      <c r="D158" s="11"/>
      <c r="E158" s="11"/>
      <c r="F158" s="11"/>
      <c r="G158" s="11"/>
      <c r="H158" s="11"/>
      <c r="I158" s="55"/>
      <c r="J158" s="55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</row>
    <row r="159" spans="1:41" x14ac:dyDescent="0.25">
      <c r="A159" s="11"/>
      <c r="B159" s="11"/>
      <c r="C159" s="11"/>
      <c r="D159" s="11"/>
      <c r="E159" s="11"/>
      <c r="F159" s="11"/>
      <c r="G159" s="11"/>
      <c r="H159" s="11"/>
      <c r="I159" s="55"/>
      <c r="J159" s="55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</row>
    <row r="160" spans="1:41" x14ac:dyDescent="0.25">
      <c r="A160" s="11"/>
      <c r="B160" s="11"/>
      <c r="C160" s="11"/>
      <c r="D160" s="11"/>
      <c r="E160" s="11"/>
      <c r="F160" s="11"/>
      <c r="G160" s="11"/>
      <c r="H160" s="11"/>
      <c r="I160" s="55"/>
      <c r="J160" s="55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</row>
    <row r="161" spans="1:41" x14ac:dyDescent="0.25">
      <c r="A161" s="11"/>
      <c r="B161" s="11"/>
      <c r="C161" s="11"/>
      <c r="D161" s="11"/>
      <c r="E161" s="11"/>
      <c r="F161" s="11"/>
      <c r="G161" s="11"/>
      <c r="H161" s="11"/>
      <c r="I161" s="55"/>
      <c r="J161" s="55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</row>
    <row r="162" spans="1:41" x14ac:dyDescent="0.25">
      <c r="A162" s="11"/>
      <c r="B162" s="11"/>
      <c r="C162" s="11"/>
      <c r="D162" s="11"/>
      <c r="E162" s="11"/>
      <c r="F162" s="11"/>
      <c r="G162" s="11"/>
      <c r="H162" s="11"/>
      <c r="I162" s="55"/>
      <c r="J162" s="55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</row>
    <row r="163" spans="1:41" x14ac:dyDescent="0.25">
      <c r="A163" s="11"/>
      <c r="B163" s="11"/>
      <c r="C163" s="11"/>
      <c r="D163" s="11"/>
      <c r="E163" s="263"/>
      <c r="F163" s="11"/>
      <c r="G163" s="11"/>
      <c r="H163" s="11"/>
      <c r="I163" s="55"/>
      <c r="J163" s="55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</row>
    <row r="164" spans="1:41" x14ac:dyDescent="0.25">
      <c r="A164" s="11"/>
      <c r="B164" s="11"/>
      <c r="C164" s="11"/>
      <c r="D164" s="11"/>
      <c r="E164" s="11"/>
      <c r="F164" s="11"/>
      <c r="G164" s="11"/>
      <c r="H164" s="11"/>
      <c r="I164" s="55"/>
      <c r="J164" s="55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</row>
    <row r="165" spans="1:41" x14ac:dyDescent="0.25">
      <c r="A165" s="11"/>
      <c r="B165" s="11"/>
      <c r="C165" s="11"/>
      <c r="D165" s="11"/>
      <c r="E165" s="11"/>
      <c r="F165" s="11"/>
      <c r="G165" s="11"/>
      <c r="H165" s="11"/>
      <c r="I165" s="55"/>
      <c r="J165" s="55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</row>
    <row r="166" spans="1:41" x14ac:dyDescent="0.25">
      <c r="A166" s="11"/>
      <c r="B166" s="11"/>
      <c r="C166" s="11"/>
      <c r="D166" s="11"/>
      <c r="E166" s="11"/>
      <c r="F166" s="11"/>
      <c r="G166" s="11"/>
      <c r="H166" s="11"/>
      <c r="I166" s="55"/>
      <c r="J166" s="55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</row>
    <row r="167" spans="1:41" x14ac:dyDescent="0.25">
      <c r="A167" s="11"/>
      <c r="B167" s="11"/>
      <c r="C167" s="11"/>
      <c r="D167" s="11"/>
      <c r="E167" s="263"/>
      <c r="F167" s="11"/>
      <c r="G167" s="263"/>
      <c r="H167" s="11"/>
      <c r="I167" s="55"/>
      <c r="J167" s="55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</row>
    <row r="168" spans="1:41" x14ac:dyDescent="0.25">
      <c r="A168" s="11"/>
      <c r="B168" s="11"/>
      <c r="C168" s="11"/>
      <c r="D168" s="11"/>
      <c r="E168" s="11"/>
      <c r="F168" s="11"/>
      <c r="G168" s="11"/>
      <c r="H168" s="11"/>
      <c r="I168" s="55"/>
      <c r="J168" s="55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</row>
    <row r="169" spans="1:41" x14ac:dyDescent="0.25">
      <c r="A169" s="11"/>
      <c r="B169" s="11"/>
      <c r="C169" s="11"/>
      <c r="D169" s="11"/>
      <c r="E169" s="11"/>
      <c r="F169" s="11"/>
      <c r="G169" s="11"/>
      <c r="H169" s="11"/>
      <c r="I169" s="55"/>
      <c r="J169" s="55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</row>
    <row r="170" spans="1:41" x14ac:dyDescent="0.25">
      <c r="A170" s="11"/>
      <c r="B170" s="11"/>
      <c r="C170" s="11"/>
      <c r="D170" s="11"/>
      <c r="E170" s="11"/>
      <c r="F170" s="11"/>
      <c r="G170" s="11"/>
      <c r="H170" s="11"/>
      <c r="I170" s="55"/>
      <c r="J170" s="55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</row>
    <row r="171" spans="1:41" x14ac:dyDescent="0.25">
      <c r="A171" s="11"/>
      <c r="B171" s="11"/>
      <c r="C171" s="11"/>
      <c r="D171" s="11"/>
      <c r="E171" s="11"/>
      <c r="F171" s="11"/>
      <c r="G171" s="263"/>
      <c r="H171" s="11"/>
      <c r="I171" s="55"/>
      <c r="J171" s="55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</row>
    <row r="172" spans="1:41" x14ac:dyDescent="0.25">
      <c r="A172" s="11"/>
      <c r="B172" s="11"/>
      <c r="C172" s="11"/>
      <c r="D172" s="11"/>
      <c r="E172" s="11"/>
      <c r="F172" s="11"/>
      <c r="G172" s="11"/>
      <c r="H172" s="11"/>
      <c r="I172" s="55"/>
      <c r="J172" s="55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</row>
    <row r="173" spans="1:41" x14ac:dyDescent="0.25">
      <c r="A173" s="11"/>
      <c r="B173" s="11"/>
      <c r="C173" s="11"/>
      <c r="D173" s="11"/>
      <c r="E173" s="11"/>
      <c r="F173" s="11"/>
      <c r="G173" s="11"/>
      <c r="H173" s="11"/>
      <c r="I173" s="55"/>
      <c r="J173" s="55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</row>
    <row r="174" spans="1:41" x14ac:dyDescent="0.25">
      <c r="A174" s="11"/>
      <c r="B174" s="11"/>
      <c r="C174" s="11"/>
      <c r="D174" s="11"/>
      <c r="E174" s="11"/>
      <c r="F174" s="11"/>
      <c r="G174" s="11"/>
      <c r="H174" s="11"/>
      <c r="I174" s="55"/>
      <c r="J174" s="55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</row>
    <row r="175" spans="1:41" x14ac:dyDescent="0.25">
      <c r="A175" s="11"/>
      <c r="B175" s="11"/>
      <c r="C175" s="11"/>
      <c r="D175" s="11"/>
      <c r="E175" s="11"/>
      <c r="F175" s="11"/>
      <c r="G175" s="11"/>
      <c r="H175" s="11"/>
      <c r="I175" s="55"/>
      <c r="J175" s="55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</row>
    <row r="176" spans="1:41" x14ac:dyDescent="0.25">
      <c r="A176" s="11"/>
      <c r="B176" s="11"/>
      <c r="C176" s="11"/>
      <c r="D176" s="11"/>
      <c r="E176" s="11"/>
      <c r="F176" s="11"/>
      <c r="G176" s="11"/>
      <c r="H176" s="11"/>
      <c r="I176" s="55"/>
      <c r="J176" s="55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</row>
    <row r="177" spans="1:41" x14ac:dyDescent="0.25">
      <c r="A177" s="11"/>
      <c r="B177" s="11"/>
      <c r="C177" s="11"/>
      <c r="D177" s="11"/>
      <c r="E177" s="11"/>
      <c r="F177" s="11"/>
      <c r="G177" s="11"/>
      <c r="H177" s="11"/>
      <c r="I177" s="55"/>
      <c r="J177" s="55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</row>
    <row r="178" spans="1:41" x14ac:dyDescent="0.25">
      <c r="A178" s="11"/>
      <c r="B178" s="11"/>
      <c r="C178" s="11"/>
      <c r="D178" s="11"/>
      <c r="E178" s="11"/>
      <c r="F178" s="11"/>
      <c r="G178" s="11"/>
      <c r="H178" s="11"/>
      <c r="I178" s="55"/>
      <c r="J178" s="55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</row>
    <row r="179" spans="1:41" x14ac:dyDescent="0.25">
      <c r="A179" s="11"/>
      <c r="B179" s="11"/>
      <c r="C179" s="11"/>
      <c r="D179" s="11"/>
      <c r="E179" s="11"/>
      <c r="F179" s="11"/>
      <c r="G179" s="11"/>
      <c r="H179" s="11"/>
      <c r="I179" s="263"/>
      <c r="J179" s="11"/>
      <c r="K179" s="263"/>
      <c r="L179" s="263"/>
      <c r="M179" s="263"/>
      <c r="N179" s="11"/>
      <c r="O179" s="263"/>
      <c r="P179" s="263"/>
      <c r="Q179" s="263"/>
      <c r="R179" s="263"/>
      <c r="S179" s="263"/>
      <c r="T179" s="263"/>
      <c r="U179" s="263"/>
      <c r="V179" s="263"/>
      <c r="W179" s="263"/>
      <c r="X179" s="263"/>
      <c r="Y179" s="263"/>
      <c r="Z179" s="263"/>
      <c r="AA179" s="263"/>
      <c r="AB179" s="11"/>
      <c r="AC179" s="11"/>
      <c r="AD179" s="263"/>
      <c r="AE179" s="11"/>
      <c r="AF179" s="263"/>
      <c r="AG179" s="11"/>
      <c r="AH179" s="263"/>
      <c r="AI179" s="11"/>
      <c r="AJ179" s="11"/>
      <c r="AK179" s="11"/>
      <c r="AL179" s="11"/>
      <c r="AM179" s="11"/>
      <c r="AN179" s="11"/>
      <c r="AO179" s="11"/>
    </row>
    <row r="180" spans="1:41" x14ac:dyDescent="0.25">
      <c r="A180" s="11"/>
      <c r="B180" s="11"/>
      <c r="C180" s="11"/>
      <c r="D180" s="11"/>
      <c r="E180" s="11"/>
      <c r="F180" s="11"/>
      <c r="G180" s="11"/>
      <c r="H180" s="11"/>
      <c r="I180" s="55"/>
      <c r="J180" s="55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</row>
    <row r="181" spans="1:41" x14ac:dyDescent="0.25">
      <c r="A181" s="11"/>
      <c r="B181" s="11"/>
      <c r="C181" s="11"/>
      <c r="D181" s="11"/>
      <c r="E181" s="11"/>
      <c r="F181" s="11"/>
      <c r="G181" s="11"/>
      <c r="H181" s="11"/>
      <c r="I181" s="55"/>
      <c r="J181" s="55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</row>
    <row r="182" spans="1:41" x14ac:dyDescent="0.25">
      <c r="A182" s="11"/>
      <c r="B182" s="11"/>
      <c r="C182" s="11"/>
      <c r="D182" s="11"/>
      <c r="E182" s="11"/>
      <c r="F182" s="11"/>
      <c r="G182" s="11"/>
      <c r="H182" s="11"/>
      <c r="I182" s="55"/>
      <c r="J182" s="55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</row>
    <row r="183" spans="1:41" x14ac:dyDescent="0.25">
      <c r="A183" s="11"/>
      <c r="B183" s="11"/>
      <c r="C183" s="11"/>
      <c r="D183" s="11"/>
      <c r="E183" s="11"/>
      <c r="F183" s="11"/>
      <c r="G183" s="11"/>
      <c r="H183" s="11"/>
      <c r="I183" s="263"/>
      <c r="J183" s="11"/>
      <c r="K183" s="263"/>
      <c r="L183" s="263"/>
      <c r="M183" s="263"/>
      <c r="N183" s="11"/>
      <c r="O183" s="263"/>
      <c r="P183" s="263"/>
      <c r="Q183" s="263"/>
      <c r="R183" s="263"/>
      <c r="S183" s="263"/>
      <c r="T183" s="263"/>
      <c r="U183" s="263"/>
      <c r="V183" s="263"/>
      <c r="W183" s="263"/>
      <c r="X183" s="263"/>
      <c r="Y183" s="263"/>
      <c r="Z183" s="263"/>
      <c r="AA183" s="263"/>
      <c r="AB183" s="11"/>
      <c r="AC183" s="11"/>
      <c r="AD183" s="263"/>
      <c r="AE183" s="11"/>
      <c r="AF183" s="263"/>
      <c r="AG183" s="11"/>
      <c r="AH183" s="263"/>
      <c r="AI183" s="11"/>
      <c r="AJ183" s="11"/>
      <c r="AK183" s="11"/>
      <c r="AL183" s="11"/>
      <c r="AM183" s="11"/>
      <c r="AN183" s="11"/>
      <c r="AO183" s="11"/>
    </row>
  </sheetData>
  <sheetProtection algorithmName="SHA-512" hashValue="QggUnicj243Ti8ZH7B0fCEpmCql0pZAlKq6sPiA77pDp+vYUjeTXzxylYBAbqGmBCH+I5iAMRUZ3nXXu9h8wCw==" saltValue="WwMY6UJAF2FKDc8IULfD2w==" spinCount="100000" sheet="1" scenarios="1"/>
  <mergeCells count="2">
    <mergeCell ref="AD31:AE31"/>
    <mergeCell ref="AG31:AH31"/>
  </mergeCells>
  <dataValidations disablePrompts="1" count="2">
    <dataValidation type="list" allowBlank="1" sqref="B95 B29 B62" xr:uid="{00000000-0002-0000-1300-000000000000}">
      <formula1>"SELF,ALL,BAS,DEP,BASMEMBERS,MEMBERS,NOEXPAND,GDEP"</formula1>
    </dataValidation>
    <dataValidation type="list" allowBlank="1" sqref="B94 B28 B61" xr:uid="{00000000-0002-0000-1300-000001000000}">
      <formula1>"ACCOUNT,BUSINESSUNIT,CATEGORY,DATASRC,DEPARTMENT,INTCO,MEASURES,RPTCURRENCY,TIME"</formula1>
    </dataValidation>
  </dataValidations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customProperties>
    <customPr name="EpmWorksheetKeyString_GUID" r:id="rId2"/>
    <customPr name="FPMExcelClientCellBasedFunctionStatus" r:id="rId3"/>
    <customPr name="FPMExcelClientRefreshTime" r:id="rId4"/>
  </customProperties>
  <legacyDrawing r:id="rId5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1">
    <tabColor theme="6" tint="0.39997558519241921"/>
    <pageSetUpPr fitToPage="1"/>
  </sheetPr>
  <dimension ref="A1:AI213"/>
  <sheetViews>
    <sheetView topLeftCell="K25" zoomScale="85" zoomScaleNormal="85" workbookViewId="0">
      <pane xSplit="4" ySplit="8" topLeftCell="O33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3" width="9.7109375" style="1" hidden="1" customWidth="1" outlineLevel="1"/>
    <col min="14" max="14" width="38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16384" width="9.140625" style="1"/>
  </cols>
  <sheetData>
    <row r="1" spans="1:35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63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</row>
    <row r="2" spans="1:35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11"/>
      <c r="H4" s="11"/>
      <c r="I4" s="55"/>
      <c r="J4" s="55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11"/>
      <c r="H5" s="11"/>
      <c r="I5" s="55"/>
      <c r="J5" s="55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idden="1" outlineLevel="1" x14ac:dyDescent="0.25">
      <c r="A6" s="49" t="s">
        <v>52</v>
      </c>
      <c r="B6" s="52" t="s">
        <v>347</v>
      </c>
      <c r="C6" s="11" t="str">
        <f>IF(_epmOfflineCondition_,"Banquet-Catering &amp; CS",_xll.EVDES(B6,$B$1))</f>
        <v>Banquet-Catering &amp; CS</v>
      </c>
      <c r="D6" s="11"/>
      <c r="E6" s="54" t="str">
        <f>IF(_epmOfflineCondition_,"D2148",_xll.EVPRO($B$1,$B$6,$F$6))</f>
        <v>D2148</v>
      </c>
      <c r="F6" s="11" t="s">
        <v>278</v>
      </c>
      <c r="G6" s="11"/>
      <c r="H6" s="11"/>
      <c r="I6" s="55"/>
      <c r="J6" s="55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11"/>
      <c r="H7" s="11"/>
      <c r="I7" s="55"/>
      <c r="J7" s="55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11"/>
      <c r="H8" s="11"/>
      <c r="I8" s="55"/>
      <c r="J8" s="55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59" t="str">
        <f>IF(SetUp!$O$1=TRUE,"TRAILING12",IF(AA17="CURRENT","ROLLINGFORECAST","PERIODIC"))</f>
        <v>PERIODIC</v>
      </c>
      <c r="AB11" s="11"/>
      <c r="AC11" s="11"/>
      <c r="AD11" s="11"/>
      <c r="AE11" s="11"/>
      <c r="AF11" s="11"/>
      <c r="AG11" s="11"/>
      <c r="AH11" s="11"/>
      <c r="AI11" s="11"/>
    </row>
    <row r="12" spans="1:35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11"/>
      <c r="M12" s="11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</row>
    <row r="13" spans="1:35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11"/>
      <c r="M13" s="11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</row>
    <row r="14" spans="1:35" hidden="1" outlineLevel="1" x14ac:dyDescent="0.25">
      <c r="A14" s="56" t="str">
        <f>IF(_epmOfflineCondition_,"Evdre:Ok",_xll.EVDRE($B$1,A17:B24))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11"/>
      <c r="M14" s="11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</row>
    <row r="15" spans="1:35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11"/>
      <c r="M15" s="11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</row>
    <row r="16" spans="1:35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11"/>
      <c r="M16" s="11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</row>
    <row r="17" spans="1:35" hidden="1" outlineLevel="1" x14ac:dyDescent="0.25">
      <c r="A17" s="61" t="s">
        <v>2</v>
      </c>
      <c r="B17" s="62" t="str">
        <f>IF(_epmOfflineCondition_,"'BCC_KPI'!$B$2:$B$10",_xll.EVRNG($B$2:$B$10))</f>
        <v>'BCC_KPI'!$B$2:$B$10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11"/>
      <c r="M17" s="11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 t="str">
        <f>Z17</f>
        <v>ACTUAL_CON</v>
      </c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</row>
    <row r="18" spans="1:35" hidden="1" outlineLevel="1" x14ac:dyDescent="0.25">
      <c r="A18" s="61" t="s">
        <v>3</v>
      </c>
      <c r="B18" s="62" t="str">
        <f>IF(_epmOfflineCondition_,"'BCC_KPI'!$O$16:$AI$18",_xll.EVRNG(O16:AI18))</f>
        <v>'BCC_KPI'!$O$16:$AI$18</v>
      </c>
      <c r="C18" s="11"/>
      <c r="D18" s="11"/>
      <c r="E18" s="11"/>
      <c r="F18" s="11"/>
      <c r="G18" s="11"/>
      <c r="H18" s="11"/>
      <c r="I18" s="55"/>
      <c r="J18" s="55"/>
      <c r="K18" s="11"/>
      <c r="L18" s="11"/>
      <c r="M18" s="11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59" t="str">
        <f>AA11</f>
        <v>PERIODIC</v>
      </c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</row>
    <row r="19" spans="1:35" hidden="1" outlineLevel="1" x14ac:dyDescent="0.25">
      <c r="A19" s="61" t="s">
        <v>4</v>
      </c>
      <c r="B19" s="62" t="str">
        <f>IF(_epmOfflineCondition_,"'BCC_KPI'!$H$35:$H$148",_xll.EVRNG(H35:H148))</f>
        <v>'BCC_KPI'!$H$35:$H$148</v>
      </c>
      <c r="C19" s="11"/>
      <c r="D19" s="11"/>
      <c r="E19" s="11"/>
      <c r="F19" s="11"/>
      <c r="G19" s="63" t="str">
        <f>$B$6</f>
        <v>D_BCC_CON</v>
      </c>
      <c r="H19" s="63" t="s">
        <v>273</v>
      </c>
      <c r="I19" s="64"/>
      <c r="J19" s="64"/>
      <c r="K19" s="63"/>
      <c r="L19" s="63"/>
      <c r="M19" s="63"/>
      <c r="N19" s="63" t="str">
        <f>IF(_epmOfflineCondition_,"Total Food &amp; Beverage Revenue",_xll.EVDES(H19))</f>
        <v>Total Food &amp; Beverage Revenue</v>
      </c>
      <c r="O19" s="65">
        <f>IF(_epmOfflineCondition_,26251.2,_xll.EVGTS($B$1,1,$B$3,$B$5,$B$7,$B$9,O$16,O$17,O$18,$G$19,$H$19))</f>
        <v>26251.200000000001</v>
      </c>
      <c r="P19" s="65">
        <f>IF(_epmOfflineCondition_,22382.95,_xll.EVGTS($B$1,1,$B$3,$B$5,$B$7,$B$9,P$16,P$17,P$18,$G$19,$H$19))</f>
        <v>22382.95</v>
      </c>
      <c r="Q19" s="65">
        <f>IF(_epmOfflineCondition_,19817.6,_xll.EVGTS($B$1,1,$B$3,$B$5,$B$7,$B$9,Q$16,Q$17,Q$18,$G$19,$H$19))</f>
        <v>19817.599999999999</v>
      </c>
      <c r="R19" s="65">
        <f>IF(_epmOfflineCondition_,4647,_xll.EVGTS($B$1,1,$B$3,$B$5,$B$7,$B$9,R$16,R$17,R$18,$G$19,$H$19))</f>
        <v>4647</v>
      </c>
      <c r="S19" s="65">
        <f>IF(_epmOfflineCondition_,4653,_xll.EVGTS($B$1,1,$B$3,$B$5,$B$7,$B$9,S$16,S$17,S$18,$G$19,$H$19))</f>
        <v>4653</v>
      </c>
      <c r="T19" s="65">
        <f>IF(_epmOfflineCondition_,1549,_xll.EVGTS($B$1,1,$B$3,$B$5,$B$7,$B$9,T$16,T$17,T$18,$G$19,$H$19))</f>
        <v>1549</v>
      </c>
      <c r="U19" s="65">
        <f>IF(_epmOfflineCondition_,2239,_xll.EVGTS($B$1,1,$B$3,$B$5,$B$7,$B$9,U$16,U$17,U$18,$G$19,$H$19))</f>
        <v>2239</v>
      </c>
      <c r="V19" s="65">
        <f>IF(_epmOfflineCondition_,2472,_xll.EVGTS($B$1,1,$B$3,$B$5,$B$7,$B$9,V$16,V$17,V$18,$G$19,$H$19))</f>
        <v>2472</v>
      </c>
      <c r="W19" s="65">
        <f>IF(_epmOfflineCondition_,1418,_xll.EVGTS($B$1,1,$B$3,$B$5,$B$7,$B$9,W$16,W$17,W$18,$G$19,$H$19))</f>
        <v>1418</v>
      </c>
      <c r="X19" s="65">
        <f>IF(_epmOfflineCondition_,19928.96,_xll.EVGTS($B$1,1,$B$3,$B$5,$B$7,$B$9,X$16,X$17,X$18,$G$19,$H$19))</f>
        <v>19928.96</v>
      </c>
      <c r="Y19" s="65">
        <f>IF(_epmOfflineCondition_,12412,_xll.EVGTS($B$1,1,$B$3,$B$5,$B$7,$B$9,Y$16,Y$17,Y$18,$G$19,$H$19))</f>
        <v>12412</v>
      </c>
      <c r="Z19" s="65">
        <f>IF(_epmOfflineCondition_,12059,_xll.EVGTS($B$1,1,$B$3,$B$5,$B$7,$B$9,Z$16,Z$17,Z$18,$G$19,$H$19))</f>
        <v>12059</v>
      </c>
      <c r="AA19" s="65">
        <f>SUM(O19:Z19)</f>
        <v>129829.70999999999</v>
      </c>
      <c r="AB19" s="63"/>
      <c r="AC19" s="63"/>
      <c r="AD19" s="65">
        <f>IF(_epmOfflineCondition_,210896.8273,_xll.EVGTS($B$1,1,$B$3,$B$5,$B$7,$B$9,AD$16,AD$17,AD$18,$G$19,$H$19))</f>
        <v>210896.8273</v>
      </c>
      <c r="AE19" s="63"/>
      <c r="AF19" s="63"/>
      <c r="AG19" s="65">
        <f>IF(_epmOfflineCondition_,27620.33,_xll.EVGTS($B$1,1,$B$3,$B$5,$B$7,$B$9,AG$16,AG$17,AG$18,$G$19,$H$19))</f>
        <v>27620.33</v>
      </c>
      <c r="AH19" s="63"/>
      <c r="AI19" s="63"/>
    </row>
    <row r="20" spans="1:35" hidden="1" outlineLevel="1" x14ac:dyDescent="0.25">
      <c r="A20" s="61" t="s">
        <v>5</v>
      </c>
      <c r="B20" s="62"/>
      <c r="C20" s="11"/>
      <c r="D20" s="11"/>
      <c r="E20" s="11"/>
      <c r="F20" s="11"/>
      <c r="G20" s="63" t="str">
        <f>$B$6</f>
        <v>D_BCC_CON</v>
      </c>
      <c r="H20" s="63">
        <v>946000</v>
      </c>
      <c r="I20" s="64"/>
      <c r="J20" s="64"/>
      <c r="K20" s="63"/>
      <c r="L20" s="63"/>
      <c r="M20" s="63"/>
      <c r="N20" s="63" t="str">
        <f>IF(_epmOfflineCondition_,"Total Customers",_xll.EVDES(H20))</f>
        <v>Total Customers</v>
      </c>
      <c r="O20" s="65">
        <f>IF(_epmOfflineCondition_,444,_xll.EVGTS($B$1,1,$B$3,$B$5,$B$7,$B$9,O$16,O$17,O$18,$G$20,$H$20))</f>
        <v>444</v>
      </c>
      <c r="P20" s="65">
        <f>IF(_epmOfflineCondition_,609,_xll.EVGTS($B$1,1,$B$3,$B$5,$B$7,$B$9,P$16,P$17,P$18,$G$20,$H$20))</f>
        <v>609</v>
      </c>
      <c r="Q20" s="65">
        <f>IF(_epmOfflineCondition_,396,_xll.EVGTS($B$1,1,$B$3,$B$5,$B$7,$B$9,Q$16,Q$17,Q$18,$G$20,$H$20))</f>
        <v>396</v>
      </c>
      <c r="R20" s="65">
        <f>IF(_epmOfflineCondition_,50,_xll.EVGTS($B$1,1,$B$3,$B$5,$B$7,$B$9,R$16,R$17,R$18,$G$20,$H$20))</f>
        <v>50</v>
      </c>
      <c r="S20" s="65">
        <f>IF(_epmOfflineCondition_,147,_xll.EVGTS($B$1,1,$B$3,$B$5,$B$7,$B$9,S$16,S$17,S$18,$G$20,$H$20))</f>
        <v>147</v>
      </c>
      <c r="T20" s="65">
        <f>IF(_epmOfflineCondition_,46,_xll.EVGTS($B$1,1,$B$3,$B$5,$B$7,$B$9,T$16,T$17,T$18,$G$20,$H$20))</f>
        <v>46</v>
      </c>
      <c r="U20" s="65">
        <f>IF(_epmOfflineCondition_,88,_xll.EVGTS($B$1,1,$B$3,$B$5,$B$7,$B$9,U$16,U$17,U$18,$G$20,$H$20))</f>
        <v>88</v>
      </c>
      <c r="V20" s="65">
        <f>IF(_epmOfflineCondition_,61,_xll.EVGTS($B$1,1,$B$3,$B$5,$B$7,$B$9,V$16,V$17,V$18,$G$20,$H$20))</f>
        <v>61</v>
      </c>
      <c r="W20" s="65">
        <f>IF(_epmOfflineCondition_,62,_xll.EVGTS($B$1,1,$B$3,$B$5,$B$7,$B$9,W$16,W$17,W$18,$G$20,$H$20))</f>
        <v>62</v>
      </c>
      <c r="X20" s="65">
        <f>IF(_epmOfflineCondition_,311,_xll.EVGTS($B$1,1,$B$3,$B$5,$B$7,$B$9,X$16,X$17,X$18,$G$20,$H$20))</f>
        <v>311</v>
      </c>
      <c r="Y20" s="65">
        <f>IF(_epmOfflineCondition_,314,_xll.EVGTS($B$1,1,$B$3,$B$5,$B$7,$B$9,Y$16,Y$17,Y$18,$G$20,$H$20))</f>
        <v>314</v>
      </c>
      <c r="Z20" s="65">
        <f>IF(_epmOfflineCondition_,218,_xll.EVGTS($B$1,1,$B$3,$B$5,$B$7,$B$9,Z$16,Z$17,Z$18,$G$20,$H$20))</f>
        <v>218</v>
      </c>
      <c r="AA20" s="65">
        <f>SUM(O20:Z20)</f>
        <v>2746</v>
      </c>
      <c r="AB20" s="63"/>
      <c r="AC20" s="63"/>
      <c r="AD20" s="65">
        <f>IF(_epmOfflineCondition_,3589.75,_xll.EVGTS($B$1,1,$B$3,$B$5,$B$7,$B$9,AD$16,AD$17,AD$18,$G$20,$H$20))</f>
        <v>3589.75</v>
      </c>
      <c r="AE20" s="63"/>
      <c r="AF20" s="63"/>
      <c r="AG20" s="65">
        <f>IF(_epmOfflineCondition_,594,_xll.EVGTS($B$1,1,$B$3,$B$5,$B$7,$B$9,AG$16,AG$17,AG$18,$G$20,$H$20))</f>
        <v>594</v>
      </c>
      <c r="AH20" s="63"/>
      <c r="AI20" s="63"/>
    </row>
    <row r="21" spans="1:35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hidden="1" outlineLevel="1" x14ac:dyDescent="0.25">
      <c r="A22" s="61" t="s">
        <v>7</v>
      </c>
      <c r="B22" s="62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idden="1" outlineLevel="1" x14ac:dyDescent="0.25">
      <c r="A23" s="61" t="s">
        <v>47</v>
      </c>
      <c r="B23" s="62" t="str">
        <f>IF(_epmOfflineCondition_,"'BCC_KPI'!$A$37:$B$58",_xll.EVRNG($A$37:$B$58))</f>
        <v>'BCC_KPI'!$A$37:$B$58</v>
      </c>
      <c r="C23" s="11"/>
      <c r="D23" s="11"/>
      <c r="E23" s="11"/>
      <c r="F23" s="11"/>
      <c r="G23" s="11"/>
      <c r="H23" s="11"/>
      <c r="I23" s="55"/>
      <c r="J23" s="55"/>
      <c r="K23" s="6"/>
      <c r="L23" s="6"/>
      <c r="M23" s="6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380"/>
      <c r="AE23" s="11"/>
      <c r="AF23" s="11"/>
      <c r="AG23" s="11"/>
      <c r="AH23" s="11"/>
      <c r="AI23" s="11"/>
    </row>
    <row r="24" spans="1:35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22.5" x14ac:dyDescent="0.3">
      <c r="A26" s="57" t="s">
        <v>9</v>
      </c>
      <c r="B26" s="58" t="s">
        <v>10</v>
      </c>
      <c r="C26" s="11"/>
      <c r="D26" s="11"/>
      <c r="E26" s="11"/>
      <c r="F26" s="11"/>
      <c r="G26" s="11"/>
      <c r="H26" s="11"/>
      <c r="I26" s="55"/>
      <c r="J26" s="55"/>
      <c r="K26" s="11"/>
      <c r="L26" s="11"/>
      <c r="M26" s="11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8" x14ac:dyDescent="0.25">
      <c r="A27" s="61" t="s">
        <v>11</v>
      </c>
      <c r="B27" s="62" t="s">
        <v>21</v>
      </c>
      <c r="C27" s="11"/>
      <c r="D27" s="11"/>
      <c r="E27" s="11"/>
      <c r="F27" s="11"/>
      <c r="G27" s="11"/>
      <c r="H27" s="11"/>
      <c r="I27" s="55"/>
      <c r="J27" s="55"/>
      <c r="K27" s="11"/>
      <c r="L27" s="11"/>
      <c r="M27" s="11"/>
      <c r="N27" s="67" t="str">
        <f>IF(_epmOfflineCondition_,"Banquet-Catering &amp; CS Department",IF($N$1="",IF(_xll.EVDES(B6,$B$1)="#NODATA","",_xll.EVDES(B6,$B$1)&amp;" Department"),$N$1))</f>
        <v>Banquet-Catering &amp; CS Department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.75" x14ac:dyDescent="0.25">
      <c r="A28" s="61" t="s">
        <v>12</v>
      </c>
      <c r="B28" s="62" t="s">
        <v>22</v>
      </c>
      <c r="C28" s="11"/>
      <c r="D28" s="11"/>
      <c r="E28" s="11"/>
      <c r="F28" s="11"/>
      <c r="G28" s="11"/>
      <c r="H28" s="11"/>
      <c r="I28" s="55"/>
      <c r="J28" s="55"/>
      <c r="K28" s="11"/>
      <c r="L28" s="11"/>
      <c r="M28" s="11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ht="15" customHeight="1" x14ac:dyDescent="0.25">
      <c r="A29" s="61" t="s">
        <v>13</v>
      </c>
      <c r="B29" s="62" t="s">
        <v>293</v>
      </c>
      <c r="C29" s="11"/>
      <c r="D29" s="11"/>
      <c r="E29" s="11"/>
      <c r="F29" s="11"/>
      <c r="G29" s="11"/>
      <c r="H29" s="11"/>
      <c r="I29" s="55"/>
      <c r="J29" s="55"/>
      <c r="K29" s="11"/>
      <c r="L29" s="11"/>
      <c r="M29" s="11"/>
      <c r="N29" s="68" t="str">
        <f>IF(_epmOfflineCondition_,"Local Currency",_xll.EVDES(B9,B1))</f>
        <v>Local Currency</v>
      </c>
      <c r="O29" s="484" t="s">
        <v>344</v>
      </c>
      <c r="P29" s="484"/>
      <c r="Q29" s="484"/>
      <c r="R29" s="484"/>
      <c r="S29" s="484"/>
      <c r="T29" s="484"/>
      <c r="U29" s="484"/>
      <c r="V29" s="484"/>
      <c r="W29" s="484"/>
      <c r="X29" s="484"/>
      <c r="Y29" s="484"/>
      <c r="Z29" s="484"/>
      <c r="AA29" s="484"/>
      <c r="AB29" s="11"/>
      <c r="AC29" s="11"/>
      <c r="AD29" s="11"/>
      <c r="AE29" s="11"/>
      <c r="AF29" s="11"/>
      <c r="AG29" s="11"/>
      <c r="AH29" s="11"/>
      <c r="AI29" s="11"/>
    </row>
    <row r="30" spans="1:35" x14ac:dyDescent="0.25">
      <c r="A30" s="61" t="s">
        <v>14</v>
      </c>
      <c r="B30" s="62"/>
      <c r="C30" s="11"/>
      <c r="D30" s="11"/>
      <c r="E30" s="11"/>
      <c r="F30" s="11"/>
      <c r="G30" s="11"/>
      <c r="H30" s="11"/>
      <c r="I30" s="55"/>
      <c r="J30" s="55"/>
      <c r="K30" s="11"/>
      <c r="L30" s="11"/>
      <c r="M30" s="11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</row>
    <row r="31" spans="1:35" x14ac:dyDescent="0.25">
      <c r="A31" s="61" t="s">
        <v>15</v>
      </c>
      <c r="B31" s="62"/>
      <c r="C31" s="11"/>
      <c r="D31" s="11"/>
      <c r="E31" s="11"/>
      <c r="F31" s="11"/>
      <c r="G31" s="11"/>
      <c r="H31" s="11"/>
      <c r="I31" s="55"/>
      <c r="J31" s="55"/>
      <c r="K31" s="11"/>
      <c r="L31" s="11"/>
      <c r="M31" s="11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</row>
    <row r="32" spans="1:35" s="8" customFormat="1" ht="30" customHeight="1" x14ac:dyDescent="0.25">
      <c r="A32" s="77" t="s">
        <v>16</v>
      </c>
      <c r="B32" s="78"/>
      <c r="C32" s="79"/>
      <c r="D32" s="79"/>
      <c r="E32" s="11"/>
      <c r="F32" s="79"/>
      <c r="G32" s="79"/>
      <c r="H32" s="80"/>
      <c r="I32" s="81"/>
      <c r="J32" s="81"/>
      <c r="K32" s="79"/>
      <c r="L32" s="79"/>
      <c r="M32" s="79"/>
      <c r="N32" s="79"/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</row>
    <row r="33" spans="1:35" ht="15.75" x14ac:dyDescent="0.25">
      <c r="A33" s="61" t="s">
        <v>17</v>
      </c>
      <c r="B33" s="62"/>
      <c r="C33" s="11"/>
      <c r="D33" s="11"/>
      <c r="E33" s="11"/>
      <c r="F33" s="11"/>
      <c r="G33" s="11"/>
      <c r="H33" s="11"/>
      <c r="I33" s="55"/>
      <c r="J33" s="55"/>
      <c r="K33" s="11"/>
      <c r="L33" s="11"/>
      <c r="M33" s="11"/>
      <c r="N33" s="485" t="s">
        <v>330</v>
      </c>
      <c r="O33" s="125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7"/>
      <c r="AC33" s="11"/>
      <c r="AD33" s="125"/>
      <c r="AE33" s="126"/>
      <c r="AF33" s="127"/>
      <c r="AG33" s="125"/>
      <c r="AH33" s="126"/>
      <c r="AI33" s="127"/>
    </row>
    <row r="34" spans="1:35" x14ac:dyDescent="0.25">
      <c r="A34" s="11"/>
      <c r="B34" s="11"/>
      <c r="C34" s="11"/>
      <c r="D34" s="11"/>
      <c r="E34" s="11"/>
      <c r="F34" s="11"/>
      <c r="G34" s="11"/>
      <c r="H34" s="11"/>
      <c r="I34" s="55"/>
      <c r="J34" s="55"/>
      <c r="K34" s="11"/>
      <c r="L34" s="129" t="s">
        <v>364</v>
      </c>
      <c r="M34" s="129" t="s">
        <v>783</v>
      </c>
      <c r="N34" s="49" t="s">
        <v>312</v>
      </c>
      <c r="O34" s="199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114"/>
      <c r="AC34" s="11"/>
      <c r="AD34" s="199"/>
      <c r="AE34" s="200"/>
      <c r="AF34" s="114"/>
      <c r="AG34" s="199"/>
      <c r="AH34" s="200"/>
      <c r="AI34" s="114"/>
    </row>
    <row r="35" spans="1:35" x14ac:dyDescent="0.25">
      <c r="A35" s="11"/>
      <c r="B35" s="11"/>
      <c r="C35" s="11"/>
      <c r="D35" s="11"/>
      <c r="E35" s="11"/>
      <c r="F35" s="11"/>
      <c r="G35" s="11"/>
      <c r="H35" s="84" t="s">
        <v>260</v>
      </c>
      <c r="I35" s="118" t="str">
        <f>IF(_epmOfflineCondition_,"T5",_xll.EVPRO($B$1,$H35,"STYLE"))</f>
        <v>T5</v>
      </c>
      <c r="J35" s="118" t="str">
        <f>IF(_epmOfflineCondition_,"Y",_xll.EVPRO($B$1,$H35,"CALC"))</f>
        <v>Y</v>
      </c>
      <c r="K35" s="86"/>
      <c r="L35" s="86" t="str">
        <f>IF(_epmOfflineCondition_,"461100",_xll.EVPRO($B$1,H35,"JDEID"))</f>
        <v>461100</v>
      </c>
      <c r="M35" s="86" t="str">
        <f>IF(_epmOfflineCondition_,"",IF(AND(I35="N",J35="N"),_xll.EVPRO($B$1,H35,"PSFTID"),""))</f>
        <v/>
      </c>
      <c r="N35" s="86" t="str">
        <f>IF(_epmOfflineCondition_,"Breakfast Food",IF(_xll.EVDES(H35,$B$1)="#NODATA","",_xll.EVDES(H35,$B$1)))</f>
        <v>Breakfast Food</v>
      </c>
      <c r="O35" s="134">
        <v>6465</v>
      </c>
      <c r="P35" s="134">
        <v>5145.95</v>
      </c>
      <c r="Q35" s="134">
        <v>6541.68</v>
      </c>
      <c r="R35" s="134">
        <v>1219</v>
      </c>
      <c r="S35" s="134">
        <v>2084</v>
      </c>
      <c r="T35" s="134">
        <v>1549</v>
      </c>
      <c r="U35" s="134">
        <v>2239</v>
      </c>
      <c r="V35" s="134">
        <v>1337</v>
      </c>
      <c r="W35" s="134">
        <v>1418</v>
      </c>
      <c r="X35" s="134">
        <v>2734</v>
      </c>
      <c r="Y35" s="134">
        <v>4277</v>
      </c>
      <c r="Z35" s="134">
        <v>2261</v>
      </c>
      <c r="AA35" s="134">
        <f t="shared" ref="AA35:AA41" si="0">SUM(O35:Z35)</f>
        <v>37270.630000000005</v>
      </c>
      <c r="AB35" s="138">
        <f>IF(AA35=0,"",IFERROR(AA35/AA$19,""))</f>
        <v>0.28707319765252504</v>
      </c>
      <c r="AC35" s="136"/>
      <c r="AD35" s="134">
        <v>30295.857250000001</v>
      </c>
      <c r="AE35" s="138">
        <f>IF(AD35=0,"",IFERROR(AD35/AD$19,""))</f>
        <v>0.1436525036334674</v>
      </c>
      <c r="AF35" s="137">
        <f t="shared" ref="AF35:AF42" si="1">IF(AND($AA35="",AD35=""),"",$AA35-AD35)</f>
        <v>6974.7727500000037</v>
      </c>
      <c r="AG35" s="134">
        <v>1720.19</v>
      </c>
      <c r="AH35" s="138">
        <f>IF(AG35=0,"",IFERROR(AG35/AG$19,""))</f>
        <v>6.2279849661463133E-2</v>
      </c>
      <c r="AI35" s="137">
        <f t="shared" ref="AI35:AI42" si="2">IF(AND($AA35="",AG35=""),"",$AA35-AG35)</f>
        <v>35550.44</v>
      </c>
    </row>
    <row r="36" spans="1:35" x14ac:dyDescent="0.25">
      <c r="A36" s="57" t="s">
        <v>23</v>
      </c>
      <c r="B36" s="58" t="s">
        <v>24</v>
      </c>
      <c r="C36" s="11"/>
      <c r="D36" s="11"/>
      <c r="E36" s="11"/>
      <c r="F36" s="11"/>
      <c r="G36" s="11"/>
      <c r="H36" s="84" t="s">
        <v>294</v>
      </c>
      <c r="I36" s="118" t="str">
        <f>IF(_epmOfflineCondition_,"T6",_xll.EVPRO($B$1,$H36,"STYLE"))</f>
        <v>T6</v>
      </c>
      <c r="J36" s="118" t="str">
        <f>IF(_epmOfflineCondition_,"Y",_xll.EVPRO($B$1,$H36,"CALC"))</f>
        <v>Y</v>
      </c>
      <c r="K36" s="86"/>
      <c r="L36" s="86" t="str">
        <f>IF(_epmOfflineCondition_,"461200",_xll.EVPRO($B$1,H36,"JDEID"))</f>
        <v>461200</v>
      </c>
      <c r="M36" s="86" t="str">
        <f>IF(_epmOfflineCondition_,"",IF(AND(I36="N",J36="N"),_xll.EVPRO($B$1,H36,"PSFTID"),""))</f>
        <v/>
      </c>
      <c r="N36" s="86" t="str">
        <f>IF(_epmOfflineCondition_,"Breakfast Liquor",IF(_xll.EVDES(H36,$B$1)="#NODATA","",_xll.EVDES(H36,$B$1)))</f>
        <v>Breakfast Liquor</v>
      </c>
      <c r="O36" s="134"/>
      <c r="P36" s="134"/>
      <c r="Q36" s="134"/>
      <c r="R36" s="134"/>
      <c r="S36" s="134"/>
      <c r="T36" s="134"/>
      <c r="U36" s="134"/>
      <c r="V36" s="134"/>
      <c r="W36" s="134"/>
      <c r="X36" s="134"/>
      <c r="Y36" s="134"/>
      <c r="Z36" s="134"/>
      <c r="AA36" s="134">
        <f t="shared" si="0"/>
        <v>0</v>
      </c>
      <c r="AB36" s="138" t="str">
        <f>IF(AA36=0,"",IFERROR(AA36/AA$19,""))</f>
        <v/>
      </c>
      <c r="AC36" s="136"/>
      <c r="AD36" s="134">
        <v>632.60844499999996</v>
      </c>
      <c r="AE36" s="138">
        <f>IF(AD36=0,"",IFERROR(AD36/AD$19,""))</f>
        <v>2.9996110093212388E-3</v>
      </c>
      <c r="AF36" s="137">
        <f t="shared" si="1"/>
        <v>-632.60844499999996</v>
      </c>
      <c r="AG36" s="134"/>
      <c r="AH36" s="138" t="str">
        <f>IF(AG36=0,"",IFERROR(AG36/AG$19,""))</f>
        <v/>
      </c>
      <c r="AI36" s="137">
        <f t="shared" si="2"/>
        <v>0</v>
      </c>
    </row>
    <row r="37" spans="1:35" x14ac:dyDescent="0.25">
      <c r="A37" s="61" t="s">
        <v>25</v>
      </c>
      <c r="B37" s="62"/>
      <c r="C37" s="11"/>
      <c r="D37" s="11"/>
      <c r="E37" s="11"/>
      <c r="F37" s="11"/>
      <c r="G37" s="11"/>
      <c r="H37" s="84" t="s">
        <v>295</v>
      </c>
      <c r="I37" s="118" t="str">
        <f>IF(_epmOfflineCondition_,"T6",_xll.EVPRO($B$1,$H37,"STYLE"))</f>
        <v>T6</v>
      </c>
      <c r="J37" s="118" t="str">
        <f>IF(_epmOfflineCondition_,"Y",_xll.EVPRO($B$1,$H37,"CALC"))</f>
        <v>Y</v>
      </c>
      <c r="K37" s="86"/>
      <c r="L37" s="86" t="str">
        <f>IF(_epmOfflineCondition_,"461300",_xll.EVPRO($B$1,H37,"JDEID"))</f>
        <v>461300</v>
      </c>
      <c r="M37" s="86" t="str">
        <f>IF(_epmOfflineCondition_,"",IF(AND(I37="N",J37="N"),_xll.EVPRO($B$1,H37,"PSFTID"),""))</f>
        <v/>
      </c>
      <c r="N37" s="86" t="str">
        <f>IF(_epmOfflineCondition_,"Breakfast Beer",IF(_xll.EVDES(H37,$B$1)="#NODATA","",_xll.EVDES(H37,$B$1)))</f>
        <v>Breakfast Beer</v>
      </c>
      <c r="O37" s="134"/>
      <c r="P37" s="134"/>
      <c r="Q37" s="134"/>
      <c r="R37" s="134"/>
      <c r="S37" s="134"/>
      <c r="T37" s="134"/>
      <c r="U37" s="134"/>
      <c r="V37" s="134"/>
      <c r="W37" s="134"/>
      <c r="X37" s="134"/>
      <c r="Y37" s="134"/>
      <c r="Z37" s="134">
        <v>8</v>
      </c>
      <c r="AA37" s="134">
        <f t="shared" si="0"/>
        <v>8</v>
      </c>
      <c r="AB37" s="138">
        <f>IF(AA37=0,"",IFERROR(AA37/AA$19,""))</f>
        <v>6.1619177921602074E-5</v>
      </c>
      <c r="AC37" s="136"/>
      <c r="AD37" s="134">
        <v>121.040605</v>
      </c>
      <c r="AE37" s="138">
        <f>IF(AD37=0,"",IFERROR(AD37/AD$19,""))</f>
        <v>5.7393279239720458E-4</v>
      </c>
      <c r="AF37" s="137">
        <f t="shared" si="1"/>
        <v>-113.040605</v>
      </c>
      <c r="AG37" s="134"/>
      <c r="AH37" s="138" t="str">
        <f>IF(AG37=0,"",IFERROR(AG37/AG$19,""))</f>
        <v/>
      </c>
      <c r="AI37" s="137">
        <f t="shared" si="2"/>
        <v>8</v>
      </c>
    </row>
    <row r="38" spans="1:35" x14ac:dyDescent="0.25">
      <c r="A38" s="61" t="s">
        <v>26</v>
      </c>
      <c r="B38" s="62"/>
      <c r="C38" s="11"/>
      <c r="D38" s="11"/>
      <c r="E38" s="11"/>
      <c r="F38" s="11"/>
      <c r="G38" s="11"/>
      <c r="H38" s="84" t="s">
        <v>296</v>
      </c>
      <c r="I38" s="118" t="str">
        <f>IF(_epmOfflineCondition_,"T6",_xll.EVPRO($B$1,$H38,"STYLE"))</f>
        <v>T6</v>
      </c>
      <c r="J38" s="118" t="str">
        <f>IF(_epmOfflineCondition_,"Y",_xll.EVPRO($B$1,$H38,"CALC"))</f>
        <v>Y</v>
      </c>
      <c r="K38" s="86"/>
      <c r="L38" s="86" t="str">
        <f>IF(_epmOfflineCondition_,"461400",_xll.EVPRO($B$1,H38,"JDEID"))</f>
        <v>461400</v>
      </c>
      <c r="M38" s="86" t="str">
        <f>IF(_epmOfflineCondition_,"",IF(AND(I38="N",J38="N"),_xll.EVPRO($B$1,H38,"PSFTID"),""))</f>
        <v/>
      </c>
      <c r="N38" s="86" t="str">
        <f>IF(_epmOfflineCondition_,"Breakfast Wine",IF(_xll.EVDES(H38,$B$1)="#NODATA","",_xll.EVDES(H38,$B$1)))</f>
        <v>Breakfast Wine</v>
      </c>
      <c r="O38" s="228"/>
      <c r="P38" s="228"/>
      <c r="Q38" s="228"/>
      <c r="R38" s="228"/>
      <c r="S38" s="228"/>
      <c r="T38" s="228"/>
      <c r="U38" s="228"/>
      <c r="V38" s="228"/>
      <c r="W38" s="228"/>
      <c r="X38" s="228"/>
      <c r="Y38" s="228"/>
      <c r="Z38" s="228">
        <v>1020</v>
      </c>
      <c r="AA38" s="228">
        <f t="shared" si="0"/>
        <v>1020</v>
      </c>
      <c r="AB38" s="230">
        <f>IF(AA38=0,"",IFERROR(AA38/AA$19,""))</f>
        <v>7.8564451850042655E-3</v>
      </c>
      <c r="AC38" s="136"/>
      <c r="AD38" s="228">
        <v>1370.271</v>
      </c>
      <c r="AE38" s="230">
        <f>IF(AD38=0,"",IFERROR(AD38/AD$19,""))</f>
        <v>6.4973523667608063E-3</v>
      </c>
      <c r="AF38" s="231">
        <f t="shared" si="1"/>
        <v>-350.27099999999996</v>
      </c>
      <c r="AG38" s="228"/>
      <c r="AH38" s="230" t="str">
        <f>IF(AG38=0,"",IFERROR(AG38/AG$19,""))</f>
        <v/>
      </c>
      <c r="AI38" s="231">
        <f t="shared" si="2"/>
        <v>1020</v>
      </c>
    </row>
    <row r="39" spans="1:35" x14ac:dyDescent="0.25">
      <c r="A39" s="61" t="s">
        <v>27</v>
      </c>
      <c r="B39" s="62"/>
      <c r="C39" s="11"/>
      <c r="D39" s="11"/>
      <c r="E39" s="11"/>
      <c r="F39" s="11"/>
      <c r="G39" s="11"/>
      <c r="H39" s="84" t="s">
        <v>318</v>
      </c>
      <c r="I39" s="118" t="str">
        <f>IF(_epmOfflineCondition_,"N",_xll.EVPRO($B$1,$H39,"STYLE"))</f>
        <v>N</v>
      </c>
      <c r="J39" s="118" t="str">
        <f>IF(_epmOfflineCondition_,"Y",_xll.EVPRO($B$1,$H39,"CALC"))</f>
        <v>Y</v>
      </c>
      <c r="K39" s="86"/>
      <c r="L39" s="86" t="str">
        <f>IF(_epmOfflineCondition_,"",_xll.EVPRO($B$1,H39,"JDEID"))</f>
        <v/>
      </c>
      <c r="M39" s="86" t="str">
        <f>IF(_epmOfflineCondition_,"",IF(AND(I39="N",J39="N"),_xll.EVPRO($B$1,H39,"PSFTID"),""))</f>
        <v/>
      </c>
      <c r="N39" s="102" t="str">
        <f>IF(_epmOfflineCondition_,"Breakfast Revenue",IF(_xll.EVDES(H39,$B$1)="#NODATA","",_xll.EVDES(H39,$B$1)))</f>
        <v>Breakfast Revenue</v>
      </c>
      <c r="O39" s="158">
        <v>6465</v>
      </c>
      <c r="P39" s="158">
        <v>5145.95</v>
      </c>
      <c r="Q39" s="158">
        <v>6541.68</v>
      </c>
      <c r="R39" s="158">
        <v>1219</v>
      </c>
      <c r="S39" s="158">
        <v>2084</v>
      </c>
      <c r="T39" s="158">
        <v>1549</v>
      </c>
      <c r="U39" s="158">
        <v>2239</v>
      </c>
      <c r="V39" s="158">
        <v>1337</v>
      </c>
      <c r="W39" s="158">
        <v>1418</v>
      </c>
      <c r="X39" s="158">
        <v>2734</v>
      </c>
      <c r="Y39" s="158">
        <v>4277</v>
      </c>
      <c r="Z39" s="158">
        <v>3289</v>
      </c>
      <c r="AA39" s="158">
        <f t="shared" si="0"/>
        <v>38298.630000000005</v>
      </c>
      <c r="AB39" s="159">
        <f>IF(AA39=0,"",IFERROR(AA39/AA$19,""))</f>
        <v>0.29499126201545089</v>
      </c>
      <c r="AC39" s="136"/>
      <c r="AD39" s="158">
        <v>32419.777300000002</v>
      </c>
      <c r="AE39" s="159">
        <f>IF(AD39=0,"",IFERROR(AD39/AD$19,""))</f>
        <v>0.15372339980194666</v>
      </c>
      <c r="AF39" s="160">
        <f t="shared" si="1"/>
        <v>5878.8527000000031</v>
      </c>
      <c r="AG39" s="158">
        <v>1720.19</v>
      </c>
      <c r="AH39" s="159">
        <f>IF(AG39=0,"",IFERROR(AG39/AG$19,""))</f>
        <v>6.2279849661463133E-2</v>
      </c>
      <c r="AI39" s="160">
        <f t="shared" si="2"/>
        <v>36578.44</v>
      </c>
    </row>
    <row r="40" spans="1:35" x14ac:dyDescent="0.25">
      <c r="A40" s="61" t="s">
        <v>28</v>
      </c>
      <c r="B40" s="62"/>
      <c r="C40" s="11"/>
      <c r="D40" s="11"/>
      <c r="E40" s="11"/>
      <c r="F40" s="11"/>
      <c r="G40" s="11"/>
      <c r="H40" s="84" t="s">
        <v>764</v>
      </c>
      <c r="I40" s="118" t="str">
        <f>IF(_epmOfflineCondition_,"N",_xll.EVPRO($B$1,$H40,"STYLE"))</f>
        <v>N</v>
      </c>
      <c r="J40" s="118" t="str">
        <f>IF(_epmOfflineCondition_,"N",_xll.EVPRO($B$1,$H40,"CALC"))</f>
        <v>N</v>
      </c>
      <c r="K40" s="86"/>
      <c r="L40" s="86" t="str">
        <f>IF(_epmOfflineCondition_,"947100",_xll.EVPRO($B$1,H40,"JDEID"))</f>
        <v>947100</v>
      </c>
      <c r="M40" s="86" t="str">
        <f>IF(_epmOfflineCondition_,"999991",IF(AND(I40="N",J40="N"),_xll.EVPRO($B$1,H40,"PSFTID"),""))</f>
        <v>999991</v>
      </c>
      <c r="N40" s="86" t="str">
        <f>IF(_epmOfflineCondition_,"# of Operating Days - Breakfast",IF(_xll.EVDES(H40,$B$1)="#NODATA","",_xll.EVDES(H40,$B$1)))</f>
        <v># of Operating Days - Breakfast</v>
      </c>
      <c r="O40" s="240">
        <v>14</v>
      </c>
      <c r="P40" s="240">
        <v>28</v>
      </c>
      <c r="Q40" s="240">
        <v>31</v>
      </c>
      <c r="R40" s="240">
        <v>30</v>
      </c>
      <c r="S40" s="240">
        <v>31</v>
      </c>
      <c r="T40" s="240">
        <v>13</v>
      </c>
      <c r="U40" s="240">
        <v>14</v>
      </c>
      <c r="V40" s="240">
        <v>14</v>
      </c>
      <c r="W40" s="240">
        <v>30</v>
      </c>
      <c r="X40" s="240">
        <v>31</v>
      </c>
      <c r="Y40" s="240">
        <v>30</v>
      </c>
      <c r="Z40" s="240">
        <v>31</v>
      </c>
      <c r="AA40" s="240">
        <f t="shared" si="0"/>
        <v>297</v>
      </c>
      <c r="AB40" s="242"/>
      <c r="AC40" s="136"/>
      <c r="AD40" s="240">
        <v>365</v>
      </c>
      <c r="AE40" s="242"/>
      <c r="AF40" s="243">
        <f t="shared" si="1"/>
        <v>-68</v>
      </c>
      <c r="AG40" s="240">
        <v>31</v>
      </c>
      <c r="AH40" s="242"/>
      <c r="AI40" s="243">
        <f t="shared" si="2"/>
        <v>266</v>
      </c>
    </row>
    <row r="41" spans="1:35" x14ac:dyDescent="0.25">
      <c r="A41" s="61" t="s">
        <v>29</v>
      </c>
      <c r="B41" s="62"/>
      <c r="C41" s="11"/>
      <c r="D41" s="11"/>
      <c r="E41" s="11"/>
      <c r="F41" s="11"/>
      <c r="G41" s="11"/>
      <c r="H41" s="84" t="s">
        <v>297</v>
      </c>
      <c r="I41" s="118" t="str">
        <f>IF(_epmOfflineCondition_,"N",_xll.EVPRO($B$1,$H41,"STYLE"))</f>
        <v>N</v>
      </c>
      <c r="J41" s="118" t="str">
        <f>IF(_epmOfflineCondition_,"N",_xll.EVPRO($B$1,$H41,"CALC"))</f>
        <v>N</v>
      </c>
      <c r="K41" s="86"/>
      <c r="L41" s="86" t="str">
        <f>IF(_epmOfflineCondition_,"946100",_xll.EVPRO($B$1,H41,"JDEID"))</f>
        <v>946100</v>
      </c>
      <c r="M41" s="86" t="str">
        <f>IF(_epmOfflineCondition_,"991501",IF(AND(I41="N",J41="N"),_xll.EVPRO($B$1,H41,"PSFTID"),""))</f>
        <v>991501</v>
      </c>
      <c r="N41" s="86" t="str">
        <f>IF(_epmOfflineCondition_,"Breakfast Customers",IF(_xll.EVDES(H41,$B$1)="#NODATA","",_xll.EVDES(H41,$B$1)))</f>
        <v>Breakfast Customers</v>
      </c>
      <c r="O41" s="240">
        <v>194</v>
      </c>
      <c r="P41" s="240">
        <v>170</v>
      </c>
      <c r="Q41" s="240">
        <v>191</v>
      </c>
      <c r="R41" s="240">
        <v>6</v>
      </c>
      <c r="S41" s="240">
        <v>86</v>
      </c>
      <c r="T41" s="240">
        <v>46</v>
      </c>
      <c r="U41" s="240">
        <v>88</v>
      </c>
      <c r="V41" s="240">
        <v>61</v>
      </c>
      <c r="W41" s="240">
        <v>62</v>
      </c>
      <c r="X41" s="240">
        <v>49</v>
      </c>
      <c r="Y41" s="240">
        <v>67</v>
      </c>
      <c r="Z41" s="240">
        <v>58</v>
      </c>
      <c r="AA41" s="240">
        <f t="shared" si="0"/>
        <v>1078</v>
      </c>
      <c r="AB41" s="242">
        <f>IF(AA41=0,"",IFERROR(AA41/AA$87,""))</f>
        <v>0.39257101238164605</v>
      </c>
      <c r="AC41" s="136"/>
      <c r="AD41" s="240">
        <v>914.99</v>
      </c>
      <c r="AE41" s="242">
        <f>IF(AD41=0,"",IFERROR(AD41/AD$87,""))</f>
        <v>0.2548896162685424</v>
      </c>
      <c r="AF41" s="243">
        <f t="shared" si="1"/>
        <v>163.01</v>
      </c>
      <c r="AG41" s="240">
        <v>36</v>
      </c>
      <c r="AH41" s="242">
        <f>IF(AG41=0,"",IFERROR(AG41/AG$87,""))</f>
        <v>6.0606060606060608E-2</v>
      </c>
      <c r="AI41" s="243">
        <f t="shared" si="2"/>
        <v>1042</v>
      </c>
    </row>
    <row r="42" spans="1:35" x14ac:dyDescent="0.25">
      <c r="A42" s="61" t="s">
        <v>30</v>
      </c>
      <c r="B42" s="62" t="s">
        <v>78</v>
      </c>
      <c r="C42" s="11"/>
      <c r="D42" s="11"/>
      <c r="E42" s="11"/>
      <c r="F42" s="11"/>
      <c r="G42" s="11"/>
      <c r="H42" s="84" t="s">
        <v>313</v>
      </c>
      <c r="I42" s="118" t="str">
        <f>IF(_epmOfflineCondition_,"N",_xll.EVPRO($B$1,$H42,"STYLE"))</f>
        <v>N</v>
      </c>
      <c r="J42" s="118" t="str">
        <f>IF(_epmOfflineCondition_,"Y",_xll.EVPRO($B$1,$H42,"CALC"))</f>
        <v>Y</v>
      </c>
      <c r="K42" s="86"/>
      <c r="L42" s="86" t="str">
        <f>IF(_epmOfflineCondition_,"",_xll.EVPRO($B$1,H42,"JDEID"))</f>
        <v/>
      </c>
      <c r="M42" s="86" t="str">
        <f>IF(_epmOfflineCondition_,"",IF(AND(I42="N",J42="N"),_xll.EVPRO($B$1,H42,"PSFTID"),""))</f>
        <v/>
      </c>
      <c r="N42" s="186" t="str">
        <f>IF(_epmOfflineCondition_,"Breakfast - Average Check",IF(_xll.EVDES(H42,$B$1)="#NODATA","",_xll.EVDES(H42,$B$1)))</f>
        <v>Breakfast - Average Check</v>
      </c>
      <c r="O42" s="490">
        <v>33.324742268041199</v>
      </c>
      <c r="P42" s="490">
        <v>30.270294117647101</v>
      </c>
      <c r="Q42" s="490">
        <v>34.249633507853403</v>
      </c>
      <c r="R42" s="490">
        <v>203.166666666667</v>
      </c>
      <c r="S42" s="490">
        <v>24.232558139534898</v>
      </c>
      <c r="T42" s="490">
        <v>33.673913043478301</v>
      </c>
      <c r="U42" s="490">
        <v>25.443181818181799</v>
      </c>
      <c r="V42" s="490">
        <v>21.918032786885199</v>
      </c>
      <c r="W42" s="490">
        <v>22.870967741935502</v>
      </c>
      <c r="X42" s="490">
        <v>55.7959183673469</v>
      </c>
      <c r="Y42" s="490">
        <v>63.835820895522403</v>
      </c>
      <c r="Z42" s="490">
        <v>56.7068965517241</v>
      </c>
      <c r="AA42" s="490">
        <f>IFERROR(AA39/AA41,"")</f>
        <v>35.527486085343234</v>
      </c>
      <c r="AB42" s="490"/>
      <c r="AC42" s="136"/>
      <c r="AD42" s="490">
        <v>35.431837834293297</v>
      </c>
      <c r="AE42" s="490"/>
      <c r="AF42" s="491">
        <f t="shared" si="1"/>
        <v>9.5648251049937016E-2</v>
      </c>
      <c r="AG42" s="490">
        <v>47.783055555555499</v>
      </c>
      <c r="AH42" s="490"/>
      <c r="AI42" s="491">
        <f t="shared" si="2"/>
        <v>-12.255569470212265</v>
      </c>
    </row>
    <row r="43" spans="1:35" x14ac:dyDescent="0.25">
      <c r="A43" s="61" t="s">
        <v>31</v>
      </c>
      <c r="B43" s="62" t="s">
        <v>78</v>
      </c>
      <c r="C43" s="11"/>
      <c r="D43" s="11"/>
      <c r="E43" s="11"/>
      <c r="F43" s="11"/>
      <c r="G43" s="486">
        <f>COUNTIF(O44:AI44,FALSE)</f>
        <v>0</v>
      </c>
      <c r="H43" s="84"/>
      <c r="I43" s="118"/>
      <c r="J43" s="118"/>
      <c r="K43" s="86"/>
      <c r="L43" s="86"/>
      <c r="M43" s="86"/>
      <c r="N43" s="487" t="s">
        <v>345</v>
      </c>
      <c r="O43" s="492">
        <f t="shared" ref="O43:AA43" si="3">ROUND(IFERROR(O39/O41,0),2)</f>
        <v>33.32</v>
      </c>
      <c r="P43" s="493">
        <f t="shared" si="3"/>
        <v>30.27</v>
      </c>
      <c r="Q43" s="493">
        <f t="shared" si="3"/>
        <v>34.25</v>
      </c>
      <c r="R43" s="493">
        <f t="shared" si="3"/>
        <v>203.17</v>
      </c>
      <c r="S43" s="493">
        <f t="shared" si="3"/>
        <v>24.23</v>
      </c>
      <c r="T43" s="493">
        <f t="shared" si="3"/>
        <v>33.67</v>
      </c>
      <c r="U43" s="493">
        <f t="shared" si="3"/>
        <v>25.44</v>
      </c>
      <c r="V43" s="493">
        <f t="shared" si="3"/>
        <v>21.92</v>
      </c>
      <c r="W43" s="493">
        <f t="shared" si="3"/>
        <v>22.87</v>
      </c>
      <c r="X43" s="493">
        <f t="shared" si="3"/>
        <v>55.8</v>
      </c>
      <c r="Y43" s="493">
        <f t="shared" si="3"/>
        <v>63.84</v>
      </c>
      <c r="Z43" s="493">
        <f t="shared" si="3"/>
        <v>56.71</v>
      </c>
      <c r="AA43" s="493">
        <f t="shared" si="3"/>
        <v>35.53</v>
      </c>
      <c r="AB43" s="494"/>
      <c r="AC43" s="136"/>
      <c r="AD43" s="492">
        <f>ROUND(IFERROR(AD39/AD41,0),2)</f>
        <v>35.43</v>
      </c>
      <c r="AE43" s="493"/>
      <c r="AF43" s="151"/>
      <c r="AG43" s="492">
        <f>ROUND(IFERROR(AG39/AG41,0),2)</f>
        <v>47.78</v>
      </c>
      <c r="AH43" s="493"/>
      <c r="AI43" s="151"/>
    </row>
    <row r="44" spans="1:35" x14ac:dyDescent="0.25">
      <c r="A44" s="61" t="s">
        <v>32</v>
      </c>
      <c r="B44" s="62"/>
      <c r="C44" s="11"/>
      <c r="D44" s="11"/>
      <c r="E44" s="11"/>
      <c r="F44" s="11"/>
      <c r="G44" s="11"/>
      <c r="H44" s="84"/>
      <c r="I44" s="118"/>
      <c r="J44" s="118"/>
      <c r="K44" s="86"/>
      <c r="L44" s="86"/>
      <c r="M44" s="86"/>
      <c r="N44" s="49" t="s">
        <v>314</v>
      </c>
      <c r="O44" s="495" t="b">
        <f t="shared" ref="O44:AA44" si="4">ROUND(O42,2)=ROUND(O43,2)</f>
        <v>1</v>
      </c>
      <c r="P44" s="496" t="b">
        <f t="shared" si="4"/>
        <v>1</v>
      </c>
      <c r="Q44" s="496" t="b">
        <f t="shared" si="4"/>
        <v>1</v>
      </c>
      <c r="R44" s="496" t="b">
        <f t="shared" si="4"/>
        <v>1</v>
      </c>
      <c r="S44" s="496" t="b">
        <f t="shared" si="4"/>
        <v>1</v>
      </c>
      <c r="T44" s="496" t="b">
        <f t="shared" si="4"/>
        <v>1</v>
      </c>
      <c r="U44" s="496" t="b">
        <f t="shared" si="4"/>
        <v>1</v>
      </c>
      <c r="V44" s="496" t="b">
        <f t="shared" si="4"/>
        <v>1</v>
      </c>
      <c r="W44" s="496" t="b">
        <f t="shared" si="4"/>
        <v>1</v>
      </c>
      <c r="X44" s="496" t="b">
        <f t="shared" si="4"/>
        <v>1</v>
      </c>
      <c r="Y44" s="496" t="b">
        <f t="shared" si="4"/>
        <v>1</v>
      </c>
      <c r="Z44" s="496" t="b">
        <f t="shared" si="4"/>
        <v>1</v>
      </c>
      <c r="AA44" s="496" t="b">
        <f t="shared" si="4"/>
        <v>1</v>
      </c>
      <c r="AB44" s="497"/>
      <c r="AC44" s="498"/>
      <c r="AD44" s="495"/>
      <c r="AE44" s="496" t="b">
        <f>ROUND(AD42,2)=ROUND(AD43,2)</f>
        <v>1</v>
      </c>
      <c r="AF44" s="497"/>
      <c r="AG44" s="495"/>
      <c r="AH44" s="496" t="b">
        <f>ROUND(AG42,2)=ROUND(AG43,2)</f>
        <v>1</v>
      </c>
      <c r="AI44" s="497"/>
    </row>
    <row r="45" spans="1:35" x14ac:dyDescent="0.25">
      <c r="A45" s="61" t="s">
        <v>33</v>
      </c>
      <c r="B45" s="62"/>
      <c r="C45" s="11"/>
      <c r="D45" s="11"/>
      <c r="E45" s="11"/>
      <c r="F45" s="11"/>
      <c r="G45" s="11"/>
      <c r="H45" s="84" t="s">
        <v>261</v>
      </c>
      <c r="I45" s="118" t="str">
        <f>IF(_epmOfflineCondition_,"T5",_xll.EVPRO($B$1,$H45,"STYLE"))</f>
        <v>T5</v>
      </c>
      <c r="J45" s="118" t="str">
        <f>IF(_epmOfflineCondition_,"Y",_xll.EVPRO($B$1,$H45,"CALC"))</f>
        <v>Y</v>
      </c>
      <c r="K45" s="86"/>
      <c r="L45" s="86" t="str">
        <f>IF(_epmOfflineCondition_,"462100",_xll.EVPRO($B$1,H45,"JDEID"))</f>
        <v>462100</v>
      </c>
      <c r="M45" s="86" t="str">
        <f>IF(_epmOfflineCondition_,"",IF(AND(I45="N",J45="N"),_xll.EVPRO($B$1,H45,"PSFTID"),""))</f>
        <v/>
      </c>
      <c r="N45" s="86" t="str">
        <f>IF(_epmOfflineCondition_,"Lunch Food",IF(_xll.EVDES(H45,$B$1)="#NODATA","",_xll.EVDES(H45,$B$1)))</f>
        <v>Lunch Food</v>
      </c>
      <c r="O45" s="134">
        <v>11686.2</v>
      </c>
      <c r="P45" s="134">
        <v>9042</v>
      </c>
      <c r="Q45" s="134">
        <v>10306</v>
      </c>
      <c r="R45" s="134">
        <v>3428</v>
      </c>
      <c r="S45" s="134">
        <v>2569</v>
      </c>
      <c r="T45" s="134"/>
      <c r="U45" s="134"/>
      <c r="V45" s="134"/>
      <c r="W45" s="134"/>
      <c r="X45" s="134">
        <v>2465</v>
      </c>
      <c r="Y45" s="134">
        <v>5133</v>
      </c>
      <c r="Z45" s="134">
        <v>497</v>
      </c>
      <c r="AA45" s="134">
        <f t="shared" ref="AA45:AA51" si="5">SUM(O45:Z45)</f>
        <v>45126.2</v>
      </c>
      <c r="AB45" s="138">
        <f>IF(AA45=0,"",IFERROR(AA45/AA$19,""))</f>
        <v>0.34757991834072494</v>
      </c>
      <c r="AC45" s="136"/>
      <c r="AD45" s="134">
        <v>25134.032329999998</v>
      </c>
      <c r="AE45" s="138">
        <f>IF(AD45=0,"",IFERROR(AD45/AD$19,""))</f>
        <v>0.1191769105859849</v>
      </c>
      <c r="AF45" s="137">
        <f t="shared" ref="AF45:AF52" si="6">IF(AND($AA45="",AD45=""),"",$AA45-AD45)</f>
        <v>19992.167669999999</v>
      </c>
      <c r="AG45" s="134">
        <v>21299.919999999998</v>
      </c>
      <c r="AH45" s="138">
        <f>IF(AG45=0,"",IFERROR(AG45/AG$19,""))</f>
        <v>0.77116819386299862</v>
      </c>
      <c r="AI45" s="137">
        <f t="shared" ref="AI45:AI52" si="7">IF(AND($AA45="",AG45=""),"",$AA45-AG45)</f>
        <v>23826.28</v>
      </c>
    </row>
    <row r="46" spans="1:35" x14ac:dyDescent="0.25">
      <c r="A46" s="61" t="s">
        <v>34</v>
      </c>
      <c r="B46" s="62"/>
      <c r="C46" s="11"/>
      <c r="D46" s="11"/>
      <c r="E46" s="11"/>
      <c r="F46" s="11"/>
      <c r="G46" s="11"/>
      <c r="H46" s="181" t="s">
        <v>301</v>
      </c>
      <c r="I46" s="118" t="str">
        <f>IF(_epmOfflineCondition_,"T6",_xll.EVPRO($B$1,$H46,"STYLE"))</f>
        <v>T6</v>
      </c>
      <c r="J46" s="118" t="str">
        <f>IF(_epmOfflineCondition_,"Y",_xll.EVPRO($B$1,$H46,"CALC"))</f>
        <v>Y</v>
      </c>
      <c r="K46" s="86"/>
      <c r="L46" s="86" t="str">
        <f>IF(_epmOfflineCondition_,"462200",_xll.EVPRO($B$1,H46,"JDEID"))</f>
        <v>462200</v>
      </c>
      <c r="M46" s="86" t="str">
        <f>IF(_epmOfflineCondition_,"",IF(AND(I46="N",J46="N"),_xll.EVPRO($B$1,H46,"PSFTID"),""))</f>
        <v/>
      </c>
      <c r="N46" s="86" t="str">
        <f>IF(_epmOfflineCondition_,"Lunch Liquor",IF(_xll.EVDES(H46,$B$1)="#NODATA","",_xll.EVDES(H46,$B$1)))</f>
        <v>Lunch Liquor</v>
      </c>
      <c r="O46" s="134"/>
      <c r="P46" s="134">
        <v>6</v>
      </c>
      <c r="Q46" s="134"/>
      <c r="R46" s="134"/>
      <c r="S46" s="134"/>
      <c r="T46" s="134"/>
      <c r="U46" s="134"/>
      <c r="V46" s="134"/>
      <c r="W46" s="134"/>
      <c r="X46" s="134"/>
      <c r="Y46" s="134"/>
      <c r="Z46" s="134"/>
      <c r="AA46" s="134">
        <f t="shared" si="5"/>
        <v>6</v>
      </c>
      <c r="AB46" s="138">
        <f>IF(AA46=0,"",IFERROR(AA46/AA$19,""))</f>
        <v>4.6214383441201555E-5</v>
      </c>
      <c r="AC46" s="136"/>
      <c r="AD46" s="134">
        <v>5200.14462</v>
      </c>
      <c r="AE46" s="138">
        <f>IF(AD46=0,"",IFERROR(AD46/AD$19,""))</f>
        <v>2.4657291845376187E-2</v>
      </c>
      <c r="AF46" s="137">
        <f t="shared" si="6"/>
        <v>-5194.14462</v>
      </c>
      <c r="AG46" s="134">
        <v>1350</v>
      </c>
      <c r="AH46" s="138">
        <f>IF(AG46=0,"",IFERROR(AG46/AG$19,""))</f>
        <v>4.8877040933254595E-2</v>
      </c>
      <c r="AI46" s="137">
        <f t="shared" si="7"/>
        <v>-1344</v>
      </c>
    </row>
    <row r="47" spans="1:35" x14ac:dyDescent="0.25">
      <c r="A47" s="61" t="s">
        <v>35</v>
      </c>
      <c r="B47" s="62"/>
      <c r="C47" s="11"/>
      <c r="D47" s="11"/>
      <c r="E47" s="11"/>
      <c r="F47" s="11"/>
      <c r="G47" s="11"/>
      <c r="H47" s="181" t="s">
        <v>305</v>
      </c>
      <c r="I47" s="118" t="str">
        <f>IF(_epmOfflineCondition_,"T6",_xll.EVPRO($B$1,$H47,"STYLE"))</f>
        <v>T6</v>
      </c>
      <c r="J47" s="118" t="str">
        <f>IF(_epmOfflineCondition_,"Y",_xll.EVPRO($B$1,$H47,"CALC"))</f>
        <v>Y</v>
      </c>
      <c r="K47" s="86"/>
      <c r="L47" s="86" t="str">
        <f>IF(_epmOfflineCondition_,"462300",_xll.EVPRO($B$1,H47,"JDEID"))</f>
        <v>462300</v>
      </c>
      <c r="M47" s="86" t="str">
        <f>IF(_epmOfflineCondition_,"",IF(AND(I47="N",J47="N"),_xll.EVPRO($B$1,H47,"PSFTID"),""))</f>
        <v/>
      </c>
      <c r="N47" s="86" t="str">
        <f>IF(_epmOfflineCondition_,"Lunch Beer",IF(_xll.EVDES(H47,$B$1)="#NODATA","",_xll.EVDES(H47,$B$1)))</f>
        <v>Lunch Beer</v>
      </c>
      <c r="O47" s="134"/>
      <c r="P47" s="134"/>
      <c r="Q47" s="134"/>
      <c r="R47" s="134"/>
      <c r="S47" s="134"/>
      <c r="T47" s="134"/>
      <c r="U47" s="134"/>
      <c r="V47" s="134">
        <v>1135</v>
      </c>
      <c r="W47" s="134"/>
      <c r="X47" s="134"/>
      <c r="Y47" s="134">
        <v>172</v>
      </c>
      <c r="Z47" s="134"/>
      <c r="AA47" s="134">
        <f t="shared" si="5"/>
        <v>1307</v>
      </c>
      <c r="AB47" s="138">
        <f>IF(AA47=0,"",IFERROR(AA47/AA$19,""))</f>
        <v>1.006703319294174E-2</v>
      </c>
      <c r="AC47" s="136"/>
      <c r="AD47" s="134">
        <v>657.63972999999999</v>
      </c>
      <c r="AE47" s="138">
        <f>IF(AD47=0,"",IFERROR(AD47/AD$19,""))</f>
        <v>3.1183007275140738E-3</v>
      </c>
      <c r="AF47" s="137">
        <f t="shared" si="6"/>
        <v>649.36027000000001</v>
      </c>
      <c r="AG47" s="134">
        <v>425</v>
      </c>
      <c r="AH47" s="138">
        <f>IF(AG47=0,"",IFERROR(AG47/AG$19,""))</f>
        <v>1.5387216590098668E-2</v>
      </c>
      <c r="AI47" s="137">
        <f t="shared" si="7"/>
        <v>882</v>
      </c>
    </row>
    <row r="48" spans="1:35" x14ac:dyDescent="0.25">
      <c r="A48" s="61" t="s">
        <v>36</v>
      </c>
      <c r="B48" s="62"/>
      <c r="C48" s="11"/>
      <c r="D48" s="11"/>
      <c r="E48" s="11"/>
      <c r="F48" s="11"/>
      <c r="G48" s="11"/>
      <c r="H48" s="181" t="s">
        <v>303</v>
      </c>
      <c r="I48" s="118" t="str">
        <f>IF(_epmOfflineCondition_,"T6",_xll.EVPRO($B$1,$H48,"STYLE"))</f>
        <v>T6</v>
      </c>
      <c r="J48" s="118" t="str">
        <f>IF(_epmOfflineCondition_,"Y",_xll.EVPRO($B$1,$H48,"CALC"))</f>
        <v>Y</v>
      </c>
      <c r="K48" s="86"/>
      <c r="L48" s="86" t="str">
        <f>IF(_epmOfflineCondition_,"462400",_xll.EVPRO($B$1,H48,"JDEID"))</f>
        <v>462400</v>
      </c>
      <c r="M48" s="86" t="str">
        <f>IF(_epmOfflineCondition_,"",IF(AND(I48="N",J48="N"),_xll.EVPRO($B$1,H48,"PSFTID"),""))</f>
        <v/>
      </c>
      <c r="N48" s="86" t="str">
        <f>IF(_epmOfflineCondition_,"Lunch Wine",IF(_xll.EVDES(H48,$B$1)="#NODATA","",_xll.EVDES(H48,$B$1)))</f>
        <v>Lunch Wine</v>
      </c>
      <c r="O48" s="228"/>
      <c r="P48" s="228"/>
      <c r="Q48" s="228"/>
      <c r="R48" s="228"/>
      <c r="S48" s="228"/>
      <c r="T48" s="228"/>
      <c r="U48" s="228"/>
      <c r="V48" s="228"/>
      <c r="W48" s="228"/>
      <c r="X48" s="228"/>
      <c r="Y48" s="228"/>
      <c r="Z48" s="228"/>
      <c r="AA48" s="228">
        <f t="shared" si="5"/>
        <v>0</v>
      </c>
      <c r="AB48" s="230" t="str">
        <f>IF(AA48=0,"",IFERROR(AA48/AA$19,""))</f>
        <v/>
      </c>
      <c r="AC48" s="136"/>
      <c r="AD48" s="228">
        <v>12560.483319999999</v>
      </c>
      <c r="AE48" s="230">
        <f>IF(AD48=0,"",IFERROR(AD48/AD$19,""))</f>
        <v>5.955747879569926E-2</v>
      </c>
      <c r="AF48" s="231">
        <f t="shared" si="6"/>
        <v>-12560.483319999999</v>
      </c>
      <c r="AG48" s="228">
        <v>270</v>
      </c>
      <c r="AH48" s="230">
        <f>IF(AG48=0,"",IFERROR(AG48/AG$19,""))</f>
        <v>9.7754081866509197E-3</v>
      </c>
      <c r="AI48" s="231">
        <f t="shared" si="7"/>
        <v>-270</v>
      </c>
    </row>
    <row r="49" spans="1:35" x14ac:dyDescent="0.25">
      <c r="A49" s="61" t="s">
        <v>37</v>
      </c>
      <c r="B49" s="62"/>
      <c r="C49" s="11"/>
      <c r="D49" s="11"/>
      <c r="E49" s="11"/>
      <c r="F49" s="11"/>
      <c r="G49" s="11"/>
      <c r="H49" s="84" t="s">
        <v>319</v>
      </c>
      <c r="I49" s="118" t="str">
        <f>IF(_epmOfflineCondition_,"N",_xll.EVPRO($B$1,$H49,"STYLE"))</f>
        <v>N</v>
      </c>
      <c r="J49" s="118" t="str">
        <f>IF(_epmOfflineCondition_,"Y",_xll.EVPRO($B$1,$H49,"CALC"))</f>
        <v>Y</v>
      </c>
      <c r="K49" s="86"/>
      <c r="L49" s="86" t="str">
        <f>IF(_epmOfflineCondition_,"",_xll.EVPRO($B$1,H49,"JDEID"))</f>
        <v/>
      </c>
      <c r="M49" s="86" t="str">
        <f>IF(_epmOfflineCondition_,"",IF(AND(I49="N",J49="N"),_xll.EVPRO($B$1,H49,"PSFTID"),""))</f>
        <v/>
      </c>
      <c r="N49" s="102" t="str">
        <f>IF(_epmOfflineCondition_,"Lunch Revenue",IF(_xll.EVDES(H49,$B$1)="#NODATA","",_xll.EVDES(H49,$B$1)))</f>
        <v>Lunch Revenue</v>
      </c>
      <c r="O49" s="158">
        <v>11686.2</v>
      </c>
      <c r="P49" s="158">
        <v>9048</v>
      </c>
      <c r="Q49" s="158">
        <v>10306</v>
      </c>
      <c r="R49" s="158">
        <v>3428</v>
      </c>
      <c r="S49" s="158">
        <v>2569</v>
      </c>
      <c r="T49" s="158"/>
      <c r="U49" s="158"/>
      <c r="V49" s="158">
        <v>1135</v>
      </c>
      <c r="W49" s="158"/>
      <c r="X49" s="158">
        <v>2465</v>
      </c>
      <c r="Y49" s="158">
        <v>5305</v>
      </c>
      <c r="Z49" s="158">
        <v>497</v>
      </c>
      <c r="AA49" s="158">
        <f t="shared" si="5"/>
        <v>46439.199999999997</v>
      </c>
      <c r="AB49" s="159">
        <f>IF(AA49=0,"",IFERROR(AA49/AA$19,""))</f>
        <v>0.35769316591710787</v>
      </c>
      <c r="AC49" s="136"/>
      <c r="AD49" s="158">
        <v>43552.3</v>
      </c>
      <c r="AE49" s="159">
        <f>IF(AD49=0,"",IFERROR(AD49/AD$19,""))</f>
        <v>0.20650998195457443</v>
      </c>
      <c r="AF49" s="160">
        <f t="shared" si="6"/>
        <v>2886.8999999999942</v>
      </c>
      <c r="AG49" s="158">
        <v>23344.92</v>
      </c>
      <c r="AH49" s="159">
        <f>IF(AG49=0,"",IFERROR(AG49/AG$19,""))</f>
        <v>0.84520785957300282</v>
      </c>
      <c r="AI49" s="160">
        <f t="shared" si="7"/>
        <v>23094.28</v>
      </c>
    </row>
    <row r="50" spans="1:35" x14ac:dyDescent="0.25">
      <c r="A50" s="61" t="s">
        <v>38</v>
      </c>
      <c r="B50" s="62"/>
      <c r="C50" s="11"/>
      <c r="D50" s="11"/>
      <c r="E50" s="11"/>
      <c r="F50" s="11"/>
      <c r="G50" s="11"/>
      <c r="H50" s="84" t="s">
        <v>765</v>
      </c>
      <c r="I50" s="118" t="str">
        <f>IF(_epmOfflineCondition_,"N",_xll.EVPRO($B$1,$H50,"STYLE"))</f>
        <v>N</v>
      </c>
      <c r="J50" s="118" t="str">
        <f>IF(_epmOfflineCondition_,"N",_xll.EVPRO($B$1,$H50,"CALC"))</f>
        <v>N</v>
      </c>
      <c r="K50" s="86"/>
      <c r="L50" s="86" t="str">
        <f>IF(_epmOfflineCondition_,"947200",_xll.EVPRO($B$1,H50,"JDEID"))</f>
        <v>947200</v>
      </c>
      <c r="M50" s="86" t="str">
        <f>IF(_epmOfflineCondition_,"999992",IF(AND(I50="N",J50="N"),_xll.EVPRO($B$1,H50,"PSFTID"),""))</f>
        <v>999992</v>
      </c>
      <c r="N50" s="86" t="str">
        <f>IF(_epmOfflineCondition_,"# of Operating Days - Lunch",IF(_xll.EVDES(H50,$B$1)="#NODATA","",_xll.EVDES(H50,$B$1)))</f>
        <v># of Operating Days - Lunch</v>
      </c>
      <c r="O50" s="240">
        <v>14</v>
      </c>
      <c r="P50" s="240">
        <v>28</v>
      </c>
      <c r="Q50" s="240">
        <v>31</v>
      </c>
      <c r="R50" s="240">
        <v>30</v>
      </c>
      <c r="S50" s="240">
        <v>31</v>
      </c>
      <c r="T50" s="240"/>
      <c r="U50" s="240"/>
      <c r="V50" s="240"/>
      <c r="W50" s="240"/>
      <c r="X50" s="240">
        <v>31</v>
      </c>
      <c r="Y50" s="240">
        <v>30</v>
      </c>
      <c r="Z50" s="240">
        <v>31</v>
      </c>
      <c r="AA50" s="240">
        <f t="shared" si="5"/>
        <v>226</v>
      </c>
      <c r="AB50" s="242"/>
      <c r="AC50" s="136"/>
      <c r="AD50" s="240">
        <v>335</v>
      </c>
      <c r="AE50" s="242"/>
      <c r="AF50" s="243">
        <f t="shared" si="6"/>
        <v>-109</v>
      </c>
      <c r="AG50" s="240">
        <v>92</v>
      </c>
      <c r="AH50" s="242"/>
      <c r="AI50" s="243">
        <f t="shared" si="7"/>
        <v>134</v>
      </c>
    </row>
    <row r="51" spans="1:35" x14ac:dyDescent="0.25">
      <c r="A51" s="61" t="s">
        <v>39</v>
      </c>
      <c r="B51" s="62"/>
      <c r="C51" s="11"/>
      <c r="D51" s="11"/>
      <c r="E51" s="11"/>
      <c r="F51" s="11"/>
      <c r="G51" s="11"/>
      <c r="H51" s="84" t="s">
        <v>298</v>
      </c>
      <c r="I51" s="118" t="str">
        <f>IF(_epmOfflineCondition_,"N",_xll.EVPRO($B$1,$H51,"STYLE"))</f>
        <v>N</v>
      </c>
      <c r="J51" s="118" t="str">
        <f>IF(_epmOfflineCondition_,"N",_xll.EVPRO($B$1,$H51,"CALC"))</f>
        <v>N</v>
      </c>
      <c r="K51" s="86"/>
      <c r="L51" s="86" t="str">
        <f>IF(_epmOfflineCondition_,"946200",_xll.EVPRO($B$1,H51,"JDEID"))</f>
        <v>946200</v>
      </c>
      <c r="M51" s="86" t="str">
        <f>IF(_epmOfflineCondition_,"991502",IF(AND(I51="N",J51="N"),_xll.EVPRO($B$1,H51,"PSFTID"),""))</f>
        <v>991502</v>
      </c>
      <c r="N51" s="86" t="str">
        <f>IF(_epmOfflineCondition_,"Lunch Customers",IF(_xll.EVDES(H51,$B$1)="#NODATA","",_xll.EVDES(H51,$B$1)))</f>
        <v>Lunch Customers</v>
      </c>
      <c r="O51" s="240">
        <v>175</v>
      </c>
      <c r="P51" s="240">
        <v>168</v>
      </c>
      <c r="Q51" s="240">
        <v>155</v>
      </c>
      <c r="R51" s="240">
        <v>44</v>
      </c>
      <c r="S51" s="240">
        <v>61</v>
      </c>
      <c r="T51" s="240"/>
      <c r="U51" s="240"/>
      <c r="V51" s="240"/>
      <c r="W51" s="240"/>
      <c r="X51" s="240">
        <v>34</v>
      </c>
      <c r="Y51" s="240">
        <v>162</v>
      </c>
      <c r="Z51" s="240">
        <v>14</v>
      </c>
      <c r="AA51" s="240">
        <f t="shared" si="5"/>
        <v>813</v>
      </c>
      <c r="AB51" s="242">
        <f>IF(AA51=0,"",IFERROR(AA51/AA$87,""))</f>
        <v>0.29606700655498908</v>
      </c>
      <c r="AC51" s="136"/>
      <c r="AD51" s="240">
        <v>1087.4100000000001</v>
      </c>
      <c r="AE51" s="242">
        <f>IF(AD51=0,"",IFERROR(AD51/AD$87,""))</f>
        <v>0.30292081621282824</v>
      </c>
      <c r="AF51" s="243">
        <f t="shared" si="6"/>
        <v>-274.41000000000008</v>
      </c>
      <c r="AG51" s="240">
        <v>449</v>
      </c>
      <c r="AH51" s="242">
        <f>IF(AG51=0,"",IFERROR(AG51/AG$87,""))</f>
        <v>0.75589225589225584</v>
      </c>
      <c r="AI51" s="243">
        <f t="shared" si="7"/>
        <v>364</v>
      </c>
    </row>
    <row r="52" spans="1:35" x14ac:dyDescent="0.25">
      <c r="A52" s="61" t="s">
        <v>40</v>
      </c>
      <c r="B52" s="62"/>
      <c r="C52" s="11"/>
      <c r="D52" s="11"/>
      <c r="E52" s="11"/>
      <c r="F52" s="11"/>
      <c r="G52" s="11"/>
      <c r="H52" s="84" t="s">
        <v>315</v>
      </c>
      <c r="I52" s="118" t="str">
        <f>IF(_epmOfflineCondition_,"N",_xll.EVPRO($B$1,$H52,"STYLE"))</f>
        <v>N</v>
      </c>
      <c r="J52" s="118" t="str">
        <f>IF(_epmOfflineCondition_,"Y",_xll.EVPRO($B$1,$H52,"CALC"))</f>
        <v>Y</v>
      </c>
      <c r="K52" s="86"/>
      <c r="L52" s="86" t="str">
        <f>IF(_epmOfflineCondition_,"",_xll.EVPRO($B$1,H52,"JDEID"))</f>
        <v/>
      </c>
      <c r="M52" s="86" t="str">
        <f>IF(_epmOfflineCondition_,"",IF(AND(I52="N",J52="N"),_xll.EVPRO($B$1,H52,"PSFTID"),""))</f>
        <v/>
      </c>
      <c r="N52" s="186" t="str">
        <f>IF(_epmOfflineCondition_,"Lunch - Average Check",IF(_xll.EVDES(H52,$B$1)="#NODATA","",_xll.EVDES(H52,$B$1)))</f>
        <v>Lunch - Average Check</v>
      </c>
      <c r="O52" s="490">
        <v>66.778285714285701</v>
      </c>
      <c r="P52" s="490">
        <v>53.857142857142897</v>
      </c>
      <c r="Q52" s="490">
        <v>66.490322580645199</v>
      </c>
      <c r="R52" s="490">
        <v>77.909090909090907</v>
      </c>
      <c r="S52" s="490">
        <v>42.114754098360699</v>
      </c>
      <c r="T52" s="490"/>
      <c r="U52" s="490"/>
      <c r="V52" s="490"/>
      <c r="W52" s="490"/>
      <c r="X52" s="490">
        <v>72.5</v>
      </c>
      <c r="Y52" s="490">
        <v>32.746913580246897</v>
      </c>
      <c r="Z52" s="490">
        <v>35.5</v>
      </c>
      <c r="AA52" s="490">
        <f>IFERROR(AA49/AA51,"")</f>
        <v>57.120787207872077</v>
      </c>
      <c r="AB52" s="490"/>
      <c r="AC52" s="136"/>
      <c r="AD52" s="490">
        <v>40.051406553185998</v>
      </c>
      <c r="AE52" s="490"/>
      <c r="AF52" s="491">
        <f t="shared" si="6"/>
        <v>17.069380654686078</v>
      </c>
      <c r="AG52" s="490">
        <v>51.993140311803998</v>
      </c>
      <c r="AH52" s="490"/>
      <c r="AI52" s="491">
        <f t="shared" si="7"/>
        <v>5.1276468960680788</v>
      </c>
    </row>
    <row r="53" spans="1:35" x14ac:dyDescent="0.25">
      <c r="A53" s="61" t="s">
        <v>41</v>
      </c>
      <c r="B53" s="62"/>
      <c r="C53" s="11"/>
      <c r="D53" s="11"/>
      <c r="E53" s="11"/>
      <c r="F53" s="11"/>
      <c r="G53" s="486">
        <f>COUNTIF(O54:AI54,FALSE)</f>
        <v>0</v>
      </c>
      <c r="H53" s="84"/>
      <c r="I53" s="118"/>
      <c r="J53" s="118"/>
      <c r="K53" s="86"/>
      <c r="L53" s="86"/>
      <c r="M53" s="86"/>
      <c r="N53" s="487" t="s">
        <v>345</v>
      </c>
      <c r="O53" s="492">
        <f t="shared" ref="O53:AA53" si="8">ROUND(IFERROR(O49/O51,0),2)</f>
        <v>66.78</v>
      </c>
      <c r="P53" s="493">
        <f t="shared" si="8"/>
        <v>53.86</v>
      </c>
      <c r="Q53" s="493">
        <f t="shared" si="8"/>
        <v>66.489999999999995</v>
      </c>
      <c r="R53" s="493">
        <f t="shared" si="8"/>
        <v>77.91</v>
      </c>
      <c r="S53" s="493">
        <f t="shared" si="8"/>
        <v>42.11</v>
      </c>
      <c r="T53" s="493">
        <f t="shared" si="8"/>
        <v>0</v>
      </c>
      <c r="U53" s="493">
        <f t="shared" si="8"/>
        <v>0</v>
      </c>
      <c r="V53" s="493">
        <f t="shared" si="8"/>
        <v>0</v>
      </c>
      <c r="W53" s="493">
        <f t="shared" si="8"/>
        <v>0</v>
      </c>
      <c r="X53" s="493">
        <f t="shared" si="8"/>
        <v>72.5</v>
      </c>
      <c r="Y53" s="493">
        <f t="shared" si="8"/>
        <v>32.75</v>
      </c>
      <c r="Z53" s="493">
        <f t="shared" si="8"/>
        <v>35.5</v>
      </c>
      <c r="AA53" s="493">
        <f t="shared" si="8"/>
        <v>57.12</v>
      </c>
      <c r="AB53" s="494"/>
      <c r="AC53" s="136"/>
      <c r="AD53" s="492">
        <f>ROUND(IFERROR(AD49/AD51,0),2)</f>
        <v>40.049999999999997</v>
      </c>
      <c r="AE53" s="493"/>
      <c r="AF53" s="151"/>
      <c r="AG53" s="492">
        <f>ROUND(IFERROR(AG49/AG51,0),2)</f>
        <v>51.99</v>
      </c>
      <c r="AH53" s="493"/>
      <c r="AI53" s="151"/>
    </row>
    <row r="54" spans="1:35" x14ac:dyDescent="0.25">
      <c r="A54" s="61" t="s">
        <v>42</v>
      </c>
      <c r="B54" s="62"/>
      <c r="C54" s="11"/>
      <c r="D54" s="11"/>
      <c r="E54" s="11"/>
      <c r="F54" s="11"/>
      <c r="G54" s="11"/>
      <c r="H54" s="84"/>
      <c r="I54" s="118"/>
      <c r="J54" s="118"/>
      <c r="K54" s="86"/>
      <c r="L54" s="86"/>
      <c r="M54" s="86"/>
      <c r="N54" s="49" t="s">
        <v>316</v>
      </c>
      <c r="O54" s="495" t="b">
        <f t="shared" ref="O54:AA54" si="9">ROUND(O52,2)=ROUND(O53,2)</f>
        <v>1</v>
      </c>
      <c r="P54" s="496" t="b">
        <f t="shared" si="9"/>
        <v>1</v>
      </c>
      <c r="Q54" s="496" t="b">
        <f t="shared" si="9"/>
        <v>1</v>
      </c>
      <c r="R54" s="496" t="b">
        <f t="shared" si="9"/>
        <v>1</v>
      </c>
      <c r="S54" s="496" t="b">
        <f t="shared" si="9"/>
        <v>1</v>
      </c>
      <c r="T54" s="496" t="b">
        <f t="shared" si="9"/>
        <v>1</v>
      </c>
      <c r="U54" s="496" t="b">
        <f t="shared" si="9"/>
        <v>1</v>
      </c>
      <c r="V54" s="496" t="b">
        <f t="shared" si="9"/>
        <v>1</v>
      </c>
      <c r="W54" s="496" t="b">
        <f t="shared" si="9"/>
        <v>1</v>
      </c>
      <c r="X54" s="496" t="b">
        <f t="shared" si="9"/>
        <v>1</v>
      </c>
      <c r="Y54" s="496" t="b">
        <f t="shared" si="9"/>
        <v>1</v>
      </c>
      <c r="Z54" s="496" t="b">
        <f t="shared" si="9"/>
        <v>1</v>
      </c>
      <c r="AA54" s="496" t="b">
        <f t="shared" si="9"/>
        <v>1</v>
      </c>
      <c r="AB54" s="497"/>
      <c r="AC54" s="498"/>
      <c r="AD54" s="495"/>
      <c r="AE54" s="496" t="b">
        <f>ROUND(AD52,2)=ROUND(AD53,2)</f>
        <v>1</v>
      </c>
      <c r="AF54" s="497"/>
      <c r="AG54" s="495"/>
      <c r="AH54" s="496" t="b">
        <f>ROUND(AG52,2)=ROUND(AG53,2)</f>
        <v>1</v>
      </c>
      <c r="AI54" s="497"/>
    </row>
    <row r="55" spans="1:35" x14ac:dyDescent="0.25">
      <c r="A55" s="61" t="s">
        <v>43</v>
      </c>
      <c r="B55" s="62"/>
      <c r="C55" s="11"/>
      <c r="D55" s="11"/>
      <c r="E55" s="11"/>
      <c r="F55" s="11"/>
      <c r="G55" s="11"/>
      <c r="H55" s="84" t="s">
        <v>262</v>
      </c>
      <c r="I55" s="118" t="str">
        <f>IF(_epmOfflineCondition_,"T5",_xll.EVPRO($B$1,$H55,"STYLE"))</f>
        <v>T5</v>
      </c>
      <c r="J55" s="118" t="str">
        <f>IF(_epmOfflineCondition_,"Y",_xll.EVPRO($B$1,$H55,"CALC"))</f>
        <v>Y</v>
      </c>
      <c r="K55" s="86"/>
      <c r="L55" s="86" t="str">
        <f>IF(_epmOfflineCondition_,"463100",_xll.EVPRO($B$1,H55,"JDEID"))</f>
        <v>463100</v>
      </c>
      <c r="M55" s="86" t="str">
        <f>IF(_epmOfflineCondition_,"",IF(AND(I55="N",J55="N"),_xll.EVPRO($B$1,H55,"PSFTID"),""))</f>
        <v/>
      </c>
      <c r="N55" s="86" t="str">
        <f>IF(_epmOfflineCondition_,"Dinner Food",IF(_xll.EVDES(H55,$B$1)="#NODATA","",_xll.EVDES(H55,$B$1)))</f>
        <v>Dinner Food</v>
      </c>
      <c r="O55" s="134">
        <v>4810.25</v>
      </c>
      <c r="P55" s="134">
        <v>6380</v>
      </c>
      <c r="Q55" s="134">
        <v>1500</v>
      </c>
      <c r="R55" s="134"/>
      <c r="S55" s="134"/>
      <c r="T55" s="134"/>
      <c r="U55" s="134"/>
      <c r="V55" s="134"/>
      <c r="W55" s="134"/>
      <c r="X55" s="134">
        <v>12865.96</v>
      </c>
      <c r="Y55" s="134">
        <v>1640</v>
      </c>
      <c r="Z55" s="134"/>
      <c r="AA55" s="134">
        <f t="shared" ref="AA55:AA61" si="10">SUM(O55:Z55)</f>
        <v>27196.21</v>
      </c>
      <c r="AB55" s="138">
        <f>IF(AA55=0,"",IFERROR(AA55/AA$19,""))</f>
        <v>0.20947601284790671</v>
      </c>
      <c r="AC55" s="136"/>
      <c r="AD55" s="134">
        <v>76934.092449999996</v>
      </c>
      <c r="AE55" s="138">
        <f>IF(AD55=0,"",IFERROR(AD55/AD$19,""))</f>
        <v>0.36479492572243166</v>
      </c>
      <c r="AF55" s="137">
        <f t="shared" ref="AF55:AF62" si="11">IF(AND($AA55="",AD55=""),"",$AA55-AD55)</f>
        <v>-49737.882449999997</v>
      </c>
      <c r="AG55" s="134">
        <v>2555.2199999999998</v>
      </c>
      <c r="AH55" s="138">
        <f>IF(AG55=0,"",IFERROR(AG55/AG$19,""))</f>
        <v>9.2512290765533925E-2</v>
      </c>
      <c r="AI55" s="137">
        <f t="shared" ref="AI55:AI62" si="12">IF(AND($AA55="",AG55=""),"",$AA55-AG55)</f>
        <v>24640.989999999998</v>
      </c>
    </row>
    <row r="56" spans="1:35" x14ac:dyDescent="0.25">
      <c r="A56" s="61" t="s">
        <v>44</v>
      </c>
      <c r="B56" s="62"/>
      <c r="C56" s="11"/>
      <c r="D56" s="11"/>
      <c r="E56" s="11"/>
      <c r="F56" s="11"/>
      <c r="G56" s="11"/>
      <c r="H56" s="84" t="s">
        <v>302</v>
      </c>
      <c r="I56" s="118" t="str">
        <f>IF(_epmOfflineCondition_,"T6",_xll.EVPRO($B$1,$H56,"STYLE"))</f>
        <v>T6</v>
      </c>
      <c r="J56" s="118" t="str">
        <f>IF(_epmOfflineCondition_,"Y",_xll.EVPRO($B$1,$H56,"CALC"))</f>
        <v>Y</v>
      </c>
      <c r="K56" s="86"/>
      <c r="L56" s="86" t="str">
        <f>IF(_epmOfflineCondition_,"463200",_xll.EVPRO($B$1,H56,"JDEID"))</f>
        <v>463200</v>
      </c>
      <c r="M56" s="86" t="str">
        <f>IF(_epmOfflineCondition_,"",IF(AND(I56="N",J56="N"),_xll.EVPRO($B$1,H56,"PSFTID"),""))</f>
        <v/>
      </c>
      <c r="N56" s="86" t="str">
        <f>IF(_epmOfflineCondition_,"Dinner Liquor",IF(_xll.EVDES(H56,$B$1)="#NODATA","",_xll.EVDES(H56,$B$1)))</f>
        <v>Dinner Liquor</v>
      </c>
      <c r="O56" s="134">
        <v>2850.26</v>
      </c>
      <c r="P56" s="134"/>
      <c r="Q56" s="134">
        <v>992.82</v>
      </c>
      <c r="R56" s="134"/>
      <c r="S56" s="134"/>
      <c r="T56" s="134"/>
      <c r="U56" s="134"/>
      <c r="V56" s="134"/>
      <c r="W56" s="134"/>
      <c r="X56" s="134">
        <v>310</v>
      </c>
      <c r="Y56" s="134"/>
      <c r="Z56" s="134"/>
      <c r="AA56" s="134">
        <f t="shared" si="10"/>
        <v>4153.08</v>
      </c>
      <c r="AB56" s="138">
        <f>IF(AA56=0,"",IFERROR(AA56/AA$19,""))</f>
        <v>3.1988671930330892E-2</v>
      </c>
      <c r="AC56" s="136"/>
      <c r="AD56" s="134">
        <v>33083.548699999999</v>
      </c>
      <c r="AE56" s="138">
        <f>IF(AD56=0,"",IFERROR(AD56/AD$19,""))</f>
        <v>0.15687077479330103</v>
      </c>
      <c r="AF56" s="137">
        <f t="shared" si="11"/>
        <v>-28930.468699999998</v>
      </c>
      <c r="AG56" s="134"/>
      <c r="AH56" s="138" t="str">
        <f>IF(AG56=0,"",IFERROR(AG56/AG$19,""))</f>
        <v/>
      </c>
      <c r="AI56" s="137">
        <f t="shared" si="12"/>
        <v>4153.08</v>
      </c>
    </row>
    <row r="57" spans="1:35" x14ac:dyDescent="0.25">
      <c r="A57" s="61" t="s">
        <v>45</v>
      </c>
      <c r="B57" s="62"/>
      <c r="C57" s="11"/>
      <c r="D57" s="11"/>
      <c r="E57" s="11"/>
      <c r="F57" s="11"/>
      <c r="G57" s="11"/>
      <c r="H57" s="84" t="s">
        <v>306</v>
      </c>
      <c r="I57" s="118" t="str">
        <f>IF(_epmOfflineCondition_,"T6",_xll.EVPRO($B$1,$H57,"STYLE"))</f>
        <v>T6</v>
      </c>
      <c r="J57" s="118" t="str">
        <f>IF(_epmOfflineCondition_,"Y",_xll.EVPRO($B$1,$H57,"CALC"))</f>
        <v>Y</v>
      </c>
      <c r="K57" s="86"/>
      <c r="L57" s="86" t="str">
        <f>IF(_epmOfflineCondition_,"463300",_xll.EVPRO($B$1,H57,"JDEID"))</f>
        <v>463300</v>
      </c>
      <c r="M57" s="86" t="str">
        <f>IF(_epmOfflineCondition_,"",IF(AND(I57="N",J57="N"),_xll.EVPRO($B$1,H57,"PSFTID"),""))</f>
        <v/>
      </c>
      <c r="N57" s="86" t="str">
        <f>IF(_epmOfflineCondition_,"Dinner Beer",IF(_xll.EVDES(H57,$B$1)="#NODATA","",_xll.EVDES(H57,$B$1)))</f>
        <v>Dinner Beer</v>
      </c>
      <c r="O57" s="134">
        <v>80.91</v>
      </c>
      <c r="P57" s="134">
        <v>696</v>
      </c>
      <c r="Q57" s="134">
        <v>283.68</v>
      </c>
      <c r="R57" s="134"/>
      <c r="S57" s="134"/>
      <c r="T57" s="134"/>
      <c r="U57" s="134"/>
      <c r="V57" s="134"/>
      <c r="W57" s="134"/>
      <c r="X57" s="134">
        <v>387.41</v>
      </c>
      <c r="Y57" s="134"/>
      <c r="Z57" s="134"/>
      <c r="AA57" s="134">
        <f t="shared" si="10"/>
        <v>1448</v>
      </c>
      <c r="AB57" s="138">
        <f>IF(AA57=0,"",IFERROR(AA57/AA$19,""))</f>
        <v>1.1153071203809976E-2</v>
      </c>
      <c r="AC57" s="136"/>
      <c r="AD57" s="134">
        <v>9255.8378499999999</v>
      </c>
      <c r="AE57" s="138">
        <f>IF(AD57=0,"",IFERROR(AD57/AD$19,""))</f>
        <v>4.3887990011502655E-2</v>
      </c>
      <c r="AF57" s="137">
        <f t="shared" si="11"/>
        <v>-7807.8378499999999</v>
      </c>
      <c r="AG57" s="134"/>
      <c r="AH57" s="138" t="str">
        <f>IF(AG57=0,"",IFERROR(AG57/AG$19,""))</f>
        <v/>
      </c>
      <c r="AI57" s="137">
        <f t="shared" si="12"/>
        <v>1448</v>
      </c>
    </row>
    <row r="58" spans="1:35" x14ac:dyDescent="0.25">
      <c r="A58" s="61" t="s">
        <v>46</v>
      </c>
      <c r="B58" s="62"/>
      <c r="C58" s="11"/>
      <c r="D58" s="11"/>
      <c r="E58" s="11"/>
      <c r="F58" s="11"/>
      <c r="G58" s="11"/>
      <c r="H58" s="84" t="s">
        <v>304</v>
      </c>
      <c r="I58" s="118" t="str">
        <f>IF(_epmOfflineCondition_,"T6",_xll.EVPRO($B$1,$H58,"STYLE"))</f>
        <v>T6</v>
      </c>
      <c r="J58" s="118" t="str">
        <f>IF(_epmOfflineCondition_,"Y",_xll.EVPRO($B$1,$H58,"CALC"))</f>
        <v>Y</v>
      </c>
      <c r="K58" s="86"/>
      <c r="L58" s="86" t="str">
        <f>IF(_epmOfflineCondition_,"463400",_xll.EVPRO($B$1,H58,"JDEID"))</f>
        <v>463400</v>
      </c>
      <c r="M58" s="86" t="str">
        <f>IF(_epmOfflineCondition_,"",IF(AND(I58="N",J58="N"),_xll.EVPRO($B$1,H58,"PSFTID"),""))</f>
        <v/>
      </c>
      <c r="N58" s="86" t="str">
        <f>IF(_epmOfflineCondition_,"Dinner Wine",IF(_xll.EVDES(H58,$B$1)="#NODATA","",_xll.EVDES(H58,$B$1)))</f>
        <v>Dinner Wine</v>
      </c>
      <c r="O58" s="228">
        <v>358.58</v>
      </c>
      <c r="P58" s="228">
        <v>1113</v>
      </c>
      <c r="Q58" s="228">
        <v>193.42</v>
      </c>
      <c r="R58" s="228"/>
      <c r="S58" s="228"/>
      <c r="T58" s="228"/>
      <c r="U58" s="228"/>
      <c r="V58" s="228"/>
      <c r="W58" s="228"/>
      <c r="X58" s="228">
        <v>1166.5899999999999</v>
      </c>
      <c r="Y58" s="228">
        <v>1190</v>
      </c>
      <c r="Z58" s="228"/>
      <c r="AA58" s="228">
        <f t="shared" si="10"/>
        <v>4021.59</v>
      </c>
      <c r="AB58" s="230">
        <f>IF(AA58=0,"",IFERROR(AA58/AA$19,""))</f>
        <v>3.0975883717216962E-2</v>
      </c>
      <c r="AC58" s="136"/>
      <c r="AD58" s="228">
        <v>15651.271000000001</v>
      </c>
      <c r="AE58" s="230">
        <f>IF(AD58=0,"",IFERROR(AD58/AD$19,""))</f>
        <v>7.4212927716243549E-2</v>
      </c>
      <c r="AF58" s="231">
        <f t="shared" si="11"/>
        <v>-11629.681</v>
      </c>
      <c r="AG58" s="228"/>
      <c r="AH58" s="230" t="str">
        <f>IF(AG58=0,"",IFERROR(AG58/AG$19,""))</f>
        <v/>
      </c>
      <c r="AI58" s="231">
        <f t="shared" si="12"/>
        <v>4021.59</v>
      </c>
    </row>
    <row r="59" spans="1:35" x14ac:dyDescent="0.25">
      <c r="A59" s="11"/>
      <c r="B59" s="11"/>
      <c r="C59" s="11"/>
      <c r="D59" s="11"/>
      <c r="E59" s="11"/>
      <c r="F59" s="11"/>
      <c r="G59" s="11"/>
      <c r="H59" s="84" t="s">
        <v>320</v>
      </c>
      <c r="I59" s="118" t="str">
        <f>IF(_epmOfflineCondition_,"N",_xll.EVPRO($B$1,$H59,"STYLE"))</f>
        <v>N</v>
      </c>
      <c r="J59" s="118" t="str">
        <f>IF(_epmOfflineCondition_,"Y",_xll.EVPRO($B$1,$H59,"CALC"))</f>
        <v>Y</v>
      </c>
      <c r="K59" s="86"/>
      <c r="L59" s="86" t="str">
        <f>IF(_epmOfflineCondition_,"",_xll.EVPRO($B$1,H59,"JDEID"))</f>
        <v/>
      </c>
      <c r="M59" s="86" t="str">
        <f>IF(_epmOfflineCondition_,"",IF(AND(I59="N",J59="N"),_xll.EVPRO($B$1,H59,"PSFTID"),""))</f>
        <v/>
      </c>
      <c r="N59" s="102" t="str">
        <f>IF(_epmOfflineCondition_,"Dinner Revenue",IF(_xll.EVDES(H59,$B$1)="#NODATA","",_xll.EVDES(H59,$B$1)))</f>
        <v>Dinner Revenue</v>
      </c>
      <c r="O59" s="158">
        <v>8100</v>
      </c>
      <c r="P59" s="158">
        <v>8189</v>
      </c>
      <c r="Q59" s="158">
        <v>2969.92</v>
      </c>
      <c r="R59" s="158"/>
      <c r="S59" s="158"/>
      <c r="T59" s="158"/>
      <c r="U59" s="158"/>
      <c r="V59" s="158"/>
      <c r="W59" s="158"/>
      <c r="X59" s="158">
        <v>14729.96</v>
      </c>
      <c r="Y59" s="158">
        <v>2830</v>
      </c>
      <c r="Z59" s="158"/>
      <c r="AA59" s="158">
        <f t="shared" si="10"/>
        <v>36818.879999999997</v>
      </c>
      <c r="AB59" s="159">
        <f>IF(AA59=0,"",IFERROR(AA59/AA$19,""))</f>
        <v>0.28359363969926454</v>
      </c>
      <c r="AC59" s="136"/>
      <c r="AD59" s="158">
        <v>134924.75</v>
      </c>
      <c r="AE59" s="159">
        <f>IF(AD59=0,"",IFERROR(AD59/AD$19,""))</f>
        <v>0.63976661824347891</v>
      </c>
      <c r="AF59" s="160">
        <f t="shared" si="11"/>
        <v>-98105.87</v>
      </c>
      <c r="AG59" s="158">
        <v>2555.2199999999998</v>
      </c>
      <c r="AH59" s="159">
        <f>IF(AG59=0,"",IFERROR(AG59/AG$19,""))</f>
        <v>9.2512290765533925E-2</v>
      </c>
      <c r="AI59" s="160">
        <f t="shared" si="12"/>
        <v>34263.659999999996</v>
      </c>
    </row>
    <row r="60" spans="1:35" x14ac:dyDescent="0.25">
      <c r="A60" s="11"/>
      <c r="B60" s="11"/>
      <c r="C60" s="11"/>
      <c r="D60" s="11"/>
      <c r="E60" s="11"/>
      <c r="F60" s="11"/>
      <c r="G60" s="11"/>
      <c r="H60" s="84" t="s">
        <v>766</v>
      </c>
      <c r="I60" s="118" t="str">
        <f>IF(_epmOfflineCondition_,"N",_xll.EVPRO($B$1,$H60,"STYLE"))</f>
        <v>N</v>
      </c>
      <c r="J60" s="118" t="str">
        <f>IF(_epmOfflineCondition_,"N",_xll.EVPRO($B$1,$H60,"CALC"))</f>
        <v>N</v>
      </c>
      <c r="K60" s="86"/>
      <c r="L60" s="86" t="str">
        <f>IF(_epmOfflineCondition_,"947300",_xll.EVPRO($B$1,H60,"JDEID"))</f>
        <v>947300</v>
      </c>
      <c r="M60" s="86" t="str">
        <f>IF(_epmOfflineCondition_,"999993",IF(AND(I60="N",J60="N"),_xll.EVPRO($B$1,H60,"PSFTID"),""))</f>
        <v>999993</v>
      </c>
      <c r="N60" s="86" t="str">
        <f>IF(_epmOfflineCondition_,"# of Operating Days - Dinner",IF(_xll.EVDES(H60,$B$1)="#NODATA","",_xll.EVDES(H60,$B$1)))</f>
        <v># of Operating Days - Dinner</v>
      </c>
      <c r="O60" s="240">
        <v>14</v>
      </c>
      <c r="P60" s="240">
        <v>28</v>
      </c>
      <c r="Q60" s="240">
        <v>31</v>
      </c>
      <c r="R60" s="240">
        <v>30</v>
      </c>
      <c r="S60" s="240"/>
      <c r="T60" s="240"/>
      <c r="U60" s="240"/>
      <c r="V60" s="240"/>
      <c r="W60" s="240"/>
      <c r="X60" s="240">
        <v>31</v>
      </c>
      <c r="Y60" s="240">
        <v>30</v>
      </c>
      <c r="Z60" s="240"/>
      <c r="AA60" s="240">
        <f t="shared" si="10"/>
        <v>164</v>
      </c>
      <c r="AB60" s="242"/>
      <c r="AC60" s="136"/>
      <c r="AD60" s="240">
        <v>230</v>
      </c>
      <c r="AE60" s="242"/>
      <c r="AF60" s="243">
        <f t="shared" si="11"/>
        <v>-66</v>
      </c>
      <c r="AG60" s="240">
        <v>31</v>
      </c>
      <c r="AH60" s="242"/>
      <c r="AI60" s="243">
        <f t="shared" si="12"/>
        <v>133</v>
      </c>
    </row>
    <row r="61" spans="1:35" x14ac:dyDescent="0.25">
      <c r="A61" s="11"/>
      <c r="B61" s="11"/>
      <c r="C61" s="11"/>
      <c r="D61" s="11"/>
      <c r="E61" s="11"/>
      <c r="F61" s="11"/>
      <c r="G61" s="11"/>
      <c r="H61" s="84" t="s">
        <v>299</v>
      </c>
      <c r="I61" s="118" t="str">
        <f>IF(_epmOfflineCondition_,"N",_xll.EVPRO($B$1,$H61,"STYLE"))</f>
        <v>N</v>
      </c>
      <c r="J61" s="118" t="str">
        <f>IF(_epmOfflineCondition_,"N",_xll.EVPRO($B$1,$H61,"CALC"))</f>
        <v>N</v>
      </c>
      <c r="K61" s="86"/>
      <c r="L61" s="86" t="str">
        <f>IF(_epmOfflineCondition_,"946300",_xll.EVPRO($B$1,H61,"JDEID"))</f>
        <v>946300</v>
      </c>
      <c r="M61" s="86" t="str">
        <f>IF(_epmOfflineCondition_,"991503",IF(AND(I61="N",J61="N"),_xll.EVPRO($B$1,H61,"PSFTID"),""))</f>
        <v>991503</v>
      </c>
      <c r="N61" s="86" t="str">
        <f>IF(_epmOfflineCondition_,"Dinner Customers",IF(_xll.EVDES(H61,$B$1)="#NODATA","",_xll.EVDES(H61,$B$1)))</f>
        <v>Dinner Customers</v>
      </c>
      <c r="O61" s="240">
        <v>75</v>
      </c>
      <c r="P61" s="240">
        <v>271</v>
      </c>
      <c r="Q61" s="240">
        <v>50</v>
      </c>
      <c r="R61" s="240"/>
      <c r="S61" s="240"/>
      <c r="T61" s="240"/>
      <c r="U61" s="240"/>
      <c r="V61" s="240"/>
      <c r="W61" s="240"/>
      <c r="X61" s="240">
        <v>228</v>
      </c>
      <c r="Y61" s="240">
        <v>85</v>
      </c>
      <c r="Z61" s="240"/>
      <c r="AA61" s="240">
        <f t="shared" si="10"/>
        <v>709</v>
      </c>
      <c r="AB61" s="242">
        <f>IF(AA61=0,"",IFERROR(AA61/AA$87,""))</f>
        <v>0.25819373634377274</v>
      </c>
      <c r="AC61" s="136"/>
      <c r="AD61" s="240">
        <v>1587.35</v>
      </c>
      <c r="AE61" s="242">
        <f>IF(AD61=0,"",IFERROR(AD61/AD$87,""))</f>
        <v>0.44218956751862942</v>
      </c>
      <c r="AF61" s="243">
        <f t="shared" si="11"/>
        <v>-878.34999999999991</v>
      </c>
      <c r="AG61" s="240">
        <v>109</v>
      </c>
      <c r="AH61" s="242">
        <f>IF(AG61=0,"",IFERROR(AG61/AG$87,""))</f>
        <v>0.1835016835016835</v>
      </c>
      <c r="AI61" s="243">
        <f t="shared" si="12"/>
        <v>600</v>
      </c>
    </row>
    <row r="62" spans="1:35" x14ac:dyDescent="0.25">
      <c r="A62" s="11"/>
      <c r="B62" s="11"/>
      <c r="C62" s="11"/>
      <c r="D62" s="11"/>
      <c r="E62" s="11"/>
      <c r="F62" s="11"/>
      <c r="G62" s="11"/>
      <c r="H62" s="181" t="s">
        <v>317</v>
      </c>
      <c r="I62" s="118" t="str">
        <f>IF(_epmOfflineCondition_,"N",_xll.EVPRO($B$1,$H62,"STYLE"))</f>
        <v>N</v>
      </c>
      <c r="J62" s="118" t="str">
        <f>IF(_epmOfflineCondition_,"Y",_xll.EVPRO($B$1,$H62,"CALC"))</f>
        <v>Y</v>
      </c>
      <c r="K62" s="86"/>
      <c r="L62" s="86" t="str">
        <f>IF(_epmOfflineCondition_,"",_xll.EVPRO($B$1,H62,"JDEID"))</f>
        <v/>
      </c>
      <c r="M62" s="86" t="str">
        <f>IF(_epmOfflineCondition_,"",IF(AND(I62="N",J62="N"),_xll.EVPRO($B$1,H62,"PSFTID"),""))</f>
        <v/>
      </c>
      <c r="N62" s="186" t="str">
        <f>IF(_epmOfflineCondition_,"Dinner - Average Check",IF(_xll.EVDES(H62,$B$1)="#NODATA","",_xll.EVDES(H62,$B$1)))</f>
        <v>Dinner - Average Check</v>
      </c>
      <c r="O62" s="490">
        <v>108</v>
      </c>
      <c r="P62" s="490">
        <v>30.2177121771218</v>
      </c>
      <c r="Q62" s="490">
        <v>59.398400000000002</v>
      </c>
      <c r="R62" s="490"/>
      <c r="S62" s="490"/>
      <c r="T62" s="490"/>
      <c r="U62" s="490"/>
      <c r="V62" s="490"/>
      <c r="W62" s="490"/>
      <c r="X62" s="490">
        <v>64.605087719298197</v>
      </c>
      <c r="Y62" s="490">
        <v>33.294117647058798</v>
      </c>
      <c r="Z62" s="490"/>
      <c r="AA62" s="490">
        <f>IFERROR(AA59/AA61,"")</f>
        <v>51.930719322990122</v>
      </c>
      <c r="AB62" s="490"/>
      <c r="AC62" s="136"/>
      <c r="AD62" s="490">
        <v>85</v>
      </c>
      <c r="AE62" s="490"/>
      <c r="AF62" s="491">
        <f t="shared" si="11"/>
        <v>-33.069280677009878</v>
      </c>
      <c r="AG62" s="490">
        <v>23.4423853211009</v>
      </c>
      <c r="AH62" s="490"/>
      <c r="AI62" s="491">
        <f t="shared" si="12"/>
        <v>28.488334001889221</v>
      </c>
    </row>
    <row r="63" spans="1:35" x14ac:dyDescent="0.25">
      <c r="A63" s="11"/>
      <c r="B63" s="11"/>
      <c r="C63" s="11"/>
      <c r="D63" s="11"/>
      <c r="E63" s="11"/>
      <c r="F63" s="11"/>
      <c r="G63" s="486">
        <f>COUNTIF(O64:AI64,FALSE)</f>
        <v>0</v>
      </c>
      <c r="H63" s="84"/>
      <c r="I63" s="118"/>
      <c r="J63" s="118"/>
      <c r="K63" s="86"/>
      <c r="L63" s="86"/>
      <c r="M63" s="86"/>
      <c r="N63" s="487" t="s">
        <v>345</v>
      </c>
      <c r="O63" s="492">
        <f t="shared" ref="O63:AA63" si="13">ROUND(IFERROR(O59/O61,0),2)</f>
        <v>108</v>
      </c>
      <c r="P63" s="493">
        <f t="shared" si="13"/>
        <v>30.22</v>
      </c>
      <c r="Q63" s="493">
        <f t="shared" si="13"/>
        <v>59.4</v>
      </c>
      <c r="R63" s="493">
        <f t="shared" si="13"/>
        <v>0</v>
      </c>
      <c r="S63" s="493">
        <f t="shared" si="13"/>
        <v>0</v>
      </c>
      <c r="T63" s="493">
        <f t="shared" si="13"/>
        <v>0</v>
      </c>
      <c r="U63" s="493">
        <f t="shared" si="13"/>
        <v>0</v>
      </c>
      <c r="V63" s="493">
        <f t="shared" si="13"/>
        <v>0</v>
      </c>
      <c r="W63" s="493">
        <f t="shared" si="13"/>
        <v>0</v>
      </c>
      <c r="X63" s="493">
        <f t="shared" si="13"/>
        <v>64.61</v>
      </c>
      <c r="Y63" s="493">
        <f t="shared" si="13"/>
        <v>33.29</v>
      </c>
      <c r="Z63" s="493">
        <f t="shared" si="13"/>
        <v>0</v>
      </c>
      <c r="AA63" s="493">
        <f t="shared" si="13"/>
        <v>51.93</v>
      </c>
      <c r="AB63" s="494"/>
      <c r="AC63" s="136"/>
      <c r="AD63" s="492">
        <f>ROUND(IFERROR(AD59/AD61,0),2)</f>
        <v>85</v>
      </c>
      <c r="AE63" s="493"/>
      <c r="AF63" s="151"/>
      <c r="AG63" s="492">
        <f>ROUND(IFERROR(AG59/AG61,0),2)</f>
        <v>23.44</v>
      </c>
      <c r="AH63" s="493"/>
      <c r="AI63" s="151"/>
    </row>
    <row r="64" spans="1:35" x14ac:dyDescent="0.25">
      <c r="A64" s="11"/>
      <c r="B64" s="11"/>
      <c r="C64" s="11"/>
      <c r="D64" s="11"/>
      <c r="E64" s="11"/>
      <c r="F64" s="11"/>
      <c r="G64" s="11"/>
      <c r="H64" s="181"/>
      <c r="I64" s="118"/>
      <c r="J64" s="118"/>
      <c r="K64" s="86"/>
      <c r="L64" s="86"/>
      <c r="M64" s="86"/>
      <c r="N64" s="49" t="s">
        <v>307</v>
      </c>
      <c r="O64" s="495" t="b">
        <f t="shared" ref="O64:AA64" si="14">ROUND(O62,2)=ROUND(O63,2)</f>
        <v>1</v>
      </c>
      <c r="P64" s="496" t="b">
        <f t="shared" si="14"/>
        <v>1</v>
      </c>
      <c r="Q64" s="496" t="b">
        <f t="shared" si="14"/>
        <v>1</v>
      </c>
      <c r="R64" s="496" t="b">
        <f t="shared" si="14"/>
        <v>1</v>
      </c>
      <c r="S64" s="496" t="b">
        <f t="shared" si="14"/>
        <v>1</v>
      </c>
      <c r="T64" s="496" t="b">
        <f t="shared" si="14"/>
        <v>1</v>
      </c>
      <c r="U64" s="496" t="b">
        <f t="shared" si="14"/>
        <v>1</v>
      </c>
      <c r="V64" s="496" t="b">
        <f t="shared" si="14"/>
        <v>1</v>
      </c>
      <c r="W64" s="496" t="b">
        <f t="shared" si="14"/>
        <v>1</v>
      </c>
      <c r="X64" s="496" t="b">
        <f t="shared" si="14"/>
        <v>1</v>
      </c>
      <c r="Y64" s="496" t="b">
        <f t="shared" si="14"/>
        <v>1</v>
      </c>
      <c r="Z64" s="496" t="b">
        <f t="shared" si="14"/>
        <v>1</v>
      </c>
      <c r="AA64" s="496" t="b">
        <f t="shared" si="14"/>
        <v>1</v>
      </c>
      <c r="AB64" s="497"/>
      <c r="AC64" s="498"/>
      <c r="AD64" s="495"/>
      <c r="AE64" s="496" t="b">
        <f>ROUND(AD62,2)=ROUND(AD63,2)</f>
        <v>1</v>
      </c>
      <c r="AF64" s="497"/>
      <c r="AG64" s="495"/>
      <c r="AH64" s="496" t="b">
        <f>ROUND(AG62,2)=ROUND(AG63,2)</f>
        <v>1</v>
      </c>
      <c r="AI64" s="497"/>
    </row>
    <row r="65" spans="1:35" x14ac:dyDescent="0.25">
      <c r="A65" s="11"/>
      <c r="B65" s="11"/>
      <c r="C65" s="11"/>
      <c r="D65" s="11"/>
      <c r="E65" s="11"/>
      <c r="F65" s="11"/>
      <c r="G65" s="11"/>
      <c r="H65" s="181" t="s">
        <v>263</v>
      </c>
      <c r="I65" s="118" t="str">
        <f>IF(_epmOfflineCondition_,"T5",_xll.EVPRO($B$1,$H65,"STYLE"))</f>
        <v>T5</v>
      </c>
      <c r="J65" s="118" t="str">
        <f>IF(_epmOfflineCondition_,"Y",_xll.EVPRO($B$1,$H65,"CALC"))</f>
        <v>Y</v>
      </c>
      <c r="K65" s="86"/>
      <c r="L65" s="86" t="str">
        <f>IF(_epmOfflineCondition_,"464100",_xll.EVPRO($B$1,H65,"JDEID"))</f>
        <v>464100</v>
      </c>
      <c r="M65" s="86" t="str">
        <f>IF(_epmOfflineCondition_,"",IF(AND(I65="N",J65="N"),_xll.EVPRO($B$1,H65,"PSFTID"),""))</f>
        <v/>
      </c>
      <c r="N65" s="86" t="str">
        <f>IF(_epmOfflineCondition_,"Bar Food",IF(_xll.EVDES(H65,$B$1)="#NODATA","",_xll.EVDES(H65,$B$1)))</f>
        <v>Bar Food</v>
      </c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>
        <f t="shared" ref="AA65:AA71" si="15">SUM(O65:Z65)</f>
        <v>0</v>
      </c>
      <c r="AB65" s="138" t="str">
        <f>IF(AA65=0,"",IFERROR(AA65/AA$19,""))</f>
        <v/>
      </c>
      <c r="AC65" s="136"/>
      <c r="AD65" s="134"/>
      <c r="AE65" s="138" t="str">
        <f>IF(AD65=0,"",IFERROR(AD65/AD$19,""))</f>
        <v/>
      </c>
      <c r="AF65" s="137">
        <f t="shared" ref="AF65:AF72" si="16">IF(AND($AA65="",AD65=""),"",$AA65-AD65)</f>
        <v>0</v>
      </c>
      <c r="AG65" s="134"/>
      <c r="AH65" s="138" t="str">
        <f>IF(AG65=0,"",IFERROR(AG65/AG$19,""))</f>
        <v/>
      </c>
      <c r="AI65" s="137">
        <f t="shared" ref="AI65:AI72" si="17">IF(AND($AA65="",AG65=""),"",$AA65-AG65)</f>
        <v>0</v>
      </c>
    </row>
    <row r="66" spans="1:35" x14ac:dyDescent="0.25">
      <c r="A66" s="11"/>
      <c r="B66" s="11"/>
      <c r="C66" s="11"/>
      <c r="D66" s="11"/>
      <c r="E66" s="11"/>
      <c r="F66" s="11"/>
      <c r="G66" s="11"/>
      <c r="H66" s="181" t="s">
        <v>308</v>
      </c>
      <c r="I66" s="118" t="str">
        <f>IF(_epmOfflineCondition_,"T6",_xll.EVPRO($B$1,$H66,"STYLE"))</f>
        <v>T6</v>
      </c>
      <c r="J66" s="118" t="str">
        <f>IF(_epmOfflineCondition_,"Y",_xll.EVPRO($B$1,$H66,"CALC"))</f>
        <v>Y</v>
      </c>
      <c r="K66" s="86"/>
      <c r="L66" s="86" t="str">
        <f>IF(_epmOfflineCondition_,"464200",_xll.EVPRO($B$1,H66,"JDEID"))</f>
        <v>464200</v>
      </c>
      <c r="M66" s="86" t="str">
        <f>IF(_epmOfflineCondition_,"",IF(AND(I66="N",J66="N"),_xll.EVPRO($B$1,H66,"PSFTID"),""))</f>
        <v/>
      </c>
      <c r="N66" s="86" t="str">
        <f>IF(_epmOfflineCondition_,"Bar Liquor",IF(_xll.EVDES(H66,$B$1)="#NODATA","",_xll.EVDES(H66,$B$1)))</f>
        <v>Bar Liquor</v>
      </c>
      <c r="O66" s="134"/>
      <c r="P66" s="134"/>
      <c r="Q66" s="134"/>
      <c r="R66" s="134"/>
      <c r="S66" s="134"/>
      <c r="T66" s="134"/>
      <c r="U66" s="134"/>
      <c r="V66" s="134"/>
      <c r="W66" s="134"/>
      <c r="X66" s="134"/>
      <c r="Y66" s="134"/>
      <c r="Z66" s="134"/>
      <c r="AA66" s="134">
        <f t="shared" si="15"/>
        <v>0</v>
      </c>
      <c r="AB66" s="138" t="str">
        <f>IF(AA66=0,"",IFERROR(AA66/AA$19,""))</f>
        <v/>
      </c>
      <c r="AC66" s="136"/>
      <c r="AD66" s="134"/>
      <c r="AE66" s="138" t="str">
        <f>IF(AD66=0,"",IFERROR(AD66/AD$19,""))</f>
        <v/>
      </c>
      <c r="AF66" s="137">
        <f t="shared" si="16"/>
        <v>0</v>
      </c>
      <c r="AG66" s="134"/>
      <c r="AH66" s="138" t="str">
        <f>IF(AG66=0,"",IFERROR(AG66/AG$19,""))</f>
        <v/>
      </c>
      <c r="AI66" s="137">
        <f t="shared" si="17"/>
        <v>0</v>
      </c>
    </row>
    <row r="67" spans="1:35" x14ac:dyDescent="0.25">
      <c r="A67" s="11"/>
      <c r="B67" s="11"/>
      <c r="C67" s="11"/>
      <c r="D67" s="11"/>
      <c r="E67" s="11"/>
      <c r="F67" s="11"/>
      <c r="G67" s="11"/>
      <c r="H67" s="181" t="s">
        <v>310</v>
      </c>
      <c r="I67" s="118" t="str">
        <f>IF(_epmOfflineCondition_,"T6",_xll.EVPRO($B$1,$H67,"STYLE"))</f>
        <v>T6</v>
      </c>
      <c r="J67" s="118" t="str">
        <f>IF(_epmOfflineCondition_,"Y",_xll.EVPRO($B$1,$H67,"CALC"))</f>
        <v>Y</v>
      </c>
      <c r="K67" s="86"/>
      <c r="L67" s="86" t="str">
        <f>IF(_epmOfflineCondition_,"464300",_xll.EVPRO($B$1,H67,"JDEID"))</f>
        <v>464300</v>
      </c>
      <c r="M67" s="86" t="str">
        <f>IF(_epmOfflineCondition_,"",IF(AND(I67="N",J67="N"),_xll.EVPRO($B$1,H67,"PSFTID"),""))</f>
        <v/>
      </c>
      <c r="N67" s="86" t="str">
        <f>IF(_epmOfflineCondition_,"Bar Beer",IF(_xll.EVDES(H67,$B$1)="#NODATA","",_xll.EVDES(H67,$B$1)))</f>
        <v>Bar Beer</v>
      </c>
      <c r="O67" s="134"/>
      <c r="P67" s="134"/>
      <c r="Q67" s="134"/>
      <c r="R67" s="134"/>
      <c r="S67" s="134"/>
      <c r="T67" s="134"/>
      <c r="U67" s="134"/>
      <c r="V67" s="134"/>
      <c r="W67" s="134"/>
      <c r="X67" s="134"/>
      <c r="Y67" s="134"/>
      <c r="Z67" s="134"/>
      <c r="AA67" s="134">
        <f t="shared" si="15"/>
        <v>0</v>
      </c>
      <c r="AB67" s="138" t="str">
        <f>IF(AA67=0,"",IFERROR(AA67/AA$19,""))</f>
        <v/>
      </c>
      <c r="AC67" s="136"/>
      <c r="AD67" s="134"/>
      <c r="AE67" s="138" t="str">
        <f>IF(AD67=0,"",IFERROR(AD67/AD$19,""))</f>
        <v/>
      </c>
      <c r="AF67" s="137">
        <f t="shared" si="16"/>
        <v>0</v>
      </c>
      <c r="AG67" s="134"/>
      <c r="AH67" s="138" t="str">
        <f>IF(AG67=0,"",IFERROR(AG67/AG$19,""))</f>
        <v/>
      </c>
      <c r="AI67" s="137">
        <f t="shared" si="17"/>
        <v>0</v>
      </c>
    </row>
    <row r="68" spans="1:35" x14ac:dyDescent="0.25">
      <c r="A68" s="11"/>
      <c r="B68" s="11"/>
      <c r="C68" s="11"/>
      <c r="D68" s="11"/>
      <c r="E68" s="11"/>
      <c r="F68" s="11"/>
      <c r="G68" s="11"/>
      <c r="H68" s="181" t="s">
        <v>309</v>
      </c>
      <c r="I68" s="118" t="str">
        <f>IF(_epmOfflineCondition_,"T6",_xll.EVPRO($B$1,$H68,"STYLE"))</f>
        <v>T6</v>
      </c>
      <c r="J68" s="118" t="str">
        <f>IF(_epmOfflineCondition_,"Y",_xll.EVPRO($B$1,$H68,"CALC"))</f>
        <v>Y</v>
      </c>
      <c r="K68" s="86"/>
      <c r="L68" s="86" t="str">
        <f>IF(_epmOfflineCondition_,"464400",_xll.EVPRO($B$1,H68,"JDEID"))</f>
        <v>464400</v>
      </c>
      <c r="M68" s="86" t="str">
        <f>IF(_epmOfflineCondition_,"",IF(AND(I68="N",J68="N"),_xll.EVPRO($B$1,H68,"PSFTID"),""))</f>
        <v/>
      </c>
      <c r="N68" s="86" t="str">
        <f>IF(_epmOfflineCondition_,"Bar Wine",IF(_xll.EVDES(H68,$B$1)="#NODATA","",_xll.EVDES(H68,$B$1)))</f>
        <v>Bar Wine</v>
      </c>
      <c r="O68" s="228"/>
      <c r="P68" s="228"/>
      <c r="Q68" s="228"/>
      <c r="R68" s="228"/>
      <c r="S68" s="228"/>
      <c r="T68" s="228"/>
      <c r="U68" s="228"/>
      <c r="V68" s="228"/>
      <c r="W68" s="228"/>
      <c r="X68" s="228"/>
      <c r="Y68" s="228"/>
      <c r="Z68" s="228"/>
      <c r="AA68" s="228">
        <f t="shared" si="15"/>
        <v>0</v>
      </c>
      <c r="AB68" s="230" t="str">
        <f>IF(AA68=0,"",IFERROR(AA68/AA$19,""))</f>
        <v/>
      </c>
      <c r="AC68" s="136"/>
      <c r="AD68" s="228"/>
      <c r="AE68" s="230" t="str">
        <f>IF(AD68=0,"",IFERROR(AD68/AD$19,""))</f>
        <v/>
      </c>
      <c r="AF68" s="231">
        <f t="shared" si="16"/>
        <v>0</v>
      </c>
      <c r="AG68" s="228"/>
      <c r="AH68" s="230" t="str">
        <f>IF(AG68=0,"",IFERROR(AG68/AG$19,""))</f>
        <v/>
      </c>
      <c r="AI68" s="231">
        <f t="shared" si="17"/>
        <v>0</v>
      </c>
    </row>
    <row r="69" spans="1:35" x14ac:dyDescent="0.25">
      <c r="A69" s="11"/>
      <c r="B69" s="11"/>
      <c r="C69" s="11"/>
      <c r="D69" s="11"/>
      <c r="E69" s="11"/>
      <c r="F69" s="11"/>
      <c r="G69" s="11"/>
      <c r="H69" s="181" t="s">
        <v>327</v>
      </c>
      <c r="I69" s="118" t="str">
        <f>IF(_epmOfflineCondition_,"N",_xll.EVPRO($B$1,$H69,"STYLE"))</f>
        <v>N</v>
      </c>
      <c r="J69" s="118" t="str">
        <f>IF(_epmOfflineCondition_,"Y",_xll.EVPRO($B$1,$H69,"CALC"))</f>
        <v>Y</v>
      </c>
      <c r="K69" s="86"/>
      <c r="L69" s="86" t="str">
        <f>IF(_epmOfflineCondition_,"",_xll.EVPRO($B$1,H69,"JDEID"))</f>
        <v/>
      </c>
      <c r="M69" s="86" t="str">
        <f>IF(_epmOfflineCondition_,"",IF(AND(I69="N",J69="N"),_xll.EVPRO($B$1,H69,"PSFTID"),""))</f>
        <v/>
      </c>
      <c r="N69" s="102" t="str">
        <f>IF(_epmOfflineCondition_,"Bar Revenue",IF(_xll.EVDES(H69,$B$1)="#NODATA","",_xll.EVDES(H69,$B$1)))</f>
        <v>Bar Revenue</v>
      </c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>
        <f t="shared" si="15"/>
        <v>0</v>
      </c>
      <c r="AB69" s="159" t="str">
        <f>IF(AA69=0,"",IFERROR(AA69/AA$19,""))</f>
        <v/>
      </c>
      <c r="AC69" s="136"/>
      <c r="AD69" s="158"/>
      <c r="AE69" s="159" t="str">
        <f>IF(AD69=0,"",IFERROR(AD69/AD$19,""))</f>
        <v/>
      </c>
      <c r="AF69" s="160">
        <f t="shared" si="16"/>
        <v>0</v>
      </c>
      <c r="AG69" s="158"/>
      <c r="AH69" s="159" t="str">
        <f>IF(AG69=0,"",IFERROR(AG69/AG$19,""))</f>
        <v/>
      </c>
      <c r="AI69" s="160">
        <f t="shared" si="17"/>
        <v>0</v>
      </c>
    </row>
    <row r="70" spans="1:35" x14ac:dyDescent="0.25">
      <c r="A70" s="11"/>
      <c r="B70" s="11"/>
      <c r="C70" s="11"/>
      <c r="D70" s="11"/>
      <c r="E70" s="11"/>
      <c r="F70" s="11"/>
      <c r="G70" s="11"/>
      <c r="H70" s="181" t="s">
        <v>767</v>
      </c>
      <c r="I70" s="118" t="str">
        <f>IF(_epmOfflineCondition_,"N",_xll.EVPRO($B$1,$H70,"STYLE"))</f>
        <v>N</v>
      </c>
      <c r="J70" s="118" t="str">
        <f>IF(_epmOfflineCondition_,"N",_xll.EVPRO($B$1,$H70,"CALC"))</f>
        <v>N</v>
      </c>
      <c r="K70" s="86"/>
      <c r="L70" s="86" t="str">
        <f>IF(_epmOfflineCondition_,"947400",_xll.EVPRO($B$1,H70,"JDEID"))</f>
        <v>947400</v>
      </c>
      <c r="M70" s="86" t="str">
        <f>IF(_epmOfflineCondition_,"999994",IF(AND(I70="N",J70="N"),_xll.EVPRO($B$1,H70,"PSFTID"),""))</f>
        <v>999994</v>
      </c>
      <c r="N70" s="86" t="str">
        <f>IF(_epmOfflineCondition_,"# of Operating Days - Bar",IF(_xll.EVDES(H70,$B$1)="#NODATA","",_xll.EVDES(H70,$B$1)))</f>
        <v># of Operating Days - Bar</v>
      </c>
      <c r="O70" s="240"/>
      <c r="P70" s="240"/>
      <c r="Q70" s="240"/>
      <c r="R70" s="240"/>
      <c r="S70" s="240"/>
      <c r="T70" s="240"/>
      <c r="U70" s="240"/>
      <c r="V70" s="240"/>
      <c r="W70" s="240"/>
      <c r="X70" s="240"/>
      <c r="Y70" s="240"/>
      <c r="Z70" s="240"/>
      <c r="AA70" s="240">
        <f t="shared" si="15"/>
        <v>0</v>
      </c>
      <c r="AB70" s="242"/>
      <c r="AC70" s="136"/>
      <c r="AD70" s="240"/>
      <c r="AE70" s="242"/>
      <c r="AF70" s="243">
        <f t="shared" si="16"/>
        <v>0</v>
      </c>
      <c r="AG70" s="240"/>
      <c r="AH70" s="242"/>
      <c r="AI70" s="243">
        <f t="shared" si="17"/>
        <v>0</v>
      </c>
    </row>
    <row r="71" spans="1:35" x14ac:dyDescent="0.25">
      <c r="A71" s="11"/>
      <c r="B71" s="11"/>
      <c r="C71" s="11"/>
      <c r="D71" s="11"/>
      <c r="E71" s="11"/>
      <c r="F71" s="11"/>
      <c r="G71" s="11"/>
      <c r="H71" s="181" t="s">
        <v>326</v>
      </c>
      <c r="I71" s="118" t="str">
        <f>IF(_epmOfflineCondition_,"N",_xll.EVPRO($B$1,$H71,"STYLE"))</f>
        <v>N</v>
      </c>
      <c r="J71" s="118" t="str">
        <f>IF(_epmOfflineCondition_,"N",_xll.EVPRO($B$1,$H71,"CALC"))</f>
        <v>N</v>
      </c>
      <c r="K71" s="86"/>
      <c r="L71" s="86" t="str">
        <f>IF(_epmOfflineCondition_,"946500",_xll.EVPRO($B$1,H71,"JDEID"))</f>
        <v>946500</v>
      </c>
      <c r="M71" s="86" t="str">
        <f>IF(_epmOfflineCondition_,"991522",IF(AND(I71="N",J71="N"),_xll.EVPRO($B$1,H71,"PSFTID"),""))</f>
        <v>991522</v>
      </c>
      <c r="N71" s="86" t="str">
        <f>IF(_epmOfflineCondition_,"Bar Customers",IF(_xll.EVDES(H71,$B$1)="#NODATA","",_xll.EVDES(H71,$B$1)))</f>
        <v>Bar Customers</v>
      </c>
      <c r="O71" s="240"/>
      <c r="P71" s="240"/>
      <c r="Q71" s="240"/>
      <c r="R71" s="240"/>
      <c r="S71" s="240"/>
      <c r="T71" s="240"/>
      <c r="U71" s="240"/>
      <c r="V71" s="240"/>
      <c r="W71" s="240"/>
      <c r="X71" s="240"/>
      <c r="Y71" s="240"/>
      <c r="Z71" s="240"/>
      <c r="AA71" s="240">
        <f t="shared" si="15"/>
        <v>0</v>
      </c>
      <c r="AB71" s="242" t="str">
        <f>IF(AA71=0,"",IFERROR(AA71/AA$87,""))</f>
        <v/>
      </c>
      <c r="AC71" s="136"/>
      <c r="AD71" s="240"/>
      <c r="AE71" s="242" t="str">
        <f>IF(AD71=0,"",IFERROR(AD71/AD$87,""))</f>
        <v/>
      </c>
      <c r="AF71" s="243">
        <f t="shared" si="16"/>
        <v>0</v>
      </c>
      <c r="AG71" s="240"/>
      <c r="AH71" s="242" t="str">
        <f>IF(AG71=0,"",IFERROR(AG71/AG$87,""))</f>
        <v/>
      </c>
      <c r="AI71" s="243">
        <f t="shared" si="17"/>
        <v>0</v>
      </c>
    </row>
    <row r="72" spans="1:35" x14ac:dyDescent="0.25">
      <c r="A72" s="11"/>
      <c r="B72" s="11"/>
      <c r="C72" s="11"/>
      <c r="D72" s="11"/>
      <c r="E72" s="11"/>
      <c r="F72" s="11"/>
      <c r="G72" s="11"/>
      <c r="H72" s="181" t="s">
        <v>328</v>
      </c>
      <c r="I72" s="118" t="str">
        <f>IF(_epmOfflineCondition_,"N",_xll.EVPRO($B$1,$H72,"STYLE"))</f>
        <v>N</v>
      </c>
      <c r="J72" s="118" t="str">
        <f>IF(_epmOfflineCondition_,"Y",_xll.EVPRO($B$1,$H72,"CALC"))</f>
        <v>Y</v>
      </c>
      <c r="K72" s="86"/>
      <c r="L72" s="86" t="str">
        <f>IF(_epmOfflineCondition_,"",_xll.EVPRO($B$1,H72,"JDEID"))</f>
        <v/>
      </c>
      <c r="M72" s="86" t="str">
        <f>IF(_epmOfflineCondition_,"",IF(AND(I72="N",J72="N"),_xll.EVPRO($B$1,H72,"PSFTID"),""))</f>
        <v/>
      </c>
      <c r="N72" s="186" t="str">
        <f>IF(_epmOfflineCondition_,"Bar- Average Check",IF(_xll.EVDES(H72,$B$1)="#NODATA","",_xll.EVDES(H72,$B$1)))</f>
        <v>Bar- Average Check</v>
      </c>
      <c r="O72" s="490"/>
      <c r="P72" s="490"/>
      <c r="Q72" s="490"/>
      <c r="R72" s="490"/>
      <c r="S72" s="490"/>
      <c r="T72" s="490"/>
      <c r="U72" s="490"/>
      <c r="V72" s="490"/>
      <c r="W72" s="490"/>
      <c r="X72" s="490"/>
      <c r="Y72" s="490"/>
      <c r="Z72" s="490"/>
      <c r="AA72" s="490" t="str">
        <f>IFERROR(AA69/AA71,"")</f>
        <v/>
      </c>
      <c r="AB72" s="490"/>
      <c r="AC72" s="136"/>
      <c r="AD72" s="490"/>
      <c r="AE72" s="490"/>
      <c r="AF72" s="491" t="str">
        <f t="shared" si="16"/>
        <v/>
      </c>
      <c r="AG72" s="490"/>
      <c r="AH72" s="490"/>
      <c r="AI72" s="491" t="str">
        <f t="shared" si="17"/>
        <v/>
      </c>
    </row>
    <row r="73" spans="1:35" x14ac:dyDescent="0.25">
      <c r="A73" s="11"/>
      <c r="B73" s="11"/>
      <c r="C73" s="11"/>
      <c r="D73" s="11"/>
      <c r="E73" s="11"/>
      <c r="F73" s="11"/>
      <c r="G73" s="486">
        <f>COUNTIF(O74:AI74,FALSE)</f>
        <v>0</v>
      </c>
      <c r="H73" s="84"/>
      <c r="I73" s="118"/>
      <c r="J73" s="118"/>
      <c r="K73" s="86"/>
      <c r="L73" s="86"/>
      <c r="M73" s="86"/>
      <c r="N73" s="487" t="s">
        <v>345</v>
      </c>
      <c r="O73" s="492">
        <f t="shared" ref="O73:AA73" si="18">ROUND(IFERROR(O69/O71,0),2)</f>
        <v>0</v>
      </c>
      <c r="P73" s="493">
        <f t="shared" si="18"/>
        <v>0</v>
      </c>
      <c r="Q73" s="493">
        <f t="shared" si="18"/>
        <v>0</v>
      </c>
      <c r="R73" s="493">
        <f t="shared" si="18"/>
        <v>0</v>
      </c>
      <c r="S73" s="493">
        <f t="shared" si="18"/>
        <v>0</v>
      </c>
      <c r="T73" s="493">
        <f t="shared" si="18"/>
        <v>0</v>
      </c>
      <c r="U73" s="493">
        <f t="shared" si="18"/>
        <v>0</v>
      </c>
      <c r="V73" s="493">
        <f t="shared" si="18"/>
        <v>0</v>
      </c>
      <c r="W73" s="493">
        <f t="shared" si="18"/>
        <v>0</v>
      </c>
      <c r="X73" s="493">
        <f t="shared" si="18"/>
        <v>0</v>
      </c>
      <c r="Y73" s="493">
        <f t="shared" si="18"/>
        <v>0</v>
      </c>
      <c r="Z73" s="493">
        <f t="shared" si="18"/>
        <v>0</v>
      </c>
      <c r="AA73" s="493">
        <f t="shared" si="18"/>
        <v>0</v>
      </c>
      <c r="AB73" s="494"/>
      <c r="AC73" s="136"/>
      <c r="AD73" s="492">
        <f>ROUND(IFERROR(AD69/AD71,0),2)</f>
        <v>0</v>
      </c>
      <c r="AE73" s="493"/>
      <c r="AF73" s="151"/>
      <c r="AG73" s="492">
        <f>ROUND(IFERROR(AG69/AG71,0),2)</f>
        <v>0</v>
      </c>
      <c r="AH73" s="493"/>
      <c r="AI73" s="151"/>
    </row>
    <row r="74" spans="1:35" x14ac:dyDescent="0.25">
      <c r="A74" s="11"/>
      <c r="B74" s="11"/>
      <c r="C74" s="11"/>
      <c r="D74" s="11"/>
      <c r="E74" s="11"/>
      <c r="F74" s="11"/>
      <c r="G74" s="11"/>
      <c r="H74" s="181"/>
      <c r="I74" s="118"/>
      <c r="J74" s="118"/>
      <c r="K74" s="86"/>
      <c r="L74" s="86"/>
      <c r="M74" s="86"/>
      <c r="N74" s="49" t="s">
        <v>324</v>
      </c>
      <c r="O74" s="495" t="b">
        <f t="shared" ref="O74:AA74" si="19">ROUND(O72,2)=ROUND(O73,2)</f>
        <v>1</v>
      </c>
      <c r="P74" s="496" t="b">
        <f t="shared" si="19"/>
        <v>1</v>
      </c>
      <c r="Q74" s="496" t="b">
        <f t="shared" si="19"/>
        <v>1</v>
      </c>
      <c r="R74" s="496" t="b">
        <f t="shared" si="19"/>
        <v>1</v>
      </c>
      <c r="S74" s="496" t="b">
        <f t="shared" si="19"/>
        <v>1</v>
      </c>
      <c r="T74" s="496" t="b">
        <f t="shared" si="19"/>
        <v>1</v>
      </c>
      <c r="U74" s="496" t="b">
        <f t="shared" si="19"/>
        <v>1</v>
      </c>
      <c r="V74" s="496" t="b">
        <f t="shared" si="19"/>
        <v>1</v>
      </c>
      <c r="W74" s="496" t="b">
        <f t="shared" si="19"/>
        <v>1</v>
      </c>
      <c r="X74" s="496" t="b">
        <f t="shared" si="19"/>
        <v>1</v>
      </c>
      <c r="Y74" s="496" t="b">
        <f t="shared" si="19"/>
        <v>1</v>
      </c>
      <c r="Z74" s="496" t="b">
        <f t="shared" si="19"/>
        <v>1</v>
      </c>
      <c r="AA74" s="496" t="e">
        <f t="shared" si="19"/>
        <v>#VALUE!</v>
      </c>
      <c r="AB74" s="497"/>
      <c r="AC74" s="498"/>
      <c r="AD74" s="495"/>
      <c r="AE74" s="496" t="b">
        <f>ROUND(AD72,2)=ROUND(AD73,2)</f>
        <v>1</v>
      </c>
      <c r="AF74" s="497"/>
      <c r="AG74" s="495"/>
      <c r="AH74" s="496" t="b">
        <f>ROUND(AG72,2)=ROUND(AG73,2)</f>
        <v>1</v>
      </c>
      <c r="AI74" s="497"/>
    </row>
    <row r="75" spans="1:35" x14ac:dyDescent="0.25">
      <c r="A75" s="11"/>
      <c r="B75" s="11"/>
      <c r="C75" s="11"/>
      <c r="D75" s="11"/>
      <c r="E75" s="11"/>
      <c r="F75" s="11"/>
      <c r="G75" s="11"/>
      <c r="H75" s="181" t="s">
        <v>264</v>
      </c>
      <c r="I75" s="118" t="str">
        <f>IF(_epmOfflineCondition_,"T5",_xll.EVPRO($B$1,$H75,"STYLE"))</f>
        <v>T5</v>
      </c>
      <c r="J75" s="118" t="str">
        <f>IF(_epmOfflineCondition_,"Y",_xll.EVPRO($B$1,$H75,"CALC"))</f>
        <v>Y</v>
      </c>
      <c r="K75" s="86"/>
      <c r="L75" s="86" t="str">
        <f>IF(_epmOfflineCondition_,"465100",_xll.EVPRO($B$1,H75,"JDEID"))</f>
        <v>465100</v>
      </c>
      <c r="M75" s="86" t="str">
        <f>IF(_epmOfflineCondition_,"",IF(AND(I75="N",J75="N"),_xll.EVPRO($B$1,H75,"PSFTID"),""))</f>
        <v/>
      </c>
      <c r="N75" s="86" t="str">
        <f>IF(_epmOfflineCondition_,"Private Dining Food",IF(_xll.EVDES(H75,$B$1)="#NODATA","",_xll.EVDES(H75,$B$1)))</f>
        <v>Private Dining Food</v>
      </c>
      <c r="O75" s="134"/>
      <c r="P75" s="134"/>
      <c r="Q75" s="134"/>
      <c r="R75" s="134"/>
      <c r="S75" s="134"/>
      <c r="T75" s="134"/>
      <c r="U75" s="134"/>
      <c r="V75" s="134"/>
      <c r="W75" s="134"/>
      <c r="X75" s="134"/>
      <c r="Y75" s="134"/>
      <c r="Z75" s="134"/>
      <c r="AA75" s="134">
        <f t="shared" ref="AA75:AA80" si="20">SUM(O75:Z75)</f>
        <v>0</v>
      </c>
      <c r="AB75" s="138" t="str">
        <f>IF(AA75=0,"",IFERROR(AA75/AA$19,""))</f>
        <v/>
      </c>
      <c r="AC75" s="136"/>
      <c r="AD75" s="134"/>
      <c r="AE75" s="138" t="str">
        <f>IF(AD75=0,"",IFERROR(AD75/AD$19,""))</f>
        <v/>
      </c>
      <c r="AF75" s="137">
        <f t="shared" ref="AF75:AF81" si="21">IF(AND($AA75="",AD75=""),"",$AA75-AD75)</f>
        <v>0</v>
      </c>
      <c r="AG75" s="134"/>
      <c r="AH75" s="138" t="str">
        <f>IF(AG75=0,"",IFERROR(AG75/AG$19,""))</f>
        <v/>
      </c>
      <c r="AI75" s="137">
        <f t="shared" ref="AI75:AI81" si="22">IF(AND($AA75="",AG75=""),"",$AA75-AG75)</f>
        <v>0</v>
      </c>
    </row>
    <row r="76" spans="1:35" x14ac:dyDescent="0.25">
      <c r="A76" s="11"/>
      <c r="B76" s="11"/>
      <c r="C76" s="11"/>
      <c r="D76" s="11"/>
      <c r="E76" s="11"/>
      <c r="F76" s="11"/>
      <c r="G76" s="11"/>
      <c r="H76" s="181" t="s">
        <v>321</v>
      </c>
      <c r="I76" s="118" t="str">
        <f>IF(_epmOfflineCondition_,"T6",_xll.EVPRO($B$1,$H76,"STYLE"))</f>
        <v>T6</v>
      </c>
      <c r="J76" s="118" t="str">
        <f>IF(_epmOfflineCondition_,"Y",_xll.EVPRO($B$1,$H76,"CALC"))</f>
        <v>Y</v>
      </c>
      <c r="K76" s="86"/>
      <c r="L76" s="86" t="str">
        <f>IF(_epmOfflineCondition_,"465200",_xll.EVPRO($B$1,H76,"JDEID"))</f>
        <v>465200</v>
      </c>
      <c r="M76" s="86" t="str">
        <f>IF(_epmOfflineCondition_,"",IF(AND(I76="N",J76="N"),_xll.EVPRO($B$1,H76,"PSFTID"),""))</f>
        <v/>
      </c>
      <c r="N76" s="86" t="str">
        <f>IF(_epmOfflineCondition_,"Private Dining Liquor",IF(_xll.EVDES(H76,$B$1)="#NODATA","",_xll.EVDES(H76,$B$1)))</f>
        <v>Private Dining Liquor</v>
      </c>
      <c r="O76" s="134"/>
      <c r="P76" s="134"/>
      <c r="Q76" s="134"/>
      <c r="R76" s="134"/>
      <c r="S76" s="134"/>
      <c r="T76" s="134"/>
      <c r="U76" s="134"/>
      <c r="V76" s="134"/>
      <c r="W76" s="134"/>
      <c r="X76" s="134"/>
      <c r="Y76" s="134"/>
      <c r="Z76" s="134"/>
      <c r="AA76" s="134">
        <f t="shared" si="20"/>
        <v>0</v>
      </c>
      <c r="AB76" s="138" t="str">
        <f>IF(AA76=0,"",IFERROR(AA76/AA$19,""))</f>
        <v/>
      </c>
      <c r="AC76" s="136"/>
      <c r="AD76" s="134"/>
      <c r="AE76" s="138" t="str">
        <f>IF(AD76=0,"",IFERROR(AD76/AD$19,""))</f>
        <v/>
      </c>
      <c r="AF76" s="137">
        <f t="shared" si="21"/>
        <v>0</v>
      </c>
      <c r="AG76" s="134"/>
      <c r="AH76" s="138" t="str">
        <f>IF(AG76=0,"",IFERROR(AG76/AG$19,""))</f>
        <v/>
      </c>
      <c r="AI76" s="137">
        <f t="shared" si="22"/>
        <v>0</v>
      </c>
    </row>
    <row r="77" spans="1:35" x14ac:dyDescent="0.25">
      <c r="A77" s="11"/>
      <c r="B77" s="11"/>
      <c r="C77" s="11"/>
      <c r="D77" s="11"/>
      <c r="E77" s="11"/>
      <c r="F77" s="11"/>
      <c r="G77" s="11"/>
      <c r="H77" s="181" t="s">
        <v>323</v>
      </c>
      <c r="I77" s="118" t="str">
        <f>IF(_epmOfflineCondition_,"T6",_xll.EVPRO($B$1,$H77,"STYLE"))</f>
        <v>T6</v>
      </c>
      <c r="J77" s="118" t="str">
        <f>IF(_epmOfflineCondition_,"Y",_xll.EVPRO($B$1,$H77,"CALC"))</f>
        <v>Y</v>
      </c>
      <c r="K77" s="86"/>
      <c r="L77" s="86" t="str">
        <f>IF(_epmOfflineCondition_,"465300",_xll.EVPRO($B$1,H77,"JDEID"))</f>
        <v>465300</v>
      </c>
      <c r="M77" s="86" t="str">
        <f>IF(_epmOfflineCondition_,"",IF(AND(I77="N",J77="N"),_xll.EVPRO($B$1,H77,"PSFTID"),""))</f>
        <v/>
      </c>
      <c r="N77" s="86" t="str">
        <f>IF(_epmOfflineCondition_,"Private Dining Beer",IF(_xll.EVDES(H77,$B$1)="#NODATA","",_xll.EVDES(H77,$B$1)))</f>
        <v>Private Dining Beer</v>
      </c>
      <c r="O77" s="134"/>
      <c r="P77" s="134"/>
      <c r="Q77" s="134"/>
      <c r="R77" s="134"/>
      <c r="S77" s="134"/>
      <c r="T77" s="134"/>
      <c r="U77" s="134"/>
      <c r="V77" s="134"/>
      <c r="W77" s="134"/>
      <c r="X77" s="134"/>
      <c r="Y77" s="134"/>
      <c r="Z77" s="134"/>
      <c r="AA77" s="134">
        <f t="shared" si="20"/>
        <v>0</v>
      </c>
      <c r="AB77" s="138" t="str">
        <f>IF(AA77=0,"",IFERROR(AA77/AA$19,""))</f>
        <v/>
      </c>
      <c r="AC77" s="136"/>
      <c r="AD77" s="134"/>
      <c r="AE77" s="138" t="str">
        <f>IF(AD77=0,"",IFERROR(AD77/AD$19,""))</f>
        <v/>
      </c>
      <c r="AF77" s="137">
        <f t="shared" si="21"/>
        <v>0</v>
      </c>
      <c r="AG77" s="134"/>
      <c r="AH77" s="138" t="str">
        <f>IF(AG77=0,"",IFERROR(AG77/AG$19,""))</f>
        <v/>
      </c>
      <c r="AI77" s="137">
        <f t="shared" si="22"/>
        <v>0</v>
      </c>
    </row>
    <row r="78" spans="1:35" x14ac:dyDescent="0.25">
      <c r="A78" s="11"/>
      <c r="B78" s="11"/>
      <c r="C78" s="204"/>
      <c r="D78" s="11"/>
      <c r="E78" s="11"/>
      <c r="F78" s="11"/>
      <c r="G78" s="11"/>
      <c r="H78" s="181" t="s">
        <v>322</v>
      </c>
      <c r="I78" s="118" t="str">
        <f>IF(_epmOfflineCondition_,"T6",_xll.EVPRO($B$1,$H78,"STYLE"))</f>
        <v>T6</v>
      </c>
      <c r="J78" s="118" t="str">
        <f>IF(_epmOfflineCondition_,"Y",_xll.EVPRO($B$1,$H78,"CALC"))</f>
        <v>Y</v>
      </c>
      <c r="K78" s="86"/>
      <c r="L78" s="86" t="str">
        <f>IF(_epmOfflineCondition_,"465400",_xll.EVPRO($B$1,H78,"JDEID"))</f>
        <v>465400</v>
      </c>
      <c r="M78" s="86" t="str">
        <f>IF(_epmOfflineCondition_,"",IF(AND(I78="N",J78="N"),_xll.EVPRO($B$1,H78,"PSFTID"),""))</f>
        <v/>
      </c>
      <c r="N78" s="86" t="str">
        <f>IF(_epmOfflineCondition_,"Private Dining Wine",IF(_xll.EVDES(H78,$B$1)="#NODATA","",_xll.EVDES(H78,$B$1)))</f>
        <v>Private Dining Wine</v>
      </c>
      <c r="O78" s="228"/>
      <c r="P78" s="228"/>
      <c r="Q78" s="228"/>
      <c r="R78" s="228"/>
      <c r="S78" s="228"/>
      <c r="T78" s="228"/>
      <c r="U78" s="228"/>
      <c r="V78" s="228"/>
      <c r="W78" s="228"/>
      <c r="X78" s="228"/>
      <c r="Y78" s="228"/>
      <c r="Z78" s="228"/>
      <c r="AA78" s="228">
        <f t="shared" si="20"/>
        <v>0</v>
      </c>
      <c r="AB78" s="230" t="str">
        <f>IF(AA78=0,"",IFERROR(AA78/AA$19,""))</f>
        <v/>
      </c>
      <c r="AC78" s="136"/>
      <c r="AD78" s="228"/>
      <c r="AE78" s="230" t="str">
        <f>IF(AD78=0,"",IFERROR(AD78/AD$19,""))</f>
        <v/>
      </c>
      <c r="AF78" s="231">
        <f t="shared" si="21"/>
        <v>0</v>
      </c>
      <c r="AG78" s="228"/>
      <c r="AH78" s="230" t="str">
        <f>IF(AG78=0,"",IFERROR(AG78/AG$19,""))</f>
        <v/>
      </c>
      <c r="AI78" s="231">
        <f t="shared" si="22"/>
        <v>0</v>
      </c>
    </row>
    <row r="79" spans="1:35" x14ac:dyDescent="0.25">
      <c r="A79" s="11"/>
      <c r="B79" s="11"/>
      <c r="C79" s="204"/>
      <c r="D79" s="11"/>
      <c r="E79" s="11"/>
      <c r="F79" s="11"/>
      <c r="G79" s="11"/>
      <c r="H79" s="181" t="s">
        <v>329</v>
      </c>
      <c r="I79" s="118" t="str">
        <f>IF(_epmOfflineCondition_,"N",_xll.EVPRO($B$1,$H79,"STYLE"))</f>
        <v>N</v>
      </c>
      <c r="J79" s="118" t="str">
        <f>IF(_epmOfflineCondition_,"Y",_xll.EVPRO($B$1,$H79,"CALC"))</f>
        <v>Y</v>
      </c>
      <c r="K79" s="86"/>
      <c r="L79" s="86" t="str">
        <f>IF(_epmOfflineCondition_,"",_xll.EVPRO($B$1,H79,"JDEID"))</f>
        <v/>
      </c>
      <c r="M79" s="86" t="str">
        <f>IF(_epmOfflineCondition_,"",IF(AND(I79="N",J79="N"),_xll.EVPRO($B$1,H79,"PSFTID"),""))</f>
        <v/>
      </c>
      <c r="N79" s="102" t="str">
        <f>IF(_epmOfflineCondition_,"Private Dining Revenue",IF(_xll.EVDES(H79,$B$1)="#NODATA","",_xll.EVDES(H79,$B$1)))</f>
        <v>Private Dining Revenue</v>
      </c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>
        <f t="shared" si="20"/>
        <v>0</v>
      </c>
      <c r="AB79" s="159" t="str">
        <f>IF(AA79=0,"",IFERROR(AA79/AA$19,""))</f>
        <v/>
      </c>
      <c r="AC79" s="136"/>
      <c r="AD79" s="158"/>
      <c r="AE79" s="159" t="str">
        <f>IF(AD79=0,"",IFERROR(AD79/AD$19,""))</f>
        <v/>
      </c>
      <c r="AF79" s="160">
        <f t="shared" si="21"/>
        <v>0</v>
      </c>
      <c r="AG79" s="158"/>
      <c r="AH79" s="159" t="str">
        <f>IF(AG79=0,"",IFERROR(AG79/AG$19,""))</f>
        <v/>
      </c>
      <c r="AI79" s="160">
        <f t="shared" si="22"/>
        <v>0</v>
      </c>
    </row>
    <row r="80" spans="1:35" x14ac:dyDescent="0.25">
      <c r="A80" s="11"/>
      <c r="B80" s="11"/>
      <c r="C80" s="204"/>
      <c r="D80" s="11"/>
      <c r="E80" s="11"/>
      <c r="F80" s="11"/>
      <c r="G80" s="11"/>
      <c r="H80" s="181" t="s">
        <v>300</v>
      </c>
      <c r="I80" s="118" t="str">
        <f>IF(_epmOfflineCondition_,"N",_xll.EVPRO($B$1,$H80,"STYLE"))</f>
        <v>N</v>
      </c>
      <c r="J80" s="118" t="str">
        <f>IF(_epmOfflineCondition_,"N",_xll.EVPRO($B$1,$H80,"CALC"))</f>
        <v>N</v>
      </c>
      <c r="K80" s="86"/>
      <c r="L80" s="86" t="str">
        <f>IF(_epmOfflineCondition_,"946400",_xll.EVPRO($B$1,H80,"JDEID"))</f>
        <v>946400</v>
      </c>
      <c r="M80" s="86" t="str">
        <f>IF(_epmOfflineCondition_,"991510",IF(AND(I80="N",J80="N"),_xll.EVPRO($B$1,H80,"PSFTID"),""))</f>
        <v>991510</v>
      </c>
      <c r="N80" s="86" t="str">
        <f>IF(_epmOfflineCondition_,"Private Dining Customers",IF(_xll.EVDES(H80,$B$1)="#NODATA","",_xll.EVDES(H80,$B$1)))</f>
        <v>Private Dining Customers</v>
      </c>
      <c r="O80" s="240"/>
      <c r="P80" s="240"/>
      <c r="Q80" s="240"/>
      <c r="R80" s="240"/>
      <c r="S80" s="240"/>
      <c r="T80" s="240"/>
      <c r="U80" s="240"/>
      <c r="V80" s="240"/>
      <c r="W80" s="240"/>
      <c r="X80" s="240"/>
      <c r="Y80" s="240"/>
      <c r="Z80" s="240"/>
      <c r="AA80" s="240">
        <f t="shared" si="20"/>
        <v>0</v>
      </c>
      <c r="AB80" s="242" t="str">
        <f>IF(AA80=0,"",IFERROR(AA80/AA$87,""))</f>
        <v/>
      </c>
      <c r="AC80" s="136"/>
      <c r="AD80" s="240"/>
      <c r="AE80" s="242" t="str">
        <f>IF(AD80=0,"",IFERROR(AD80/AD$87,""))</f>
        <v/>
      </c>
      <c r="AF80" s="243">
        <f t="shared" si="21"/>
        <v>0</v>
      </c>
      <c r="AG80" s="240"/>
      <c r="AH80" s="242" t="str">
        <f>IF(AG80=0,"",IFERROR(AG80/AG$87,""))</f>
        <v/>
      </c>
      <c r="AI80" s="243">
        <f t="shared" si="22"/>
        <v>0</v>
      </c>
    </row>
    <row r="81" spans="1:35" x14ac:dyDescent="0.25">
      <c r="A81" s="11"/>
      <c r="B81" s="11"/>
      <c r="C81" s="204"/>
      <c r="D81" s="11"/>
      <c r="E81" s="11"/>
      <c r="F81" s="11"/>
      <c r="G81" s="11"/>
      <c r="H81" s="181" t="s">
        <v>325</v>
      </c>
      <c r="I81" s="118" t="str">
        <f>IF(_epmOfflineCondition_,"N",_xll.EVPRO($B$1,$H81,"STYLE"))</f>
        <v>N</v>
      </c>
      <c r="J81" s="118" t="str">
        <f>IF(_epmOfflineCondition_,"Y",_xll.EVPRO($B$1,$H81,"CALC"))</f>
        <v>Y</v>
      </c>
      <c r="K81" s="86"/>
      <c r="L81" s="86" t="str">
        <f>IF(_epmOfflineCondition_,"",_xll.EVPRO($B$1,H81,"JDEID"))</f>
        <v/>
      </c>
      <c r="M81" s="86" t="str">
        <f>IF(_epmOfflineCondition_,"",IF(AND(I81="N",J81="N"),_xll.EVPRO($B$1,H81,"PSFTID"),""))</f>
        <v/>
      </c>
      <c r="N81" s="186" t="str">
        <f>IF(_epmOfflineCondition_,"Private Dining - Average Check",IF(_xll.EVDES(H81,$B$1)="#NODATA","",_xll.EVDES(H81,$B$1)))</f>
        <v>Private Dining - Average Check</v>
      </c>
      <c r="O81" s="490"/>
      <c r="P81" s="490"/>
      <c r="Q81" s="490"/>
      <c r="R81" s="490"/>
      <c r="S81" s="490"/>
      <c r="T81" s="490"/>
      <c r="U81" s="490"/>
      <c r="V81" s="490"/>
      <c r="W81" s="490"/>
      <c r="X81" s="490"/>
      <c r="Y81" s="490"/>
      <c r="Z81" s="490"/>
      <c r="AA81" s="490" t="str">
        <f>IFERROR(AA79/AA80,"")</f>
        <v/>
      </c>
      <c r="AB81" s="490"/>
      <c r="AC81" s="136"/>
      <c r="AD81" s="490"/>
      <c r="AE81" s="490"/>
      <c r="AF81" s="491" t="str">
        <f t="shared" si="21"/>
        <v/>
      </c>
      <c r="AG81" s="490"/>
      <c r="AH81" s="490"/>
      <c r="AI81" s="491" t="str">
        <f t="shared" si="22"/>
        <v/>
      </c>
    </row>
    <row r="82" spans="1:35" x14ac:dyDescent="0.25">
      <c r="A82" s="11"/>
      <c r="B82" s="11"/>
      <c r="C82" s="204"/>
      <c r="D82" s="11"/>
      <c r="E82" s="11"/>
      <c r="F82" s="11"/>
      <c r="G82" s="486">
        <f>COUNTIF(O84:AI84,FALSE)</f>
        <v>0</v>
      </c>
      <c r="H82" s="84"/>
      <c r="I82" s="118"/>
      <c r="J82" s="118"/>
      <c r="K82" s="86"/>
      <c r="L82" s="86"/>
      <c r="M82" s="86"/>
      <c r="N82" s="487" t="s">
        <v>345</v>
      </c>
      <c r="O82" s="492">
        <f t="shared" ref="O82:AA82" si="23">ROUND(IFERROR(O79/O80,0),2)</f>
        <v>0</v>
      </c>
      <c r="P82" s="493">
        <f t="shared" si="23"/>
        <v>0</v>
      </c>
      <c r="Q82" s="493">
        <f t="shared" si="23"/>
        <v>0</v>
      </c>
      <c r="R82" s="493">
        <f t="shared" si="23"/>
        <v>0</v>
      </c>
      <c r="S82" s="493">
        <f t="shared" si="23"/>
        <v>0</v>
      </c>
      <c r="T82" s="493">
        <f t="shared" si="23"/>
        <v>0</v>
      </c>
      <c r="U82" s="493">
        <f t="shared" si="23"/>
        <v>0</v>
      </c>
      <c r="V82" s="493">
        <f t="shared" si="23"/>
        <v>0</v>
      </c>
      <c r="W82" s="493">
        <f t="shared" si="23"/>
        <v>0</v>
      </c>
      <c r="X82" s="493">
        <f t="shared" si="23"/>
        <v>0</v>
      </c>
      <c r="Y82" s="493">
        <f t="shared" si="23"/>
        <v>0</v>
      </c>
      <c r="Z82" s="493">
        <f t="shared" si="23"/>
        <v>0</v>
      </c>
      <c r="AA82" s="493">
        <f t="shared" si="23"/>
        <v>0</v>
      </c>
      <c r="AB82" s="494"/>
      <c r="AC82" s="136"/>
      <c r="AD82" s="492">
        <f>ROUND(IFERROR(AD79/AD80,0),2)</f>
        <v>0</v>
      </c>
      <c r="AE82" s="493"/>
      <c r="AF82" s="151"/>
      <c r="AG82" s="492">
        <f>ROUND(IFERROR(AG79/AG80,0),2)</f>
        <v>0</v>
      </c>
      <c r="AH82" s="493"/>
      <c r="AI82" s="151"/>
    </row>
    <row r="83" spans="1:35" x14ac:dyDescent="0.25">
      <c r="A83" s="11"/>
      <c r="B83" s="11"/>
      <c r="C83" s="204"/>
      <c r="D83" s="11"/>
      <c r="E83" s="11"/>
      <c r="F83" s="11"/>
      <c r="G83" s="11"/>
      <c r="H83" s="84" t="s">
        <v>486</v>
      </c>
      <c r="I83" s="118" t="str">
        <f>IF(_epmOfflineCondition_,"T5",_xll.EVPRO($B$1,$H83,"STYLE"))</f>
        <v>T5</v>
      </c>
      <c r="J83" s="118" t="str">
        <f>IF(_epmOfflineCondition_,"Y",_xll.EVPRO($B$1,$H83,"CALC"))</f>
        <v>Y</v>
      </c>
      <c r="K83" s="86"/>
      <c r="L83" s="86" t="str">
        <f>IF(_epmOfflineCondition_,"",_xll.EVPRO($B$1,H83,"JDEID"))</f>
        <v/>
      </c>
      <c r="M83" s="86" t="str">
        <f>IF(_epmOfflineCondition_,"",IF(AND(I83="N",J83="N"),_xll.EVPRO($B$1,H83,"PSFTID"),""))</f>
        <v/>
      </c>
      <c r="N83" s="86" t="str">
        <f>IF(_epmOfflineCondition_,"Food &amp; Beverage: Allowances",IF(_xll.EVDES(H83,$B$1)="#NODATA","",_xll.EVDES(H83,$B$1)))</f>
        <v>Food &amp; Beverage: Allowances</v>
      </c>
      <c r="O83" s="134"/>
      <c r="P83" s="134"/>
      <c r="Q83" s="134"/>
      <c r="R83" s="134"/>
      <c r="S83" s="134"/>
      <c r="T83" s="134"/>
      <c r="U83" s="134"/>
      <c r="V83" s="134"/>
      <c r="W83" s="134"/>
      <c r="X83" s="134"/>
      <c r="Y83" s="134"/>
      <c r="Z83" s="134"/>
      <c r="AA83" s="134">
        <f>SUM(O83:Z83)</f>
        <v>0</v>
      </c>
      <c r="AB83" s="138" t="str">
        <f>IF(AA83=0,"",IFERROR(AA83/AA$19,""))</f>
        <v/>
      </c>
      <c r="AC83" s="136"/>
      <c r="AD83" s="134"/>
      <c r="AE83" s="138" t="str">
        <f>IF(AD83=0,"",IFERROR(AD83/AD$19,""))</f>
        <v/>
      </c>
      <c r="AF83" s="137">
        <f>IF(AND($AA83="",AD83=""),"",$AA83-AD83)</f>
        <v>0</v>
      </c>
      <c r="AG83" s="134"/>
      <c r="AH83" s="138" t="str">
        <f>IF(AG83=0,"",IFERROR(AG83/AG$19,""))</f>
        <v/>
      </c>
      <c r="AI83" s="137">
        <f>IF(AND($AA83="",AG83=""),"",$AA83-AG83)</f>
        <v>0</v>
      </c>
    </row>
    <row r="84" spans="1:35" x14ac:dyDescent="0.25">
      <c r="A84" s="11"/>
      <c r="B84" s="11"/>
      <c r="C84" s="204"/>
      <c r="D84" s="11"/>
      <c r="E84" s="11"/>
      <c r="F84" s="11"/>
      <c r="G84" s="11"/>
      <c r="H84" s="84"/>
      <c r="I84" s="118"/>
      <c r="J84" s="118"/>
      <c r="K84" s="86"/>
      <c r="L84" s="86"/>
      <c r="M84" s="86"/>
      <c r="N84" s="49" t="s">
        <v>348</v>
      </c>
      <c r="O84" s="495" t="b">
        <f t="shared" ref="O84:AA84" si="24">ROUND(O81,2)=ROUND(O82,2)</f>
        <v>1</v>
      </c>
      <c r="P84" s="496" t="b">
        <f t="shared" si="24"/>
        <v>1</v>
      </c>
      <c r="Q84" s="496" t="b">
        <f t="shared" si="24"/>
        <v>1</v>
      </c>
      <c r="R84" s="496" t="b">
        <f t="shared" si="24"/>
        <v>1</v>
      </c>
      <c r="S84" s="496" t="b">
        <f t="shared" si="24"/>
        <v>1</v>
      </c>
      <c r="T84" s="496" t="b">
        <f t="shared" si="24"/>
        <v>1</v>
      </c>
      <c r="U84" s="496" t="b">
        <f t="shared" si="24"/>
        <v>1</v>
      </c>
      <c r="V84" s="496" t="b">
        <f t="shared" si="24"/>
        <v>1</v>
      </c>
      <c r="W84" s="496" t="b">
        <f t="shared" si="24"/>
        <v>1</v>
      </c>
      <c r="X84" s="496" t="b">
        <f t="shared" si="24"/>
        <v>1</v>
      </c>
      <c r="Y84" s="496" t="b">
        <f t="shared" si="24"/>
        <v>1</v>
      </c>
      <c r="Z84" s="496" t="b">
        <f t="shared" si="24"/>
        <v>1</v>
      </c>
      <c r="AA84" s="496" t="e">
        <f t="shared" si="24"/>
        <v>#VALUE!</v>
      </c>
      <c r="AB84" s="497"/>
      <c r="AC84" s="498"/>
      <c r="AD84" s="495"/>
      <c r="AE84" s="496" t="b">
        <f>ROUND(AD81,2)=ROUND(AD82,2)</f>
        <v>1</v>
      </c>
      <c r="AF84" s="497"/>
      <c r="AG84" s="495"/>
      <c r="AH84" s="496" t="b">
        <f>ROUND(AG81,2)=ROUND(AG82,2)</f>
        <v>1</v>
      </c>
      <c r="AI84" s="497"/>
    </row>
    <row r="85" spans="1:35" x14ac:dyDescent="0.25">
      <c r="A85" s="11"/>
      <c r="B85" s="11"/>
      <c r="C85" s="204"/>
      <c r="D85" s="11"/>
      <c r="E85" s="11"/>
      <c r="F85" s="11"/>
      <c r="G85" s="11"/>
      <c r="H85" s="181" t="s">
        <v>273</v>
      </c>
      <c r="I85" s="118" t="str">
        <f>IF(_epmOfflineCondition_,"T4",_xll.EVPRO($B$1,$H85,"STYLE"))</f>
        <v>T4</v>
      </c>
      <c r="J85" s="118" t="str">
        <f>IF(_epmOfflineCondition_,"Y",_xll.EVPRO($B$1,$H85,"CALC"))</f>
        <v>Y</v>
      </c>
      <c r="K85" s="11"/>
      <c r="L85" s="86" t="str">
        <f>IF(_epmOfflineCondition_,"",_xll.EVPRO($B$1,H85,"JDEID"))</f>
        <v/>
      </c>
      <c r="M85" s="86" t="str">
        <f>IF(_epmOfflineCondition_,"",IF(AND(I85="N",J85="N"),_xll.EVPRO($B$1,H85,"PSFTID"),""))</f>
        <v/>
      </c>
      <c r="N85" s="86" t="str">
        <f>IF(_epmOfflineCondition_,"Total Food &amp; Beverage Revenue",IF(_xll.EVDES(H85,$B$1)="#NODATA","",_xll.EVDES(H85,$B$1)))</f>
        <v>Total Food &amp; Beverage Revenue</v>
      </c>
      <c r="O85" s="502">
        <v>26251.200000000001</v>
      </c>
      <c r="P85" s="502">
        <v>22382.95</v>
      </c>
      <c r="Q85" s="502">
        <v>19817.599999999999</v>
      </c>
      <c r="R85" s="502">
        <v>4647</v>
      </c>
      <c r="S85" s="502">
        <v>4653</v>
      </c>
      <c r="T85" s="502">
        <v>1549</v>
      </c>
      <c r="U85" s="502">
        <v>2239</v>
      </c>
      <c r="V85" s="502">
        <v>2472</v>
      </c>
      <c r="W85" s="502">
        <v>1418</v>
      </c>
      <c r="X85" s="502">
        <v>19928.96</v>
      </c>
      <c r="Y85" s="502">
        <v>12412</v>
      </c>
      <c r="Z85" s="502">
        <v>12059</v>
      </c>
      <c r="AA85" s="502">
        <f>SUM(O85:Z85)</f>
        <v>129829.70999999999</v>
      </c>
      <c r="AB85" s="503">
        <f>IF(AA85=0,"",IFERROR(AA85/AA$19,""))</f>
        <v>1</v>
      </c>
      <c r="AC85" s="136"/>
      <c r="AD85" s="502">
        <v>210896.8273</v>
      </c>
      <c r="AE85" s="503">
        <f>IF(AD85=0,"",IFERROR(AD85/AD$19,""))</f>
        <v>1</v>
      </c>
      <c r="AF85" s="504">
        <f>IF(AND($AA85="",AD85=""),"",$AA85-AD85)</f>
        <v>-81067.117300000013</v>
      </c>
      <c r="AG85" s="502">
        <v>27620.33</v>
      </c>
      <c r="AH85" s="503">
        <f>IF(AG85=0,"",IFERROR(AG85/AG$19,""))</f>
        <v>1</v>
      </c>
      <c r="AI85" s="504">
        <f>IF(AND($AA85="",AG85=""),"",$AA85-AG85)</f>
        <v>102209.37999999999</v>
      </c>
    </row>
    <row r="86" spans="1:35" x14ac:dyDescent="0.25">
      <c r="A86" s="11"/>
      <c r="B86" s="11"/>
      <c r="C86" s="204"/>
      <c r="D86" s="11"/>
      <c r="E86" s="11"/>
      <c r="F86" s="11"/>
      <c r="G86" s="11"/>
      <c r="H86" s="181" t="s">
        <v>768</v>
      </c>
      <c r="I86" s="118" t="str">
        <f>IF(_epmOfflineCondition_,"N",_xll.EVPRO($B$1,$H86,"STYLE"))</f>
        <v>N</v>
      </c>
      <c r="J86" s="118" t="str">
        <f>IF(_epmOfflineCondition_,"N",_xll.EVPRO($B$1,$H86,"CALC"))</f>
        <v>N</v>
      </c>
      <c r="K86" s="11"/>
      <c r="L86" s="86" t="str">
        <f>IF(_epmOfflineCondition_,"947500",_xll.EVPRO($B$1,H86,"JDEID"))</f>
        <v>947500</v>
      </c>
      <c r="M86" s="86" t="str">
        <f>IF(_epmOfflineCondition_,"991552",IF(AND(I86="N",J86="N"),_xll.EVPRO($B$1,H86,"PSFTID"),""))</f>
        <v>991552</v>
      </c>
      <c r="N86" s="86" t="str">
        <f>IF(_epmOfflineCondition_,"# of Seats in Outlet",IF(_xll.EVDES(H86,$B$1)="#NODATA","",_xll.EVDES(H86,$B$1)))</f>
        <v># of Seats in Outlet</v>
      </c>
      <c r="O86" s="502"/>
      <c r="P86" s="502"/>
      <c r="Q86" s="502"/>
      <c r="R86" s="502"/>
      <c r="S86" s="502"/>
      <c r="T86" s="502"/>
      <c r="U86" s="502"/>
      <c r="V86" s="502"/>
      <c r="W86" s="502"/>
      <c r="X86" s="502"/>
      <c r="Y86" s="502"/>
      <c r="Z86" s="502"/>
      <c r="AA86" s="502">
        <f>SUM(O86:Z86)</f>
        <v>0</v>
      </c>
      <c r="AB86" s="503"/>
      <c r="AC86" s="136"/>
      <c r="AD86" s="502"/>
      <c r="AE86" s="503"/>
      <c r="AF86" s="504">
        <f>IF(AND($AA86="",AD86=""),"",$AA86-AD86)</f>
        <v>0</v>
      </c>
      <c r="AG86" s="502"/>
      <c r="AH86" s="503"/>
      <c r="AI86" s="504">
        <f>IF(AND($AA86="",AG86=""),"",$AA86-AG86)</f>
        <v>0</v>
      </c>
    </row>
    <row r="87" spans="1:35" x14ac:dyDescent="0.25">
      <c r="A87" s="11"/>
      <c r="B87" s="11"/>
      <c r="C87" s="204"/>
      <c r="D87" s="11"/>
      <c r="E87" s="11"/>
      <c r="F87" s="11"/>
      <c r="G87" s="11"/>
      <c r="H87" s="181" t="s">
        <v>331</v>
      </c>
      <c r="I87" s="118" t="str">
        <f>IF(_epmOfflineCondition_,"T2",_xll.EVPRO($B$1,$H87,"STYLE"))</f>
        <v>T2</v>
      </c>
      <c r="J87" s="118" t="str">
        <f>IF(_epmOfflineCondition_,"Y",_xll.EVPRO($B$1,$H87,"CALC"))</f>
        <v>Y</v>
      </c>
      <c r="K87" s="11"/>
      <c r="L87" s="86" t="str">
        <f>IF(_epmOfflineCondition_,"946000",_xll.EVPRO($B$1,H87,"JDEID"))</f>
        <v>946000</v>
      </c>
      <c r="M87" s="86" t="str">
        <f>IF(_epmOfflineCondition_,"",IF(AND(I87="N",J87="N"),_xll.EVPRO($B$1,H87,"PSFTID"),""))</f>
        <v/>
      </c>
      <c r="N87" s="86" t="str">
        <f>IF(_epmOfflineCondition_,"Total Customers",IF(_xll.EVDES(H87,$B$1)="#NODATA","",_xll.EVDES(H87,$B$1)))</f>
        <v>Total Customers</v>
      </c>
      <c r="O87" s="502">
        <v>444</v>
      </c>
      <c r="P87" s="502">
        <v>609</v>
      </c>
      <c r="Q87" s="502">
        <v>396</v>
      </c>
      <c r="R87" s="502">
        <v>50</v>
      </c>
      <c r="S87" s="502">
        <v>147</v>
      </c>
      <c r="T87" s="502">
        <v>46</v>
      </c>
      <c r="U87" s="502">
        <v>88</v>
      </c>
      <c r="V87" s="502">
        <v>61</v>
      </c>
      <c r="W87" s="502">
        <v>62</v>
      </c>
      <c r="X87" s="502">
        <v>311</v>
      </c>
      <c r="Y87" s="502">
        <v>314</v>
      </c>
      <c r="Z87" s="502">
        <v>218</v>
      </c>
      <c r="AA87" s="502">
        <f>SUM(O87:Z87)</f>
        <v>2746</v>
      </c>
      <c r="AB87" s="503">
        <f>IF(AA87=0,"",IFERROR(AA87/AA$20,""))</f>
        <v>1</v>
      </c>
      <c r="AC87" s="136"/>
      <c r="AD87" s="502">
        <v>3589.75</v>
      </c>
      <c r="AE87" s="503">
        <f>IF(AD87=0,"",IFERROR(AD87/AD$20,""))</f>
        <v>1</v>
      </c>
      <c r="AF87" s="504">
        <f>IF(AND($AA87="",AD87=""),"",$AA87-AD87)</f>
        <v>-843.75</v>
      </c>
      <c r="AG87" s="502">
        <v>594</v>
      </c>
      <c r="AH87" s="503">
        <f>IF(AG87=0,"",IFERROR(AG87/AG$20,""))</f>
        <v>1</v>
      </c>
      <c r="AI87" s="504">
        <f>IF(AND($AA87="",AG87=""),"",$AA87-AG87)</f>
        <v>2152</v>
      </c>
    </row>
    <row r="88" spans="1:35" x14ac:dyDescent="0.25">
      <c r="A88" s="11"/>
      <c r="B88" s="11"/>
      <c r="C88" s="204"/>
      <c r="D88" s="11"/>
      <c r="E88" s="11"/>
      <c r="F88" s="11"/>
      <c r="G88" s="11"/>
      <c r="H88" s="181" t="s">
        <v>311</v>
      </c>
      <c r="I88" s="118" t="str">
        <f>IF(_epmOfflineCondition_,"N",_xll.EVPRO($B$1,$H88,"STYLE"))</f>
        <v>N</v>
      </c>
      <c r="J88" s="118" t="str">
        <f>IF(_epmOfflineCondition_,"Y",_xll.EVPRO($B$1,$H88,"CALC"))</f>
        <v>Y</v>
      </c>
      <c r="K88" s="11"/>
      <c r="L88" s="86"/>
      <c r="M88" s="86"/>
      <c r="N88" s="86" t="str">
        <f>IF(_epmOfflineCondition_,"Total Average Check",IF(_xll.EVDES(H88,$B$1)="#NODATA","",_xll.EVDES(H88,$B$1)))</f>
        <v>Total Average Check</v>
      </c>
      <c r="O88" s="490">
        <v>59.124324324324299</v>
      </c>
      <c r="P88" s="490">
        <v>36.753612479474498</v>
      </c>
      <c r="Q88" s="490">
        <v>50.044444444444402</v>
      </c>
      <c r="R88" s="490">
        <v>92.94</v>
      </c>
      <c r="S88" s="490">
        <v>31.6530612244898</v>
      </c>
      <c r="T88" s="490">
        <v>33.673913043478301</v>
      </c>
      <c r="U88" s="490">
        <v>25.443181818181799</v>
      </c>
      <c r="V88" s="490">
        <v>40.524590163934398</v>
      </c>
      <c r="W88" s="490">
        <v>22.870967741935502</v>
      </c>
      <c r="X88" s="490">
        <v>64.080257234726702</v>
      </c>
      <c r="Y88" s="490">
        <v>39.528662420382197</v>
      </c>
      <c r="Z88" s="490">
        <v>55.316513761467903</v>
      </c>
      <c r="AA88" s="490">
        <f>IFERROR(AA85/AA87,"")</f>
        <v>47.279573925710118</v>
      </c>
      <c r="AB88" s="490"/>
      <c r="AC88" s="136"/>
      <c r="AD88" s="490">
        <v>58.749725551918701</v>
      </c>
      <c r="AE88" s="490"/>
      <c r="AF88" s="491">
        <f>IF(AND($AA88="",AD88=""),"",$AA88-AD88)</f>
        <v>-11.470151626208583</v>
      </c>
      <c r="AG88" s="490">
        <v>46.498872053872098</v>
      </c>
      <c r="AH88" s="490"/>
      <c r="AI88" s="491">
        <f>IF(AND($AA88="",AG88=""),"",$AA88-AG88)</f>
        <v>0.7807018718380192</v>
      </c>
    </row>
    <row r="89" spans="1:35" x14ac:dyDescent="0.25">
      <c r="A89" s="11"/>
      <c r="B89" s="11"/>
      <c r="C89" s="204"/>
      <c r="D89" s="11"/>
      <c r="E89" s="11"/>
      <c r="F89" s="11"/>
      <c r="G89" s="11"/>
      <c r="H89" s="181"/>
      <c r="I89" s="118"/>
      <c r="J89" s="118"/>
      <c r="K89" s="11"/>
      <c r="L89" s="86"/>
      <c r="M89" s="86"/>
      <c r="N89" s="86"/>
      <c r="O89" s="166"/>
      <c r="P89" s="167"/>
      <c r="Q89" s="167"/>
      <c r="R89" s="167"/>
      <c r="S89" s="167"/>
      <c r="T89" s="167"/>
      <c r="U89" s="167"/>
      <c r="V89" s="167"/>
      <c r="W89" s="167"/>
      <c r="X89" s="167"/>
      <c r="Y89" s="167"/>
      <c r="Z89" s="167"/>
      <c r="AA89" s="167"/>
      <c r="AB89" s="168"/>
      <c r="AC89" s="136"/>
      <c r="AD89" s="166"/>
      <c r="AE89" s="167"/>
      <c r="AF89" s="168"/>
      <c r="AG89" s="166"/>
      <c r="AH89" s="167"/>
      <c r="AI89" s="168"/>
    </row>
    <row r="90" spans="1:35" x14ac:dyDescent="0.25">
      <c r="A90" s="11"/>
      <c r="B90" s="11"/>
      <c r="C90" s="204"/>
      <c r="D90" s="11"/>
      <c r="E90" s="11"/>
      <c r="F90" s="11"/>
      <c r="G90" s="11"/>
      <c r="H90" s="181"/>
      <c r="I90" s="118"/>
      <c r="J90" s="118"/>
      <c r="K90" s="11"/>
      <c r="L90" s="86"/>
      <c r="M90" s="86"/>
      <c r="N90" s="49" t="s">
        <v>334</v>
      </c>
      <c r="O90" s="154"/>
      <c r="P90" s="155"/>
      <c r="Q90" s="155"/>
      <c r="R90" s="155"/>
      <c r="S90" s="155"/>
      <c r="T90" s="155"/>
      <c r="U90" s="155"/>
      <c r="V90" s="155"/>
      <c r="W90" s="155"/>
      <c r="X90" s="155"/>
      <c r="Y90" s="155"/>
      <c r="Z90" s="155"/>
      <c r="AA90" s="155"/>
      <c r="AB90" s="156"/>
      <c r="AC90" s="136"/>
      <c r="AD90" s="154"/>
      <c r="AE90" s="155"/>
      <c r="AF90" s="156"/>
      <c r="AG90" s="154"/>
      <c r="AH90" s="155"/>
      <c r="AI90" s="156"/>
    </row>
    <row r="91" spans="1:35" hidden="1" outlineLevel="1" x14ac:dyDescent="0.25">
      <c r="A91" s="11"/>
      <c r="B91" s="11"/>
      <c r="C91" s="204"/>
      <c r="D91" s="11"/>
      <c r="E91" s="11"/>
      <c r="F91" s="11"/>
      <c r="G91" s="11"/>
      <c r="H91" s="181" t="s">
        <v>332</v>
      </c>
      <c r="I91" s="118" t="str">
        <f>IF(_epmOfflineCondition_,"T4",_xll.EVPRO($B$1,$H91,"STYLE"))</f>
        <v>T4</v>
      </c>
      <c r="J91" s="118" t="str">
        <f>IF(_epmOfflineCondition_,"Y",_xll.EVPRO($B$1,$H91,"CALC"))</f>
        <v>Y</v>
      </c>
      <c r="K91" s="11"/>
      <c r="L91" s="86"/>
      <c r="M91" s="86"/>
      <c r="N91" s="86" t="str">
        <f>IF(_epmOfflineCondition_,"F&amp;B Kitchen - THW",IF(_xll.EVDES(H91,$B$1)="#NODATA","",_xll.EVDES(H91,$B$1)))</f>
        <v>F&amp;B Kitchen - THW</v>
      </c>
      <c r="O91" s="134">
        <v>143.04</v>
      </c>
      <c r="P91" s="134">
        <v>60.75</v>
      </c>
      <c r="Q91" s="134">
        <v>27.25</v>
      </c>
      <c r="R91" s="134">
        <v>125.5</v>
      </c>
      <c r="S91" s="134">
        <v>7.25</v>
      </c>
      <c r="T91" s="134">
        <v>21.25</v>
      </c>
      <c r="U91" s="134"/>
      <c r="V91" s="134"/>
      <c r="W91" s="134"/>
      <c r="X91" s="134"/>
      <c r="Y91" s="134"/>
      <c r="Z91" s="134"/>
      <c r="AA91" s="134">
        <f>SUM(O91:Z91)</f>
        <v>385.03999999999996</v>
      </c>
      <c r="AB91" s="138"/>
      <c r="AC91" s="136"/>
      <c r="AD91" s="134"/>
      <c r="AE91" s="138"/>
      <c r="AF91" s="137">
        <f t="shared" ref="AF91:AF96" si="25">IF(AND($AA91="",AD91=""),"",$AA91-AD91)</f>
        <v>385.03999999999996</v>
      </c>
      <c r="AG91" s="134"/>
      <c r="AH91" s="138"/>
      <c r="AI91" s="137">
        <f t="shared" ref="AI91:AI96" si="26">IF(AND($AA91="",AG91=""),"",$AA91-AG91)</f>
        <v>385.03999999999996</v>
      </c>
    </row>
    <row r="92" spans="1:35" hidden="1" outlineLevel="1" x14ac:dyDescent="0.25">
      <c r="A92" s="11"/>
      <c r="B92" s="11"/>
      <c r="C92" s="204"/>
      <c r="D92" s="11"/>
      <c r="E92" s="11"/>
      <c r="F92" s="11"/>
      <c r="G92" s="11"/>
      <c r="H92" s="181" t="s">
        <v>333</v>
      </c>
      <c r="I92" s="118" t="str">
        <f>IF(_epmOfflineCondition_,"T4",_xll.EVPRO($B$1,$H92,"STYLE"))</f>
        <v>T4</v>
      </c>
      <c r="J92" s="118" t="str">
        <f>IF(_epmOfflineCondition_,"Y",_xll.EVPRO($B$1,$H92,"CALC"))</f>
        <v>Y</v>
      </c>
      <c r="K92" s="11"/>
      <c r="L92" s="86"/>
      <c r="M92" s="86"/>
      <c r="N92" s="86" t="str">
        <f>IF(_epmOfflineCondition_,"F&amp;B Venues - THW",IF(_xll.EVDES(H92,$B$1)="#NODATA","",_xll.EVDES(H92,$B$1)))</f>
        <v>F&amp;B Venues - THW</v>
      </c>
      <c r="O92" s="134">
        <v>71.25</v>
      </c>
      <c r="P92" s="134"/>
      <c r="Q92" s="134">
        <v>2</v>
      </c>
      <c r="R92" s="134"/>
      <c r="S92" s="134"/>
      <c r="T92" s="134"/>
      <c r="U92" s="134"/>
      <c r="V92" s="134"/>
      <c r="W92" s="134"/>
      <c r="X92" s="134"/>
      <c r="Y92" s="134"/>
      <c r="Z92" s="134"/>
      <c r="AA92" s="134">
        <f>SUM(O92:Z92)</f>
        <v>73.25</v>
      </c>
      <c r="AB92" s="138"/>
      <c r="AC92" s="136"/>
      <c r="AD92" s="134"/>
      <c r="AE92" s="138"/>
      <c r="AF92" s="137">
        <f t="shared" si="25"/>
        <v>73.25</v>
      </c>
      <c r="AG92" s="134"/>
      <c r="AH92" s="138"/>
      <c r="AI92" s="137">
        <f t="shared" si="26"/>
        <v>73.25</v>
      </c>
    </row>
    <row r="93" spans="1:35" hidden="1" outlineLevel="1" x14ac:dyDescent="0.25">
      <c r="A93" s="11"/>
      <c r="B93" s="11"/>
      <c r="C93" s="204"/>
      <c r="D93" s="11"/>
      <c r="E93" s="11"/>
      <c r="F93" s="11"/>
      <c r="G93" s="11"/>
      <c r="H93" s="181" t="s">
        <v>775</v>
      </c>
      <c r="I93" s="118" t="str">
        <f>IF(_epmOfflineCondition_,"T4",_xll.EVPRO($B$1,$H93,"STYLE"))</f>
        <v>T4</v>
      </c>
      <c r="J93" s="118" t="str">
        <f>IF(_epmOfflineCondition_,"Y",_xll.EVPRO($B$1,$H93,"CALC"))</f>
        <v>Y</v>
      </c>
      <c r="K93" s="11"/>
      <c r="L93" s="86"/>
      <c r="M93" s="86"/>
      <c r="N93" s="86" t="str">
        <f>IF(_epmOfflineCondition_,"Banquet &amp; Conf/Catering Service - THW",IF(_xll.EVDES(H93,$B$1)="#NODATA","",_xll.EVDES(H93,$B$1)))</f>
        <v>Banquet &amp; Conf/Catering Service - THW</v>
      </c>
      <c r="O93" s="134">
        <v>137.38</v>
      </c>
      <c r="P93" s="134">
        <v>180.94</v>
      </c>
      <c r="Q93" s="134">
        <v>140.93</v>
      </c>
      <c r="R93" s="134">
        <v>96.73</v>
      </c>
      <c r="S93" s="134">
        <v>59.5</v>
      </c>
      <c r="T93" s="134">
        <v>66.31</v>
      </c>
      <c r="U93" s="134">
        <v>24.42</v>
      </c>
      <c r="V93" s="134">
        <v>80.25</v>
      </c>
      <c r="W93" s="134">
        <v>36.25</v>
      </c>
      <c r="X93" s="134">
        <v>173.46</v>
      </c>
      <c r="Y93" s="134">
        <v>106.25</v>
      </c>
      <c r="Z93" s="134">
        <v>88.07</v>
      </c>
      <c r="AA93" s="134">
        <f>SUM(O93:Z93)</f>
        <v>1190.49</v>
      </c>
      <c r="AB93" s="138"/>
      <c r="AC93" s="136"/>
      <c r="AD93" s="134">
        <v>1865</v>
      </c>
      <c r="AE93" s="138"/>
      <c r="AF93" s="137">
        <f t="shared" si="25"/>
        <v>-674.51</v>
      </c>
      <c r="AG93" s="134">
        <v>97.27</v>
      </c>
      <c r="AH93" s="138"/>
      <c r="AI93" s="137">
        <f t="shared" si="26"/>
        <v>1093.22</v>
      </c>
    </row>
    <row r="94" spans="1:35" collapsed="1" x14ac:dyDescent="0.25">
      <c r="A94" s="11"/>
      <c r="B94" s="11"/>
      <c r="C94" s="204"/>
      <c r="D94" s="11"/>
      <c r="E94" s="11"/>
      <c r="F94" s="11"/>
      <c r="G94" s="11"/>
      <c r="H94" s="181"/>
      <c r="I94" s="118"/>
      <c r="J94" s="118"/>
      <c r="K94" s="11"/>
      <c r="L94" s="86"/>
      <c r="M94" s="86"/>
      <c r="N94" s="100" t="s">
        <v>335</v>
      </c>
      <c r="O94" s="505">
        <f t="shared" ref="O94:AA94" si="27">IFERROR(O$87/O91,"")</f>
        <v>3.1040268456375841</v>
      </c>
      <c r="P94" s="505">
        <f t="shared" si="27"/>
        <v>10.024691358024691</v>
      </c>
      <c r="Q94" s="505">
        <f t="shared" si="27"/>
        <v>14.532110091743119</v>
      </c>
      <c r="R94" s="505">
        <f t="shared" si="27"/>
        <v>0.39840637450199201</v>
      </c>
      <c r="S94" s="505">
        <f t="shared" si="27"/>
        <v>20.275862068965516</v>
      </c>
      <c r="T94" s="505">
        <f t="shared" si="27"/>
        <v>2.164705882352941</v>
      </c>
      <c r="U94" s="505" t="str">
        <f t="shared" si="27"/>
        <v/>
      </c>
      <c r="V94" s="505" t="str">
        <f t="shared" si="27"/>
        <v/>
      </c>
      <c r="W94" s="505" t="str">
        <f t="shared" si="27"/>
        <v/>
      </c>
      <c r="X94" s="505" t="str">
        <f t="shared" si="27"/>
        <v/>
      </c>
      <c r="Y94" s="505" t="str">
        <f t="shared" si="27"/>
        <v/>
      </c>
      <c r="Z94" s="505" t="str">
        <f t="shared" si="27"/>
        <v/>
      </c>
      <c r="AA94" s="505">
        <f t="shared" si="27"/>
        <v>7.1317265738624567</v>
      </c>
      <c r="AB94" s="506"/>
      <c r="AC94" s="136"/>
      <c r="AD94" s="505" t="str">
        <f>IFERROR(AD$87/AD91,"")</f>
        <v/>
      </c>
      <c r="AE94" s="506"/>
      <c r="AF94" s="226" t="e">
        <f t="shared" si="25"/>
        <v>#VALUE!</v>
      </c>
      <c r="AG94" s="505" t="str">
        <f>IFERROR(AG$87/AG91,"")</f>
        <v/>
      </c>
      <c r="AH94" s="506"/>
      <c r="AI94" s="226" t="e">
        <f t="shared" si="26"/>
        <v>#VALUE!</v>
      </c>
    </row>
    <row r="95" spans="1:35" x14ac:dyDescent="0.25">
      <c r="A95" s="11"/>
      <c r="B95" s="11"/>
      <c r="C95" s="204"/>
      <c r="D95" s="11"/>
      <c r="E95" s="11"/>
      <c r="F95" s="11"/>
      <c r="G95" s="11"/>
      <c r="H95" s="181"/>
      <c r="I95" s="118"/>
      <c r="J95" s="118"/>
      <c r="K95" s="11"/>
      <c r="L95" s="86"/>
      <c r="M95" s="86"/>
      <c r="N95" s="100" t="s">
        <v>336</v>
      </c>
      <c r="O95" s="505">
        <f t="shared" ref="O95:AA95" si="28">IFERROR(O$87/O92,"")</f>
        <v>6.2315789473684209</v>
      </c>
      <c r="P95" s="505" t="str">
        <f t="shared" si="28"/>
        <v/>
      </c>
      <c r="Q95" s="505">
        <f t="shared" si="28"/>
        <v>198</v>
      </c>
      <c r="R95" s="505" t="str">
        <f t="shared" si="28"/>
        <v/>
      </c>
      <c r="S95" s="505" t="str">
        <f t="shared" si="28"/>
        <v/>
      </c>
      <c r="T95" s="505" t="str">
        <f t="shared" si="28"/>
        <v/>
      </c>
      <c r="U95" s="505" t="str">
        <f t="shared" si="28"/>
        <v/>
      </c>
      <c r="V95" s="505" t="str">
        <f t="shared" si="28"/>
        <v/>
      </c>
      <c r="W95" s="505" t="str">
        <f t="shared" si="28"/>
        <v/>
      </c>
      <c r="X95" s="505" t="str">
        <f t="shared" si="28"/>
        <v/>
      </c>
      <c r="Y95" s="505" t="str">
        <f t="shared" si="28"/>
        <v/>
      </c>
      <c r="Z95" s="505" t="str">
        <f t="shared" si="28"/>
        <v/>
      </c>
      <c r="AA95" s="505">
        <f t="shared" si="28"/>
        <v>37.488054607508531</v>
      </c>
      <c r="AB95" s="506"/>
      <c r="AC95" s="136"/>
      <c r="AD95" s="505" t="str">
        <f>IFERROR(AD$87/AD92,"")</f>
        <v/>
      </c>
      <c r="AE95" s="506"/>
      <c r="AF95" s="226" t="e">
        <f t="shared" si="25"/>
        <v>#VALUE!</v>
      </c>
      <c r="AG95" s="505" t="str">
        <f>IFERROR(AG$87/AG92,"")</f>
        <v/>
      </c>
      <c r="AH95" s="506"/>
      <c r="AI95" s="226" t="e">
        <f t="shared" si="26"/>
        <v>#VALUE!</v>
      </c>
    </row>
    <row r="96" spans="1:35" x14ac:dyDescent="0.25">
      <c r="A96" s="11"/>
      <c r="B96" s="11"/>
      <c r="C96" s="204"/>
      <c r="D96" s="11"/>
      <c r="E96" s="11"/>
      <c r="F96" s="11"/>
      <c r="G96" s="11"/>
      <c r="H96" s="181"/>
      <c r="I96" s="118"/>
      <c r="J96" s="118"/>
      <c r="K96" s="11"/>
      <c r="L96" s="86"/>
      <c r="M96" s="86"/>
      <c r="N96" s="100" t="s">
        <v>776</v>
      </c>
      <c r="O96" s="505">
        <f t="shared" ref="O96:AA96" si="29">IFERROR(O$87/O93,"")</f>
        <v>3.2319114863881206</v>
      </c>
      <c r="P96" s="505">
        <f t="shared" si="29"/>
        <v>3.3657566043992486</v>
      </c>
      <c r="Q96" s="505">
        <f t="shared" si="29"/>
        <v>2.8099056269069749</v>
      </c>
      <c r="R96" s="505">
        <f t="shared" si="29"/>
        <v>0.51690271890830142</v>
      </c>
      <c r="S96" s="505">
        <f t="shared" si="29"/>
        <v>2.4705882352941178</v>
      </c>
      <c r="T96" s="505">
        <f t="shared" si="29"/>
        <v>0.69371135575328002</v>
      </c>
      <c r="U96" s="505">
        <f t="shared" si="29"/>
        <v>3.6036036036036032</v>
      </c>
      <c r="V96" s="505">
        <f t="shared" si="29"/>
        <v>0.76012461059190028</v>
      </c>
      <c r="W96" s="505">
        <f t="shared" si="29"/>
        <v>1.710344827586207</v>
      </c>
      <c r="X96" s="505">
        <f t="shared" si="29"/>
        <v>1.79292055805373</v>
      </c>
      <c r="Y96" s="505">
        <f t="shared" si="29"/>
        <v>2.9552941176470586</v>
      </c>
      <c r="Z96" s="505">
        <f t="shared" si="29"/>
        <v>2.4753037356648124</v>
      </c>
      <c r="AA96" s="505">
        <f t="shared" si="29"/>
        <v>2.3066132432863777</v>
      </c>
      <c r="AB96" s="506"/>
      <c r="AC96" s="136"/>
      <c r="AD96" s="505">
        <f>IFERROR(AD$87/AD93,"")</f>
        <v>1.924798927613941</v>
      </c>
      <c r="AE96" s="506"/>
      <c r="AF96" s="226">
        <f t="shared" si="25"/>
        <v>0.38181431567243673</v>
      </c>
      <c r="AG96" s="505">
        <f>IFERROR(AG$87/AG93,"")</f>
        <v>6.1067132723347388</v>
      </c>
      <c r="AH96" s="506"/>
      <c r="AI96" s="226">
        <f t="shared" si="26"/>
        <v>-3.8001000290483611</v>
      </c>
    </row>
    <row r="97" spans="1:35" x14ac:dyDescent="0.25">
      <c r="A97" s="11"/>
      <c r="B97" s="11"/>
      <c r="C97" s="204"/>
      <c r="D97" s="11"/>
      <c r="E97" s="11"/>
      <c r="F97" s="11"/>
      <c r="G97" s="11"/>
      <c r="H97" s="181"/>
      <c r="I97" s="118"/>
      <c r="J97" s="118"/>
      <c r="K97" s="11"/>
      <c r="L97" s="86"/>
      <c r="M97" s="86"/>
      <c r="N97" s="86"/>
      <c r="O97" s="507"/>
      <c r="P97" s="508"/>
      <c r="Q97" s="508"/>
      <c r="R97" s="508"/>
      <c r="S97" s="508"/>
      <c r="T97" s="508"/>
      <c r="U97" s="508"/>
      <c r="V97" s="508"/>
      <c r="W97" s="508"/>
      <c r="X97" s="508"/>
      <c r="Y97" s="508"/>
      <c r="Z97" s="508"/>
      <c r="AA97" s="508"/>
      <c r="AB97" s="153"/>
      <c r="AC97" s="136"/>
      <c r="AD97" s="509"/>
      <c r="AE97" s="477"/>
      <c r="AF97" s="153"/>
      <c r="AG97" s="477"/>
      <c r="AH97" s="477"/>
      <c r="AI97" s="153"/>
    </row>
    <row r="98" spans="1:35" x14ac:dyDescent="0.25">
      <c r="A98" s="11"/>
      <c r="B98" s="11"/>
      <c r="C98" s="204"/>
      <c r="D98" s="11"/>
      <c r="E98" s="11"/>
      <c r="F98" s="11"/>
      <c r="G98" s="11"/>
      <c r="H98" s="181"/>
      <c r="I98" s="118"/>
      <c r="J98" s="118"/>
      <c r="K98" s="11"/>
      <c r="L98" s="86"/>
      <c r="M98" s="86"/>
      <c r="N98" s="49" t="s">
        <v>343</v>
      </c>
      <c r="O98" s="509"/>
      <c r="P98" s="477"/>
      <c r="Q98" s="477"/>
      <c r="R98" s="477"/>
      <c r="S98" s="477"/>
      <c r="T98" s="477"/>
      <c r="U98" s="477"/>
      <c r="V98" s="477"/>
      <c r="W98" s="477"/>
      <c r="X98" s="477"/>
      <c r="Y98" s="477"/>
      <c r="Z98" s="477"/>
      <c r="AA98" s="477"/>
      <c r="AB98" s="510"/>
      <c r="AC98" s="136"/>
      <c r="AD98" s="511"/>
      <c r="AE98" s="512"/>
      <c r="AF98" s="153"/>
      <c r="AG98" s="477"/>
      <c r="AH98" s="512"/>
      <c r="AI98" s="153"/>
    </row>
    <row r="99" spans="1:35" x14ac:dyDescent="0.25">
      <c r="A99" s="11"/>
      <c r="B99" s="11"/>
      <c r="C99" s="204"/>
      <c r="D99" s="11"/>
      <c r="E99" s="11"/>
      <c r="F99" s="11"/>
      <c r="G99" s="11"/>
      <c r="H99" s="181"/>
      <c r="I99" s="118"/>
      <c r="J99" s="118"/>
      <c r="K99" s="11"/>
      <c r="L99" s="86"/>
      <c r="M99" s="86"/>
      <c r="N99" s="49" t="s">
        <v>337</v>
      </c>
      <c r="O99" s="154"/>
      <c r="P99" s="155"/>
      <c r="Q99" s="155"/>
      <c r="R99" s="155"/>
      <c r="S99" s="155"/>
      <c r="T99" s="155"/>
      <c r="U99" s="155"/>
      <c r="V99" s="155"/>
      <c r="W99" s="155"/>
      <c r="X99" s="155"/>
      <c r="Y99" s="155"/>
      <c r="Z99" s="155"/>
      <c r="AA99" s="155"/>
      <c r="AB99" s="156"/>
      <c r="AC99" s="136"/>
      <c r="AD99" s="154"/>
      <c r="AE99" s="155"/>
      <c r="AF99" s="156"/>
      <c r="AG99" s="155"/>
      <c r="AH99" s="155"/>
      <c r="AI99" s="156"/>
    </row>
    <row r="100" spans="1:35" x14ac:dyDescent="0.25">
      <c r="A100" s="11"/>
      <c r="B100" s="11"/>
      <c r="C100" s="204"/>
      <c r="D100" s="11"/>
      <c r="E100" s="11"/>
      <c r="F100" s="11"/>
      <c r="G100" s="11"/>
      <c r="H100" s="181" t="s">
        <v>294</v>
      </c>
      <c r="I100" s="118"/>
      <c r="J100" s="118"/>
      <c r="K100" s="11"/>
      <c r="L100" s="86" t="str">
        <f>IF(_epmOfflineCondition_,"461200",_xll.EVPRO($B$1,H100,"JDEID"))</f>
        <v>461200</v>
      </c>
      <c r="M100" s="86" t="str">
        <f>IF(_epmOfflineCondition_,"",IF(AND(I100="N",J100="N"),_xll.EVPRO($B$1,H100,"PSFTID"),""))</f>
        <v/>
      </c>
      <c r="N100" s="86" t="str">
        <f>IF(_epmOfflineCondition_,"Breakfast Liquor",IF(_xll.EVDES(H100,$B$1)="#NODATA","",_xll.EVDES(H100,$B$1)))</f>
        <v>Breakfast Liquor</v>
      </c>
      <c r="O100" s="134"/>
      <c r="P100" s="134"/>
      <c r="Q100" s="134"/>
      <c r="R100" s="134"/>
      <c r="S100" s="134"/>
      <c r="T100" s="134"/>
      <c r="U100" s="134"/>
      <c r="V100" s="134"/>
      <c r="W100" s="134"/>
      <c r="X100" s="134"/>
      <c r="Y100" s="134"/>
      <c r="Z100" s="134"/>
      <c r="AA100" s="134">
        <f t="shared" ref="AA100:AA105" si="30">SUM(O100:Z100)</f>
        <v>0</v>
      </c>
      <c r="AB100" s="138" t="str">
        <f t="shared" ref="AB100:AB105" si="31">IF(AA100=0,"",IFERROR(AA100/AA$19,""))</f>
        <v/>
      </c>
      <c r="AC100" s="136"/>
      <c r="AD100" s="134">
        <v>632.60844499999996</v>
      </c>
      <c r="AE100" s="138">
        <f t="shared" ref="AE100:AE105" si="32">IF(AD100=0,"",IFERROR(AD100/AD$19,""))</f>
        <v>2.9996110093212388E-3</v>
      </c>
      <c r="AF100" s="137">
        <f t="shared" ref="AF100:AF105" si="33">IF(AND($AA100="",AD100=""),"",$AA100-AD100)</f>
        <v>-632.60844499999996</v>
      </c>
      <c r="AG100" s="134"/>
      <c r="AH100" s="138" t="str">
        <f t="shared" ref="AH100:AH105" si="34">IF(AG100=0,"",IFERROR(AG100/AG$19,""))</f>
        <v/>
      </c>
      <c r="AI100" s="137">
        <f t="shared" ref="AI100:AI105" si="35">IF(AND($AA100="",AG100=""),"",$AA100-AG100)</f>
        <v>0</v>
      </c>
    </row>
    <row r="101" spans="1:35" x14ac:dyDescent="0.25">
      <c r="A101" s="11"/>
      <c r="B101" s="11"/>
      <c r="C101" s="204"/>
      <c r="D101" s="11"/>
      <c r="E101" s="11"/>
      <c r="F101" s="11"/>
      <c r="G101" s="11"/>
      <c r="H101" s="181" t="s">
        <v>301</v>
      </c>
      <c r="I101" s="118"/>
      <c r="J101" s="118"/>
      <c r="K101" s="11"/>
      <c r="L101" s="86" t="str">
        <f>IF(_epmOfflineCondition_,"462200",_xll.EVPRO($B$1,H101,"JDEID"))</f>
        <v>462200</v>
      </c>
      <c r="M101" s="86" t="str">
        <f>IF(_epmOfflineCondition_,"",IF(AND(I101="N",J101="N"),_xll.EVPRO($B$1,H101,"PSFTID"),""))</f>
        <v/>
      </c>
      <c r="N101" s="86" t="str">
        <f>IF(_epmOfflineCondition_,"Lunch Liquor",IF(_xll.EVDES(H101,$B$1)="#NODATA","",_xll.EVDES(H101,$B$1)))</f>
        <v>Lunch Liquor</v>
      </c>
      <c r="O101" s="134"/>
      <c r="P101" s="134">
        <v>6</v>
      </c>
      <c r="Q101" s="134"/>
      <c r="R101" s="134"/>
      <c r="S101" s="134"/>
      <c r="T101" s="134"/>
      <c r="U101" s="134"/>
      <c r="V101" s="134"/>
      <c r="W101" s="134"/>
      <c r="X101" s="134"/>
      <c r="Y101" s="134"/>
      <c r="Z101" s="134"/>
      <c r="AA101" s="134">
        <f t="shared" si="30"/>
        <v>6</v>
      </c>
      <c r="AB101" s="138">
        <f t="shared" si="31"/>
        <v>4.6214383441201555E-5</v>
      </c>
      <c r="AC101" s="136"/>
      <c r="AD101" s="134">
        <v>5200.14462</v>
      </c>
      <c r="AE101" s="138">
        <f t="shared" si="32"/>
        <v>2.4657291845376187E-2</v>
      </c>
      <c r="AF101" s="137">
        <f t="shared" si="33"/>
        <v>-5194.14462</v>
      </c>
      <c r="AG101" s="134">
        <v>1350</v>
      </c>
      <c r="AH101" s="138">
        <f t="shared" si="34"/>
        <v>4.8877040933254595E-2</v>
      </c>
      <c r="AI101" s="137">
        <f t="shared" si="35"/>
        <v>-1344</v>
      </c>
    </row>
    <row r="102" spans="1:35" x14ac:dyDescent="0.25">
      <c r="A102" s="11"/>
      <c r="B102" s="11"/>
      <c r="C102" s="204"/>
      <c r="D102" s="11"/>
      <c r="E102" s="11"/>
      <c r="F102" s="11"/>
      <c r="G102" s="11"/>
      <c r="H102" s="181" t="s">
        <v>302</v>
      </c>
      <c r="I102" s="118"/>
      <c r="J102" s="118"/>
      <c r="K102" s="11"/>
      <c r="L102" s="86" t="str">
        <f>IF(_epmOfflineCondition_,"463200",_xll.EVPRO($B$1,H102,"JDEID"))</f>
        <v>463200</v>
      </c>
      <c r="M102" s="86" t="str">
        <f>IF(_epmOfflineCondition_,"",IF(AND(I102="N",J102="N"),_xll.EVPRO($B$1,H102,"PSFTID"),""))</f>
        <v/>
      </c>
      <c r="N102" s="86" t="str">
        <f>IF(_epmOfflineCondition_,"Dinner Liquor",IF(_xll.EVDES(H102,$B$1)="#NODATA","",_xll.EVDES(H102,$B$1)))</f>
        <v>Dinner Liquor</v>
      </c>
      <c r="O102" s="134">
        <v>2850.26</v>
      </c>
      <c r="P102" s="134"/>
      <c r="Q102" s="134">
        <v>992.82</v>
      </c>
      <c r="R102" s="134"/>
      <c r="S102" s="134"/>
      <c r="T102" s="134"/>
      <c r="U102" s="134"/>
      <c r="V102" s="134"/>
      <c r="W102" s="134"/>
      <c r="X102" s="134">
        <v>310</v>
      </c>
      <c r="Y102" s="134"/>
      <c r="Z102" s="134"/>
      <c r="AA102" s="134">
        <f t="shared" si="30"/>
        <v>4153.08</v>
      </c>
      <c r="AB102" s="138">
        <f t="shared" si="31"/>
        <v>3.1988671930330892E-2</v>
      </c>
      <c r="AC102" s="136"/>
      <c r="AD102" s="134">
        <v>33083.548699999999</v>
      </c>
      <c r="AE102" s="138">
        <f t="shared" si="32"/>
        <v>0.15687077479330103</v>
      </c>
      <c r="AF102" s="137">
        <f t="shared" si="33"/>
        <v>-28930.468699999998</v>
      </c>
      <c r="AG102" s="134"/>
      <c r="AH102" s="138" t="str">
        <f t="shared" si="34"/>
        <v/>
      </c>
      <c r="AI102" s="137">
        <f t="shared" si="35"/>
        <v>4153.08</v>
      </c>
    </row>
    <row r="103" spans="1:35" x14ac:dyDescent="0.25">
      <c r="A103" s="11"/>
      <c r="B103" s="11"/>
      <c r="C103" s="204"/>
      <c r="D103" s="11"/>
      <c r="E103" s="11"/>
      <c r="F103" s="11"/>
      <c r="G103" s="11"/>
      <c r="H103" s="181" t="s">
        <v>308</v>
      </c>
      <c r="I103" s="118"/>
      <c r="J103" s="118"/>
      <c r="K103" s="11"/>
      <c r="L103" s="86" t="str">
        <f>IF(_epmOfflineCondition_,"464200",_xll.EVPRO($B$1,H103,"JDEID"))</f>
        <v>464200</v>
      </c>
      <c r="M103" s="86" t="str">
        <f>IF(_epmOfflineCondition_,"",IF(AND(I103="N",J103="N"),_xll.EVPRO($B$1,H103,"PSFTID"),""))</f>
        <v/>
      </c>
      <c r="N103" s="86" t="str">
        <f>IF(_epmOfflineCondition_,"Bar Liquor",IF(_xll.EVDES(H103,$B$1)="#NODATA","",_xll.EVDES(H103,$B$1)))</f>
        <v>Bar Liquor</v>
      </c>
      <c r="O103" s="134"/>
      <c r="P103" s="134"/>
      <c r="Q103" s="134"/>
      <c r="R103" s="134"/>
      <c r="S103" s="134"/>
      <c r="T103" s="134"/>
      <c r="U103" s="134"/>
      <c r="V103" s="134"/>
      <c r="W103" s="134"/>
      <c r="X103" s="134"/>
      <c r="Y103" s="134"/>
      <c r="Z103" s="134"/>
      <c r="AA103" s="134">
        <f t="shared" si="30"/>
        <v>0</v>
      </c>
      <c r="AB103" s="138" t="str">
        <f t="shared" si="31"/>
        <v/>
      </c>
      <c r="AC103" s="136"/>
      <c r="AD103" s="134"/>
      <c r="AE103" s="138" t="str">
        <f t="shared" si="32"/>
        <v/>
      </c>
      <c r="AF103" s="137">
        <f t="shared" si="33"/>
        <v>0</v>
      </c>
      <c r="AG103" s="134"/>
      <c r="AH103" s="138" t="str">
        <f t="shared" si="34"/>
        <v/>
      </c>
      <c r="AI103" s="137">
        <f t="shared" si="35"/>
        <v>0</v>
      </c>
    </row>
    <row r="104" spans="1:35" x14ac:dyDescent="0.25">
      <c r="A104" s="11"/>
      <c r="B104" s="11"/>
      <c r="C104" s="204"/>
      <c r="D104" s="11"/>
      <c r="E104" s="11"/>
      <c r="F104" s="11"/>
      <c r="G104" s="11"/>
      <c r="H104" s="181" t="s">
        <v>321</v>
      </c>
      <c r="I104" s="118"/>
      <c r="J104" s="118"/>
      <c r="K104" s="11"/>
      <c r="L104" s="86" t="str">
        <f>IF(_epmOfflineCondition_,"465200",_xll.EVPRO($B$1,H104,"JDEID"))</f>
        <v>465200</v>
      </c>
      <c r="M104" s="86" t="str">
        <f>IF(_epmOfflineCondition_,"",IF(AND(I104="N",J104="N"),_xll.EVPRO($B$1,H104,"PSFTID"),""))</f>
        <v/>
      </c>
      <c r="N104" s="86" t="str">
        <f>IF(_epmOfflineCondition_,"Private Dining Liquor",IF(_xll.EVDES(H104,$B$1)="#NODATA","",_xll.EVDES(H104,$B$1)))</f>
        <v>Private Dining Liquor</v>
      </c>
      <c r="O104" s="134"/>
      <c r="P104" s="134"/>
      <c r="Q104" s="134"/>
      <c r="R104" s="134"/>
      <c r="S104" s="134"/>
      <c r="T104" s="134"/>
      <c r="U104" s="134"/>
      <c r="V104" s="134"/>
      <c r="W104" s="134"/>
      <c r="X104" s="134"/>
      <c r="Y104" s="134"/>
      <c r="Z104" s="134"/>
      <c r="AA104" s="134">
        <f t="shared" si="30"/>
        <v>0</v>
      </c>
      <c r="AB104" s="138" t="str">
        <f t="shared" si="31"/>
        <v/>
      </c>
      <c r="AC104" s="136"/>
      <c r="AD104" s="134"/>
      <c r="AE104" s="138" t="str">
        <f t="shared" si="32"/>
        <v/>
      </c>
      <c r="AF104" s="137">
        <f t="shared" si="33"/>
        <v>0</v>
      </c>
      <c r="AG104" s="134"/>
      <c r="AH104" s="138" t="str">
        <f t="shared" si="34"/>
        <v/>
      </c>
      <c r="AI104" s="137">
        <f t="shared" si="35"/>
        <v>0</v>
      </c>
    </row>
    <row r="105" spans="1:35" x14ac:dyDescent="0.25">
      <c r="A105" s="11"/>
      <c r="B105" s="11"/>
      <c r="C105" s="204"/>
      <c r="D105" s="11"/>
      <c r="E105" s="11"/>
      <c r="F105" s="11"/>
      <c r="G105" s="11"/>
      <c r="H105" s="181" t="s">
        <v>340</v>
      </c>
      <c r="I105" s="118"/>
      <c r="J105" s="118"/>
      <c r="K105" s="11"/>
      <c r="L105" s="86" t="str">
        <f>IF(_epmOfflineCondition_,"",_xll.EVPRO($B$1,H105,"JDEID"))</f>
        <v/>
      </c>
      <c r="M105" s="86" t="str">
        <f>IF(_epmOfflineCondition_,"",IF(AND(I105="N",J105="N"),_xll.EVPRO($B$1,H105,"PSFTID"),""))</f>
        <v/>
      </c>
      <c r="N105" s="102" t="str">
        <f>IF(_epmOfflineCondition_,"Liquor Revenue ",IF(_xll.EVDES(H105,$B$1)="#NODATA","",_xll.EVDES(H105,$B$1)))</f>
        <v xml:space="preserve">Liquor Revenue </v>
      </c>
      <c r="O105" s="158">
        <v>2850.26</v>
      </c>
      <c r="P105" s="158">
        <v>6</v>
      </c>
      <c r="Q105" s="158">
        <v>992.82</v>
      </c>
      <c r="R105" s="158"/>
      <c r="S105" s="158"/>
      <c r="T105" s="158"/>
      <c r="U105" s="158"/>
      <c r="V105" s="158"/>
      <c r="W105" s="158"/>
      <c r="X105" s="158">
        <v>310</v>
      </c>
      <c r="Y105" s="158"/>
      <c r="Z105" s="158"/>
      <c r="AA105" s="158">
        <f t="shared" si="30"/>
        <v>4159.08</v>
      </c>
      <c r="AB105" s="159">
        <f t="shared" si="31"/>
        <v>3.2034886313772097E-2</v>
      </c>
      <c r="AC105" s="136"/>
      <c r="AD105" s="158">
        <v>38916.301764999997</v>
      </c>
      <c r="AE105" s="159">
        <f t="shared" si="32"/>
        <v>0.18452767764799843</v>
      </c>
      <c r="AF105" s="160">
        <f t="shared" si="33"/>
        <v>-34757.221764999995</v>
      </c>
      <c r="AG105" s="158">
        <v>1350</v>
      </c>
      <c r="AH105" s="159">
        <f t="shared" si="34"/>
        <v>4.8877040933254595E-2</v>
      </c>
      <c r="AI105" s="160">
        <f t="shared" si="35"/>
        <v>2809.08</v>
      </c>
    </row>
    <row r="106" spans="1:35" x14ac:dyDescent="0.25">
      <c r="A106" s="11"/>
      <c r="B106" s="11"/>
      <c r="C106" s="204"/>
      <c r="D106" s="11"/>
      <c r="E106" s="11"/>
      <c r="F106" s="11"/>
      <c r="G106" s="11"/>
      <c r="H106" s="181"/>
      <c r="I106" s="118"/>
      <c r="J106" s="118"/>
      <c r="K106" s="11"/>
      <c r="L106" s="86"/>
      <c r="M106" s="86"/>
      <c r="N106" s="49"/>
      <c r="O106" s="166"/>
      <c r="P106" s="167"/>
      <c r="Q106" s="167"/>
      <c r="R106" s="167"/>
      <c r="S106" s="167"/>
      <c r="T106" s="167"/>
      <c r="U106" s="167"/>
      <c r="V106" s="167"/>
      <c r="W106" s="167"/>
      <c r="X106" s="167"/>
      <c r="Y106" s="167"/>
      <c r="Z106" s="167"/>
      <c r="AA106" s="167"/>
      <c r="AB106" s="168"/>
      <c r="AC106" s="136"/>
      <c r="AD106" s="166"/>
      <c r="AE106" s="167"/>
      <c r="AF106" s="168"/>
      <c r="AG106" s="166"/>
      <c r="AH106" s="167"/>
      <c r="AI106" s="168"/>
    </row>
    <row r="107" spans="1:35" x14ac:dyDescent="0.25">
      <c r="A107" s="11"/>
      <c r="B107" s="11"/>
      <c r="C107" s="204"/>
      <c r="D107" s="11"/>
      <c r="E107" s="11"/>
      <c r="F107" s="11"/>
      <c r="G107" s="11"/>
      <c r="H107" s="181"/>
      <c r="I107" s="118"/>
      <c r="J107" s="118"/>
      <c r="K107" s="11"/>
      <c r="L107" s="86"/>
      <c r="M107" s="86"/>
      <c r="N107" s="49" t="s">
        <v>339</v>
      </c>
      <c r="O107" s="154"/>
      <c r="P107" s="155"/>
      <c r="Q107" s="155"/>
      <c r="R107" s="155"/>
      <c r="S107" s="155"/>
      <c r="T107" s="155"/>
      <c r="U107" s="155"/>
      <c r="V107" s="155"/>
      <c r="W107" s="155"/>
      <c r="X107" s="155"/>
      <c r="Y107" s="155"/>
      <c r="Z107" s="155"/>
      <c r="AA107" s="155"/>
      <c r="AB107" s="156"/>
      <c r="AC107" s="136"/>
      <c r="AD107" s="154"/>
      <c r="AE107" s="155"/>
      <c r="AF107" s="156"/>
      <c r="AG107" s="154"/>
      <c r="AH107" s="155"/>
      <c r="AI107" s="156"/>
    </row>
    <row r="108" spans="1:35" x14ac:dyDescent="0.25">
      <c r="A108" s="11"/>
      <c r="B108" s="11"/>
      <c r="C108" s="204"/>
      <c r="D108" s="11"/>
      <c r="E108" s="11"/>
      <c r="F108" s="11"/>
      <c r="G108" s="11"/>
      <c r="H108" s="181" t="s">
        <v>295</v>
      </c>
      <c r="I108" s="118"/>
      <c r="J108" s="118"/>
      <c r="K108" s="11"/>
      <c r="L108" s="86" t="str">
        <f>IF(_epmOfflineCondition_,"461300",_xll.EVPRO($B$1,H108,"JDEID"))</f>
        <v>461300</v>
      </c>
      <c r="M108" s="86" t="str">
        <f>IF(_epmOfflineCondition_,"",IF(AND(I108="N",J108="N"),_xll.EVPRO($B$1,H108,"PSFTID"),""))</f>
        <v/>
      </c>
      <c r="N108" s="86" t="str">
        <f>IF(_epmOfflineCondition_,"Breakfast Beer",IF(_xll.EVDES(H108,$B$1)="#NODATA","",_xll.EVDES(H108,$B$1)))</f>
        <v>Breakfast Beer</v>
      </c>
      <c r="O108" s="134"/>
      <c r="P108" s="134"/>
      <c r="Q108" s="134"/>
      <c r="R108" s="134"/>
      <c r="S108" s="134"/>
      <c r="T108" s="134"/>
      <c r="U108" s="134"/>
      <c r="V108" s="134"/>
      <c r="W108" s="134"/>
      <c r="X108" s="134"/>
      <c r="Y108" s="134"/>
      <c r="Z108" s="134">
        <v>8</v>
      </c>
      <c r="AA108" s="134">
        <f t="shared" ref="AA108:AA113" si="36">SUM(O108:Z108)</f>
        <v>8</v>
      </c>
      <c r="AB108" s="138">
        <f t="shared" ref="AB108:AB113" si="37">IF(AA108=0,"",IFERROR(AA108/AA$19,""))</f>
        <v>6.1619177921602074E-5</v>
      </c>
      <c r="AC108" s="136"/>
      <c r="AD108" s="134">
        <v>121.040605</v>
      </c>
      <c r="AE108" s="138">
        <f t="shared" ref="AE108:AE113" si="38">IF(AD108=0,"",IFERROR(AD108/AD$19,""))</f>
        <v>5.7393279239720458E-4</v>
      </c>
      <c r="AF108" s="137">
        <f t="shared" ref="AF108:AF113" si="39">IF(AND($AA108="",AD108=""),"",$AA108-AD108)</f>
        <v>-113.040605</v>
      </c>
      <c r="AG108" s="134"/>
      <c r="AH108" s="138" t="str">
        <f t="shared" ref="AH108:AH113" si="40">IF(AG108=0,"",IFERROR(AG108/AG$19,""))</f>
        <v/>
      </c>
      <c r="AI108" s="137">
        <f t="shared" ref="AI108:AI113" si="41">IF(AND($AA108="",AG108=""),"",$AA108-AG108)</f>
        <v>8</v>
      </c>
    </row>
    <row r="109" spans="1:35" x14ac:dyDescent="0.25">
      <c r="A109" s="11"/>
      <c r="B109" s="11"/>
      <c r="C109" s="204"/>
      <c r="D109" s="11"/>
      <c r="E109" s="11"/>
      <c r="F109" s="11"/>
      <c r="G109" s="11"/>
      <c r="H109" s="181" t="s">
        <v>305</v>
      </c>
      <c r="I109" s="118"/>
      <c r="J109" s="118"/>
      <c r="K109" s="11"/>
      <c r="L109" s="86" t="str">
        <f>IF(_epmOfflineCondition_,"462300",_xll.EVPRO($B$1,H109,"JDEID"))</f>
        <v>462300</v>
      </c>
      <c r="M109" s="86" t="str">
        <f>IF(_epmOfflineCondition_,"",IF(AND(I109="N",J109="N"),_xll.EVPRO($B$1,H109,"PSFTID"),""))</f>
        <v/>
      </c>
      <c r="N109" s="86" t="str">
        <f>IF(_epmOfflineCondition_,"Lunch Beer",IF(_xll.EVDES(H109,$B$1)="#NODATA","",_xll.EVDES(H109,$B$1)))</f>
        <v>Lunch Beer</v>
      </c>
      <c r="O109" s="134"/>
      <c r="P109" s="134"/>
      <c r="Q109" s="134"/>
      <c r="R109" s="134"/>
      <c r="S109" s="134"/>
      <c r="T109" s="134"/>
      <c r="U109" s="134"/>
      <c r="V109" s="134">
        <v>1135</v>
      </c>
      <c r="W109" s="134"/>
      <c r="X109" s="134"/>
      <c r="Y109" s="134">
        <v>172</v>
      </c>
      <c r="Z109" s="134"/>
      <c r="AA109" s="134">
        <f t="shared" si="36"/>
        <v>1307</v>
      </c>
      <c r="AB109" s="138">
        <f t="shared" si="37"/>
        <v>1.006703319294174E-2</v>
      </c>
      <c r="AC109" s="136"/>
      <c r="AD109" s="134">
        <v>657.63972999999999</v>
      </c>
      <c r="AE109" s="138">
        <f t="shared" si="38"/>
        <v>3.1183007275140738E-3</v>
      </c>
      <c r="AF109" s="137">
        <f t="shared" si="39"/>
        <v>649.36027000000001</v>
      </c>
      <c r="AG109" s="134">
        <v>425</v>
      </c>
      <c r="AH109" s="138">
        <f t="shared" si="40"/>
        <v>1.5387216590098668E-2</v>
      </c>
      <c r="AI109" s="137">
        <f t="shared" si="41"/>
        <v>882</v>
      </c>
    </row>
    <row r="110" spans="1:35" x14ac:dyDescent="0.25">
      <c r="A110" s="11"/>
      <c r="B110" s="11"/>
      <c r="C110" s="204"/>
      <c r="D110" s="11"/>
      <c r="E110" s="11"/>
      <c r="F110" s="11"/>
      <c r="G110" s="11"/>
      <c r="H110" s="181" t="s">
        <v>306</v>
      </c>
      <c r="I110" s="118"/>
      <c r="J110" s="118"/>
      <c r="K110" s="11"/>
      <c r="L110" s="86" t="str">
        <f>IF(_epmOfflineCondition_,"463300",_xll.EVPRO($B$1,H110,"JDEID"))</f>
        <v>463300</v>
      </c>
      <c r="M110" s="86" t="str">
        <f>IF(_epmOfflineCondition_,"",IF(AND(I110="N",J110="N"),_xll.EVPRO($B$1,H110,"PSFTID"),""))</f>
        <v/>
      </c>
      <c r="N110" s="86" t="str">
        <f>IF(_epmOfflineCondition_,"Dinner Beer",IF(_xll.EVDES(H110,$B$1)="#NODATA","",_xll.EVDES(H110,$B$1)))</f>
        <v>Dinner Beer</v>
      </c>
      <c r="O110" s="134">
        <v>80.91</v>
      </c>
      <c r="P110" s="134">
        <v>696</v>
      </c>
      <c r="Q110" s="134">
        <v>283.68</v>
      </c>
      <c r="R110" s="134"/>
      <c r="S110" s="134"/>
      <c r="T110" s="134"/>
      <c r="U110" s="134"/>
      <c r="V110" s="134"/>
      <c r="W110" s="134"/>
      <c r="X110" s="134">
        <v>387.41</v>
      </c>
      <c r="Y110" s="134"/>
      <c r="Z110" s="134"/>
      <c r="AA110" s="134">
        <f t="shared" si="36"/>
        <v>1448</v>
      </c>
      <c r="AB110" s="138">
        <f t="shared" si="37"/>
        <v>1.1153071203809976E-2</v>
      </c>
      <c r="AC110" s="136"/>
      <c r="AD110" s="134">
        <v>9255.8378499999999</v>
      </c>
      <c r="AE110" s="138">
        <f t="shared" si="38"/>
        <v>4.3887990011502655E-2</v>
      </c>
      <c r="AF110" s="137">
        <f t="shared" si="39"/>
        <v>-7807.8378499999999</v>
      </c>
      <c r="AG110" s="134"/>
      <c r="AH110" s="138" t="str">
        <f t="shared" si="40"/>
        <v/>
      </c>
      <c r="AI110" s="137">
        <f t="shared" si="41"/>
        <v>1448</v>
      </c>
    </row>
    <row r="111" spans="1:35" x14ac:dyDescent="0.25">
      <c r="A111" s="11"/>
      <c r="B111" s="11"/>
      <c r="C111" s="204"/>
      <c r="D111" s="11"/>
      <c r="E111" s="11"/>
      <c r="F111" s="11"/>
      <c r="G111" s="11"/>
      <c r="H111" s="181" t="s">
        <v>310</v>
      </c>
      <c r="I111" s="118"/>
      <c r="J111" s="118"/>
      <c r="K111" s="11"/>
      <c r="L111" s="86" t="str">
        <f>IF(_epmOfflineCondition_,"464300",_xll.EVPRO($B$1,H111,"JDEID"))</f>
        <v>464300</v>
      </c>
      <c r="M111" s="86" t="str">
        <f>IF(_epmOfflineCondition_,"",IF(AND(I111="N",J111="N"),_xll.EVPRO($B$1,H111,"PSFTID"),""))</f>
        <v/>
      </c>
      <c r="N111" s="86" t="str">
        <f>IF(_epmOfflineCondition_,"Bar Beer",IF(_xll.EVDES(H111,$B$1)="#NODATA","",_xll.EVDES(H111,$B$1)))</f>
        <v>Bar Beer</v>
      </c>
      <c r="O111" s="134"/>
      <c r="P111" s="134"/>
      <c r="Q111" s="134"/>
      <c r="R111" s="134"/>
      <c r="S111" s="134"/>
      <c r="T111" s="134"/>
      <c r="U111" s="134"/>
      <c r="V111" s="134"/>
      <c r="W111" s="134"/>
      <c r="X111" s="134"/>
      <c r="Y111" s="134"/>
      <c r="Z111" s="134"/>
      <c r="AA111" s="134">
        <f t="shared" si="36"/>
        <v>0</v>
      </c>
      <c r="AB111" s="138" t="str">
        <f t="shared" si="37"/>
        <v/>
      </c>
      <c r="AC111" s="136"/>
      <c r="AD111" s="134"/>
      <c r="AE111" s="138" t="str">
        <f t="shared" si="38"/>
        <v/>
      </c>
      <c r="AF111" s="137">
        <f t="shared" si="39"/>
        <v>0</v>
      </c>
      <c r="AG111" s="134"/>
      <c r="AH111" s="138" t="str">
        <f t="shared" si="40"/>
        <v/>
      </c>
      <c r="AI111" s="137">
        <f t="shared" si="41"/>
        <v>0</v>
      </c>
    </row>
    <row r="112" spans="1:35" x14ac:dyDescent="0.25">
      <c r="A112" s="11"/>
      <c r="B112" s="11"/>
      <c r="C112" s="204"/>
      <c r="D112" s="11"/>
      <c r="E112" s="11"/>
      <c r="F112" s="11"/>
      <c r="G112" s="11"/>
      <c r="H112" s="181" t="s">
        <v>323</v>
      </c>
      <c r="I112" s="118"/>
      <c r="J112" s="118"/>
      <c r="K112" s="11"/>
      <c r="L112" s="86" t="str">
        <f>IF(_epmOfflineCondition_,"465300",_xll.EVPRO($B$1,H112,"JDEID"))</f>
        <v>465300</v>
      </c>
      <c r="M112" s="86" t="str">
        <f>IF(_epmOfflineCondition_,"",IF(AND(I112="N",J112="N"),_xll.EVPRO($B$1,H112,"PSFTID"),""))</f>
        <v/>
      </c>
      <c r="N112" s="86" t="str">
        <f>IF(_epmOfflineCondition_,"Private Dining Beer",IF(_xll.EVDES(H112,$B$1)="#NODATA","",_xll.EVDES(H112,$B$1)))</f>
        <v>Private Dining Beer</v>
      </c>
      <c r="O112" s="134"/>
      <c r="P112" s="134"/>
      <c r="Q112" s="134"/>
      <c r="R112" s="134"/>
      <c r="S112" s="134"/>
      <c r="T112" s="134"/>
      <c r="U112" s="134"/>
      <c r="V112" s="134"/>
      <c r="W112" s="134"/>
      <c r="X112" s="134"/>
      <c r="Y112" s="134"/>
      <c r="Z112" s="134"/>
      <c r="AA112" s="134">
        <f t="shared" si="36"/>
        <v>0</v>
      </c>
      <c r="AB112" s="138" t="str">
        <f t="shared" si="37"/>
        <v/>
      </c>
      <c r="AC112" s="136"/>
      <c r="AD112" s="134"/>
      <c r="AE112" s="138" t="str">
        <f t="shared" si="38"/>
        <v/>
      </c>
      <c r="AF112" s="137">
        <f t="shared" si="39"/>
        <v>0</v>
      </c>
      <c r="AG112" s="134"/>
      <c r="AH112" s="138" t="str">
        <f t="shared" si="40"/>
        <v/>
      </c>
      <c r="AI112" s="137">
        <f t="shared" si="41"/>
        <v>0</v>
      </c>
    </row>
    <row r="113" spans="1:35" x14ac:dyDescent="0.25">
      <c r="A113" s="11"/>
      <c r="B113" s="11"/>
      <c r="C113" s="204"/>
      <c r="D113" s="11"/>
      <c r="E113" s="11"/>
      <c r="F113" s="11"/>
      <c r="G113" s="11"/>
      <c r="H113" s="181" t="s">
        <v>342</v>
      </c>
      <c r="I113" s="118"/>
      <c r="J113" s="118"/>
      <c r="K113" s="11"/>
      <c r="L113" s="86" t="str">
        <f>IF(_epmOfflineCondition_,"",_xll.EVPRO($B$1,H113,"JDEID"))</f>
        <v/>
      </c>
      <c r="M113" s="86" t="str">
        <f>IF(_epmOfflineCondition_,"",IF(AND(I113="N",J113="N"),_xll.EVPRO($B$1,H113,"PSFTID"),""))</f>
        <v/>
      </c>
      <c r="N113" s="102" t="str">
        <f>IF(_epmOfflineCondition_,"Beer Revenue",IF(_xll.EVDES(H113,$B$1)="#NODATA","",_xll.EVDES(H113,$B$1)))</f>
        <v>Beer Revenue</v>
      </c>
      <c r="O113" s="158">
        <v>80.91</v>
      </c>
      <c r="P113" s="158">
        <v>696</v>
      </c>
      <c r="Q113" s="158">
        <v>283.68</v>
      </c>
      <c r="R113" s="158"/>
      <c r="S113" s="158"/>
      <c r="T113" s="158"/>
      <c r="U113" s="158"/>
      <c r="V113" s="158">
        <v>1135</v>
      </c>
      <c r="W113" s="158"/>
      <c r="X113" s="158">
        <v>387.41</v>
      </c>
      <c r="Y113" s="158">
        <v>172</v>
      </c>
      <c r="Z113" s="158">
        <v>8</v>
      </c>
      <c r="AA113" s="158">
        <f t="shared" si="36"/>
        <v>2763</v>
      </c>
      <c r="AB113" s="159">
        <f t="shared" si="37"/>
        <v>2.1281723574673318E-2</v>
      </c>
      <c r="AC113" s="136"/>
      <c r="AD113" s="158">
        <v>10034.518185000001</v>
      </c>
      <c r="AE113" s="159">
        <f t="shared" si="38"/>
        <v>4.7580223531413932E-2</v>
      </c>
      <c r="AF113" s="160">
        <f t="shared" si="39"/>
        <v>-7271.5181850000008</v>
      </c>
      <c r="AG113" s="158">
        <v>425</v>
      </c>
      <c r="AH113" s="159">
        <f t="shared" si="40"/>
        <v>1.5387216590098668E-2</v>
      </c>
      <c r="AI113" s="160">
        <f t="shared" si="41"/>
        <v>2338</v>
      </c>
    </row>
    <row r="114" spans="1:35" x14ac:dyDescent="0.25">
      <c r="A114" s="11"/>
      <c r="B114" s="11"/>
      <c r="C114" s="204"/>
      <c r="D114" s="11"/>
      <c r="E114" s="11"/>
      <c r="F114" s="11"/>
      <c r="G114" s="11"/>
      <c r="H114" s="181"/>
      <c r="I114" s="118"/>
      <c r="J114" s="118"/>
      <c r="K114" s="11"/>
      <c r="L114" s="86"/>
      <c r="M114" s="86"/>
      <c r="N114" s="49"/>
      <c r="O114" s="166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Z114" s="167"/>
      <c r="AA114" s="167"/>
      <c r="AB114" s="168"/>
      <c r="AC114" s="136"/>
      <c r="AD114" s="166"/>
      <c r="AE114" s="167"/>
      <c r="AF114" s="168"/>
      <c r="AG114" s="166"/>
      <c r="AH114" s="167"/>
      <c r="AI114" s="168"/>
    </row>
    <row r="115" spans="1:35" x14ac:dyDescent="0.25">
      <c r="A115" s="11"/>
      <c r="B115" s="11"/>
      <c r="C115" s="204"/>
      <c r="D115" s="11"/>
      <c r="E115" s="11"/>
      <c r="F115" s="11"/>
      <c r="G115" s="11"/>
      <c r="H115" s="181"/>
      <c r="I115" s="118"/>
      <c r="J115" s="118"/>
      <c r="K115" s="11"/>
      <c r="L115" s="86"/>
      <c r="M115" s="86"/>
      <c r="N115" s="49" t="s">
        <v>338</v>
      </c>
      <c r="O115" s="154"/>
      <c r="P115" s="155"/>
      <c r="Q115" s="155"/>
      <c r="R115" s="155"/>
      <c r="S115" s="155"/>
      <c r="T115" s="155"/>
      <c r="U115" s="155"/>
      <c r="V115" s="155"/>
      <c r="W115" s="155"/>
      <c r="X115" s="155"/>
      <c r="Y115" s="155"/>
      <c r="Z115" s="155"/>
      <c r="AA115" s="155"/>
      <c r="AB115" s="156"/>
      <c r="AC115" s="136"/>
      <c r="AD115" s="154"/>
      <c r="AE115" s="155"/>
      <c r="AF115" s="156"/>
      <c r="AG115" s="154"/>
      <c r="AH115" s="155"/>
      <c r="AI115" s="156"/>
    </row>
    <row r="116" spans="1:35" x14ac:dyDescent="0.25">
      <c r="A116" s="11"/>
      <c r="B116" s="11"/>
      <c r="C116" s="204"/>
      <c r="D116" s="11"/>
      <c r="E116" s="11"/>
      <c r="F116" s="11"/>
      <c r="G116" s="11"/>
      <c r="H116" s="181" t="s">
        <v>296</v>
      </c>
      <c r="I116" s="118"/>
      <c r="J116" s="118"/>
      <c r="K116" s="11"/>
      <c r="L116" s="86" t="str">
        <f>IF(_epmOfflineCondition_,"461400",_xll.EVPRO($B$1,H116,"JDEID"))</f>
        <v>461400</v>
      </c>
      <c r="M116" s="86" t="str">
        <f>IF(_epmOfflineCondition_,"",IF(AND(I116="N",J116="N"),_xll.EVPRO($B$1,H116,"PSFTID"),""))</f>
        <v/>
      </c>
      <c r="N116" s="86" t="str">
        <f>IF(_epmOfflineCondition_,"Breakfast Wine",IF(_xll.EVDES(H116,$B$1)="#NODATA","",_xll.EVDES(H116,$B$1)))</f>
        <v>Breakfast Wine</v>
      </c>
      <c r="O116" s="134"/>
      <c r="P116" s="134"/>
      <c r="Q116" s="134"/>
      <c r="R116" s="134"/>
      <c r="S116" s="134"/>
      <c r="T116" s="134"/>
      <c r="U116" s="134"/>
      <c r="V116" s="134"/>
      <c r="W116" s="134"/>
      <c r="X116" s="134"/>
      <c r="Y116" s="134"/>
      <c r="Z116" s="134">
        <v>1020</v>
      </c>
      <c r="AA116" s="134">
        <f t="shared" ref="AA116:AA121" si="42">SUM(O116:Z116)</f>
        <v>1020</v>
      </c>
      <c r="AB116" s="138">
        <f t="shared" ref="AB116:AB121" si="43">IF(AA116=0,"",IFERROR(AA116/AA$19,""))</f>
        <v>7.8564451850042655E-3</v>
      </c>
      <c r="AC116" s="136"/>
      <c r="AD116" s="134">
        <v>1370.271</v>
      </c>
      <c r="AE116" s="138">
        <f t="shared" ref="AE116:AE121" si="44">IF(AD116=0,"",IFERROR(AD116/AD$19,""))</f>
        <v>6.4973523667608063E-3</v>
      </c>
      <c r="AF116" s="137">
        <f t="shared" ref="AF116:AF121" si="45">IF(AND($AA116="",AD116=""),"",$AA116-AD116)</f>
        <v>-350.27099999999996</v>
      </c>
      <c r="AG116" s="134"/>
      <c r="AH116" s="138" t="str">
        <f t="shared" ref="AH116:AH121" si="46">IF(AG116=0,"",IFERROR(AG116/AG$19,""))</f>
        <v/>
      </c>
      <c r="AI116" s="137">
        <f t="shared" ref="AI116:AI121" si="47">IF(AND($AA116="",AG116=""),"",$AA116-AG116)</f>
        <v>1020</v>
      </c>
    </row>
    <row r="117" spans="1:35" x14ac:dyDescent="0.25">
      <c r="A117" s="11"/>
      <c r="B117" s="11"/>
      <c r="C117" s="204"/>
      <c r="D117" s="11"/>
      <c r="E117" s="11"/>
      <c r="F117" s="11"/>
      <c r="G117" s="11"/>
      <c r="H117" s="181" t="s">
        <v>303</v>
      </c>
      <c r="I117" s="118"/>
      <c r="J117" s="118"/>
      <c r="K117" s="11"/>
      <c r="L117" s="86" t="str">
        <f>IF(_epmOfflineCondition_,"462400",_xll.EVPRO($B$1,H117,"JDEID"))</f>
        <v>462400</v>
      </c>
      <c r="M117" s="86" t="str">
        <f>IF(_epmOfflineCondition_,"",IF(AND(I117="N",J117="N"),_xll.EVPRO($B$1,H117,"PSFTID"),""))</f>
        <v/>
      </c>
      <c r="N117" s="86" t="str">
        <f>IF(_epmOfflineCondition_,"Lunch Wine",IF(_xll.EVDES(H117,$B$1)="#NODATA","",_xll.EVDES(H117,$B$1)))</f>
        <v>Lunch Wine</v>
      </c>
      <c r="O117" s="134"/>
      <c r="P117" s="134"/>
      <c r="Q117" s="134"/>
      <c r="R117" s="134"/>
      <c r="S117" s="134"/>
      <c r="T117" s="134"/>
      <c r="U117" s="134"/>
      <c r="V117" s="134"/>
      <c r="W117" s="134"/>
      <c r="X117" s="134"/>
      <c r="Y117" s="134"/>
      <c r="Z117" s="134"/>
      <c r="AA117" s="134">
        <f t="shared" si="42"/>
        <v>0</v>
      </c>
      <c r="AB117" s="138" t="str">
        <f t="shared" si="43"/>
        <v/>
      </c>
      <c r="AC117" s="136"/>
      <c r="AD117" s="134">
        <v>12560.483319999999</v>
      </c>
      <c r="AE117" s="138">
        <f t="shared" si="44"/>
        <v>5.955747879569926E-2</v>
      </c>
      <c r="AF117" s="137">
        <f t="shared" si="45"/>
        <v>-12560.483319999999</v>
      </c>
      <c r="AG117" s="134">
        <v>270</v>
      </c>
      <c r="AH117" s="138">
        <f t="shared" si="46"/>
        <v>9.7754081866509197E-3</v>
      </c>
      <c r="AI117" s="137">
        <f t="shared" si="47"/>
        <v>-270</v>
      </c>
    </row>
    <row r="118" spans="1:35" x14ac:dyDescent="0.25">
      <c r="A118" s="11"/>
      <c r="B118" s="11"/>
      <c r="C118" s="204"/>
      <c r="D118" s="11"/>
      <c r="E118" s="11"/>
      <c r="F118" s="11"/>
      <c r="G118" s="11"/>
      <c r="H118" s="181" t="s">
        <v>304</v>
      </c>
      <c r="I118" s="118"/>
      <c r="J118" s="118"/>
      <c r="K118" s="11"/>
      <c r="L118" s="86" t="str">
        <f>IF(_epmOfflineCondition_,"463400",_xll.EVPRO($B$1,H118,"JDEID"))</f>
        <v>463400</v>
      </c>
      <c r="M118" s="86" t="str">
        <f>IF(_epmOfflineCondition_,"",IF(AND(I118="N",J118="N"),_xll.EVPRO($B$1,H118,"PSFTID"),""))</f>
        <v/>
      </c>
      <c r="N118" s="86" t="str">
        <f>IF(_epmOfflineCondition_,"Dinner Wine",IF(_xll.EVDES(H118,$B$1)="#NODATA","",_xll.EVDES(H118,$B$1)))</f>
        <v>Dinner Wine</v>
      </c>
      <c r="O118" s="134">
        <v>358.58</v>
      </c>
      <c r="P118" s="134">
        <v>1113</v>
      </c>
      <c r="Q118" s="134">
        <v>193.42</v>
      </c>
      <c r="R118" s="134"/>
      <c r="S118" s="134"/>
      <c r="T118" s="134"/>
      <c r="U118" s="134"/>
      <c r="V118" s="134"/>
      <c r="W118" s="134"/>
      <c r="X118" s="134">
        <v>1166.5899999999999</v>
      </c>
      <c r="Y118" s="134">
        <v>1190</v>
      </c>
      <c r="Z118" s="134"/>
      <c r="AA118" s="134">
        <f t="shared" si="42"/>
        <v>4021.59</v>
      </c>
      <c r="AB118" s="138">
        <f t="shared" si="43"/>
        <v>3.0975883717216962E-2</v>
      </c>
      <c r="AC118" s="136"/>
      <c r="AD118" s="134">
        <v>15651.271000000001</v>
      </c>
      <c r="AE118" s="138">
        <f t="shared" si="44"/>
        <v>7.4212927716243549E-2</v>
      </c>
      <c r="AF118" s="137">
        <f t="shared" si="45"/>
        <v>-11629.681</v>
      </c>
      <c r="AG118" s="134"/>
      <c r="AH118" s="138" t="str">
        <f t="shared" si="46"/>
        <v/>
      </c>
      <c r="AI118" s="137">
        <f t="shared" si="47"/>
        <v>4021.59</v>
      </c>
    </row>
    <row r="119" spans="1:35" x14ac:dyDescent="0.25">
      <c r="A119" s="11"/>
      <c r="B119" s="11"/>
      <c r="C119" s="204"/>
      <c r="D119" s="11"/>
      <c r="E119" s="11"/>
      <c r="F119" s="11"/>
      <c r="G119" s="11"/>
      <c r="H119" s="181" t="s">
        <v>309</v>
      </c>
      <c r="I119" s="118"/>
      <c r="J119" s="118"/>
      <c r="K119" s="11"/>
      <c r="L119" s="86" t="str">
        <f>IF(_epmOfflineCondition_,"464400",_xll.EVPRO($B$1,H119,"JDEID"))</f>
        <v>464400</v>
      </c>
      <c r="M119" s="86" t="str">
        <f>IF(_epmOfflineCondition_,"",IF(AND(I119="N",J119="N"),_xll.EVPRO($B$1,H119,"PSFTID"),""))</f>
        <v/>
      </c>
      <c r="N119" s="86" t="str">
        <f>IF(_epmOfflineCondition_,"Bar Wine",IF(_xll.EVDES(H119,$B$1)="#NODATA","",_xll.EVDES(H119,$B$1)))</f>
        <v>Bar Wine</v>
      </c>
      <c r="O119" s="134"/>
      <c r="P119" s="134"/>
      <c r="Q119" s="134"/>
      <c r="R119" s="134"/>
      <c r="S119" s="134"/>
      <c r="T119" s="134"/>
      <c r="U119" s="134"/>
      <c r="V119" s="134"/>
      <c r="W119" s="134"/>
      <c r="X119" s="134"/>
      <c r="Y119" s="134"/>
      <c r="Z119" s="134"/>
      <c r="AA119" s="134">
        <f t="shared" si="42"/>
        <v>0</v>
      </c>
      <c r="AB119" s="138" t="str">
        <f t="shared" si="43"/>
        <v/>
      </c>
      <c r="AC119" s="136"/>
      <c r="AD119" s="134"/>
      <c r="AE119" s="138" t="str">
        <f t="shared" si="44"/>
        <v/>
      </c>
      <c r="AF119" s="137">
        <f t="shared" si="45"/>
        <v>0</v>
      </c>
      <c r="AG119" s="134"/>
      <c r="AH119" s="138" t="str">
        <f t="shared" si="46"/>
        <v/>
      </c>
      <c r="AI119" s="137">
        <f t="shared" si="47"/>
        <v>0</v>
      </c>
    </row>
    <row r="120" spans="1:35" x14ac:dyDescent="0.25">
      <c r="A120" s="11"/>
      <c r="B120" s="11"/>
      <c r="C120" s="204"/>
      <c r="D120" s="11"/>
      <c r="E120" s="11"/>
      <c r="F120" s="11"/>
      <c r="G120" s="11"/>
      <c r="H120" s="181" t="s">
        <v>322</v>
      </c>
      <c r="I120" s="118"/>
      <c r="J120" s="118"/>
      <c r="K120" s="11"/>
      <c r="L120" s="86" t="str">
        <f>IF(_epmOfflineCondition_,"465400",_xll.EVPRO($B$1,H120,"JDEID"))</f>
        <v>465400</v>
      </c>
      <c r="M120" s="86" t="str">
        <f>IF(_epmOfflineCondition_,"",IF(AND(I120="N",J120="N"),_xll.EVPRO($B$1,H120,"PSFTID"),""))</f>
        <v/>
      </c>
      <c r="N120" s="86" t="str">
        <f>IF(_epmOfflineCondition_,"Private Dining Wine",IF(_xll.EVDES(H120,$B$1)="#NODATA","",_xll.EVDES(H120,$B$1)))</f>
        <v>Private Dining Wine</v>
      </c>
      <c r="O120" s="134"/>
      <c r="P120" s="134"/>
      <c r="Q120" s="134"/>
      <c r="R120" s="134"/>
      <c r="S120" s="134"/>
      <c r="T120" s="134"/>
      <c r="U120" s="134"/>
      <c r="V120" s="134"/>
      <c r="W120" s="134"/>
      <c r="X120" s="134"/>
      <c r="Y120" s="134"/>
      <c r="Z120" s="134"/>
      <c r="AA120" s="134">
        <f t="shared" si="42"/>
        <v>0</v>
      </c>
      <c r="AB120" s="138" t="str">
        <f t="shared" si="43"/>
        <v/>
      </c>
      <c r="AC120" s="136"/>
      <c r="AD120" s="134"/>
      <c r="AE120" s="138" t="str">
        <f t="shared" si="44"/>
        <v/>
      </c>
      <c r="AF120" s="137">
        <f t="shared" si="45"/>
        <v>0</v>
      </c>
      <c r="AG120" s="134"/>
      <c r="AH120" s="138" t="str">
        <f t="shared" si="46"/>
        <v/>
      </c>
      <c r="AI120" s="137">
        <f t="shared" si="47"/>
        <v>0</v>
      </c>
    </row>
    <row r="121" spans="1:35" x14ac:dyDescent="0.25">
      <c r="A121" s="11"/>
      <c r="B121" s="11"/>
      <c r="C121" s="204"/>
      <c r="D121" s="11"/>
      <c r="E121" s="11"/>
      <c r="F121" s="11"/>
      <c r="G121" s="11"/>
      <c r="H121" s="181" t="s">
        <v>341</v>
      </c>
      <c r="I121" s="118"/>
      <c r="J121" s="118"/>
      <c r="K121" s="11"/>
      <c r="L121" s="86" t="str">
        <f>IF(_epmOfflineCondition_,"",_xll.EVPRO($B$1,H121,"JDEID"))</f>
        <v/>
      </c>
      <c r="M121" s="86" t="str">
        <f>IF(_epmOfflineCondition_,"",IF(AND(I121="N",J121="N"),_xll.EVPRO($B$1,H121,"PSFTID"),""))</f>
        <v/>
      </c>
      <c r="N121" s="102" t="str">
        <f>IF(_epmOfflineCondition_,"Wine Revenue",IF(_xll.EVDES(H121,$B$1)="#NODATA","",_xll.EVDES(H121,$B$1)))</f>
        <v>Wine Revenue</v>
      </c>
      <c r="O121" s="158">
        <v>358.58</v>
      </c>
      <c r="P121" s="158">
        <v>1113</v>
      </c>
      <c r="Q121" s="158">
        <v>193.42</v>
      </c>
      <c r="R121" s="158"/>
      <c r="S121" s="158"/>
      <c r="T121" s="158"/>
      <c r="U121" s="158"/>
      <c r="V121" s="158"/>
      <c r="W121" s="158"/>
      <c r="X121" s="158">
        <v>1166.5899999999999</v>
      </c>
      <c r="Y121" s="158">
        <v>1190</v>
      </c>
      <c r="Z121" s="158">
        <v>1020</v>
      </c>
      <c r="AA121" s="158">
        <f t="shared" si="42"/>
        <v>5041.59</v>
      </c>
      <c r="AB121" s="159">
        <f t="shared" si="43"/>
        <v>3.8832328902221228E-2</v>
      </c>
      <c r="AC121" s="136"/>
      <c r="AD121" s="158">
        <v>29582.025320000001</v>
      </c>
      <c r="AE121" s="159">
        <f t="shared" si="44"/>
        <v>0.14026775887870363</v>
      </c>
      <c r="AF121" s="160">
        <f t="shared" si="45"/>
        <v>-24540.435320000001</v>
      </c>
      <c r="AG121" s="158">
        <v>270</v>
      </c>
      <c r="AH121" s="159">
        <f t="shared" si="46"/>
        <v>9.7754081866509197E-3</v>
      </c>
      <c r="AI121" s="160">
        <f t="shared" si="47"/>
        <v>4771.59</v>
      </c>
    </row>
    <row r="122" spans="1:35" x14ac:dyDescent="0.25">
      <c r="A122" s="11"/>
      <c r="B122" s="11"/>
      <c r="C122" s="204"/>
      <c r="D122" s="11"/>
      <c r="E122" s="11"/>
      <c r="F122" s="11"/>
      <c r="G122" s="11"/>
      <c r="H122" s="181"/>
      <c r="I122" s="118"/>
      <c r="J122" s="118"/>
      <c r="K122" s="11"/>
      <c r="L122" s="86"/>
      <c r="M122" s="86"/>
      <c r="N122" s="11"/>
      <c r="O122" s="166"/>
      <c r="P122" s="167"/>
      <c r="Q122" s="167"/>
      <c r="R122" s="167"/>
      <c r="S122" s="167"/>
      <c r="T122" s="167"/>
      <c r="U122" s="167"/>
      <c r="V122" s="167"/>
      <c r="W122" s="167"/>
      <c r="X122" s="167"/>
      <c r="Y122" s="167"/>
      <c r="Z122" s="167"/>
      <c r="AA122" s="167"/>
      <c r="AB122" s="168"/>
      <c r="AC122" s="136"/>
      <c r="AD122" s="166"/>
      <c r="AE122" s="167"/>
      <c r="AF122" s="168"/>
      <c r="AG122" s="166"/>
      <c r="AH122" s="167"/>
      <c r="AI122" s="168"/>
    </row>
    <row r="123" spans="1:35" x14ac:dyDescent="0.25">
      <c r="A123" s="11"/>
      <c r="B123" s="11"/>
      <c r="C123" s="204"/>
      <c r="D123" s="11"/>
      <c r="E123" s="11"/>
      <c r="F123" s="11"/>
      <c r="G123" s="11"/>
      <c r="H123" s="84" t="s">
        <v>267</v>
      </c>
      <c r="I123" s="118"/>
      <c r="J123" s="118"/>
      <c r="K123" s="11"/>
      <c r="L123" s="86" t="str">
        <f>IF(_epmOfflineCondition_,"",_xll.EVPRO($B$1,H123,"JDEID"))</f>
        <v/>
      </c>
      <c r="M123" s="86" t="str">
        <f>IF(_epmOfflineCondition_,"",IF(AND(I123="N",J123="N"),_xll.EVPRO($B$1,H123,"PSFTID"),""))</f>
        <v/>
      </c>
      <c r="N123" s="86" t="str">
        <f>IF(_epmOfflineCondition_,"Breakfast  Beverage Revenue",IF(_xll.EVDES(H123,$B$1)="#NODATA","",_xll.EVDES(H123,$B$1)))</f>
        <v>Breakfast  Beverage Revenue</v>
      </c>
      <c r="O123" s="134">
        <f t="shared" ref="O123:Z123" si="48">O100+O108+O116</f>
        <v>0</v>
      </c>
      <c r="P123" s="134">
        <f t="shared" si="48"/>
        <v>0</v>
      </c>
      <c r="Q123" s="134">
        <f t="shared" si="48"/>
        <v>0</v>
      </c>
      <c r="R123" s="134">
        <f t="shared" si="48"/>
        <v>0</v>
      </c>
      <c r="S123" s="134">
        <f t="shared" si="48"/>
        <v>0</v>
      </c>
      <c r="T123" s="134">
        <f t="shared" si="48"/>
        <v>0</v>
      </c>
      <c r="U123" s="134">
        <f t="shared" si="48"/>
        <v>0</v>
      </c>
      <c r="V123" s="134">
        <f t="shared" si="48"/>
        <v>0</v>
      </c>
      <c r="W123" s="134">
        <f t="shared" si="48"/>
        <v>0</v>
      </c>
      <c r="X123" s="134">
        <f t="shared" si="48"/>
        <v>0</v>
      </c>
      <c r="Y123" s="134">
        <f t="shared" si="48"/>
        <v>0</v>
      </c>
      <c r="Z123" s="134">
        <f t="shared" si="48"/>
        <v>1028</v>
      </c>
      <c r="AA123" s="134">
        <f t="shared" ref="AA123:AA128" si="49">SUM(O123:Z123)</f>
        <v>1028</v>
      </c>
      <c r="AB123" s="138">
        <f t="shared" ref="AB123:AB128" si="50">IF(AA123=0,"",IFERROR(AA123/AA$19,""))</f>
        <v>7.9180643629258671E-3</v>
      </c>
      <c r="AC123" s="136"/>
      <c r="AD123" s="134">
        <f>AD100+AD108+AD116</f>
        <v>2123.9200499999997</v>
      </c>
      <c r="AE123" s="138">
        <f t="shared" ref="AE123:AE128" si="51">IF(AD123=0,"",IFERROR(AD123/AD$19,""))</f>
        <v>1.0070896168479247E-2</v>
      </c>
      <c r="AF123" s="137">
        <f t="shared" ref="AF123:AF128" si="52">IF(AND($AA123="",AD123=""),"",$AA123-AD123)</f>
        <v>-1095.9200499999997</v>
      </c>
      <c r="AG123" s="134">
        <f>AG100+AG108+AG116</f>
        <v>0</v>
      </c>
      <c r="AH123" s="138" t="str">
        <f t="shared" ref="AH123:AH128" si="53">IF(AG123=0,"",IFERROR(AG123/AG$19,""))</f>
        <v/>
      </c>
      <c r="AI123" s="137">
        <f t="shared" ref="AI123:AI128" si="54">IF(AND($AA123="",AG123=""),"",$AA123-AG123)</f>
        <v>1028</v>
      </c>
    </row>
    <row r="124" spans="1:35" x14ac:dyDescent="0.25">
      <c r="A124" s="11"/>
      <c r="B124" s="11"/>
      <c r="C124" s="204"/>
      <c r="D124" s="11"/>
      <c r="E124" s="11"/>
      <c r="F124" s="11"/>
      <c r="G124" s="11"/>
      <c r="H124" s="84" t="s">
        <v>268</v>
      </c>
      <c r="I124" s="118"/>
      <c r="J124" s="118"/>
      <c r="K124" s="11"/>
      <c r="L124" s="86" t="str">
        <f>IF(_epmOfflineCondition_,"",_xll.EVPRO($B$1,H124,"JDEID"))</f>
        <v/>
      </c>
      <c r="M124" s="86" t="str">
        <f>IF(_epmOfflineCondition_,"",IF(AND(I124="N",J124="N"),_xll.EVPRO($B$1,H124,"PSFTID"),""))</f>
        <v/>
      </c>
      <c r="N124" s="86" t="str">
        <f>IF(_epmOfflineCondition_,"Lunch Beverage Revenue",IF(_xll.EVDES(H124,$B$1)="#NODATA","",_xll.EVDES(H124,$B$1)))</f>
        <v>Lunch Beverage Revenue</v>
      </c>
      <c r="O124" s="134">
        <f t="shared" ref="O124:Z124" si="55">O101+O109+O117</f>
        <v>0</v>
      </c>
      <c r="P124" s="134">
        <f t="shared" si="55"/>
        <v>6</v>
      </c>
      <c r="Q124" s="134">
        <f t="shared" si="55"/>
        <v>0</v>
      </c>
      <c r="R124" s="134">
        <f t="shared" si="55"/>
        <v>0</v>
      </c>
      <c r="S124" s="134">
        <f t="shared" si="55"/>
        <v>0</v>
      </c>
      <c r="T124" s="134">
        <f t="shared" si="55"/>
        <v>0</v>
      </c>
      <c r="U124" s="134">
        <f t="shared" si="55"/>
        <v>0</v>
      </c>
      <c r="V124" s="134">
        <f t="shared" si="55"/>
        <v>1135</v>
      </c>
      <c r="W124" s="134">
        <f t="shared" si="55"/>
        <v>0</v>
      </c>
      <c r="X124" s="134">
        <f t="shared" si="55"/>
        <v>0</v>
      </c>
      <c r="Y124" s="134">
        <f t="shared" si="55"/>
        <v>172</v>
      </c>
      <c r="Z124" s="134">
        <f t="shared" si="55"/>
        <v>0</v>
      </c>
      <c r="AA124" s="134">
        <f t="shared" si="49"/>
        <v>1313</v>
      </c>
      <c r="AB124" s="138">
        <f t="shared" si="50"/>
        <v>1.011324757638294E-2</v>
      </c>
      <c r="AC124" s="136"/>
      <c r="AD124" s="134">
        <f>AD101+AD109+AD117</f>
        <v>18418.267670000001</v>
      </c>
      <c r="AE124" s="138">
        <f t="shared" si="51"/>
        <v>8.7333071368589532E-2</v>
      </c>
      <c r="AF124" s="137">
        <f t="shared" si="52"/>
        <v>-17105.267670000001</v>
      </c>
      <c r="AG124" s="134">
        <f>AG101+AG109+AG117</f>
        <v>2045</v>
      </c>
      <c r="AH124" s="138">
        <f t="shared" si="53"/>
        <v>7.4039665710004185E-2</v>
      </c>
      <c r="AI124" s="137">
        <f t="shared" si="54"/>
        <v>-732</v>
      </c>
    </row>
    <row r="125" spans="1:35" x14ac:dyDescent="0.25">
      <c r="A125" s="11"/>
      <c r="B125" s="11"/>
      <c r="C125" s="204"/>
      <c r="D125" s="11"/>
      <c r="E125" s="11"/>
      <c r="F125" s="11"/>
      <c r="G125" s="11"/>
      <c r="H125" s="181" t="s">
        <v>269</v>
      </c>
      <c r="I125" s="118"/>
      <c r="J125" s="118"/>
      <c r="K125" s="11"/>
      <c r="L125" s="86" t="str">
        <f>IF(_epmOfflineCondition_,"",_xll.EVPRO($B$1,H125,"JDEID"))</f>
        <v/>
      </c>
      <c r="M125" s="86" t="str">
        <f>IF(_epmOfflineCondition_,"",IF(AND(I125="N",J125="N"),_xll.EVPRO($B$1,H125,"PSFTID"),""))</f>
        <v/>
      </c>
      <c r="N125" s="86" t="str">
        <f>IF(_epmOfflineCondition_,"Dinner Beverage Revenue",IF(_xll.EVDES(H125,$B$1)="#NODATA","",_xll.EVDES(H125,$B$1)))</f>
        <v>Dinner Beverage Revenue</v>
      </c>
      <c r="O125" s="134">
        <f t="shared" ref="O125:Z125" si="56">O102+O110+O118</f>
        <v>3289.75</v>
      </c>
      <c r="P125" s="134">
        <f t="shared" si="56"/>
        <v>1809</v>
      </c>
      <c r="Q125" s="134">
        <f t="shared" si="56"/>
        <v>1469.92</v>
      </c>
      <c r="R125" s="134">
        <f t="shared" si="56"/>
        <v>0</v>
      </c>
      <c r="S125" s="134">
        <f t="shared" si="56"/>
        <v>0</v>
      </c>
      <c r="T125" s="134">
        <f t="shared" si="56"/>
        <v>0</v>
      </c>
      <c r="U125" s="134">
        <f t="shared" si="56"/>
        <v>0</v>
      </c>
      <c r="V125" s="134">
        <f t="shared" si="56"/>
        <v>0</v>
      </c>
      <c r="W125" s="134">
        <f t="shared" si="56"/>
        <v>0</v>
      </c>
      <c r="X125" s="134">
        <f t="shared" si="56"/>
        <v>1864</v>
      </c>
      <c r="Y125" s="134">
        <f t="shared" si="56"/>
        <v>1190</v>
      </c>
      <c r="Z125" s="134">
        <f t="shared" si="56"/>
        <v>0</v>
      </c>
      <c r="AA125" s="134">
        <f t="shared" si="49"/>
        <v>9622.67</v>
      </c>
      <c r="AB125" s="138">
        <f t="shared" si="50"/>
        <v>7.4117626851357837E-2</v>
      </c>
      <c r="AC125" s="136"/>
      <c r="AD125" s="134">
        <f>AD102+AD110+AD118</f>
        <v>57990.657549999996</v>
      </c>
      <c r="AE125" s="138">
        <f t="shared" si="51"/>
        <v>0.2749716925210472</v>
      </c>
      <c r="AF125" s="137">
        <f t="shared" si="52"/>
        <v>-48367.987549999998</v>
      </c>
      <c r="AG125" s="134">
        <f>AG102+AG110+AG118</f>
        <v>0</v>
      </c>
      <c r="AH125" s="138" t="str">
        <f t="shared" si="53"/>
        <v/>
      </c>
      <c r="AI125" s="137">
        <f t="shared" si="54"/>
        <v>9622.67</v>
      </c>
    </row>
    <row r="126" spans="1:35" x14ac:dyDescent="0.25">
      <c r="A126" s="11"/>
      <c r="B126" s="11"/>
      <c r="C126" s="204"/>
      <c r="D126" s="11"/>
      <c r="E126" s="11"/>
      <c r="F126" s="11"/>
      <c r="G126" s="11"/>
      <c r="H126" s="181" t="s">
        <v>270</v>
      </c>
      <c r="I126" s="118"/>
      <c r="J126" s="118"/>
      <c r="K126" s="11"/>
      <c r="L126" s="86" t="str">
        <f>IF(_epmOfflineCondition_,"",_xll.EVPRO($B$1,H126,"JDEID"))</f>
        <v/>
      </c>
      <c r="M126" s="86" t="str">
        <f>IF(_epmOfflineCondition_,"",IF(AND(I126="N",J126="N"),_xll.EVPRO($B$1,H126,"PSFTID"),""))</f>
        <v/>
      </c>
      <c r="N126" s="86" t="str">
        <f>IF(_epmOfflineCondition_,"Bar Beverage Revenue",IF(_xll.EVDES(H126,$B$1)="#NODATA","",_xll.EVDES(H126,$B$1)))</f>
        <v>Bar Beverage Revenue</v>
      </c>
      <c r="O126" s="134">
        <f t="shared" ref="O126:Z126" si="57">O103+O111+O119</f>
        <v>0</v>
      </c>
      <c r="P126" s="134">
        <f t="shared" si="57"/>
        <v>0</v>
      </c>
      <c r="Q126" s="134">
        <f t="shared" si="57"/>
        <v>0</v>
      </c>
      <c r="R126" s="134">
        <f t="shared" si="57"/>
        <v>0</v>
      </c>
      <c r="S126" s="134">
        <f t="shared" si="57"/>
        <v>0</v>
      </c>
      <c r="T126" s="134">
        <f t="shared" si="57"/>
        <v>0</v>
      </c>
      <c r="U126" s="134">
        <f t="shared" si="57"/>
        <v>0</v>
      </c>
      <c r="V126" s="134">
        <f t="shared" si="57"/>
        <v>0</v>
      </c>
      <c r="W126" s="134">
        <f t="shared" si="57"/>
        <v>0</v>
      </c>
      <c r="X126" s="134">
        <f t="shared" si="57"/>
        <v>0</v>
      </c>
      <c r="Y126" s="134">
        <f t="shared" si="57"/>
        <v>0</v>
      </c>
      <c r="Z126" s="134">
        <f t="shared" si="57"/>
        <v>0</v>
      </c>
      <c r="AA126" s="134">
        <f t="shared" si="49"/>
        <v>0</v>
      </c>
      <c r="AB126" s="138" t="str">
        <f t="shared" si="50"/>
        <v/>
      </c>
      <c r="AC126" s="136"/>
      <c r="AD126" s="134">
        <f>AD103+AD111+AD119</f>
        <v>0</v>
      </c>
      <c r="AE126" s="138" t="str">
        <f t="shared" si="51"/>
        <v/>
      </c>
      <c r="AF126" s="137">
        <f t="shared" si="52"/>
        <v>0</v>
      </c>
      <c r="AG126" s="134">
        <f>AG103+AG111+AG119</f>
        <v>0</v>
      </c>
      <c r="AH126" s="138" t="str">
        <f t="shared" si="53"/>
        <v/>
      </c>
      <c r="AI126" s="137">
        <f t="shared" si="54"/>
        <v>0</v>
      </c>
    </row>
    <row r="127" spans="1:35" x14ac:dyDescent="0.25">
      <c r="A127" s="11"/>
      <c r="B127" s="11"/>
      <c r="C127" s="204"/>
      <c r="D127" s="11"/>
      <c r="E127" s="11"/>
      <c r="F127" s="11"/>
      <c r="G127" s="11"/>
      <c r="H127" s="181" t="s">
        <v>271</v>
      </c>
      <c r="I127" s="118"/>
      <c r="J127" s="118"/>
      <c r="K127" s="11"/>
      <c r="L127" s="86" t="str">
        <f>IF(_epmOfflineCondition_,"",_xll.EVPRO($B$1,H127,"JDEID"))</f>
        <v/>
      </c>
      <c r="M127" s="86" t="str">
        <f>IF(_epmOfflineCondition_,"",IF(AND(I127="N",J127="N"),_xll.EVPRO($B$1,H127,"PSFTID"),""))</f>
        <v/>
      </c>
      <c r="N127" s="86" t="str">
        <f>IF(_epmOfflineCondition_,"Private Dining Beverage Revenue",IF(_xll.EVDES(H127,$B$1)="#NODATA","",_xll.EVDES(H127,$B$1)))</f>
        <v>Private Dining Beverage Revenue</v>
      </c>
      <c r="O127" s="134">
        <f t="shared" ref="O127:Z127" si="58">O104+O112+O120</f>
        <v>0</v>
      </c>
      <c r="P127" s="134">
        <f t="shared" si="58"/>
        <v>0</v>
      </c>
      <c r="Q127" s="134">
        <f t="shared" si="58"/>
        <v>0</v>
      </c>
      <c r="R127" s="134">
        <f t="shared" si="58"/>
        <v>0</v>
      </c>
      <c r="S127" s="134">
        <f t="shared" si="58"/>
        <v>0</v>
      </c>
      <c r="T127" s="134">
        <f t="shared" si="58"/>
        <v>0</v>
      </c>
      <c r="U127" s="134">
        <f t="shared" si="58"/>
        <v>0</v>
      </c>
      <c r="V127" s="134">
        <f t="shared" si="58"/>
        <v>0</v>
      </c>
      <c r="W127" s="134">
        <f t="shared" si="58"/>
        <v>0</v>
      </c>
      <c r="X127" s="134">
        <f t="shared" si="58"/>
        <v>0</v>
      </c>
      <c r="Y127" s="134">
        <f t="shared" si="58"/>
        <v>0</v>
      </c>
      <c r="Z127" s="134">
        <f t="shared" si="58"/>
        <v>0</v>
      </c>
      <c r="AA127" s="134">
        <f t="shared" si="49"/>
        <v>0</v>
      </c>
      <c r="AB127" s="138" t="str">
        <f t="shared" si="50"/>
        <v/>
      </c>
      <c r="AC127" s="136"/>
      <c r="AD127" s="134">
        <f>AD104+AD112+AD120</f>
        <v>0</v>
      </c>
      <c r="AE127" s="138" t="str">
        <f t="shared" si="51"/>
        <v/>
      </c>
      <c r="AF127" s="137">
        <f t="shared" si="52"/>
        <v>0</v>
      </c>
      <c r="AG127" s="134">
        <f>AG104+AG112+AG120</f>
        <v>0</v>
      </c>
      <c r="AH127" s="138" t="str">
        <f t="shared" si="53"/>
        <v/>
      </c>
      <c r="AI127" s="137">
        <f t="shared" si="54"/>
        <v>0</v>
      </c>
    </row>
    <row r="128" spans="1:35" x14ac:dyDescent="0.25">
      <c r="A128" s="11"/>
      <c r="B128" s="11"/>
      <c r="C128" s="204"/>
      <c r="D128" s="11"/>
      <c r="E128" s="11"/>
      <c r="F128" s="11"/>
      <c r="G128" s="11"/>
      <c r="H128" s="84" t="s">
        <v>272</v>
      </c>
      <c r="I128" s="118"/>
      <c r="J128" s="118"/>
      <c r="K128" s="11"/>
      <c r="L128" s="86" t="str">
        <f>IF(_epmOfflineCondition_,"",_xll.EVPRO($B$1,H128,"JDEID"))</f>
        <v/>
      </c>
      <c r="M128" s="86" t="str">
        <f>IF(_epmOfflineCondition_,"",IF(AND(I128="N",J128="N"),_xll.EVPRO($B$1,H128,"PSFTID"),""))</f>
        <v/>
      </c>
      <c r="N128" s="102" t="str">
        <f>IF(_epmOfflineCondition_,"Total Beverage Revenue",IF(_xll.EVDES(H128,$B$1)="#NODATA","",_xll.EVDES(H128,$B$1)))</f>
        <v>Total Beverage Revenue</v>
      </c>
      <c r="O128" s="158">
        <f t="shared" ref="O128:Z128" si="59">SUM(O123:O127)</f>
        <v>3289.75</v>
      </c>
      <c r="P128" s="158">
        <f t="shared" si="59"/>
        <v>1815</v>
      </c>
      <c r="Q128" s="158">
        <f t="shared" si="59"/>
        <v>1469.92</v>
      </c>
      <c r="R128" s="158">
        <f t="shared" si="59"/>
        <v>0</v>
      </c>
      <c r="S128" s="158">
        <f t="shared" si="59"/>
        <v>0</v>
      </c>
      <c r="T128" s="158">
        <f t="shared" si="59"/>
        <v>0</v>
      </c>
      <c r="U128" s="158">
        <f t="shared" si="59"/>
        <v>0</v>
      </c>
      <c r="V128" s="158">
        <f t="shared" si="59"/>
        <v>1135</v>
      </c>
      <c r="W128" s="158">
        <f t="shared" si="59"/>
        <v>0</v>
      </c>
      <c r="X128" s="158">
        <f t="shared" si="59"/>
        <v>1864</v>
      </c>
      <c r="Y128" s="158">
        <f t="shared" si="59"/>
        <v>1362</v>
      </c>
      <c r="Z128" s="158">
        <f t="shared" si="59"/>
        <v>1028</v>
      </c>
      <c r="AA128" s="158">
        <f t="shared" si="49"/>
        <v>11963.67</v>
      </c>
      <c r="AB128" s="159">
        <f t="shared" si="50"/>
        <v>9.2148938790666643E-2</v>
      </c>
      <c r="AC128" s="136"/>
      <c r="AD128" s="158">
        <f>SUM(AD123:AD127)</f>
        <v>78532.845269999991</v>
      </c>
      <c r="AE128" s="159">
        <f t="shared" si="51"/>
        <v>0.37237566005811595</v>
      </c>
      <c r="AF128" s="160">
        <f t="shared" si="52"/>
        <v>-66569.175269999992</v>
      </c>
      <c r="AG128" s="158">
        <f>SUM(AG123:AG127)</f>
        <v>2045</v>
      </c>
      <c r="AH128" s="159">
        <f t="shared" si="53"/>
        <v>7.4039665710004185E-2</v>
      </c>
      <c r="AI128" s="160">
        <f t="shared" si="54"/>
        <v>9918.67</v>
      </c>
    </row>
    <row r="129" spans="1:35" x14ac:dyDescent="0.25">
      <c r="A129" s="11"/>
      <c r="B129" s="11"/>
      <c r="C129" s="204"/>
      <c r="D129" s="11"/>
      <c r="E129" s="11"/>
      <c r="F129" s="11"/>
      <c r="G129" s="11"/>
      <c r="H129" s="181"/>
      <c r="I129" s="118"/>
      <c r="J129" s="118"/>
      <c r="K129" s="11"/>
      <c r="L129" s="11"/>
      <c r="M129" s="11"/>
      <c r="N129" s="11"/>
      <c r="O129" s="506">
        <f t="shared" ref="O129:AA129" si="60">O105+O113+O121-O128</f>
        <v>0</v>
      </c>
      <c r="P129" s="506">
        <f t="shared" si="60"/>
        <v>0</v>
      </c>
      <c r="Q129" s="506">
        <f t="shared" si="60"/>
        <v>0</v>
      </c>
      <c r="R129" s="506">
        <f t="shared" si="60"/>
        <v>0</v>
      </c>
      <c r="S129" s="506">
        <f t="shared" si="60"/>
        <v>0</v>
      </c>
      <c r="T129" s="506">
        <f t="shared" si="60"/>
        <v>0</v>
      </c>
      <c r="U129" s="506">
        <f t="shared" si="60"/>
        <v>0</v>
      </c>
      <c r="V129" s="506">
        <f t="shared" si="60"/>
        <v>0</v>
      </c>
      <c r="W129" s="506">
        <f t="shared" si="60"/>
        <v>0</v>
      </c>
      <c r="X129" s="506">
        <f t="shared" si="60"/>
        <v>0</v>
      </c>
      <c r="Y129" s="506">
        <f t="shared" si="60"/>
        <v>0</v>
      </c>
      <c r="Z129" s="506">
        <f t="shared" si="60"/>
        <v>0</v>
      </c>
      <c r="AA129" s="506">
        <f t="shared" si="60"/>
        <v>0</v>
      </c>
      <c r="AB129" s="138"/>
      <c r="AC129" s="136"/>
      <c r="AD129" s="506">
        <f>AD105+AD113+AD121-AD128</f>
        <v>0</v>
      </c>
      <c r="AE129" s="138"/>
      <c r="AF129" s="134"/>
      <c r="AG129" s="506">
        <f>AG105+AG113+AG121-AG128</f>
        <v>0</v>
      </c>
      <c r="AH129" s="138"/>
      <c r="AI129" s="134"/>
    </row>
    <row r="130" spans="1:35" x14ac:dyDescent="0.25">
      <c r="A130" s="11"/>
      <c r="B130" s="11"/>
      <c r="C130" s="204"/>
      <c r="D130" s="11"/>
      <c r="E130" s="11"/>
      <c r="F130" s="11"/>
      <c r="G130" s="11"/>
      <c r="H130" s="181"/>
      <c r="I130" s="118"/>
      <c r="J130" s="118"/>
      <c r="K130" s="11"/>
      <c r="L130" s="11"/>
      <c r="M130" s="11"/>
      <c r="N130" s="11"/>
      <c r="O130" s="166"/>
      <c r="P130" s="167"/>
      <c r="Q130" s="167"/>
      <c r="R130" s="167"/>
      <c r="S130" s="167"/>
      <c r="T130" s="167"/>
      <c r="U130" s="167"/>
      <c r="V130" s="167"/>
      <c r="W130" s="167"/>
      <c r="X130" s="167"/>
      <c r="Y130" s="167"/>
      <c r="Z130" s="167"/>
      <c r="AA130" s="167"/>
      <c r="AB130" s="168"/>
      <c r="AC130" s="136"/>
      <c r="AD130" s="166"/>
      <c r="AE130" s="167"/>
      <c r="AF130" s="168"/>
      <c r="AG130" s="166"/>
      <c r="AH130" s="167"/>
      <c r="AI130" s="168"/>
    </row>
    <row r="131" spans="1:35" ht="15.75" x14ac:dyDescent="0.25">
      <c r="A131" s="11"/>
      <c r="B131" s="11"/>
      <c r="C131" s="204"/>
      <c r="D131" s="11"/>
      <c r="E131" s="11"/>
      <c r="F131" s="11"/>
      <c r="G131" s="11"/>
      <c r="H131" s="181" t="s">
        <v>281</v>
      </c>
      <c r="I131" s="118"/>
      <c r="J131" s="118"/>
      <c r="K131" s="11"/>
      <c r="L131" s="11"/>
      <c r="M131" s="11"/>
      <c r="N131" s="485" t="str">
        <f>IF(_epmOfflineCondition_,"Cost of Sales",IF(_xll.EVDES(H131,$B$1)="#NODATA","",_xll.EVDES(H131,$B$1)))</f>
        <v>Cost of Sales</v>
      </c>
      <c r="O131" s="513"/>
      <c r="P131" s="514"/>
      <c r="Q131" s="514"/>
      <c r="R131" s="514"/>
      <c r="S131" s="514"/>
      <c r="T131" s="514"/>
      <c r="U131" s="514"/>
      <c r="V131" s="514"/>
      <c r="W131" s="514"/>
      <c r="X131" s="514"/>
      <c r="Y131" s="514"/>
      <c r="Z131" s="514"/>
      <c r="AA131" s="514"/>
      <c r="AB131" s="515"/>
      <c r="AC131" s="136"/>
      <c r="AD131" s="513"/>
      <c r="AE131" s="514"/>
      <c r="AF131" s="514"/>
      <c r="AG131" s="514"/>
      <c r="AH131" s="514"/>
      <c r="AI131" s="515"/>
    </row>
    <row r="132" spans="1:35" x14ac:dyDescent="0.25">
      <c r="A132" s="11"/>
      <c r="B132" s="11"/>
      <c r="C132" s="204"/>
      <c r="D132" s="11"/>
      <c r="E132" s="11"/>
      <c r="F132" s="11"/>
      <c r="G132" s="11"/>
      <c r="H132" s="181">
        <v>561100</v>
      </c>
      <c r="I132" s="118"/>
      <c r="J132" s="118"/>
      <c r="K132" s="11"/>
      <c r="L132" s="86" t="str">
        <f>IF(_epmOfflineCondition_,"561100",_xll.EVPRO($B$1,H132,"JDEID"))</f>
        <v>561100</v>
      </c>
      <c r="M132" s="86" t="str">
        <f>IF(_epmOfflineCondition_,"",IF(AND(I132="N",J132="N"),_xll.EVPRO($B$1,H132,"PSFTID"),""))</f>
        <v/>
      </c>
      <c r="N132" s="86" t="str">
        <f>IF(_epmOfflineCondition_,"Cost of Food Sales",IF(_xll.EVDES(H132,$B$1)="#NODATA","",_xll.EVDES(H132,$B$1)))</f>
        <v>Cost of Food Sales</v>
      </c>
      <c r="O132" s="134">
        <v>2245.6999999999998</v>
      </c>
      <c r="P132" s="134">
        <v>6851.64</v>
      </c>
      <c r="Q132" s="134">
        <v>3834.73</v>
      </c>
      <c r="R132" s="134">
        <v>971.22</v>
      </c>
      <c r="S132" s="134">
        <v>971.64</v>
      </c>
      <c r="T132" s="134">
        <v>323.72000000000003</v>
      </c>
      <c r="U132" s="134">
        <v>467.95</v>
      </c>
      <c r="V132" s="134">
        <v>516.65</v>
      </c>
      <c r="W132" s="134">
        <v>296.36</v>
      </c>
      <c r="X132" s="134">
        <v>3775.54</v>
      </c>
      <c r="Y132" s="134">
        <v>2309.17</v>
      </c>
      <c r="Z132" s="134">
        <v>2113.48</v>
      </c>
      <c r="AA132" s="134">
        <f>SUM(O132:Z132)</f>
        <v>24677.8</v>
      </c>
      <c r="AB132" s="454">
        <f>IF(_epmOfflineCondition_,0.209371588287856,IF(AA132=0,"",IFERROR(AA132/_xll.EVGTS($B$1,1,_xll.EVPRO($B$1,$H132,"COSBASIS"),$B$3,$B$5,$B$6,$B$7,$B$9,AA$16,AA$17,AA$11),"")))</f>
        <v>0.20937158828785599</v>
      </c>
      <c r="AC132" s="136"/>
      <c r="AD132" s="134">
        <v>27664.080000000002</v>
      </c>
      <c r="AE132" s="454">
        <f>IF(_epmOfflineCondition_,0.209000058593961,IF(AD132=0,"",IFERROR(AD132/_xll.EVGTS($B$1,1,_xll.EVPRO($B$1,$H132,"COSBASIS"),$B$3,$B$5,$B$6,$B$7,$B$9,AD$16,AD$17,AD$18),"")))</f>
        <v>0.20900005859396101</v>
      </c>
      <c r="AF132" s="137">
        <f t="shared" ref="AF132:AF143" si="61">IF(AND($AA132="",AD132=""),"",$AA132-AD132)</f>
        <v>-2986.2800000000025</v>
      </c>
      <c r="AG132" s="134">
        <v>3413.25</v>
      </c>
      <c r="AH132" s="454">
        <f>IF(_epmOfflineCondition_,0.133458688509591,IF(AG132=0,"",IFERROR(AG132/_xll.EVGTS($B$1,1,_xll.EVPRO($B$1,$H132,"COSBASIS"),$B$3,$B$5,$B$6,$B$7,$B$9,AG$16,AG$17,AG$18),"")))</f>
        <v>0.133458688509591</v>
      </c>
      <c r="AI132" s="137">
        <f t="shared" ref="AI132:AI143" si="62">IF(AND($AA132="",AG132=""),"",$AA132-AG132)</f>
        <v>21264.55</v>
      </c>
    </row>
    <row r="133" spans="1:35" x14ac:dyDescent="0.25">
      <c r="A133" s="11"/>
      <c r="B133" s="11"/>
      <c r="C133" s="204"/>
      <c r="D133" s="11"/>
      <c r="E133" s="11"/>
      <c r="F133" s="11"/>
      <c r="G133" s="11"/>
      <c r="H133" s="181" t="s">
        <v>757</v>
      </c>
      <c r="I133" s="118"/>
      <c r="J133" s="118"/>
      <c r="K133" s="11"/>
      <c r="L133" s="86" t="str">
        <f>IF(_epmOfflineCondition_,"",_xll.EVPRO($B$1,H133,"JDEID"))</f>
        <v/>
      </c>
      <c r="M133" s="86" t="str">
        <f>IF(_epmOfflineCondition_,"",IF(AND(I133="N",J133="N"),_xll.EVPRO($B$1,H133,"PSFTID"),""))</f>
        <v/>
      </c>
      <c r="N133" s="488" t="str">
        <f>IF(_epmOfflineCondition_,"Food Cost %",IF(_xll.EVDES(H133,$B$1)="#NODATA","",_xll.EVDES(H133,$B$1)))</f>
        <v>Food Cost %</v>
      </c>
      <c r="O133" s="503">
        <v>9.7803056862698107E-2</v>
      </c>
      <c r="P133" s="503">
        <v>0.33312216336581901</v>
      </c>
      <c r="Q133" s="503">
        <v>0.20900353614189901</v>
      </c>
      <c r="R133" s="503">
        <v>0.20899935442220799</v>
      </c>
      <c r="S133" s="503">
        <v>0.20882011605415901</v>
      </c>
      <c r="T133" s="503">
        <v>0.208986442866365</v>
      </c>
      <c r="U133" s="503">
        <v>0.20899955337204101</v>
      </c>
      <c r="V133" s="503">
        <v>0.38642483171279002</v>
      </c>
      <c r="W133" s="503">
        <v>0.20899858956276399</v>
      </c>
      <c r="X133" s="503">
        <v>0.20899797176412199</v>
      </c>
      <c r="Y133" s="503">
        <v>0.20897466063348399</v>
      </c>
      <c r="Z133" s="503">
        <v>0.19159459704469201</v>
      </c>
      <c r="AA133" s="503">
        <v>0.20937158828785599</v>
      </c>
      <c r="AB133" s="454"/>
      <c r="AC133" s="136"/>
      <c r="AD133" s="503">
        <v>0.20900005859396101</v>
      </c>
      <c r="AE133" s="454"/>
      <c r="AF133" s="516">
        <f t="shared" si="61"/>
        <v>3.7152969389497859E-4</v>
      </c>
      <c r="AG133" s="503">
        <v>0.133458688509591</v>
      </c>
      <c r="AH133" s="454"/>
      <c r="AI133" s="516">
        <f t="shared" si="62"/>
        <v>7.5912899778264986E-2</v>
      </c>
    </row>
    <row r="134" spans="1:35" x14ac:dyDescent="0.25">
      <c r="A134" s="11"/>
      <c r="B134" s="11"/>
      <c r="C134" s="204"/>
      <c r="D134" s="11"/>
      <c r="E134" s="11"/>
      <c r="F134" s="11"/>
      <c r="G134" s="11"/>
      <c r="H134" s="181" t="s">
        <v>637</v>
      </c>
      <c r="I134" s="118"/>
      <c r="J134" s="118"/>
      <c r="K134" s="11"/>
      <c r="L134" s="86" t="str">
        <f>IF(_epmOfflineCondition_,"",_xll.EVPRO($B$1,H134,"JDEID"))</f>
        <v/>
      </c>
      <c r="M134" s="86" t="str">
        <f>IF(_epmOfflineCondition_,"",IF(AND(I134="N",J134="N"),_xll.EVPRO($B$1,H134,"PSFTID"),""))</f>
        <v/>
      </c>
      <c r="N134" s="86" t="str">
        <f>IF(_epmOfflineCondition_,"Cost of Beverage Sales",IF(_xll.EVDES(H134,$B$1)="#NODATA","",_xll.EVDES(H134,$B$1)))</f>
        <v>Cost of Beverage Sales</v>
      </c>
      <c r="O134" s="134">
        <v>-2039.71</v>
      </c>
      <c r="P134" s="134">
        <v>3054.49</v>
      </c>
      <c r="Q134" s="134">
        <v>291.88</v>
      </c>
      <c r="R134" s="134"/>
      <c r="S134" s="134"/>
      <c r="T134" s="134"/>
      <c r="U134" s="134"/>
      <c r="V134" s="134"/>
      <c r="W134" s="134"/>
      <c r="X134" s="134">
        <v>375.12</v>
      </c>
      <c r="Y134" s="134">
        <v>274.12</v>
      </c>
      <c r="Z134" s="134">
        <v>205.6</v>
      </c>
      <c r="AA134" s="134">
        <f>SUM(O134:Z134)</f>
        <v>2161.4999999999995</v>
      </c>
      <c r="AB134" s="454">
        <f>IF(_epmOfflineCondition_,0.18067198443287,IF(AA134=0,"",IFERROR(AA134/_xll.EVGTS($B$1,1,_xll.EVPRO($B$1,$H134,"COSBASIS"),$B$3,$B$5,$B$6,$B$7,$B$9,AA$16,AA$17,AA$11),"")))</f>
        <v>0.18067198443287</v>
      </c>
      <c r="AC134" s="136"/>
      <c r="AD134" s="134">
        <v>15612.36</v>
      </c>
      <c r="AE134" s="454">
        <f>IF(_epmOfflineCondition_,0.198800386593965,IF(AD134=0,"",IFERROR(AD134/_xll.EVGTS($B$1,1,_xll.EVPRO($B$1,$H134,"COSBASIS"),$B$3,$B$5,$B$6,$B$7,$B$9,AD$16,AD$17,AD$18),"")))</f>
        <v>0.19880038659396501</v>
      </c>
      <c r="AF134" s="137">
        <f t="shared" si="61"/>
        <v>-13450.86</v>
      </c>
      <c r="AG134" s="134">
        <v>985.14</v>
      </c>
      <c r="AH134" s="454">
        <f>IF(_epmOfflineCondition_,0.481731051344743,IF(AG134=0,"",IFERROR(AG134/_xll.EVGTS($B$1,1,_xll.EVPRO($B$1,$H134,"COSBASIS"),$B$3,$B$5,$B$6,$B$7,$B$9,AG$16,AG$17,AG$18),"")))</f>
        <v>0.48173105134474298</v>
      </c>
      <c r="AI134" s="137">
        <f t="shared" si="62"/>
        <v>1176.3599999999997</v>
      </c>
    </row>
    <row r="135" spans="1:35" x14ac:dyDescent="0.25">
      <c r="A135" s="11"/>
      <c r="B135" s="11"/>
      <c r="C135" s="204"/>
      <c r="D135" s="11"/>
      <c r="E135" s="11"/>
      <c r="F135" s="11"/>
      <c r="G135" s="11"/>
      <c r="H135" s="181" t="s">
        <v>758</v>
      </c>
      <c r="I135" s="118"/>
      <c r="J135" s="118"/>
      <c r="K135" s="11"/>
      <c r="L135" s="86" t="str">
        <f>IF(_epmOfflineCondition_,"",_xll.EVPRO($B$1,H135,"JDEID"))</f>
        <v/>
      </c>
      <c r="M135" s="86" t="str">
        <f>IF(_epmOfflineCondition_,"",IF(AND(I135="N",J135="N"),_xll.EVPRO($B$1,H135,"PSFTID"),""))</f>
        <v/>
      </c>
      <c r="N135" s="488" t="str">
        <f>IF(_epmOfflineCondition_,"Beverage Cost %",IF(_xll.EVDES(H135,$B$1)="#NODATA","",_xll.EVDES(H135,$B$1)))</f>
        <v>Beverage Cost %</v>
      </c>
      <c r="O135" s="503">
        <v>-0.62001975834029899</v>
      </c>
      <c r="P135" s="503">
        <v>1.6829146005509601</v>
      </c>
      <c r="Q135" s="503">
        <v>0.19856862958528401</v>
      </c>
      <c r="R135" s="503"/>
      <c r="S135" s="503"/>
      <c r="T135" s="503"/>
      <c r="U135" s="503"/>
      <c r="V135" s="503"/>
      <c r="W135" s="503"/>
      <c r="X135" s="503">
        <v>0.20124463519313299</v>
      </c>
      <c r="Y135" s="503">
        <v>0.201262848751836</v>
      </c>
      <c r="Z135" s="503">
        <v>0.2</v>
      </c>
      <c r="AA135" s="503">
        <v>0.180671984432871</v>
      </c>
      <c r="AB135" s="454"/>
      <c r="AC135" s="136"/>
      <c r="AD135" s="503">
        <v>0.19880038659396501</v>
      </c>
      <c r="AE135" s="454"/>
      <c r="AF135" s="516">
        <f t="shared" si="61"/>
        <v>-1.8128402161094015E-2</v>
      </c>
      <c r="AG135" s="503">
        <v>0.48173105134474298</v>
      </c>
      <c r="AH135" s="454"/>
      <c r="AI135" s="516">
        <f t="shared" si="62"/>
        <v>-0.30105906691187201</v>
      </c>
    </row>
    <row r="136" spans="1:35" x14ac:dyDescent="0.25">
      <c r="A136" s="11"/>
      <c r="B136" s="11"/>
      <c r="C136" s="204"/>
      <c r="D136" s="11"/>
      <c r="E136" s="11"/>
      <c r="F136" s="11"/>
      <c r="G136" s="11"/>
      <c r="H136" s="181" t="s">
        <v>756</v>
      </c>
      <c r="I136" s="118"/>
      <c r="J136" s="118"/>
      <c r="K136" s="11"/>
      <c r="L136" s="86" t="str">
        <f>IF(_epmOfflineCondition_,"561300",_xll.EVPRO($B$1,H136,"JDEID"))</f>
        <v>561300</v>
      </c>
      <c r="M136" s="86" t="str">
        <f>IF(_epmOfflineCondition_,"",IF(AND(I136="N",J136="N"),_xll.EVPRO($B$1,H136,"PSFTID"),""))</f>
        <v/>
      </c>
      <c r="N136" s="86" t="str">
        <f>IF(_epmOfflineCondition_,"Liquor Cost of Sales",IF(_xll.EVDES(H136,$B$1)="#NODATA","",_xll.EVDES(H136,$B$1)))</f>
        <v>Liquor Cost of Sales</v>
      </c>
      <c r="O136" s="134">
        <v>-2136.9699999999998</v>
      </c>
      <c r="P136" s="134">
        <v>2693.92</v>
      </c>
      <c r="Q136" s="134">
        <v>193.64</v>
      </c>
      <c r="R136" s="134"/>
      <c r="S136" s="134"/>
      <c r="T136" s="134"/>
      <c r="U136" s="134"/>
      <c r="V136" s="134"/>
      <c r="W136" s="134"/>
      <c r="X136" s="134">
        <v>60.45</v>
      </c>
      <c r="Y136" s="134"/>
      <c r="Z136" s="134"/>
      <c r="AA136" s="134">
        <f>SUM(O136:Z136)</f>
        <v>811.0400000000003</v>
      </c>
      <c r="AB136" s="454">
        <f>IF(_epmOfflineCondition_,0.195004664493109,IF(AA136=0,"",IFERROR(AA136/_xll.EVGTS($B$1,1,_xll.EVPRO($B$1,$H136,"COSBASIS"),$B$3,$B$5,$B$6,$B$7,$B$9,AA$16,AA$17,AA$11),"")))</f>
        <v>0.19500466449310899</v>
      </c>
      <c r="AC136" s="136"/>
      <c r="AD136" s="134">
        <v>7588.67</v>
      </c>
      <c r="AE136" s="454">
        <f>IF(_epmOfflineCondition_,0.194999772738554,IF(AD136=0,"",IFERROR(AD136/_xll.EVGTS($B$1,1,_xll.EVPRO($B$1,$H136,"COSBASIS"),$B$3,$B$5,$B$6,$B$7,$B$9,AD$16,AD$17,AD$18),"")))</f>
        <v>0.19499977273855401</v>
      </c>
      <c r="AF136" s="137">
        <f t="shared" si="61"/>
        <v>-6777.63</v>
      </c>
      <c r="AG136" s="134">
        <v>546.22</v>
      </c>
      <c r="AH136" s="454">
        <f>IF(_epmOfflineCondition_,0.404607407407407,IF(AG136=0,"",IFERROR(AG136/_xll.EVGTS($B$1,1,_xll.EVPRO($B$1,$H136,"COSBASIS"),$B$3,$B$5,$B$6,$B$7,$B$9,AG$16,AG$17,AG$18),"")))</f>
        <v>0.40460740740740703</v>
      </c>
      <c r="AI136" s="137">
        <f t="shared" si="62"/>
        <v>264.82000000000028</v>
      </c>
    </row>
    <row r="137" spans="1:35" x14ac:dyDescent="0.25">
      <c r="A137" s="11"/>
      <c r="B137" s="11"/>
      <c r="C137" s="204"/>
      <c r="D137" s="11"/>
      <c r="E137" s="11"/>
      <c r="F137" s="11"/>
      <c r="G137" s="11"/>
      <c r="H137" s="181" t="s">
        <v>759</v>
      </c>
      <c r="I137" s="118"/>
      <c r="J137" s="118"/>
      <c r="K137" s="11"/>
      <c r="L137" s="86" t="str">
        <f>IF(_epmOfflineCondition_,"",_xll.EVPRO($B$1,H137,"JDEID"))</f>
        <v/>
      </c>
      <c r="M137" s="86" t="str">
        <f>IF(_epmOfflineCondition_,"",IF(AND(I137="N",J137="N"),_xll.EVPRO($B$1,H137,"PSFTID"),""))</f>
        <v/>
      </c>
      <c r="N137" s="488" t="str">
        <f>IF(_epmOfflineCondition_,"Liquor Cost %",IF(_xll.EVDES(H137,$B$1)="#NODATA","",_xll.EVDES(H137,$B$1)))</f>
        <v>Liquor Cost %</v>
      </c>
      <c r="O137" s="503">
        <v>-0.74974563724011101</v>
      </c>
      <c r="P137" s="503">
        <v>448.98666666666702</v>
      </c>
      <c r="Q137" s="503">
        <v>0.19504039000020101</v>
      </c>
      <c r="R137" s="503"/>
      <c r="S137" s="503"/>
      <c r="T137" s="503"/>
      <c r="U137" s="503"/>
      <c r="V137" s="503"/>
      <c r="W137" s="503"/>
      <c r="X137" s="503">
        <v>0.19500000000000001</v>
      </c>
      <c r="Y137" s="503"/>
      <c r="Z137" s="503"/>
      <c r="AA137" s="503">
        <v>0.19500466449310899</v>
      </c>
      <c r="AB137" s="454"/>
      <c r="AC137" s="136"/>
      <c r="AD137" s="503">
        <v>0.19499977273855401</v>
      </c>
      <c r="AE137" s="454"/>
      <c r="AF137" s="516">
        <f t="shared" si="61"/>
        <v>4.8917545549809205E-6</v>
      </c>
      <c r="AG137" s="503">
        <v>0.40460740740740703</v>
      </c>
      <c r="AH137" s="454"/>
      <c r="AI137" s="516">
        <f t="shared" si="62"/>
        <v>-0.20960274291429803</v>
      </c>
    </row>
    <row r="138" spans="1:35" x14ac:dyDescent="0.25">
      <c r="A138" s="11"/>
      <c r="B138" s="11"/>
      <c r="C138" s="204"/>
      <c r="D138" s="11"/>
      <c r="E138" s="11"/>
      <c r="F138" s="11"/>
      <c r="G138" s="11"/>
      <c r="H138" s="181">
        <v>561400</v>
      </c>
      <c r="I138" s="118"/>
      <c r="J138" s="118"/>
      <c r="K138" s="11"/>
      <c r="L138" s="86" t="str">
        <f>IF(_epmOfflineCondition_,"561400",_xll.EVPRO($B$1,H138,"JDEID"))</f>
        <v>561400</v>
      </c>
      <c r="M138" s="86" t="str">
        <f>IF(_epmOfflineCondition_,"",IF(AND(I138="N",J138="N"),_xll.EVPRO($B$1,H138,"PSFTID"),""))</f>
        <v/>
      </c>
      <c r="N138" s="86" t="str">
        <f>IF(_epmOfflineCondition_,"Beer Cost of Sales",IF(_xll.EVDES(H138,$B$1)="#NODATA","",_xll.EVDES(H138,$B$1)))</f>
        <v>Beer Cost of Sales</v>
      </c>
      <c r="O138" s="134">
        <v>19.43</v>
      </c>
      <c r="P138" s="134">
        <v>144.16999999999999</v>
      </c>
      <c r="Q138" s="134">
        <v>59.64</v>
      </c>
      <c r="R138" s="134"/>
      <c r="S138" s="134"/>
      <c r="T138" s="134"/>
      <c r="U138" s="134"/>
      <c r="V138" s="134"/>
      <c r="W138" s="134"/>
      <c r="X138" s="134">
        <v>81.27</v>
      </c>
      <c r="Y138" s="134">
        <v>36.119999999999997</v>
      </c>
      <c r="Z138" s="134"/>
      <c r="AA138" s="134">
        <f>SUM(O138:Z138)</f>
        <v>340.63</v>
      </c>
      <c r="AB138" s="454">
        <f>IF(_epmOfflineCondition_,0.123282663771263,IF(AA138=0,"",IFERROR(AA138/_xll.EVGTS($B$1,1,_xll.EVPRO($B$1,$H138,"COSBASIS"),$B$3,$B$5,$B$6,$B$7,$B$9,AA$16,AA$17,AA$11),"")))</f>
        <v>0.123282663771263</v>
      </c>
      <c r="AC138" s="136"/>
      <c r="AD138" s="134">
        <v>2107.2800000000002</v>
      </c>
      <c r="AE138" s="454">
        <f>IF(_epmOfflineCondition_,0.210003107388858,IF(AD138=0,"",IFERROR(AD138/_xll.EVGTS($B$1,1,_xll.EVPRO($B$1,$H138,"COSBASIS"),$B$3,$B$5,$B$6,$B$7,$B$9,AD$16,AD$17,AD$18),"")))</f>
        <v>0.210003107388858</v>
      </c>
      <c r="AF138" s="137">
        <f t="shared" si="61"/>
        <v>-1766.65</v>
      </c>
      <c r="AG138" s="134">
        <v>262.92</v>
      </c>
      <c r="AH138" s="454">
        <f>IF(_epmOfflineCondition_,0.618635294117647,IF(AG138=0,"",IFERROR(AG138/_xll.EVGTS($B$1,1,_xll.EVPRO($B$1,$H138,"COSBASIS"),$B$3,$B$5,$B$6,$B$7,$B$9,AG$16,AG$17,AG$18),"")))</f>
        <v>0.61863529411764695</v>
      </c>
      <c r="AI138" s="137">
        <f t="shared" si="62"/>
        <v>77.70999999999998</v>
      </c>
    </row>
    <row r="139" spans="1:35" x14ac:dyDescent="0.25">
      <c r="A139" s="11"/>
      <c r="B139" s="11"/>
      <c r="C139" s="204"/>
      <c r="D139" s="11"/>
      <c r="E139" s="11"/>
      <c r="F139" s="11"/>
      <c r="G139" s="11"/>
      <c r="H139" s="181" t="s">
        <v>760</v>
      </c>
      <c r="I139" s="118"/>
      <c r="J139" s="118"/>
      <c r="K139" s="11"/>
      <c r="L139" s="86" t="str">
        <f>IF(_epmOfflineCondition_,"",_xll.EVPRO($B$1,H139,"JDEID"))</f>
        <v/>
      </c>
      <c r="M139" s="86" t="str">
        <f>IF(_epmOfflineCondition_,"",IF(AND(I139="N",J139="N"),_xll.EVPRO($B$1,H139,"PSFTID"),""))</f>
        <v/>
      </c>
      <c r="N139" s="488" t="str">
        <f>IF(_epmOfflineCondition_,"Beer Cost %",IF(_xll.EVDES(H139,$B$1)="#NODATA","",_xll.EVDES(H139,$B$1)))</f>
        <v>Beer Cost %</v>
      </c>
      <c r="O139" s="503">
        <v>0.24014336917562701</v>
      </c>
      <c r="P139" s="503">
        <v>0.20714080459770101</v>
      </c>
      <c r="Q139" s="503">
        <v>0.210236886632826</v>
      </c>
      <c r="R139" s="503"/>
      <c r="S139" s="503"/>
      <c r="T139" s="503"/>
      <c r="U139" s="503"/>
      <c r="V139" s="503"/>
      <c r="W139" s="503"/>
      <c r="X139" s="503">
        <v>0.20977775483338101</v>
      </c>
      <c r="Y139" s="503">
        <v>0.21</v>
      </c>
      <c r="Z139" s="503"/>
      <c r="AA139" s="503">
        <v>0.123282663771263</v>
      </c>
      <c r="AB139" s="454"/>
      <c r="AC139" s="136"/>
      <c r="AD139" s="503">
        <v>0.210003107388858</v>
      </c>
      <c r="AE139" s="454"/>
      <c r="AF139" s="516">
        <f t="shared" si="61"/>
        <v>-8.6720443617594997E-2</v>
      </c>
      <c r="AG139" s="503">
        <v>0.61863529411764695</v>
      </c>
      <c r="AH139" s="454"/>
      <c r="AI139" s="516">
        <f t="shared" si="62"/>
        <v>-0.49535263034638394</v>
      </c>
    </row>
    <row r="140" spans="1:35" x14ac:dyDescent="0.25">
      <c r="A140" s="11"/>
      <c r="B140" s="11"/>
      <c r="C140" s="11"/>
      <c r="D140" s="11"/>
      <c r="E140" s="11"/>
      <c r="F140" s="11"/>
      <c r="G140" s="11"/>
      <c r="H140" s="181">
        <v>561500</v>
      </c>
      <c r="I140" s="118"/>
      <c r="J140" s="118"/>
      <c r="K140" s="11"/>
      <c r="L140" s="86" t="str">
        <f>IF(_epmOfflineCondition_,"561500",_xll.EVPRO($B$1,H140,"JDEID"))</f>
        <v>561500</v>
      </c>
      <c r="M140" s="86" t="str">
        <f>IF(_epmOfflineCondition_,"",IF(AND(I140="N",J140="N"),_xll.EVPRO($B$1,H140,"PSFTID"),""))</f>
        <v/>
      </c>
      <c r="N140" s="86" t="str">
        <f>IF(_epmOfflineCondition_,"Wine Cost of Sales",IF(_xll.EVDES(H140,$B$1)="#NODATA","",_xll.EVDES(H140,$B$1)))</f>
        <v>Wine Cost of Sales</v>
      </c>
      <c r="O140" s="134">
        <v>77.83</v>
      </c>
      <c r="P140" s="134">
        <v>216.4</v>
      </c>
      <c r="Q140" s="134">
        <v>38.6</v>
      </c>
      <c r="R140" s="134"/>
      <c r="S140" s="134"/>
      <c r="T140" s="134"/>
      <c r="U140" s="134"/>
      <c r="V140" s="134"/>
      <c r="W140" s="134"/>
      <c r="X140" s="134">
        <v>233.4</v>
      </c>
      <c r="Y140" s="134">
        <v>238</v>
      </c>
      <c r="Z140" s="134">
        <v>205.6</v>
      </c>
      <c r="AA140" s="134">
        <f>SUM(O140:Z140)</f>
        <v>1009.83</v>
      </c>
      <c r="AB140" s="454">
        <f>IF(_epmOfflineCondition_,0.200299905386991,IF(AA140=0,"",IFERROR(AA140/_xll.EVGTS($B$1,1,_xll.EVPRO($B$1,$H140,"COSBASIS"),$B$3,$B$5,$B$6,$B$7,$B$9,AA$16,AA$17,AA$11),"")))</f>
        <v>0.200299905386991</v>
      </c>
      <c r="AC140" s="136"/>
      <c r="AD140" s="134">
        <v>5916.41</v>
      </c>
      <c r="AE140" s="454">
        <f>IF(_epmOfflineCondition_,0.200000166858082,IF(AD140=0,"",IFERROR(AD140/_xll.EVGTS($B$1,1,_xll.EVPRO($B$1,$H140,"COSBASIS"),$B$3,$B$5,$B$6,$B$7,$B$9,AD$16,AD$17,AD$18),"")))</f>
        <v>0.200000166858082</v>
      </c>
      <c r="AF140" s="137">
        <f t="shared" si="61"/>
        <v>-4906.58</v>
      </c>
      <c r="AG140" s="134">
        <v>176</v>
      </c>
      <c r="AH140" s="454">
        <f>IF(_epmOfflineCondition_,0.651851851851852,IF(AG140=0,"",IFERROR(AG140/_xll.EVGTS($B$1,1,_xll.EVPRO($B$1,$H140,"COSBASIS"),$B$3,$B$5,$B$6,$B$7,$B$9,AG$16,AG$17,AG$18),"")))</f>
        <v>0.65185185185185202</v>
      </c>
      <c r="AI140" s="137">
        <f t="shared" si="62"/>
        <v>833.83</v>
      </c>
    </row>
    <row r="141" spans="1:35" x14ac:dyDescent="0.25">
      <c r="A141" s="11"/>
      <c r="B141" s="11"/>
      <c r="C141" s="204"/>
      <c r="D141" s="11"/>
      <c r="E141" s="11"/>
      <c r="F141" s="11"/>
      <c r="G141" s="11"/>
      <c r="H141" s="181" t="s">
        <v>761</v>
      </c>
      <c r="I141" s="118"/>
      <c r="J141" s="118"/>
      <c r="K141" s="11"/>
      <c r="L141" s="86" t="str">
        <f>IF(_epmOfflineCondition_,"",_xll.EVPRO($B$1,H141,"JDEID"))</f>
        <v/>
      </c>
      <c r="M141" s="86" t="str">
        <f>IF(_epmOfflineCondition_,"",IF(AND(I141="N",J141="N"),_xll.EVPRO($B$1,H141,"PSFTID"),""))</f>
        <v/>
      </c>
      <c r="N141" s="488" t="str">
        <f>IF(_epmOfflineCondition_,"Wine Cost %",IF(_xll.EVDES(H141,$B$1)="#NODATA","",_xll.EVDES(H141,$B$1)))</f>
        <v>Wine Cost %</v>
      </c>
      <c r="O141" s="503">
        <v>0.217050588432149</v>
      </c>
      <c r="P141" s="503">
        <v>0.19442946990116799</v>
      </c>
      <c r="Q141" s="503">
        <v>0.19956571192224201</v>
      </c>
      <c r="R141" s="503"/>
      <c r="S141" s="503"/>
      <c r="T141" s="503"/>
      <c r="U141" s="503"/>
      <c r="V141" s="503"/>
      <c r="W141" s="503"/>
      <c r="X141" s="503">
        <v>0.20007029033336499</v>
      </c>
      <c r="Y141" s="503">
        <v>0.2</v>
      </c>
      <c r="Z141" s="503">
        <v>0.20156862745098</v>
      </c>
      <c r="AA141" s="503">
        <v>0.200299905386991</v>
      </c>
      <c r="AB141" s="454"/>
      <c r="AC141" s="136"/>
      <c r="AD141" s="503">
        <v>0.200000166858082</v>
      </c>
      <c r="AE141" s="454"/>
      <c r="AF141" s="516">
        <f t="shared" si="61"/>
        <v>2.9973852890899377E-4</v>
      </c>
      <c r="AG141" s="503">
        <v>0.65185185185185202</v>
      </c>
      <c r="AH141" s="454"/>
      <c r="AI141" s="516">
        <f t="shared" si="62"/>
        <v>-0.45155194646486102</v>
      </c>
    </row>
    <row r="142" spans="1:35" x14ac:dyDescent="0.25">
      <c r="A142" s="11"/>
      <c r="B142" s="11"/>
      <c r="C142" s="204"/>
      <c r="D142" s="11"/>
      <c r="E142" s="11"/>
      <c r="F142" s="11"/>
      <c r="G142" s="11"/>
      <c r="H142" s="181" t="s">
        <v>286</v>
      </c>
      <c r="I142" s="118"/>
      <c r="J142" s="118"/>
      <c r="K142" s="11"/>
      <c r="L142" s="86" t="str">
        <f>IF(_epmOfflineCondition_,"",_xll.EVPRO($B$1,H142,"JDEID"))</f>
        <v/>
      </c>
      <c r="M142" s="86" t="str">
        <f>IF(_epmOfflineCondition_,"",IF(AND(I142="N",J142="N"),_xll.EVPRO($B$1,H142,"PSFTID"),""))</f>
        <v/>
      </c>
      <c r="N142" s="86" t="str">
        <f>IF(_epmOfflineCondition_,"Total Cost of Food &amp; Beverage Sales",IF(_xll.EVDES(H142,$B$1)="#NODATA","",_xll.EVDES(H142,$B$1)))</f>
        <v>Total Cost of Food &amp; Beverage Sales</v>
      </c>
      <c r="O142" s="134">
        <v>205.99</v>
      </c>
      <c r="P142" s="134">
        <v>9906.1299999999992</v>
      </c>
      <c r="Q142" s="134">
        <v>4126.6099999999997</v>
      </c>
      <c r="R142" s="134">
        <v>971.22</v>
      </c>
      <c r="S142" s="134">
        <v>971.64</v>
      </c>
      <c r="T142" s="134">
        <v>323.72000000000003</v>
      </c>
      <c r="U142" s="134">
        <v>467.95</v>
      </c>
      <c r="V142" s="134">
        <v>516.65</v>
      </c>
      <c r="W142" s="134">
        <v>296.36</v>
      </c>
      <c r="X142" s="134">
        <v>4150.66</v>
      </c>
      <c r="Y142" s="134">
        <v>2583.29</v>
      </c>
      <c r="Z142" s="134">
        <v>2319.08</v>
      </c>
      <c r="AA142" s="134">
        <f>SUM(O142:Z142)</f>
        <v>26839.300000000003</v>
      </c>
      <c r="AB142" s="454">
        <f>IF(_epmOfflineCondition_,0.206726950248907,IF(AA142=0,"",IFERROR(AA142/_xll.EVGTS($B$1,1,_xll.EVPRO($B$1,$H142,"COSBASIS"),$B$3,$B$5,$B$6,$B$7,$B$9,AA$16,AA$17,AA$11),"")))</f>
        <v>0.206726950248907</v>
      </c>
      <c r="AC142" s="136"/>
      <c r="AD142" s="134">
        <v>43276.44</v>
      </c>
      <c r="AE142" s="454">
        <f>IF(_epmOfflineCondition_,0.205201949000586,IF(AD142=0,"",IFERROR(AD142/_xll.EVGTS($B$1,1,_xll.EVPRO($B$1,$H142,"COSBASIS"),$B$3,$B$5,$B$6,$B$7,$B$9,AD$16,AD$17,AD$18),"")))</f>
        <v>0.205201949000586</v>
      </c>
      <c r="AF142" s="137">
        <f t="shared" si="61"/>
        <v>-16437.14</v>
      </c>
      <c r="AG142" s="134">
        <v>4398.3900000000003</v>
      </c>
      <c r="AH142" s="454">
        <f>IF(_epmOfflineCondition_,0.159244657829939,IF(AG142=0,"",IFERROR(AG142/_xll.EVGTS($B$1,1,_xll.EVPRO($B$1,$H142,"COSBASIS"),$B$3,$B$5,$B$6,$B$7,$B$9,AG$16,AG$17,AG$18),"")))</f>
        <v>0.15924465782993899</v>
      </c>
      <c r="AI142" s="137">
        <f t="shared" si="62"/>
        <v>22440.910000000003</v>
      </c>
    </row>
    <row r="143" spans="1:35" x14ac:dyDescent="0.25">
      <c r="A143" s="11"/>
      <c r="B143" s="11"/>
      <c r="C143" s="204"/>
      <c r="D143" s="11"/>
      <c r="E143" s="11"/>
      <c r="F143" s="11"/>
      <c r="G143" s="11"/>
      <c r="H143" s="181"/>
      <c r="I143" s="118"/>
      <c r="J143" s="118"/>
      <c r="K143" s="11"/>
      <c r="L143" s="86"/>
      <c r="M143" s="86"/>
      <c r="N143" s="488" t="s">
        <v>763</v>
      </c>
      <c r="O143" s="503">
        <f t="shared" ref="O143:AA143" si="63">IFERROR(O142/O85,"")</f>
        <v>7.8468793807521184E-3</v>
      </c>
      <c r="P143" s="503">
        <f t="shared" si="63"/>
        <v>0.4425748169923982</v>
      </c>
      <c r="Q143" s="503">
        <f t="shared" si="63"/>
        <v>0.20822955352817699</v>
      </c>
      <c r="R143" s="503">
        <f t="shared" si="63"/>
        <v>0.20899935442220788</v>
      </c>
      <c r="S143" s="503">
        <f t="shared" si="63"/>
        <v>0.20882011605415859</v>
      </c>
      <c r="T143" s="503">
        <f t="shared" si="63"/>
        <v>0.20898644286636542</v>
      </c>
      <c r="U143" s="503">
        <f t="shared" si="63"/>
        <v>0.2089995533720411</v>
      </c>
      <c r="V143" s="503">
        <f t="shared" si="63"/>
        <v>0.20900080906148866</v>
      </c>
      <c r="W143" s="503">
        <f t="shared" si="63"/>
        <v>0.20899858956276446</v>
      </c>
      <c r="X143" s="503">
        <f t="shared" si="63"/>
        <v>0.20827278493207874</v>
      </c>
      <c r="Y143" s="503">
        <f t="shared" si="63"/>
        <v>0.20812842410570415</v>
      </c>
      <c r="Z143" s="503">
        <f t="shared" si="63"/>
        <v>0.19231113691019155</v>
      </c>
      <c r="AA143" s="503">
        <f t="shared" si="63"/>
        <v>0.20672695024890686</v>
      </c>
      <c r="AB143" s="454"/>
      <c r="AC143" s="136"/>
      <c r="AD143" s="503">
        <f>IFERROR(AD142/AD85,"")</f>
        <v>0.20520194900058603</v>
      </c>
      <c r="AE143" s="454"/>
      <c r="AF143" s="516">
        <f t="shared" si="61"/>
        <v>1.5250012483208342E-3</v>
      </c>
      <c r="AG143" s="503">
        <f>IFERROR(AG142/AG85,"")</f>
        <v>0.15924465782993905</v>
      </c>
      <c r="AH143" s="454"/>
      <c r="AI143" s="516">
        <f t="shared" si="62"/>
        <v>4.7482292418967814E-2</v>
      </c>
    </row>
    <row r="144" spans="1:35" x14ac:dyDescent="0.25">
      <c r="A144" s="11"/>
      <c r="B144" s="11"/>
      <c r="C144" s="204"/>
      <c r="D144" s="11"/>
      <c r="E144" s="11"/>
      <c r="F144" s="11"/>
      <c r="G144" s="11"/>
      <c r="H144" s="11"/>
      <c r="I144" s="55"/>
      <c r="J144" s="55"/>
      <c r="K144" s="11"/>
      <c r="L144" s="11"/>
      <c r="M144" s="11"/>
      <c r="N144" s="11"/>
      <c r="O144" s="136"/>
      <c r="P144" s="136"/>
      <c r="Q144" s="136"/>
      <c r="R144" s="136"/>
      <c r="S144" s="136"/>
      <c r="T144" s="136"/>
      <c r="U144" s="136"/>
      <c r="V144" s="136"/>
      <c r="W144" s="136"/>
      <c r="X144" s="136"/>
      <c r="Y144" s="136"/>
      <c r="Z144" s="136"/>
      <c r="AA144" s="136"/>
      <c r="AB144" s="136"/>
      <c r="AC144" s="136"/>
      <c r="AD144" s="136"/>
      <c r="AE144" s="136"/>
      <c r="AF144" s="136"/>
      <c r="AG144" s="136"/>
      <c r="AH144" s="136"/>
      <c r="AI144" s="136"/>
    </row>
    <row r="145" spans="1:35" x14ac:dyDescent="0.25">
      <c r="A145" s="11"/>
      <c r="B145" s="11"/>
      <c r="C145" s="204"/>
      <c r="D145" s="11"/>
      <c r="E145" s="11"/>
      <c r="F145" s="11"/>
      <c r="G145" s="11"/>
      <c r="H145" s="181"/>
      <c r="I145" s="118"/>
      <c r="J145" s="118"/>
      <c r="K145" s="11"/>
      <c r="L145" s="11"/>
      <c r="M145" s="11"/>
      <c r="N145" s="100" t="str">
        <f>N85&amp;" - Check"</f>
        <v>Total Food &amp; Beverage Revenue - Check</v>
      </c>
      <c r="O145" s="506">
        <f t="shared" ref="O145:AA145" si="64">O39+O49+O59+O69+O79+O83-O85</f>
        <v>0</v>
      </c>
      <c r="P145" s="506">
        <f t="shared" si="64"/>
        <v>0</v>
      </c>
      <c r="Q145" s="506">
        <f t="shared" si="64"/>
        <v>0</v>
      </c>
      <c r="R145" s="506">
        <f t="shared" si="64"/>
        <v>0</v>
      </c>
      <c r="S145" s="506">
        <f t="shared" si="64"/>
        <v>0</v>
      </c>
      <c r="T145" s="506">
        <f t="shared" si="64"/>
        <v>0</v>
      </c>
      <c r="U145" s="506">
        <f t="shared" si="64"/>
        <v>0</v>
      </c>
      <c r="V145" s="506">
        <f t="shared" si="64"/>
        <v>0</v>
      </c>
      <c r="W145" s="506">
        <f t="shared" si="64"/>
        <v>0</v>
      </c>
      <c r="X145" s="506">
        <f t="shared" si="64"/>
        <v>0</v>
      </c>
      <c r="Y145" s="506">
        <f t="shared" si="64"/>
        <v>0</v>
      </c>
      <c r="Z145" s="506">
        <f t="shared" si="64"/>
        <v>-8273</v>
      </c>
      <c r="AA145" s="506">
        <f t="shared" si="64"/>
        <v>-8273</v>
      </c>
      <c r="AB145" s="138"/>
      <c r="AC145" s="136"/>
      <c r="AD145" s="506">
        <f>AD39+AD49+AD59+AD69+AD79+AD83-AD85</f>
        <v>0</v>
      </c>
      <c r="AE145" s="138"/>
      <c r="AF145" s="134"/>
      <c r="AG145" s="506">
        <f>AG39+AG49+AG59+AG69+AG79+AG83-AG85</f>
        <v>0</v>
      </c>
      <c r="AH145" s="138"/>
      <c r="AI145" s="134"/>
    </row>
    <row r="146" spans="1:35" x14ac:dyDescent="0.25">
      <c r="A146" s="11"/>
      <c r="B146" s="11"/>
      <c r="C146" s="204"/>
      <c r="D146" s="11"/>
      <c r="E146" s="11"/>
      <c r="F146" s="11"/>
      <c r="G146" s="11"/>
      <c r="H146" s="181"/>
      <c r="I146" s="118"/>
      <c r="J146" s="118"/>
      <c r="K146" s="11"/>
      <c r="L146" s="11"/>
      <c r="M146" s="11"/>
      <c r="N146" s="100" t="str">
        <f>N87&amp;" - Check"</f>
        <v>Total Customers - Check</v>
      </c>
      <c r="O146" s="506">
        <f t="shared" ref="O146:AA146" si="65">O41+O51+O61+O71+O80-O87</f>
        <v>0</v>
      </c>
      <c r="P146" s="506">
        <f t="shared" si="65"/>
        <v>0</v>
      </c>
      <c r="Q146" s="506">
        <f t="shared" si="65"/>
        <v>0</v>
      </c>
      <c r="R146" s="506">
        <f t="shared" si="65"/>
        <v>0</v>
      </c>
      <c r="S146" s="506">
        <f t="shared" si="65"/>
        <v>0</v>
      </c>
      <c r="T146" s="506">
        <f t="shared" si="65"/>
        <v>0</v>
      </c>
      <c r="U146" s="506">
        <f t="shared" si="65"/>
        <v>0</v>
      </c>
      <c r="V146" s="506">
        <f t="shared" si="65"/>
        <v>0</v>
      </c>
      <c r="W146" s="506">
        <f t="shared" si="65"/>
        <v>0</v>
      </c>
      <c r="X146" s="506">
        <f t="shared" si="65"/>
        <v>0</v>
      </c>
      <c r="Y146" s="506">
        <f t="shared" si="65"/>
        <v>0</v>
      </c>
      <c r="Z146" s="506">
        <f t="shared" si="65"/>
        <v>-146</v>
      </c>
      <c r="AA146" s="506">
        <f t="shared" si="65"/>
        <v>-146</v>
      </c>
      <c r="AB146" s="138"/>
      <c r="AC146" s="136"/>
      <c r="AD146" s="506">
        <f>AD41+AD51+AD61+AD71+AD80-AD87</f>
        <v>0</v>
      </c>
      <c r="AE146" s="138"/>
      <c r="AF146" s="134"/>
      <c r="AG146" s="506">
        <f>AG41+AG51+AG61+AG71+AG80-AG87</f>
        <v>0</v>
      </c>
      <c r="AH146" s="138"/>
      <c r="AI146" s="134"/>
    </row>
    <row r="147" spans="1:35" x14ac:dyDescent="0.25">
      <c r="A147" s="11"/>
      <c r="B147" s="11"/>
      <c r="C147" s="204"/>
      <c r="D147" s="11"/>
      <c r="E147" s="11"/>
      <c r="F147" s="11"/>
      <c r="G147" s="11"/>
      <c r="H147" s="181"/>
      <c r="I147" s="118"/>
      <c r="J147" s="118"/>
      <c r="K147" s="11"/>
      <c r="L147" s="11"/>
      <c r="M147" s="11"/>
      <c r="N147" s="100" t="str">
        <f>N88&amp;" - Check"</f>
        <v>Total Average Check - Check</v>
      </c>
      <c r="O147" s="505">
        <f t="shared" ref="O147:AA147" si="66">IFERROR(O$85/O87,"")-O88</f>
        <v>0</v>
      </c>
      <c r="P147" s="505">
        <f t="shared" si="66"/>
        <v>0</v>
      </c>
      <c r="Q147" s="505">
        <f t="shared" si="66"/>
        <v>0</v>
      </c>
      <c r="R147" s="505">
        <f t="shared" si="66"/>
        <v>0</v>
      </c>
      <c r="S147" s="505">
        <f t="shared" si="66"/>
        <v>0</v>
      </c>
      <c r="T147" s="505">
        <f t="shared" si="66"/>
        <v>0</v>
      </c>
      <c r="U147" s="505">
        <f t="shared" si="66"/>
        <v>0</v>
      </c>
      <c r="V147" s="505">
        <f t="shared" si="66"/>
        <v>0</v>
      </c>
      <c r="W147" s="505">
        <f t="shared" si="66"/>
        <v>0</v>
      </c>
      <c r="X147" s="505">
        <f t="shared" si="66"/>
        <v>0</v>
      </c>
      <c r="Y147" s="505">
        <f t="shared" si="66"/>
        <v>0</v>
      </c>
      <c r="Z147" s="505">
        <f t="shared" si="66"/>
        <v>0</v>
      </c>
      <c r="AA147" s="505">
        <f t="shared" si="66"/>
        <v>0</v>
      </c>
      <c r="AB147" s="138"/>
      <c r="AC147" s="136"/>
      <c r="AD147" s="505">
        <f>IFERROR(AD$85/AD87,"")-AD88</f>
        <v>0</v>
      </c>
      <c r="AE147" s="138"/>
      <c r="AF147" s="134"/>
      <c r="AG147" s="505">
        <f>IFERROR(AG$85/AG87,"")-AG88</f>
        <v>0</v>
      </c>
      <c r="AH147" s="138"/>
      <c r="AI147" s="134"/>
    </row>
    <row r="148" spans="1:35" x14ac:dyDescent="0.25">
      <c r="A148" s="11"/>
      <c r="B148" s="11"/>
      <c r="C148" s="204"/>
      <c r="D148" s="11"/>
      <c r="E148" s="11"/>
      <c r="F148" s="11"/>
      <c r="G148" s="11"/>
      <c r="H148" s="181"/>
      <c r="I148" s="118"/>
      <c r="J148" s="118"/>
      <c r="K148" s="11"/>
      <c r="L148" s="11"/>
      <c r="M148" s="11"/>
      <c r="N148" s="100" t="s">
        <v>769</v>
      </c>
      <c r="O148" s="506">
        <f t="shared" ref="O148:AA148" si="67">(O132+O134)-O142</f>
        <v>-2.2737367544323206E-13</v>
      </c>
      <c r="P148" s="506">
        <f t="shared" si="67"/>
        <v>0</v>
      </c>
      <c r="Q148" s="506">
        <f t="shared" si="67"/>
        <v>0</v>
      </c>
      <c r="R148" s="506">
        <f t="shared" si="67"/>
        <v>0</v>
      </c>
      <c r="S148" s="506">
        <f t="shared" si="67"/>
        <v>0</v>
      </c>
      <c r="T148" s="506">
        <f t="shared" si="67"/>
        <v>0</v>
      </c>
      <c r="U148" s="506">
        <f t="shared" si="67"/>
        <v>0</v>
      </c>
      <c r="V148" s="506">
        <f t="shared" si="67"/>
        <v>0</v>
      </c>
      <c r="W148" s="506">
        <f t="shared" si="67"/>
        <v>0</v>
      </c>
      <c r="X148" s="506">
        <f t="shared" si="67"/>
        <v>0</v>
      </c>
      <c r="Y148" s="506">
        <f t="shared" si="67"/>
        <v>0</v>
      </c>
      <c r="Z148" s="506">
        <f t="shared" si="67"/>
        <v>0</v>
      </c>
      <c r="AA148" s="506">
        <f t="shared" si="67"/>
        <v>0</v>
      </c>
      <c r="AB148" s="138"/>
      <c r="AC148" s="136"/>
      <c r="AD148" s="506">
        <f>(AD132+AD134)-AD142</f>
        <v>0</v>
      </c>
      <c r="AE148" s="138"/>
      <c r="AF148" s="134"/>
      <c r="AG148" s="506">
        <f>(AG132+AG134)-AG142</f>
        <v>0</v>
      </c>
      <c r="AH148" s="138"/>
      <c r="AI148" s="134"/>
    </row>
    <row r="149" spans="1:35" x14ac:dyDescent="0.25">
      <c r="A149" s="11"/>
      <c r="B149" s="11"/>
      <c r="C149" s="204"/>
      <c r="D149" s="11"/>
      <c r="E149" s="11"/>
      <c r="F149" s="11"/>
      <c r="G149" s="11"/>
      <c r="H149" s="11"/>
      <c r="I149" s="55"/>
      <c r="J149" s="55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</row>
    <row r="150" spans="1:35" x14ac:dyDescent="0.25">
      <c r="A150" s="11"/>
      <c r="B150" s="11"/>
      <c r="C150" s="204"/>
      <c r="D150" s="11"/>
      <c r="E150" s="11"/>
      <c r="F150" s="11"/>
      <c r="G150" s="11"/>
      <c r="H150" s="11"/>
      <c r="I150" s="55"/>
      <c r="J150" s="55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</row>
    <row r="151" spans="1:35" x14ac:dyDescent="0.25">
      <c r="A151" s="11"/>
      <c r="B151" s="11"/>
      <c r="C151" s="204"/>
      <c r="D151" s="11"/>
      <c r="E151" s="11"/>
      <c r="F151" s="11"/>
      <c r="G151" s="11"/>
      <c r="H151" s="11"/>
      <c r="I151" s="55"/>
      <c r="J151" s="55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</row>
    <row r="152" spans="1:35" x14ac:dyDescent="0.25">
      <c r="A152" s="11"/>
      <c r="B152" s="11"/>
      <c r="C152" s="204"/>
      <c r="D152" s="11"/>
      <c r="E152" s="11"/>
      <c r="F152" s="11"/>
      <c r="G152" s="11"/>
      <c r="H152" s="11"/>
      <c r="I152" s="55"/>
      <c r="J152" s="55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</row>
    <row r="153" spans="1:35" x14ac:dyDescent="0.25">
      <c r="A153" s="11"/>
      <c r="B153" s="11"/>
      <c r="C153" s="204"/>
      <c r="D153" s="11"/>
      <c r="E153" s="11"/>
      <c r="F153" s="11"/>
      <c r="G153" s="11"/>
      <c r="H153" s="11"/>
      <c r="I153" s="55"/>
      <c r="J153" s="55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</row>
    <row r="154" spans="1:35" x14ac:dyDescent="0.25">
      <c r="A154" s="11"/>
      <c r="B154" s="11"/>
      <c r="C154" s="204"/>
      <c r="D154" s="11"/>
      <c r="E154" s="11"/>
      <c r="F154" s="11"/>
      <c r="G154" s="11"/>
      <c r="H154" s="11"/>
      <c r="I154" s="55"/>
      <c r="J154" s="55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</row>
    <row r="155" spans="1:35" x14ac:dyDescent="0.25">
      <c r="A155" s="11"/>
      <c r="B155" s="11"/>
      <c r="C155" s="204"/>
      <c r="D155" s="11"/>
      <c r="E155" s="11"/>
      <c r="F155" s="11"/>
      <c r="G155" s="11"/>
      <c r="H155" s="11"/>
      <c r="I155" s="55"/>
      <c r="J155" s="55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</row>
    <row r="156" spans="1:35" x14ac:dyDescent="0.25">
      <c r="A156" s="11"/>
      <c r="B156" s="11"/>
      <c r="C156" s="11"/>
      <c r="D156" s="11"/>
      <c r="E156" s="11"/>
      <c r="F156" s="11"/>
      <c r="G156" s="11"/>
      <c r="H156" s="11"/>
      <c r="I156" s="55"/>
      <c r="J156" s="55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</row>
    <row r="157" spans="1:35" x14ac:dyDescent="0.25">
      <c r="A157" s="11"/>
      <c r="B157" s="11"/>
      <c r="C157" s="11"/>
      <c r="D157" s="11"/>
      <c r="E157" s="11"/>
      <c r="F157" s="11"/>
      <c r="G157" s="11"/>
      <c r="H157" s="11"/>
      <c r="I157" s="55"/>
      <c r="J157" s="55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</row>
    <row r="158" spans="1:35" x14ac:dyDescent="0.25">
      <c r="A158" s="11"/>
      <c r="B158" s="11"/>
      <c r="C158" s="11"/>
      <c r="D158" s="11"/>
      <c r="E158" s="11"/>
      <c r="F158" s="11"/>
      <c r="G158" s="11"/>
      <c r="H158" s="11"/>
      <c r="I158" s="55"/>
      <c r="J158" s="55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</row>
    <row r="159" spans="1:35" x14ac:dyDescent="0.25">
      <c r="A159" s="11"/>
      <c r="B159" s="11"/>
      <c r="C159" s="11"/>
      <c r="D159" s="11"/>
      <c r="E159" s="11"/>
      <c r="F159" s="11"/>
      <c r="G159" s="11"/>
      <c r="H159" s="11"/>
      <c r="I159" s="55"/>
      <c r="J159" s="55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</row>
    <row r="160" spans="1:35" x14ac:dyDescent="0.25">
      <c r="A160" s="11"/>
      <c r="B160" s="11"/>
      <c r="C160" s="11"/>
      <c r="D160" s="11"/>
      <c r="E160" s="11"/>
      <c r="F160" s="11"/>
      <c r="G160" s="11"/>
      <c r="H160" s="11"/>
      <c r="I160" s="55"/>
      <c r="J160" s="55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</row>
    <row r="161" spans="1:35" x14ac:dyDescent="0.25">
      <c r="A161" s="11"/>
      <c r="B161" s="11"/>
      <c r="C161" s="11"/>
      <c r="D161" s="11"/>
      <c r="E161" s="11"/>
      <c r="F161" s="11"/>
      <c r="G161" s="11"/>
      <c r="H161" s="11"/>
      <c r="I161" s="55"/>
      <c r="J161" s="55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</row>
    <row r="162" spans="1:35" x14ac:dyDescent="0.25">
      <c r="A162" s="11"/>
      <c r="B162" s="11"/>
      <c r="C162" s="11"/>
      <c r="D162" s="11"/>
      <c r="E162" s="11"/>
      <c r="F162" s="11"/>
      <c r="G162" s="11"/>
      <c r="H162" s="11"/>
      <c r="I162" s="55"/>
      <c r="J162" s="55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</row>
    <row r="163" spans="1:35" x14ac:dyDescent="0.25">
      <c r="A163" s="11"/>
      <c r="B163" s="11"/>
      <c r="C163" s="11"/>
      <c r="D163" s="11"/>
      <c r="E163" s="11"/>
      <c r="F163" s="11"/>
      <c r="G163" s="11"/>
      <c r="H163" s="11"/>
      <c r="I163" s="55"/>
      <c r="J163" s="55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</row>
    <row r="164" spans="1:35" x14ac:dyDescent="0.25">
      <c r="A164" s="11"/>
      <c r="B164" s="11"/>
      <c r="C164" s="11"/>
      <c r="D164" s="11"/>
      <c r="E164" s="11"/>
      <c r="F164" s="11"/>
      <c r="G164" s="11"/>
      <c r="H164" s="11"/>
      <c r="I164" s="55"/>
      <c r="J164" s="55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</row>
    <row r="165" spans="1:35" x14ac:dyDescent="0.25">
      <c r="A165" s="11"/>
      <c r="B165" s="11"/>
      <c r="C165" s="11"/>
      <c r="D165" s="11"/>
      <c r="E165" s="11"/>
      <c r="F165" s="11"/>
      <c r="G165" s="11"/>
      <c r="H165" s="11"/>
      <c r="I165" s="55"/>
      <c r="J165" s="55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</row>
    <row r="166" spans="1:35" x14ac:dyDescent="0.25">
      <c r="A166" s="11"/>
      <c r="B166" s="11"/>
      <c r="C166" s="11"/>
      <c r="D166" s="11"/>
      <c r="E166" s="11"/>
      <c r="F166" s="11"/>
      <c r="G166" s="11"/>
      <c r="H166" s="11"/>
      <c r="I166" s="55"/>
      <c r="J166" s="55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</row>
    <row r="167" spans="1:35" x14ac:dyDescent="0.25">
      <c r="A167" s="11"/>
      <c r="B167" s="11"/>
      <c r="C167" s="11"/>
      <c r="D167" s="11"/>
      <c r="E167" s="11"/>
      <c r="F167" s="11"/>
      <c r="G167" s="11"/>
      <c r="H167" s="11"/>
      <c r="I167" s="55"/>
      <c r="J167" s="55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</row>
    <row r="168" spans="1:35" x14ac:dyDescent="0.25">
      <c r="A168" s="11"/>
      <c r="B168" s="11"/>
      <c r="C168" s="11"/>
      <c r="D168" s="11"/>
      <c r="E168" s="11"/>
      <c r="F168" s="11"/>
      <c r="G168" s="11"/>
      <c r="H168" s="11"/>
      <c r="I168" s="55"/>
      <c r="J168" s="55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</row>
    <row r="169" spans="1:35" x14ac:dyDescent="0.25">
      <c r="A169" s="11"/>
      <c r="B169" s="11"/>
      <c r="C169" s="11"/>
      <c r="D169" s="11"/>
      <c r="E169" s="11"/>
      <c r="F169" s="11"/>
      <c r="G169" s="11"/>
      <c r="H169" s="11"/>
      <c r="I169" s="55"/>
      <c r="J169" s="55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</row>
    <row r="170" spans="1:35" x14ac:dyDescent="0.25">
      <c r="A170" s="11"/>
      <c r="B170" s="11"/>
      <c r="C170" s="11"/>
      <c r="D170" s="11"/>
      <c r="E170" s="11"/>
      <c r="F170" s="11"/>
      <c r="G170" s="11"/>
      <c r="H170" s="11"/>
      <c r="I170" s="55"/>
      <c r="J170" s="55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</row>
    <row r="171" spans="1:35" x14ac:dyDescent="0.25">
      <c r="A171" s="11"/>
      <c r="B171" s="11"/>
      <c r="C171" s="11"/>
      <c r="D171" s="11"/>
      <c r="E171" s="11"/>
      <c r="F171" s="11"/>
      <c r="G171" s="11"/>
      <c r="H171" s="11"/>
      <c r="I171" s="263"/>
      <c r="J171" s="11"/>
      <c r="K171" s="263"/>
      <c r="L171" s="263"/>
      <c r="M171" s="263"/>
      <c r="N171" s="11"/>
      <c r="O171" s="263"/>
      <c r="P171" s="263"/>
      <c r="Q171" s="263"/>
      <c r="R171" s="263"/>
      <c r="S171" s="263"/>
      <c r="T171" s="263"/>
      <c r="U171" s="263"/>
      <c r="V171" s="263"/>
      <c r="W171" s="263"/>
      <c r="X171" s="263"/>
      <c r="Y171" s="263"/>
      <c r="Z171" s="263"/>
      <c r="AA171" s="263"/>
      <c r="AB171" s="11"/>
      <c r="AC171" s="11"/>
      <c r="AD171" s="263"/>
      <c r="AE171" s="11"/>
      <c r="AF171" s="263"/>
      <c r="AG171" s="11"/>
      <c r="AH171" s="263"/>
      <c r="AI171" s="11"/>
    </row>
    <row r="172" spans="1:35" x14ac:dyDescent="0.25">
      <c r="A172" s="11"/>
      <c r="B172" s="11"/>
      <c r="C172" s="11"/>
      <c r="D172" s="11"/>
      <c r="E172" s="11"/>
      <c r="F172" s="11"/>
      <c r="G172" s="11"/>
      <c r="H172" s="11"/>
      <c r="I172" s="55"/>
      <c r="J172" s="55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</row>
    <row r="173" spans="1:35" x14ac:dyDescent="0.25">
      <c r="A173" s="11"/>
      <c r="B173" s="11"/>
      <c r="C173" s="11"/>
      <c r="D173" s="11"/>
      <c r="E173" s="11"/>
      <c r="F173" s="11"/>
      <c r="G173" s="11"/>
      <c r="H173" s="11"/>
      <c r="I173" s="55"/>
      <c r="J173" s="55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</row>
    <row r="174" spans="1:35" x14ac:dyDescent="0.25">
      <c r="A174" s="11"/>
      <c r="B174" s="11"/>
      <c r="C174" s="11"/>
      <c r="D174" s="11"/>
      <c r="E174" s="11"/>
      <c r="F174" s="11"/>
      <c r="G174" s="11"/>
      <c r="H174" s="11"/>
      <c r="I174" s="55"/>
      <c r="J174" s="55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</row>
    <row r="175" spans="1:35" x14ac:dyDescent="0.25">
      <c r="A175" s="11"/>
      <c r="B175" s="11"/>
      <c r="C175" s="11"/>
      <c r="D175" s="11"/>
      <c r="E175" s="11"/>
      <c r="F175" s="11"/>
      <c r="G175" s="11"/>
      <c r="H175" s="11"/>
      <c r="I175" s="263"/>
      <c r="J175" s="11"/>
      <c r="K175" s="263"/>
      <c r="L175" s="263"/>
      <c r="M175" s="263"/>
      <c r="N175" s="11"/>
      <c r="O175" s="263"/>
      <c r="P175" s="263"/>
      <c r="Q175" s="263"/>
      <c r="R175" s="263"/>
      <c r="S175" s="263"/>
      <c r="T175" s="263"/>
      <c r="U175" s="263"/>
      <c r="V175" s="263"/>
      <c r="W175" s="263"/>
      <c r="X175" s="263"/>
      <c r="Y175" s="263"/>
      <c r="Z175" s="263"/>
      <c r="AA175" s="263"/>
      <c r="AB175" s="11"/>
      <c r="AC175" s="11"/>
      <c r="AD175" s="263"/>
      <c r="AE175" s="11"/>
      <c r="AF175" s="263"/>
      <c r="AG175" s="11"/>
      <c r="AH175" s="263"/>
      <c r="AI175" s="11"/>
    </row>
    <row r="176" spans="1:35" x14ac:dyDescent="0.25">
      <c r="A176" s="11"/>
      <c r="B176" s="11"/>
      <c r="C176" s="11"/>
      <c r="D176" s="11"/>
      <c r="E176" s="11"/>
      <c r="F176" s="11"/>
      <c r="G176" s="11"/>
      <c r="H176" s="11"/>
      <c r="I176" s="55"/>
      <c r="J176" s="55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</row>
    <row r="177" spans="1:35" x14ac:dyDescent="0.25">
      <c r="A177" s="11"/>
      <c r="B177" s="11"/>
      <c r="C177" s="11"/>
      <c r="D177" s="11"/>
      <c r="E177" s="11"/>
      <c r="F177" s="11"/>
      <c r="G177" s="11"/>
      <c r="H177" s="11"/>
      <c r="I177" s="55"/>
      <c r="J177" s="55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</row>
    <row r="178" spans="1:35" x14ac:dyDescent="0.25">
      <c r="A178" s="11"/>
      <c r="B178" s="11"/>
      <c r="C178" s="11"/>
      <c r="D178" s="11"/>
      <c r="E178" s="11"/>
      <c r="F178" s="11"/>
      <c r="G178" s="11"/>
      <c r="H178" s="11"/>
      <c r="I178" s="55"/>
      <c r="J178" s="55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</row>
    <row r="179" spans="1:35" x14ac:dyDescent="0.25">
      <c r="A179" s="11"/>
      <c r="B179" s="11"/>
      <c r="C179" s="11"/>
      <c r="D179" s="11"/>
      <c r="E179" s="11"/>
      <c r="F179" s="11"/>
      <c r="G179" s="11"/>
      <c r="H179" s="11"/>
      <c r="I179" s="55"/>
      <c r="J179" s="55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</row>
    <row r="180" spans="1:35" x14ac:dyDescent="0.25">
      <c r="A180" s="11"/>
      <c r="B180" s="11"/>
      <c r="C180" s="11"/>
      <c r="D180" s="11"/>
      <c r="E180" s="11"/>
      <c r="F180" s="11"/>
      <c r="G180" s="11"/>
      <c r="H180" s="11"/>
      <c r="I180" s="55"/>
      <c r="J180" s="55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</row>
    <row r="181" spans="1:35" x14ac:dyDescent="0.25">
      <c r="A181" s="11"/>
      <c r="B181" s="11"/>
      <c r="C181" s="11"/>
      <c r="D181" s="11"/>
      <c r="E181" s="11"/>
      <c r="F181" s="11"/>
      <c r="G181" s="11"/>
      <c r="H181" s="11"/>
      <c r="I181" s="55"/>
      <c r="J181" s="55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</row>
    <row r="182" spans="1:35" x14ac:dyDescent="0.25">
      <c r="A182" s="11"/>
      <c r="B182" s="11"/>
      <c r="C182" s="11"/>
      <c r="D182" s="11"/>
      <c r="E182" s="11"/>
      <c r="F182" s="11"/>
      <c r="G182" s="11"/>
      <c r="H182" s="11"/>
      <c r="I182" s="55"/>
      <c r="J182" s="55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</row>
    <row r="183" spans="1:35" x14ac:dyDescent="0.25">
      <c r="A183" s="11"/>
      <c r="B183" s="11"/>
      <c r="C183" s="11"/>
      <c r="D183" s="11"/>
      <c r="E183" s="11"/>
      <c r="F183" s="11"/>
      <c r="G183" s="11"/>
      <c r="H183" s="11"/>
      <c r="I183" s="55"/>
      <c r="J183" s="55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</row>
    <row r="184" spans="1:35" x14ac:dyDescent="0.25">
      <c r="A184" s="11"/>
      <c r="B184" s="11"/>
      <c r="C184" s="11"/>
      <c r="D184" s="11"/>
      <c r="E184" s="11"/>
      <c r="F184" s="11"/>
      <c r="G184" s="11"/>
      <c r="H184" s="11"/>
      <c r="I184" s="55"/>
      <c r="J184" s="55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</row>
    <row r="185" spans="1:35" x14ac:dyDescent="0.25">
      <c r="A185" s="11"/>
      <c r="B185" s="11"/>
      <c r="C185" s="11"/>
      <c r="D185" s="11"/>
      <c r="E185" s="11"/>
      <c r="F185" s="11"/>
      <c r="G185" s="11"/>
      <c r="H185" s="11"/>
      <c r="I185" s="55"/>
      <c r="J185" s="55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</row>
    <row r="186" spans="1:35" x14ac:dyDescent="0.25">
      <c r="A186" s="11"/>
      <c r="B186" s="11"/>
      <c r="C186" s="11"/>
      <c r="D186" s="11"/>
      <c r="E186" s="11"/>
      <c r="F186" s="11"/>
      <c r="G186" s="11"/>
      <c r="H186" s="11"/>
      <c r="I186" s="55"/>
      <c r="J186" s="55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</row>
    <row r="187" spans="1:35" x14ac:dyDescent="0.25">
      <c r="A187" s="11"/>
      <c r="B187" s="11"/>
      <c r="C187" s="11"/>
      <c r="D187" s="11"/>
      <c r="E187" s="11"/>
      <c r="F187" s="11"/>
      <c r="G187" s="11"/>
      <c r="H187" s="11"/>
      <c r="I187" s="55"/>
      <c r="J187" s="55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</row>
    <row r="188" spans="1:35" x14ac:dyDescent="0.25">
      <c r="A188" s="11"/>
      <c r="B188" s="11"/>
      <c r="C188" s="11"/>
      <c r="D188" s="11"/>
      <c r="E188" s="11"/>
      <c r="F188" s="11"/>
      <c r="G188" s="11"/>
      <c r="H188" s="11"/>
      <c r="I188" s="55"/>
      <c r="J188" s="55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</row>
    <row r="189" spans="1:35" x14ac:dyDescent="0.25">
      <c r="A189" s="11"/>
      <c r="B189" s="11"/>
      <c r="C189" s="11"/>
      <c r="D189" s="11"/>
      <c r="E189" s="11"/>
      <c r="F189" s="11"/>
      <c r="G189" s="11"/>
      <c r="H189" s="11"/>
      <c r="I189" s="55"/>
      <c r="J189" s="55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</row>
    <row r="190" spans="1:35" x14ac:dyDescent="0.25">
      <c r="A190" s="11"/>
      <c r="B190" s="11"/>
      <c r="C190" s="11"/>
      <c r="D190" s="11"/>
      <c r="E190" s="11"/>
      <c r="F190" s="11"/>
      <c r="G190" s="11"/>
      <c r="H190" s="11"/>
      <c r="I190" s="55"/>
      <c r="J190" s="55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</row>
    <row r="191" spans="1:35" x14ac:dyDescent="0.25">
      <c r="A191" s="11"/>
      <c r="B191" s="11"/>
      <c r="C191" s="11"/>
      <c r="D191" s="11"/>
      <c r="E191" s="11"/>
      <c r="F191" s="11"/>
      <c r="G191" s="11"/>
      <c r="H191" s="11"/>
      <c r="I191" s="55"/>
      <c r="J191" s="55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</row>
    <row r="192" spans="1:35" x14ac:dyDescent="0.25">
      <c r="A192" s="11"/>
      <c r="B192" s="11"/>
      <c r="C192" s="11"/>
      <c r="D192" s="11"/>
      <c r="E192" s="11"/>
      <c r="F192" s="11"/>
      <c r="G192" s="11"/>
      <c r="H192" s="11"/>
      <c r="I192" s="55"/>
      <c r="J192" s="55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</row>
    <row r="193" spans="1:35" x14ac:dyDescent="0.25">
      <c r="A193" s="11"/>
      <c r="B193" s="11"/>
      <c r="C193" s="11"/>
      <c r="D193" s="11"/>
      <c r="E193" s="11"/>
      <c r="F193" s="11"/>
      <c r="G193" s="11"/>
      <c r="H193" s="11"/>
      <c r="I193" s="55"/>
      <c r="J193" s="55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</row>
    <row r="194" spans="1:35" x14ac:dyDescent="0.25">
      <c r="A194" s="11"/>
      <c r="B194" s="11"/>
      <c r="C194" s="11"/>
      <c r="D194" s="11"/>
      <c r="E194" s="11"/>
      <c r="F194" s="11"/>
      <c r="G194" s="11"/>
      <c r="H194" s="11"/>
      <c r="I194" s="55"/>
      <c r="J194" s="55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</row>
    <row r="195" spans="1:35" x14ac:dyDescent="0.25">
      <c r="A195" s="11"/>
      <c r="B195" s="11"/>
      <c r="C195" s="11"/>
      <c r="D195" s="11"/>
      <c r="E195" s="11"/>
      <c r="F195" s="11"/>
      <c r="G195" s="11"/>
      <c r="H195" s="11"/>
      <c r="I195" s="55"/>
      <c r="J195" s="55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</row>
    <row r="196" spans="1:35" x14ac:dyDescent="0.25">
      <c r="A196" s="11"/>
      <c r="B196" s="11"/>
      <c r="C196" s="11"/>
      <c r="D196" s="11"/>
      <c r="E196" s="11"/>
      <c r="F196" s="11"/>
      <c r="G196" s="11"/>
      <c r="H196" s="11"/>
      <c r="I196" s="55"/>
      <c r="J196" s="55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</row>
    <row r="197" spans="1:35" x14ac:dyDescent="0.25">
      <c r="A197" s="11"/>
      <c r="B197" s="11"/>
      <c r="C197" s="11"/>
      <c r="D197" s="11"/>
      <c r="E197" s="11"/>
      <c r="F197" s="11"/>
      <c r="G197" s="11"/>
      <c r="H197" s="11"/>
      <c r="I197" s="55"/>
      <c r="J197" s="55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</row>
    <row r="198" spans="1:35" x14ac:dyDescent="0.25">
      <c r="A198" s="11"/>
      <c r="B198" s="11"/>
      <c r="C198" s="11"/>
      <c r="D198" s="11"/>
      <c r="E198" s="11"/>
      <c r="F198" s="11"/>
      <c r="G198" s="11"/>
      <c r="H198" s="11"/>
      <c r="I198" s="55"/>
      <c r="J198" s="55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</row>
    <row r="199" spans="1:35" x14ac:dyDescent="0.25">
      <c r="A199" s="11"/>
      <c r="B199" s="11"/>
      <c r="C199" s="11"/>
      <c r="D199" s="11"/>
      <c r="E199" s="11"/>
      <c r="F199" s="11"/>
      <c r="G199" s="11"/>
      <c r="H199" s="11"/>
      <c r="I199" s="55"/>
      <c r="J199" s="55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</row>
    <row r="200" spans="1:35" x14ac:dyDescent="0.25">
      <c r="A200" s="11"/>
      <c r="B200" s="11"/>
      <c r="C200" s="11"/>
      <c r="D200" s="11"/>
      <c r="E200" s="11"/>
      <c r="F200" s="11"/>
      <c r="G200" s="11"/>
      <c r="H200" s="11"/>
      <c r="I200" s="55"/>
      <c r="J200" s="55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</row>
    <row r="201" spans="1:35" x14ac:dyDescent="0.25">
      <c r="A201" s="11"/>
      <c r="B201" s="11"/>
      <c r="C201" s="11"/>
      <c r="D201" s="11"/>
      <c r="E201" s="11"/>
      <c r="F201" s="11"/>
      <c r="G201" s="11"/>
      <c r="H201" s="11"/>
      <c r="I201" s="55"/>
      <c r="J201" s="55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</row>
    <row r="202" spans="1:35" x14ac:dyDescent="0.25">
      <c r="A202" s="11"/>
      <c r="B202" s="11"/>
      <c r="C202" s="11"/>
      <c r="D202" s="11"/>
      <c r="E202" s="11"/>
      <c r="F202" s="11"/>
      <c r="G202" s="11"/>
      <c r="H202" s="11"/>
      <c r="I202" s="55"/>
      <c r="J202" s="55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</row>
    <row r="203" spans="1:35" x14ac:dyDescent="0.25">
      <c r="A203" s="11"/>
      <c r="B203" s="11"/>
      <c r="C203" s="11"/>
      <c r="D203" s="11"/>
      <c r="E203" s="11"/>
      <c r="F203" s="11"/>
      <c r="G203" s="11"/>
      <c r="H203" s="11"/>
      <c r="I203" s="55"/>
      <c r="J203" s="55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</row>
    <row r="204" spans="1:35" x14ac:dyDescent="0.25">
      <c r="A204" s="11"/>
      <c r="B204" s="11"/>
      <c r="C204" s="11"/>
      <c r="D204" s="11"/>
      <c r="E204" s="11"/>
      <c r="F204" s="11"/>
      <c r="G204" s="11"/>
      <c r="H204" s="11"/>
      <c r="I204" s="55"/>
      <c r="J204" s="55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</row>
    <row r="205" spans="1:35" x14ac:dyDescent="0.25">
      <c r="A205" s="11"/>
      <c r="B205" s="11"/>
      <c r="C205" s="11"/>
      <c r="D205" s="11"/>
      <c r="E205" s="11"/>
      <c r="F205" s="11"/>
      <c r="G205" s="11"/>
      <c r="H205" s="11"/>
      <c r="I205" s="55"/>
      <c r="J205" s="55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</row>
    <row r="206" spans="1:35" x14ac:dyDescent="0.25">
      <c r="A206" s="11"/>
      <c r="B206" s="11"/>
      <c r="C206" s="11"/>
      <c r="D206" s="11"/>
      <c r="E206" s="11"/>
      <c r="F206" s="11"/>
      <c r="G206" s="11"/>
      <c r="H206" s="11"/>
      <c r="I206" s="55"/>
      <c r="J206" s="55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</row>
    <row r="207" spans="1:35" x14ac:dyDescent="0.25">
      <c r="A207" s="11"/>
      <c r="B207" s="11"/>
      <c r="C207" s="11"/>
      <c r="D207" s="11"/>
      <c r="E207" s="11"/>
      <c r="F207" s="11"/>
      <c r="G207" s="11"/>
      <c r="H207" s="11"/>
      <c r="I207" s="55"/>
      <c r="J207" s="55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</row>
    <row r="208" spans="1:35" x14ac:dyDescent="0.25">
      <c r="A208" s="11"/>
      <c r="B208" s="11"/>
      <c r="C208" s="11"/>
      <c r="D208" s="11"/>
      <c r="E208" s="11"/>
      <c r="F208" s="11"/>
      <c r="G208" s="11"/>
      <c r="H208" s="11"/>
      <c r="I208" s="55"/>
      <c r="J208" s="55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</row>
    <row r="209" spans="1:35" x14ac:dyDescent="0.25">
      <c r="A209" s="11"/>
      <c r="B209" s="11"/>
      <c r="C209" s="11"/>
      <c r="D209" s="11"/>
      <c r="E209" s="263"/>
      <c r="F209" s="11"/>
      <c r="G209" s="11"/>
      <c r="H209" s="11"/>
      <c r="I209" s="55"/>
      <c r="J209" s="55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</row>
    <row r="210" spans="1:35" x14ac:dyDescent="0.25">
      <c r="A210" s="11"/>
      <c r="B210" s="11"/>
      <c r="C210" s="11"/>
      <c r="D210" s="11"/>
      <c r="E210" s="11"/>
      <c r="F210" s="11"/>
      <c r="G210" s="11"/>
      <c r="H210" s="11"/>
      <c r="I210" s="55"/>
      <c r="J210" s="55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</row>
    <row r="211" spans="1:35" x14ac:dyDescent="0.25">
      <c r="A211" s="11"/>
      <c r="B211" s="11"/>
      <c r="C211" s="11"/>
      <c r="D211" s="11"/>
      <c r="E211" s="11"/>
      <c r="F211" s="11"/>
      <c r="G211" s="11"/>
      <c r="H211" s="11"/>
      <c r="I211" s="55"/>
      <c r="J211" s="55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</row>
    <row r="212" spans="1:35" x14ac:dyDescent="0.25">
      <c r="A212" s="11"/>
      <c r="B212" s="11"/>
      <c r="C212" s="11"/>
      <c r="D212" s="11"/>
      <c r="E212" s="11"/>
      <c r="F212" s="11"/>
      <c r="G212" s="11"/>
      <c r="H212" s="11"/>
      <c r="I212" s="55"/>
      <c r="J212" s="55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</row>
    <row r="213" spans="1:35" x14ac:dyDescent="0.25">
      <c r="A213" s="11"/>
      <c r="B213" s="11"/>
      <c r="C213" s="11"/>
      <c r="D213" s="11"/>
      <c r="E213" s="263"/>
      <c r="F213" s="11"/>
      <c r="G213" s="11"/>
      <c r="H213" s="11"/>
      <c r="I213" s="55"/>
      <c r="J213" s="55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</row>
  </sheetData>
  <sheetProtection algorithmName="SHA-512" hashValue="Q5FD6ewd43M2TZ7WkjiS/YakUJNhEfA8f6Tb/Ndw1zrguKoNkOcsA3Ti5ywEoyhuHx6trgmWpl9EuYRMJyYZXg==" saltValue="pTDKond5/BPuGmBkAdD9jg==" spinCount="100000" sheet="1" scenarios="1"/>
  <mergeCells count="2">
    <mergeCell ref="AD31:AE31"/>
    <mergeCell ref="AG31:AH31"/>
  </mergeCells>
  <conditionalFormatting sqref="AD43 AF43:AG43 O43:AA43">
    <cfRule type="expression" dxfId="14" priority="15">
      <formula>ROUND(O42,2)&lt;&gt;ROUND(O43,2)</formula>
    </cfRule>
  </conditionalFormatting>
  <conditionalFormatting sqref="N43">
    <cfRule type="expression" dxfId="13" priority="14">
      <formula>$G43&lt;&gt;0</formula>
    </cfRule>
  </conditionalFormatting>
  <conditionalFormatting sqref="O53:AA53 AD53 AF53:AG53">
    <cfRule type="expression" dxfId="12" priority="13">
      <formula>ROUND(O52,2)&lt;&gt;ROUND(O53,2)</formula>
    </cfRule>
  </conditionalFormatting>
  <conditionalFormatting sqref="N53">
    <cfRule type="expression" dxfId="11" priority="12">
      <formula>$G53&lt;&gt;0</formula>
    </cfRule>
  </conditionalFormatting>
  <conditionalFormatting sqref="O63:AA63 AD63 AF63:AG63">
    <cfRule type="expression" dxfId="10" priority="11">
      <formula>ROUND(O62,2)&lt;&gt;ROUND(O63,2)</formula>
    </cfRule>
  </conditionalFormatting>
  <conditionalFormatting sqref="N63">
    <cfRule type="expression" dxfId="9" priority="10">
      <formula>$G63&lt;&gt;0</formula>
    </cfRule>
  </conditionalFormatting>
  <conditionalFormatting sqref="O73:AA73 AD73 AF73:AG73">
    <cfRule type="expression" dxfId="8" priority="9">
      <formula>ROUND(O72,2)&lt;&gt;ROUND(O73,2)</formula>
    </cfRule>
  </conditionalFormatting>
  <conditionalFormatting sqref="N73">
    <cfRule type="expression" dxfId="7" priority="8">
      <formula>$G73&lt;&gt;0</formula>
    </cfRule>
  </conditionalFormatting>
  <conditionalFormatting sqref="N82">
    <cfRule type="expression" dxfId="6" priority="7">
      <formula>$G82&lt;&gt;0</formula>
    </cfRule>
  </conditionalFormatting>
  <conditionalFormatting sqref="AD82 AF82:AG82 O82:AA82">
    <cfRule type="expression" dxfId="5" priority="6">
      <formula>ROUND(O81,2)&lt;&gt;ROUND(O82,2)</formula>
    </cfRule>
  </conditionalFormatting>
  <conditionalFormatting sqref="AI43">
    <cfRule type="expression" dxfId="4" priority="5">
      <formula>ROUND(AI42,2)&lt;&gt;ROUND(AI43,2)</formula>
    </cfRule>
  </conditionalFormatting>
  <conditionalFormatting sqref="AI53">
    <cfRule type="expression" dxfId="3" priority="4">
      <formula>ROUND(AI52,2)&lt;&gt;ROUND(AI53,2)</formula>
    </cfRule>
  </conditionalFormatting>
  <conditionalFormatting sqref="AI63">
    <cfRule type="expression" dxfId="2" priority="3">
      <formula>ROUND(AI62,2)&lt;&gt;ROUND(AI63,2)</formula>
    </cfRule>
  </conditionalFormatting>
  <conditionalFormatting sqref="AI73">
    <cfRule type="expression" dxfId="1" priority="2">
      <formula>ROUND(AI72,2)&lt;&gt;ROUND(AI73,2)</formula>
    </cfRule>
  </conditionalFormatting>
  <conditionalFormatting sqref="AI82">
    <cfRule type="expression" dxfId="0" priority="1">
      <formula>ROUND(AI81,2)&lt;&gt;ROUND(AI82,2)</formula>
    </cfRule>
  </conditionalFormatting>
  <dataValidations disablePrompts="1" count="2">
    <dataValidation type="list" allowBlank="1" sqref="B29" xr:uid="{00000000-0002-0000-1400-000000000000}">
      <formula1>"SELF,ALL,BAS,DEP,BASMEMBERS,MEMBERS,NOEXPAND,GDEP"</formula1>
    </dataValidation>
    <dataValidation type="list" allowBlank="1" sqref="B28" xr:uid="{00000000-0002-0000-1400-000001000000}">
      <formula1>"ACCOUNT,BUSINESSUNIT,CATEGORY,DATASRC,DEPARTMENT,INTCO,MEASURES,RPTCURRENCY,TIME"</formula1>
    </dataValidation>
  </dataValidations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rowBreaks count="1" manualBreakCount="1">
    <brk id="97" min="13" max="34" man="1"/>
  </rowBreaks>
  <customProperties>
    <customPr name="EpmWorksheetKeyString_GUID" r:id="rId2"/>
    <customPr name="FPMExcelClientCellBasedFunctionStatus" r:id="rId3"/>
    <customPr name="FPMExcelClientRefreshTime" r:id="rId4"/>
  </customProperties>
  <legacyDrawing r:id="rId5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3">
    <tabColor theme="6" tint="0.39997558519241921"/>
    <pageSetUpPr fitToPage="1"/>
  </sheetPr>
  <dimension ref="A1:AO174"/>
  <sheetViews>
    <sheetView topLeftCell="K1" zoomScale="85" zoomScaleNormal="85" workbookViewId="0">
      <pane xSplit="4" ySplit="32" topLeftCell="O33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3" width="9.7109375" style="1" hidden="1" customWidth="1" outlineLevel="1"/>
    <col min="14" max="14" width="36.7109375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40" width="0" style="1" hidden="1" customWidth="1" outlineLevel="1"/>
    <col min="41" max="41" width="9.140625" style="1" collapsed="1"/>
    <col min="42" max="16384" width="9.140625" style="1"/>
  </cols>
  <sheetData>
    <row r="1" spans="1:41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</row>
    <row r="2" spans="1:41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</row>
    <row r="3" spans="1:41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11"/>
      <c r="H4" s="11"/>
      <c r="I4" s="55"/>
      <c r="J4" s="55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11"/>
      <c r="H5" s="11"/>
      <c r="I5" s="55"/>
      <c r="J5" s="55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idden="1" outlineLevel="1" x14ac:dyDescent="0.25">
      <c r="A6" s="49" t="s">
        <v>52</v>
      </c>
      <c r="B6" s="52" t="s">
        <v>349</v>
      </c>
      <c r="C6" s="11" t="str">
        <f>IF(_epmOfflineCondition_,"Mini Bar",_xll.EVDES(B6,$B$1))</f>
        <v>Mini Bar</v>
      </c>
      <c r="D6" s="11"/>
      <c r="E6" s="54" t="str">
        <f>IF(_epmOfflineCondition_,"D1149",_xll.EVPRO($B$1,$B$6,$F$6))</f>
        <v>D1149</v>
      </c>
      <c r="F6" s="11" t="s">
        <v>278</v>
      </c>
      <c r="G6" s="11"/>
      <c r="H6" s="11"/>
      <c r="I6" s="55"/>
      <c r="J6" s="55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11"/>
      <c r="H7" s="11"/>
      <c r="I7" s="55"/>
      <c r="J7" s="55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11"/>
      <c r="H8" s="11"/>
      <c r="I8" s="55"/>
      <c r="J8" s="55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59" t="str">
        <f>IF(SetUp!$O$1=TRUE,"TRAILING12",IF(AA17="CURRENT","ROLLINGFORECAST","PERIODIC"))</f>
        <v>PERIODIC</v>
      </c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11"/>
      <c r="M12" s="11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  <c r="AJ12" s="11"/>
      <c r="AK12" s="11"/>
      <c r="AL12" s="11"/>
      <c r="AM12" s="11"/>
      <c r="AN12" s="11"/>
      <c r="AO12" s="11"/>
    </row>
    <row r="13" spans="1:41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11"/>
      <c r="M13" s="11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  <c r="AJ13" s="11"/>
      <c r="AK13" s="11"/>
      <c r="AL13" s="11"/>
      <c r="AM13" s="11"/>
      <c r="AN13" s="11"/>
      <c r="AO13" s="11"/>
    </row>
    <row r="14" spans="1:41" hidden="1" outlineLevel="1" x14ac:dyDescent="0.25">
      <c r="A14" s="56" t="str">
        <f>IF(_epmOfflineCondition_,"Evdre:Ok",_xll.EVDRE($B$1,A17:B24,A27:B33))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11"/>
      <c r="M14" s="11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  <c r="AJ14" s="11"/>
      <c r="AK14" s="11"/>
      <c r="AL14" s="11"/>
      <c r="AM14" s="11"/>
      <c r="AN14" s="11"/>
      <c r="AO14" s="11"/>
    </row>
    <row r="15" spans="1:41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11"/>
      <c r="M15" s="11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  <c r="AJ15" s="11"/>
      <c r="AK15" s="11"/>
      <c r="AL15" s="11"/>
      <c r="AM15" s="11"/>
      <c r="AN15" s="11"/>
      <c r="AO15" s="11"/>
    </row>
    <row r="16" spans="1:41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11"/>
      <c r="M16" s="11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  <c r="AJ16" s="11"/>
      <c r="AK16" s="11"/>
      <c r="AL16" s="11"/>
      <c r="AM16" s="11"/>
      <c r="AN16" s="11"/>
      <c r="AO16" s="11"/>
    </row>
    <row r="17" spans="1:41" hidden="1" outlineLevel="1" x14ac:dyDescent="0.25">
      <c r="A17" s="61" t="s">
        <v>2</v>
      </c>
      <c r="B17" s="62" t="str">
        <f>IF(_epmOfflineCondition_,"'Mini_Bar'!$B$2:$B$10",_xll.EVRNG($B$2:$B$10))</f>
        <v>'Mini_Bar'!$B$2:$B$10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11"/>
      <c r="M17" s="11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 t="str">
        <f>Z17</f>
        <v>ACTUAL_CON</v>
      </c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  <c r="AJ17" s="11"/>
      <c r="AK17" s="11"/>
      <c r="AL17" s="11"/>
      <c r="AM17" s="11"/>
      <c r="AN17" s="11"/>
      <c r="AO17" s="11"/>
    </row>
    <row r="18" spans="1:41" hidden="1" outlineLevel="1" x14ac:dyDescent="0.25">
      <c r="A18" s="61" t="s">
        <v>3</v>
      </c>
      <c r="B18" s="62" t="str">
        <f>IF(_epmOfflineCondition_,"'Mini_Bar'!$O$16:$AN$18",_xll.EVRNG($O$16:$AN$18))</f>
        <v>'Mini_Bar'!$O$16:$AN$18</v>
      </c>
      <c r="C18" s="11"/>
      <c r="D18" s="11"/>
      <c r="E18" s="11"/>
      <c r="F18" s="11"/>
      <c r="G18" s="11"/>
      <c r="H18" s="11"/>
      <c r="I18" s="55"/>
      <c r="J18" s="55"/>
      <c r="K18" s="11"/>
      <c r="L18" s="11"/>
      <c r="M18" s="11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11"/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  <c r="AJ18" s="11"/>
      <c r="AK18" s="11"/>
      <c r="AL18" s="11"/>
      <c r="AM18" s="11"/>
      <c r="AN18" s="11"/>
      <c r="AO18" s="11"/>
    </row>
    <row r="19" spans="1:41" hidden="1" outlineLevel="1" x14ac:dyDescent="0.25">
      <c r="A19" s="61" t="s">
        <v>4</v>
      </c>
      <c r="B19" s="62" t="str">
        <f>IF(_epmOfflineCondition_,"'Mini_Bar'!$H$35:$H$41",_xll.EVRNG(H35:H41))</f>
        <v>'Mini_Bar'!$H$35:$H$41</v>
      </c>
      <c r="C19" s="11"/>
      <c r="D19" s="11"/>
      <c r="E19" s="11"/>
      <c r="F19" s="11"/>
      <c r="G19" s="63" t="str">
        <f>$B$6</f>
        <v>D1149</v>
      </c>
      <c r="H19" s="63">
        <v>400000</v>
      </c>
      <c r="I19" s="64"/>
      <c r="J19" s="64"/>
      <c r="K19" s="63"/>
      <c r="L19" s="63"/>
      <c r="M19" s="63"/>
      <c r="N19" s="63" t="str">
        <f>IF(_epmOfflineCondition_,"Total Revenue",_xll.EVDES(H19))</f>
        <v>Total Revenue</v>
      </c>
      <c r="O19" s="65">
        <f>IF(_epmOfflineCondition_,10421.95,_xll.EVGTS($B$1,1,$B$3,$B$5,$B$7,$B$9,O$16,O$17,O$18,$G$19,$H$19))</f>
        <v>10421.950000000001</v>
      </c>
      <c r="P19" s="65">
        <f>IF(_epmOfflineCondition_,7973.89,_xll.EVGTS($B$1,1,$B$3,$B$5,$B$7,$B$9,P$16,P$17,P$18,$G$19,$H$19))</f>
        <v>7973.89</v>
      </c>
      <c r="Q19" s="65">
        <f>IF(_epmOfflineCondition_,9392,_xll.EVGTS($B$1,1,$B$3,$B$5,$B$7,$B$9,Q$16,Q$17,Q$18,$G$19,$H$19))</f>
        <v>9392</v>
      </c>
      <c r="R19" s="65">
        <f>IF(_epmOfflineCondition_,9111,_xll.EVGTS($B$1,1,$B$3,$B$5,$B$7,$B$9,R$16,R$17,R$18,$G$19,$H$19))</f>
        <v>9111</v>
      </c>
      <c r="S19" s="65">
        <f>IF(_epmOfflineCondition_,9783.62,_xll.EVGTS($B$1,1,$B$3,$B$5,$B$7,$B$9,S$16,S$17,S$18,$G$19,$H$19))</f>
        <v>9783.6200000000008</v>
      </c>
      <c r="T19" s="65">
        <f>IF(_epmOfflineCondition_,6055,_xll.EVGTS($B$1,1,$B$3,$B$5,$B$7,$B$9,T$16,T$17,T$18,$G$19,$H$19))</f>
        <v>6055</v>
      </c>
      <c r="U19" s="65">
        <f>IF(_epmOfflineCondition_,9305,_xll.EVGTS($B$1,1,$B$3,$B$5,$B$7,$B$9,U$16,U$17,U$18,$G$19,$H$19))</f>
        <v>9305</v>
      </c>
      <c r="V19" s="65">
        <f>IF(_epmOfflineCondition_,8985,_xll.EVGTS($B$1,1,$B$3,$B$5,$B$7,$B$9,V$16,V$17,V$18,$G$19,$H$19))</f>
        <v>8985</v>
      </c>
      <c r="W19" s="65">
        <f>IF(_epmOfflineCondition_,6392.92,_xll.EVGTS($B$1,1,$B$3,$B$5,$B$7,$B$9,W$16,W$17,W$18,$G$19,$H$19))</f>
        <v>6392.92</v>
      </c>
      <c r="X19" s="65">
        <f>IF(_epmOfflineCondition_,7772.22,_xll.EVGTS($B$1,1,$B$3,$B$5,$B$7,$B$9,X$16,X$17,X$18,$G$19,$H$19))</f>
        <v>7772.22</v>
      </c>
      <c r="Y19" s="65">
        <f>IF(_epmOfflineCondition_,10147.63,_xll.EVGTS($B$1,1,$B$3,$B$5,$B$7,$B$9,Y$16,Y$17,Y$18,$G$19,$H$19))</f>
        <v>10147.629999999999</v>
      </c>
      <c r="Z19" s="65">
        <f>IF(_epmOfflineCondition_,15472.41,_xll.EVGTS($B$1,1,$B$3,$B$5,$B$7,$B$9,Z$16,Z$17,Z$18,$G$19,$H$19))</f>
        <v>15472.41</v>
      </c>
      <c r="AA19" s="65">
        <f>SUM(O19:Z19)</f>
        <v>110812.64</v>
      </c>
      <c r="AB19" s="63"/>
      <c r="AC19" s="63"/>
      <c r="AD19" s="65">
        <f>IF(_epmOfflineCondition_,122620.82,_xll.EVGTS($B$1,1,$B$3,$B$5,$B$7,$B$9,AD$16,AD$17,AD$18,$G$19,$H$19))</f>
        <v>122620.82</v>
      </c>
      <c r="AE19" s="63"/>
      <c r="AF19" s="63"/>
      <c r="AG19" s="65">
        <f>IF(_epmOfflineCondition_,46329.42,_xll.EVGTS($B$1,1,$B$3,$B$5,$B$7,$B$9,AG$16,AG$17,AG$18,$G$19,$H$19))</f>
        <v>46329.42</v>
      </c>
      <c r="AH19" s="63"/>
      <c r="AI19" s="63"/>
      <c r="AJ19" s="11"/>
      <c r="AK19" s="11"/>
      <c r="AL19" s="11"/>
      <c r="AM19" s="11"/>
      <c r="AN19" s="11"/>
      <c r="AO19" s="11"/>
    </row>
    <row r="20" spans="1:41" hidden="1" outlineLevel="1" x14ac:dyDescent="0.25">
      <c r="A20" s="61" t="s">
        <v>5</v>
      </c>
      <c r="B20" s="62"/>
      <c r="C20" s="11"/>
      <c r="D20" s="11"/>
      <c r="E20" s="11"/>
      <c r="F20" s="11"/>
      <c r="G20" s="63" t="s">
        <v>750</v>
      </c>
      <c r="H20" s="63">
        <v>900200</v>
      </c>
      <c r="I20" s="64"/>
      <c r="J20" s="64"/>
      <c r="K20" s="63"/>
      <c r="L20" s="64"/>
      <c r="M20" s="64"/>
      <c r="N20" s="63" t="str">
        <f>IF(_epmOfflineCondition_,"Total Rooms Occupied",_xll.EVDES(H20))</f>
        <v>Total Rooms Occupied</v>
      </c>
      <c r="O20" s="65">
        <f>IF(_epmOfflineCondition_,2885,_xll.EVGTS($B$1,1,$B$3,$B$5,$B$7,$B$9,O$16,O$17,O$18,$G$20,$H$20))</f>
        <v>2885</v>
      </c>
      <c r="P20" s="65">
        <f>IF(_epmOfflineCondition_,2648,_xll.EVGTS($B$1,1,$B$3,$B$5,$B$7,$B$9,P$16,P$17,P$18,$G$20,$H$20))</f>
        <v>2648</v>
      </c>
      <c r="Q20" s="65">
        <f>IF(_epmOfflineCondition_,3038,_xll.EVGTS($B$1,1,$B$3,$B$5,$B$7,$B$9,Q$16,Q$17,Q$18,$G$20,$H$20))</f>
        <v>3038</v>
      </c>
      <c r="R20" s="65">
        <f>IF(_epmOfflineCondition_,2737,_xll.EVGTS($B$1,1,$B$3,$B$5,$B$7,$B$9,R$16,R$17,R$18,$G$20,$H$20))</f>
        <v>2737</v>
      </c>
      <c r="S20" s="65">
        <f>IF(_epmOfflineCondition_,2600,_xll.EVGTS($B$1,1,$B$3,$B$5,$B$7,$B$9,S$16,S$17,S$18,$G$20,$H$20))</f>
        <v>2600</v>
      </c>
      <c r="T20" s="65">
        <f>IF(_epmOfflineCondition_,2202,_xll.EVGTS($B$1,1,$B$3,$B$5,$B$7,$B$9,T$16,T$17,T$18,$G$20,$H$20))</f>
        <v>2202</v>
      </c>
      <c r="U20" s="65">
        <f>IF(_epmOfflineCondition_,2516,_xll.EVGTS($B$1,1,$B$3,$B$5,$B$7,$B$9,U$16,U$17,U$18,$G$20,$H$20))</f>
        <v>2516</v>
      </c>
      <c r="V20" s="65">
        <f>IF(_epmOfflineCondition_,2830,_xll.EVGTS($B$1,1,$B$3,$B$5,$B$7,$B$9,V$16,V$17,V$18,$G$20,$H$20))</f>
        <v>2830</v>
      </c>
      <c r="W20" s="65">
        <f>IF(_epmOfflineCondition_,2120,_xll.EVGTS($B$1,1,$B$3,$B$5,$B$7,$B$9,W$16,W$17,W$18,$G$20,$H$20))</f>
        <v>2120</v>
      </c>
      <c r="X20" s="65">
        <f>IF(_epmOfflineCondition_,2772,_xll.EVGTS($B$1,1,$B$3,$B$5,$B$7,$B$9,X$16,X$17,X$18,$G$20,$H$20))</f>
        <v>2772</v>
      </c>
      <c r="Y20" s="65">
        <f>IF(_epmOfflineCondition_,2993,_xll.EVGTS($B$1,1,$B$3,$B$5,$B$7,$B$9,Y$16,Y$17,Y$18,$G$20,$H$20))</f>
        <v>2993</v>
      </c>
      <c r="Z20" s="65">
        <f>IF(_epmOfflineCondition_,3541,_xll.EVGTS($B$1,1,$B$3,$B$5,$B$7,$B$9,Z$16,Z$17,Z$18,$G$20,$H$20))</f>
        <v>3541</v>
      </c>
      <c r="AA20" s="65">
        <f>SUM(O20:Z20)</f>
        <v>32882</v>
      </c>
      <c r="AB20" s="63"/>
      <c r="AC20" s="63"/>
      <c r="AD20" s="65">
        <f>IF(_epmOfflineCondition_,36386,_xll.EVGTS($B$1,1,$B$3,$B$5,$B$7,$B$9,AD$16,AD$17,AD$18,$G$20,$H$20))</f>
        <v>36386</v>
      </c>
      <c r="AE20" s="63"/>
      <c r="AF20" s="63"/>
      <c r="AG20" s="65">
        <f>IF(_epmOfflineCondition_,15180,_xll.EVGTS($B$1,1,$B$3,$B$5,$B$7,$B$9,AG$16,AG$17,AG$18,$G$20,$H$20))</f>
        <v>15180</v>
      </c>
      <c r="AH20" s="63"/>
      <c r="AI20" s="63"/>
      <c r="AJ20" s="11"/>
      <c r="AK20" s="11"/>
      <c r="AL20" s="11"/>
      <c r="AM20" s="11"/>
      <c r="AN20" s="11"/>
      <c r="AO20" s="11"/>
    </row>
    <row r="21" spans="1:41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idden="1" outlineLevel="1" x14ac:dyDescent="0.25">
      <c r="A22" s="61" t="s">
        <v>7</v>
      </c>
      <c r="B22" s="62" t="str">
        <f>IF(_epmOfflineCondition_,"'Mini_Bar'!$A$36:$F$43",_xll.EVRNG(A36:F43))</f>
        <v>'Mini_Bar'!$A$36:$F$43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idden="1" outlineLevel="1" x14ac:dyDescent="0.25">
      <c r="A23" s="61" t="s">
        <v>47</v>
      </c>
      <c r="B23" s="62" t="str">
        <f>IF(_epmOfflineCondition_,"'Mini_Bar'!$A$123:$B$144",_xll.EVRNG($A$123:$B$144))</f>
        <v>'Mini_Bar'!$A$123:$B$144</v>
      </c>
      <c r="C23" s="11"/>
      <c r="D23" s="11"/>
      <c r="E23" s="11"/>
      <c r="F23" s="11"/>
      <c r="G23" s="11"/>
      <c r="H23" s="11"/>
      <c r="I23" s="55"/>
      <c r="J23" s="55"/>
      <c r="K23" s="6"/>
      <c r="L23" s="6"/>
      <c r="M23" s="6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380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22.5" x14ac:dyDescent="0.3">
      <c r="A26" s="57" t="s">
        <v>9</v>
      </c>
      <c r="B26" s="58" t="s">
        <v>10</v>
      </c>
      <c r="C26" s="11"/>
      <c r="D26" s="11"/>
      <c r="E26" s="11"/>
      <c r="F26" s="11"/>
      <c r="G26" s="11"/>
      <c r="H26" s="11"/>
      <c r="I26" s="55"/>
      <c r="J26" s="55"/>
      <c r="K26" s="11"/>
      <c r="L26" s="11"/>
      <c r="M26" s="11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8" x14ac:dyDescent="0.25">
      <c r="A27" s="61" t="s">
        <v>11</v>
      </c>
      <c r="B27" s="62" t="s">
        <v>21</v>
      </c>
      <c r="C27" s="11"/>
      <c r="D27" s="11"/>
      <c r="E27" s="11"/>
      <c r="F27" s="11"/>
      <c r="G27" s="11"/>
      <c r="H27" s="11"/>
      <c r="I27" s="55"/>
      <c r="J27" s="55"/>
      <c r="K27" s="11"/>
      <c r="L27" s="11"/>
      <c r="M27" s="11"/>
      <c r="N27" s="67" t="str">
        <f>IF(_epmOfflineCondition_,"Mini Bar Department",IF(_xll.EVDES(B6,$B$1)="#NODATA","",_xll.EVDES(B6,$B$1)&amp;" Department"))</f>
        <v>Mini Bar Department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x14ac:dyDescent="0.25">
      <c r="A28" s="61" t="s">
        <v>12</v>
      </c>
      <c r="B28" s="62" t="s">
        <v>22</v>
      </c>
      <c r="C28" s="11"/>
      <c r="D28" s="11"/>
      <c r="E28" s="11"/>
      <c r="F28" s="11"/>
      <c r="G28" s="11"/>
      <c r="H28" s="11"/>
      <c r="I28" s="55"/>
      <c r="J28" s="55"/>
      <c r="K28" s="11"/>
      <c r="L28" s="11"/>
      <c r="M28" s="11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" customHeight="1" x14ac:dyDescent="0.25">
      <c r="A29" s="61" t="s">
        <v>13</v>
      </c>
      <c r="B29" s="62" t="str">
        <f>"DEP(REV_F) AND "&amp;$E$6&amp;"=Y,DEP(REV_BEV) AND "&amp;$E$6&amp;"=Y,ALLOW_FB,REV_FB,DEP(REV_MISC_OTHR) AND "&amp;$E$6&amp;"=Y,468990,400000"</f>
        <v>DEP(REV_F) AND D1149=Y,DEP(REV_BEV) AND D1149=Y,ALLOW_FB,REV_FB,DEP(REV_MISC_OTHR) AND D1149=Y,468990,400000</v>
      </c>
      <c r="C29" s="11"/>
      <c r="D29" s="11"/>
      <c r="E29" s="11"/>
      <c r="F29" s="11"/>
      <c r="G29" s="11"/>
      <c r="H29" s="11"/>
      <c r="I29" s="55"/>
      <c r="J29" s="55"/>
      <c r="K29" s="11"/>
      <c r="L29" s="11"/>
      <c r="M29" s="11"/>
      <c r="N29" s="68" t="str">
        <f>IF(_epmOfflineCondition_,"Local Currency",_xll.EVDES(B9,B1))</f>
        <v>Local Currency</v>
      </c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x14ac:dyDescent="0.25">
      <c r="A30" s="61" t="s">
        <v>14</v>
      </c>
      <c r="B30" s="62"/>
      <c r="C30" s="11"/>
      <c r="D30" s="11"/>
      <c r="E30" s="11"/>
      <c r="F30" s="11"/>
      <c r="G30" s="11"/>
      <c r="H30" s="11"/>
      <c r="I30" s="55"/>
      <c r="J30" s="55"/>
      <c r="K30" s="11"/>
      <c r="L30" s="11"/>
      <c r="M30" s="11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  <c r="AJ30" s="69" t="s">
        <v>749</v>
      </c>
      <c r="AK30" s="70"/>
      <c r="AL30" s="71"/>
      <c r="AM30" s="70" t="s">
        <v>751</v>
      </c>
      <c r="AN30" s="70"/>
      <c r="AO30" s="11"/>
    </row>
    <row r="31" spans="1:41" x14ac:dyDescent="0.25">
      <c r="A31" s="61" t="s">
        <v>15</v>
      </c>
      <c r="B31" s="62"/>
      <c r="C31" s="11"/>
      <c r="D31" s="11"/>
      <c r="E31" s="11"/>
      <c r="F31" s="11"/>
      <c r="G31" s="72"/>
      <c r="H31" s="11"/>
      <c r="I31" s="55"/>
      <c r="J31" s="55"/>
      <c r="K31" s="55"/>
      <c r="L31" s="55"/>
      <c r="M31" s="55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  <c r="AJ31" s="73" t="str">
        <f>IF(_epmOfflineCondition_,"2019",_xll.EVPRO($B$1,AA$16,"YEAR"))</f>
        <v>2019</v>
      </c>
      <c r="AK31" s="76" t="str">
        <f>IF(_epmOfflineCondition_,"2019",_xll.EVPRO($B$1,AD$16,"YEAR"))</f>
        <v>2019</v>
      </c>
      <c r="AL31" s="76" t="str">
        <f>IF(_epmOfflineCondition_,"2018",_xll.EVPRO($B$1,AG$16,"YEAR"))</f>
        <v>2018</v>
      </c>
      <c r="AM31" s="73" t="str">
        <f>"vs "&amp;AK31</f>
        <v>vs 2019</v>
      </c>
      <c r="AN31" s="73" t="str">
        <f>"vs "&amp;AL31</f>
        <v>vs 2018</v>
      </c>
      <c r="AO31" s="11"/>
    </row>
    <row r="32" spans="1:41" s="8" customFormat="1" ht="30" customHeight="1" x14ac:dyDescent="0.25">
      <c r="A32" s="77" t="s">
        <v>16</v>
      </c>
      <c r="B32" s="78"/>
      <c r="C32" s="79"/>
      <c r="D32" s="79"/>
      <c r="E32" s="79"/>
      <c r="F32" s="79"/>
      <c r="G32" s="359"/>
      <c r="H32" s="80"/>
      <c r="I32" s="81"/>
      <c r="J32" s="81"/>
      <c r="K32" s="174" t="s">
        <v>117</v>
      </c>
      <c r="L32" s="174"/>
      <c r="M32" s="174"/>
      <c r="N32" s="82" t="s">
        <v>120</v>
      </c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  <c r="AJ32" s="83" t="str">
        <f>Z32</f>
        <v>Actual</v>
      </c>
      <c r="AK32" s="76" t="str">
        <f>AD32</f>
        <v>Budget</v>
      </c>
      <c r="AL32" s="83" t="str">
        <f>AG32</f>
        <v>Actual</v>
      </c>
      <c r="AM32" s="73" t="s">
        <v>748</v>
      </c>
      <c r="AN32" s="73" t="s">
        <v>748</v>
      </c>
      <c r="AO32" s="79"/>
    </row>
    <row r="33" spans="1:41" x14ac:dyDescent="0.25">
      <c r="A33" s="61" t="s">
        <v>17</v>
      </c>
      <c r="B33" s="62"/>
      <c r="C33" s="11"/>
      <c r="D33" s="11"/>
      <c r="E33" s="11"/>
      <c r="F33" s="11"/>
      <c r="G33" s="11"/>
      <c r="H33" s="11" t="s">
        <v>69</v>
      </c>
      <c r="I33" s="55" t="str">
        <f>IF(_epmOfflineCondition_,"B1",_xll.EVPRO($B$1,$H33,"STYLE"))</f>
        <v>B1</v>
      </c>
      <c r="J33" s="55" t="str">
        <f>IF(_epmOfflineCondition_,"Y",_xll.EVPRO($B$1,$H33,"CALC"))</f>
        <v>Y</v>
      </c>
      <c r="K33" s="11"/>
      <c r="L33" s="11"/>
      <c r="M33" s="11"/>
      <c r="N33" s="101" t="str">
        <f>IF(_epmOfflineCondition_,"Revenues",IF(_xll.EVDES(H33,$B$1)="#NODATA","",_xll.EVDES(H33,$B$1)))</f>
        <v>Revenues</v>
      </c>
      <c r="O33" s="125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7"/>
      <c r="AC33" s="11"/>
      <c r="AD33" s="125"/>
      <c r="AE33" s="126"/>
      <c r="AF33" s="127"/>
      <c r="AG33" s="125"/>
      <c r="AH33" s="126"/>
      <c r="AI33" s="127"/>
      <c r="AJ33" s="11"/>
      <c r="AK33" s="11"/>
      <c r="AL33" s="11"/>
      <c r="AM33" s="11"/>
      <c r="AN33" s="11"/>
      <c r="AO33" s="11"/>
    </row>
    <row r="34" spans="1:41" x14ac:dyDescent="0.25">
      <c r="A34" s="11"/>
      <c r="B34" s="11"/>
      <c r="C34" s="11"/>
      <c r="D34" s="11"/>
      <c r="E34" s="11"/>
      <c r="F34" s="11"/>
      <c r="G34" s="11"/>
      <c r="H34" s="11"/>
      <c r="I34" s="55"/>
      <c r="J34" s="55"/>
      <c r="K34" s="11"/>
      <c r="L34" s="129" t="s">
        <v>364</v>
      </c>
      <c r="M34" s="129" t="s">
        <v>783</v>
      </c>
      <c r="N34" s="49" t="s">
        <v>356</v>
      </c>
      <c r="O34" s="199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114"/>
      <c r="AC34" s="11"/>
      <c r="AD34" s="199"/>
      <c r="AE34" s="200"/>
      <c r="AF34" s="114"/>
      <c r="AG34" s="199"/>
      <c r="AH34" s="200"/>
      <c r="AI34" s="114"/>
      <c r="AJ34" s="11"/>
      <c r="AK34" s="11"/>
      <c r="AL34" s="11"/>
      <c r="AM34" s="11"/>
      <c r="AN34" s="11"/>
      <c r="AO34" s="11"/>
    </row>
    <row r="35" spans="1:41" x14ac:dyDescent="0.25">
      <c r="A35" s="93" t="s">
        <v>92</v>
      </c>
      <c r="B35" s="94" t="s">
        <v>93</v>
      </c>
      <c r="C35" s="94" t="s">
        <v>94</v>
      </c>
      <c r="D35" s="94" t="s">
        <v>95</v>
      </c>
      <c r="E35" s="94" t="s">
        <v>96</v>
      </c>
      <c r="F35" s="95" t="s">
        <v>97</v>
      </c>
      <c r="G35" s="11"/>
      <c r="H35" s="84" t="s">
        <v>350</v>
      </c>
      <c r="I35" s="118" t="str">
        <f>IF(_epmOfflineCondition_,"T5",_xll.EVPRO($B$1,$H35,"STYLE"))</f>
        <v>T5</v>
      </c>
      <c r="J35" s="118" t="str">
        <f>IF(_epmOfflineCondition_,"Y",_xll.EVPRO($B$1,$H35,"CALC"))</f>
        <v>Y</v>
      </c>
      <c r="K35" s="175" t="str">
        <f t="shared" ref="K35:K41" si="0">IF(AND(I35&gt;="T5"),"&gt;","")</f>
        <v>&gt;</v>
      </c>
      <c r="L35" s="86" t="str">
        <f>IF(_epmOfflineCondition_,"467100",_xll.EVPRO($B$1,H35,"JDEID"))</f>
        <v>467100</v>
      </c>
      <c r="M35" s="86" t="str">
        <f>IF(_epmOfflineCondition_,"",IF(AND(I35="N",J35="N"),_xll.EVPRO($B$1,H35,"PSFTID"),""))</f>
        <v/>
      </c>
      <c r="N35" s="86" t="str">
        <f>IF(_epmOfflineCondition_,"Mini Bar Food",IF(_xll.EVDES(H35,$B$1)="#NODATA","",_xll.EVDES(H35,$B$1)))</f>
        <v>Mini Bar Food</v>
      </c>
      <c r="O35" s="569">
        <v>6569.75</v>
      </c>
      <c r="P35" s="569">
        <v>4707.8900000000003</v>
      </c>
      <c r="Q35" s="569">
        <v>5724</v>
      </c>
      <c r="R35" s="569">
        <v>5557</v>
      </c>
      <c r="S35" s="569">
        <v>5577</v>
      </c>
      <c r="T35" s="134">
        <v>3834</v>
      </c>
      <c r="U35" s="134">
        <v>5252</v>
      </c>
      <c r="V35" s="134">
        <v>4871</v>
      </c>
      <c r="W35" s="134">
        <v>3328.92</v>
      </c>
      <c r="X35" s="134">
        <v>4168.22</v>
      </c>
      <c r="Y35" s="134">
        <v>6522.99</v>
      </c>
      <c r="Z35" s="134">
        <v>9575.4</v>
      </c>
      <c r="AA35" s="223">
        <f t="shared" ref="AA35:AA41" si="1">IF($I35="B1","",SUM(O35:Z35))</f>
        <v>65688.17</v>
      </c>
      <c r="AB35" s="138">
        <f t="shared" ref="AB35:AB41" si="2">IF(AA35=0,"",IFERROR(AA35/AA$19,""))</f>
        <v>0.59278589518307656</v>
      </c>
      <c r="AC35" s="136"/>
      <c r="AD35" s="134">
        <v>83687.8</v>
      </c>
      <c r="AE35" s="138">
        <f t="shared" ref="AE35:AE41" si="3">IF(AD35=0,"",IFERROR(AD35/AD$19,""))</f>
        <v>0.68249258160237392</v>
      </c>
      <c r="AF35" s="137">
        <f t="shared" ref="AF35:AF41" si="4">IF(AND($AA35="",AD35=""),"",$AA35-AD35)</f>
        <v>-17999.630000000005</v>
      </c>
      <c r="AG35" s="134">
        <v>33365.06</v>
      </c>
      <c r="AH35" s="138">
        <f t="shared" ref="AH35:AH41" si="5">IF(AG35=0,"",IFERROR(AG35/AG$19,""))</f>
        <v>0.72017003450507255</v>
      </c>
      <c r="AI35" s="137">
        <f t="shared" ref="AI35:AI41" si="6">IF(AND($AA35="",AG35=""),"",$AA35-AG35)</f>
        <v>32323.11</v>
      </c>
      <c r="AJ35" s="458">
        <f t="shared" ref="AJ35:AJ41" si="7">IFERROR(AA35/AA$20,0)</f>
        <v>1.9976938750684266</v>
      </c>
      <c r="AK35" s="459">
        <f t="shared" ref="AK35:AK41" si="8">IFERROR(AD35/AD$20,0)</f>
        <v>2.3000000000000003</v>
      </c>
      <c r="AL35" s="460">
        <f t="shared" ref="AL35:AL41" si="9">IFERROR(AG35/AG$20,0)</f>
        <v>2.1979617918313568</v>
      </c>
      <c r="AM35" s="461" t="str">
        <f t="shared" ref="AM35:AM41" si="10">+IFERROR(ROUND(($AB35-AE35)*100,2)&amp;" pts.",0)</f>
        <v>-8.97 pts.</v>
      </c>
      <c r="AN35" s="462" t="str">
        <f t="shared" ref="AN35:AN41" si="11">+IFERROR(ROUND(($AB35-AH35)*100,2)&amp;" pts.",0)</f>
        <v>-12.74 pts.</v>
      </c>
      <c r="AO35" s="11"/>
    </row>
    <row r="36" spans="1:41" x14ac:dyDescent="0.25">
      <c r="A36" s="11"/>
      <c r="B36" s="11"/>
      <c r="C36" s="11"/>
      <c r="D36" s="11"/>
      <c r="E36" s="11"/>
      <c r="F36" s="11"/>
      <c r="G36" s="11"/>
      <c r="H36" s="84" t="s">
        <v>351</v>
      </c>
      <c r="I36" s="118" t="str">
        <f>IF(_epmOfflineCondition_,"T5",_xll.EVPRO($B$1,$H36,"STYLE"))</f>
        <v>T5</v>
      </c>
      <c r="J36" s="118" t="str">
        <f>IF(_epmOfflineCondition_,"Y",_xll.EVPRO($B$1,$H36,"CALC"))</f>
        <v>Y</v>
      </c>
      <c r="K36" s="175" t="str">
        <f t="shared" si="0"/>
        <v>&gt;</v>
      </c>
      <c r="L36" s="86" t="str">
        <f>IF(_epmOfflineCondition_,"467200",_xll.EVPRO($B$1,H36,"JDEID"))</f>
        <v>467200</v>
      </c>
      <c r="M36" s="86" t="str">
        <f>IF(_epmOfflineCondition_,"",IF(AND(I36="N",J36="N"),_xll.EVPRO($B$1,H36,"PSFTID"),""))</f>
        <v/>
      </c>
      <c r="N36" s="86" t="str">
        <f>IF(_epmOfflineCondition_,"Mini Bar Beverage",IF(_xll.EVDES(H36,$B$1)="#NODATA","",_xll.EVDES(H36,$B$1)))</f>
        <v>Mini Bar Beverage</v>
      </c>
      <c r="O36" s="569">
        <v>3860</v>
      </c>
      <c r="P36" s="569">
        <v>3074</v>
      </c>
      <c r="Q36" s="569">
        <v>3500</v>
      </c>
      <c r="R36" s="569">
        <v>3422</v>
      </c>
      <c r="S36" s="569">
        <v>4079</v>
      </c>
      <c r="T36" s="134">
        <v>2221</v>
      </c>
      <c r="U36" s="134">
        <v>3223</v>
      </c>
      <c r="V36" s="134">
        <v>3188</v>
      </c>
      <c r="W36" s="134">
        <v>2752</v>
      </c>
      <c r="X36" s="134">
        <v>2680</v>
      </c>
      <c r="Y36" s="134">
        <v>2741</v>
      </c>
      <c r="Z36" s="134">
        <v>4857</v>
      </c>
      <c r="AA36" s="223">
        <f t="shared" si="1"/>
        <v>39597</v>
      </c>
      <c r="AB36" s="138">
        <f t="shared" si="2"/>
        <v>0.35733288188062301</v>
      </c>
      <c r="AC36" s="136"/>
      <c r="AD36" s="134">
        <v>35658.28</v>
      </c>
      <c r="AE36" s="138">
        <f t="shared" si="3"/>
        <v>0.29080118694362017</v>
      </c>
      <c r="AF36" s="137">
        <f t="shared" si="4"/>
        <v>3938.7200000000012</v>
      </c>
      <c r="AG36" s="134">
        <v>13071</v>
      </c>
      <c r="AH36" s="138">
        <f t="shared" si="5"/>
        <v>0.28213174263783142</v>
      </c>
      <c r="AI36" s="137">
        <f t="shared" si="6"/>
        <v>26526</v>
      </c>
      <c r="AJ36" s="458">
        <f t="shared" si="7"/>
        <v>1.2042150720759077</v>
      </c>
      <c r="AK36" s="459">
        <f t="shared" si="8"/>
        <v>0.98</v>
      </c>
      <c r="AL36" s="460">
        <f t="shared" si="9"/>
        <v>0.86106719367588935</v>
      </c>
      <c r="AM36" s="461" t="str">
        <f t="shared" si="10"/>
        <v>6.65 pts.</v>
      </c>
      <c r="AN36" s="462" t="str">
        <f t="shared" si="11"/>
        <v>7.52 pts.</v>
      </c>
      <c r="AO36" s="11"/>
    </row>
    <row r="37" spans="1:41" x14ac:dyDescent="0.25">
      <c r="A37" s="11" t="s">
        <v>105</v>
      </c>
      <c r="B37" s="11"/>
      <c r="C37" s="100" t="s">
        <v>101</v>
      </c>
      <c r="D37" s="11" t="s">
        <v>106</v>
      </c>
      <c r="E37" s="11"/>
      <c r="F37" s="11" t="s">
        <v>98</v>
      </c>
      <c r="G37" s="11"/>
      <c r="H37" s="84" t="s">
        <v>486</v>
      </c>
      <c r="I37" s="118" t="str">
        <f>IF(_epmOfflineCondition_,"T5",_xll.EVPRO($B$1,$H37,"STYLE"))</f>
        <v>T5</v>
      </c>
      <c r="J37" s="118" t="str">
        <f>IF(_epmOfflineCondition_,"Y",_xll.EVPRO($B$1,$H37,"CALC"))</f>
        <v>Y</v>
      </c>
      <c r="K37" s="175" t="str">
        <f t="shared" si="0"/>
        <v>&gt;</v>
      </c>
      <c r="L37" s="86" t="str">
        <f>IF(_epmOfflineCondition_,"",_xll.EVPRO($B$1,H37,"JDEID"))</f>
        <v/>
      </c>
      <c r="M37" s="86" t="str">
        <f>IF(_epmOfflineCondition_,"",IF(AND(I37="N",J37="N"),_xll.EVPRO($B$1,H37,"PSFTID"),""))</f>
        <v/>
      </c>
      <c r="N37" s="86" t="str">
        <f>IF(_epmOfflineCondition_,"Food &amp; Beverage: Allowances",IF(_xll.EVDES(H37,$B$1)="#NODATA","",_xll.EVDES(H37,$B$1)))</f>
        <v>Food &amp; Beverage: Allowances</v>
      </c>
      <c r="O37" s="565"/>
      <c r="P37" s="565"/>
      <c r="Q37" s="565"/>
      <c r="R37" s="565"/>
      <c r="S37" s="565">
        <v>-49.38</v>
      </c>
      <c r="T37" s="228"/>
      <c r="U37" s="228"/>
      <c r="V37" s="228"/>
      <c r="W37" s="228"/>
      <c r="X37" s="228"/>
      <c r="Y37" s="228"/>
      <c r="Z37" s="228"/>
      <c r="AA37" s="229">
        <f t="shared" si="1"/>
        <v>-49.38</v>
      </c>
      <c r="AB37" s="230">
        <f t="shared" si="2"/>
        <v>-4.4561703430222402E-4</v>
      </c>
      <c r="AC37" s="136"/>
      <c r="AD37" s="228"/>
      <c r="AE37" s="230" t="str">
        <f t="shared" si="3"/>
        <v/>
      </c>
      <c r="AF37" s="231">
        <f t="shared" si="4"/>
        <v>-49.38</v>
      </c>
      <c r="AG37" s="228">
        <v>-119.64</v>
      </c>
      <c r="AH37" s="230">
        <f t="shared" si="5"/>
        <v>-2.5823763820052139E-3</v>
      </c>
      <c r="AI37" s="231">
        <f t="shared" si="6"/>
        <v>70.259999999999991</v>
      </c>
      <c r="AJ37" s="467">
        <f t="shared" si="7"/>
        <v>-1.5017334712000487E-3</v>
      </c>
      <c r="AK37" s="468">
        <f t="shared" si="8"/>
        <v>0</v>
      </c>
      <c r="AL37" s="469">
        <f t="shared" si="9"/>
        <v>-7.8814229249011859E-3</v>
      </c>
      <c r="AM37" s="470">
        <f t="shared" si="10"/>
        <v>0</v>
      </c>
      <c r="AN37" s="471" t="str">
        <f t="shared" si="11"/>
        <v>0.21 pts.</v>
      </c>
      <c r="AO37" s="11"/>
    </row>
    <row r="38" spans="1:41" x14ac:dyDescent="0.25">
      <c r="A38" s="11" t="s">
        <v>104</v>
      </c>
      <c r="B38" s="11"/>
      <c r="C38" s="100" t="s">
        <v>101</v>
      </c>
      <c r="D38" s="11" t="s">
        <v>106</v>
      </c>
      <c r="E38" s="11"/>
      <c r="F38" s="11" t="s">
        <v>98</v>
      </c>
      <c r="G38" s="11"/>
      <c r="H38" s="84" t="s">
        <v>273</v>
      </c>
      <c r="I38" s="184" t="str">
        <f>IF(_epmOfflineCondition_,"T4",_xll.EVPRO($B$1,$H38,"STYLE"))</f>
        <v>T4</v>
      </c>
      <c r="J38" s="184" t="str">
        <f>IF(_epmOfflineCondition_,"Y",_xll.EVPRO($B$1,$H38,"CALC"))</f>
        <v>Y</v>
      </c>
      <c r="K38" s="185" t="str">
        <f t="shared" si="0"/>
        <v/>
      </c>
      <c r="L38" s="186" t="str">
        <f>IF(_epmOfflineCondition_,"",_xll.EVPRO($B$1,H38,"JDEID"))</f>
        <v/>
      </c>
      <c r="M38" s="186" t="str">
        <f>IF(_epmOfflineCondition_,"",IF(AND(I38="N",J38="N"),_xll.EVPRO($B$1,H38,"PSFTID"),""))</f>
        <v/>
      </c>
      <c r="N38" s="186" t="str">
        <f>IF(_epmOfflineCondition_,"Total Food &amp; Beverage Revenue",IF(_xll.EVDES(H38,$B$1)="#NODATA","",_xll.EVDES(H38,$B$1)))</f>
        <v>Total Food &amp; Beverage Revenue</v>
      </c>
      <c r="O38" s="566">
        <v>10429.75</v>
      </c>
      <c r="P38" s="566">
        <v>7781.89</v>
      </c>
      <c r="Q38" s="566">
        <v>9224</v>
      </c>
      <c r="R38" s="566">
        <v>8979</v>
      </c>
      <c r="S38" s="566">
        <v>9606.6200000000008</v>
      </c>
      <c r="T38" s="236">
        <v>6055</v>
      </c>
      <c r="U38" s="236">
        <v>8475</v>
      </c>
      <c r="V38" s="236">
        <v>8059</v>
      </c>
      <c r="W38" s="236">
        <v>6080.92</v>
      </c>
      <c r="X38" s="236">
        <v>6848.22</v>
      </c>
      <c r="Y38" s="236">
        <v>9263.99</v>
      </c>
      <c r="Z38" s="236">
        <v>14432.4</v>
      </c>
      <c r="AA38" s="236">
        <f t="shared" si="1"/>
        <v>105235.79000000001</v>
      </c>
      <c r="AB38" s="237">
        <f t="shared" si="2"/>
        <v>0.9496731600293975</v>
      </c>
      <c r="AC38" s="238"/>
      <c r="AD38" s="236">
        <v>119346.08</v>
      </c>
      <c r="AE38" s="237">
        <f t="shared" si="3"/>
        <v>0.97329376854599403</v>
      </c>
      <c r="AF38" s="239">
        <f t="shared" si="4"/>
        <v>-14110.289999999994</v>
      </c>
      <c r="AG38" s="236">
        <v>46316.42</v>
      </c>
      <c r="AH38" s="237">
        <f t="shared" si="5"/>
        <v>0.99971940076089882</v>
      </c>
      <c r="AI38" s="239">
        <f t="shared" si="6"/>
        <v>58919.37000000001</v>
      </c>
      <c r="AJ38" s="215">
        <f t="shared" si="7"/>
        <v>3.2004072136731345</v>
      </c>
      <c r="AK38" s="216">
        <f t="shared" si="8"/>
        <v>3.2800000000000002</v>
      </c>
      <c r="AL38" s="218">
        <f t="shared" si="9"/>
        <v>3.051147562582345</v>
      </c>
      <c r="AM38" s="423" t="str">
        <f t="shared" si="10"/>
        <v>-2.36 pts.</v>
      </c>
      <c r="AN38" s="474" t="str">
        <f t="shared" si="11"/>
        <v>-5 pts.</v>
      </c>
      <c r="AO38" s="11"/>
    </row>
    <row r="39" spans="1:41" x14ac:dyDescent="0.25">
      <c r="A39" s="11" t="s">
        <v>100</v>
      </c>
      <c r="B39" s="11"/>
      <c r="C39" s="49" t="s">
        <v>101</v>
      </c>
      <c r="D39" s="11" t="s">
        <v>106</v>
      </c>
      <c r="E39" s="11"/>
      <c r="F39" s="11" t="s">
        <v>98</v>
      </c>
      <c r="G39" s="11"/>
      <c r="H39" s="84" t="s">
        <v>352</v>
      </c>
      <c r="I39" s="118" t="str">
        <f>IF(_epmOfflineCondition_,"T5",_xll.EVPRO($B$1,$H39,"STYLE"))</f>
        <v>T5</v>
      </c>
      <c r="J39" s="118" t="str">
        <f>IF(_epmOfflineCondition_,"Y",_xll.EVPRO($B$1,$H39,"CALC"))</f>
        <v>Y</v>
      </c>
      <c r="K39" s="175" t="str">
        <f t="shared" si="0"/>
        <v>&gt;</v>
      </c>
      <c r="L39" s="86" t="str">
        <f>IF(_epmOfflineCondition_,"467300",_xll.EVPRO($B$1,H39,"JDEID"))</f>
        <v>467300</v>
      </c>
      <c r="M39" s="86" t="str">
        <f>IF(_epmOfflineCondition_,"",IF(AND(I39="N",J39="N"),_xll.EVPRO($B$1,H39,"PSFTID"),""))</f>
        <v/>
      </c>
      <c r="N39" s="86" t="str">
        <f>IF(_epmOfflineCondition_,"Mini Bar Merchandise",IF(_xll.EVDES(H39,$B$1)="#NODATA","",_xll.EVDES(H39,$B$1)))</f>
        <v>Mini Bar Merchandise</v>
      </c>
      <c r="O39" s="570">
        <v>-7.8</v>
      </c>
      <c r="P39" s="570">
        <v>192</v>
      </c>
      <c r="Q39" s="570">
        <v>168</v>
      </c>
      <c r="R39" s="570">
        <v>132</v>
      </c>
      <c r="S39" s="570">
        <v>177</v>
      </c>
      <c r="T39" s="240"/>
      <c r="U39" s="240">
        <v>830</v>
      </c>
      <c r="V39" s="240">
        <v>926</v>
      </c>
      <c r="W39" s="240">
        <v>312</v>
      </c>
      <c r="X39" s="240">
        <v>924</v>
      </c>
      <c r="Y39" s="240">
        <v>883.64</v>
      </c>
      <c r="Z39" s="240">
        <v>1040.01</v>
      </c>
      <c r="AA39" s="241">
        <f t="shared" si="1"/>
        <v>5576.85</v>
      </c>
      <c r="AB39" s="242">
        <f t="shared" si="2"/>
        <v>5.0326839970602638E-2</v>
      </c>
      <c r="AC39" s="136"/>
      <c r="AD39" s="240">
        <v>3274.74</v>
      </c>
      <c r="AE39" s="242">
        <f t="shared" si="3"/>
        <v>2.670623145400593E-2</v>
      </c>
      <c r="AF39" s="243">
        <f t="shared" si="4"/>
        <v>2302.1100000000006</v>
      </c>
      <c r="AG39" s="240">
        <v>13</v>
      </c>
      <c r="AH39" s="242">
        <f t="shared" si="5"/>
        <v>2.8059923910120181E-4</v>
      </c>
      <c r="AI39" s="243">
        <f t="shared" si="6"/>
        <v>5563.85</v>
      </c>
      <c r="AJ39" s="244">
        <f t="shared" si="7"/>
        <v>0.16960190985949761</v>
      </c>
      <c r="AK39" s="245">
        <f t="shared" si="8"/>
        <v>0.09</v>
      </c>
      <c r="AL39" s="247">
        <f t="shared" si="9"/>
        <v>8.563899868247694E-4</v>
      </c>
      <c r="AM39" s="425" t="str">
        <f t="shared" si="10"/>
        <v>2.36 pts.</v>
      </c>
      <c r="AN39" s="480" t="str">
        <f t="shared" si="11"/>
        <v>5 pts.</v>
      </c>
      <c r="AO39" s="11"/>
    </row>
    <row r="40" spans="1:41" x14ac:dyDescent="0.25">
      <c r="A40" s="11" t="s">
        <v>102</v>
      </c>
      <c r="B40" s="11"/>
      <c r="C40" s="102" t="s">
        <v>101</v>
      </c>
      <c r="D40" s="11" t="s">
        <v>106</v>
      </c>
      <c r="E40" s="11"/>
      <c r="F40" s="11" t="s">
        <v>98</v>
      </c>
      <c r="G40" s="11"/>
      <c r="H40" s="84" t="s">
        <v>473</v>
      </c>
      <c r="I40" s="118" t="str">
        <f>IF(_epmOfflineCondition_,"N",_xll.EVPRO($B$1,$H40,"STYLE"))</f>
        <v>N</v>
      </c>
      <c r="J40" s="118" t="str">
        <f>IF(_epmOfflineCondition_,"N",_xll.EVPRO($B$1,$H40,"CALC"))</f>
        <v>N</v>
      </c>
      <c r="K40" s="175" t="str">
        <f t="shared" si="0"/>
        <v/>
      </c>
      <c r="L40" s="86" t="str">
        <f>IF(_epmOfflineCondition_,"468990",_xll.EVPRO($B$1,H40,"JDEID"))</f>
        <v>468990</v>
      </c>
      <c r="M40" s="86" t="str">
        <f>IF(_epmOfflineCondition_,"206022",IF(AND(I40="N",J40="N"),_xll.EVPRO($B$1,H40,"PSFTID"),""))</f>
        <v>206022</v>
      </c>
      <c r="N40" s="86" t="str">
        <f>IF(_epmOfflineCondition_,"Other Revenue: Allowances",IF(_xll.EVDES(H40,$B$1)="#NODATA","",_xll.EVDES(H40,$B$1)))</f>
        <v>Other Revenue: Allowances</v>
      </c>
      <c r="O40" s="565"/>
      <c r="P40" s="565"/>
      <c r="Q40" s="565"/>
      <c r="R40" s="565"/>
      <c r="S40" s="565"/>
      <c r="T40" s="228"/>
      <c r="U40" s="228"/>
      <c r="V40" s="228"/>
      <c r="W40" s="228"/>
      <c r="X40" s="228"/>
      <c r="Y40" s="228"/>
      <c r="Z40" s="228"/>
      <c r="AA40" s="229">
        <f t="shared" si="1"/>
        <v>0</v>
      </c>
      <c r="AB40" s="230" t="str">
        <f t="shared" si="2"/>
        <v/>
      </c>
      <c r="AC40" s="136"/>
      <c r="AD40" s="228"/>
      <c r="AE40" s="230" t="str">
        <f t="shared" si="3"/>
        <v/>
      </c>
      <c r="AF40" s="231">
        <f t="shared" si="4"/>
        <v>0</v>
      </c>
      <c r="AG40" s="228"/>
      <c r="AH40" s="230" t="str">
        <f t="shared" si="5"/>
        <v/>
      </c>
      <c r="AI40" s="231">
        <f t="shared" si="6"/>
        <v>0</v>
      </c>
      <c r="AJ40" s="467">
        <f t="shared" si="7"/>
        <v>0</v>
      </c>
      <c r="AK40" s="468">
        <f t="shared" si="8"/>
        <v>0</v>
      </c>
      <c r="AL40" s="469">
        <f t="shared" si="9"/>
        <v>0</v>
      </c>
      <c r="AM40" s="470">
        <f t="shared" si="10"/>
        <v>0</v>
      </c>
      <c r="AN40" s="471">
        <f t="shared" si="11"/>
        <v>0</v>
      </c>
      <c r="AO40" s="11"/>
    </row>
    <row r="41" spans="1:41" x14ac:dyDescent="0.25">
      <c r="A41" s="11" t="s">
        <v>102</v>
      </c>
      <c r="B41" s="11"/>
      <c r="C41" s="192" t="s">
        <v>101</v>
      </c>
      <c r="D41" s="11" t="s">
        <v>107</v>
      </c>
      <c r="E41" s="11"/>
      <c r="F41" s="11" t="s">
        <v>99</v>
      </c>
      <c r="G41" s="11"/>
      <c r="H41" s="84" t="s">
        <v>280</v>
      </c>
      <c r="I41" s="184" t="str">
        <f>IF(_epmOfflineCondition_,"T3",_xll.EVPRO($B$1,$H41,"STYLE"))</f>
        <v>T3</v>
      </c>
      <c r="J41" s="184" t="str">
        <f>IF(_epmOfflineCondition_,"Y",_xll.EVPRO($B$1,$H41,"CALC"))</f>
        <v>Y</v>
      </c>
      <c r="K41" s="185" t="str">
        <f t="shared" si="0"/>
        <v/>
      </c>
      <c r="L41" s="186" t="str">
        <f>IF(_epmOfflineCondition_,"400000",_xll.EVPRO($B$1,H41,"JDEID"))</f>
        <v>400000</v>
      </c>
      <c r="M41" s="186" t="str">
        <f>IF(_epmOfflineCondition_,"",IF(AND(I41="N",J41="N"),_xll.EVPRO($B$1,H41,"PSFTID"),""))</f>
        <v/>
      </c>
      <c r="N41" s="186" t="str">
        <f>IF(_epmOfflineCondition_,"Total Revenue",IF(_xll.EVDES(H41,$B$1)="#NODATA","",_xll.EVDES(H41,$B$1)))</f>
        <v>Total Revenue</v>
      </c>
      <c r="O41" s="566">
        <v>10421.950000000001</v>
      </c>
      <c r="P41" s="566">
        <v>7973.89</v>
      </c>
      <c r="Q41" s="566">
        <v>9392</v>
      </c>
      <c r="R41" s="566">
        <v>9111</v>
      </c>
      <c r="S41" s="566">
        <v>9783.6200000000008</v>
      </c>
      <c r="T41" s="236">
        <v>6055</v>
      </c>
      <c r="U41" s="236">
        <v>9305</v>
      </c>
      <c r="V41" s="236">
        <v>8985</v>
      </c>
      <c r="W41" s="236">
        <v>6392.92</v>
      </c>
      <c r="X41" s="236">
        <v>7772.22</v>
      </c>
      <c r="Y41" s="236">
        <v>10147.629999999999</v>
      </c>
      <c r="Z41" s="236">
        <v>15472.41</v>
      </c>
      <c r="AA41" s="236">
        <f t="shared" si="1"/>
        <v>110812.64</v>
      </c>
      <c r="AB41" s="237">
        <f t="shared" si="2"/>
        <v>1</v>
      </c>
      <c r="AC41" s="238"/>
      <c r="AD41" s="236">
        <v>122620.82</v>
      </c>
      <c r="AE41" s="237">
        <f t="shared" si="3"/>
        <v>1</v>
      </c>
      <c r="AF41" s="239">
        <f t="shared" si="4"/>
        <v>-11808.180000000008</v>
      </c>
      <c r="AG41" s="236">
        <v>46329.42</v>
      </c>
      <c r="AH41" s="237">
        <f t="shared" si="5"/>
        <v>1</v>
      </c>
      <c r="AI41" s="239">
        <f t="shared" si="6"/>
        <v>64483.22</v>
      </c>
      <c r="AJ41" s="215">
        <f t="shared" si="7"/>
        <v>3.3700091235326317</v>
      </c>
      <c r="AK41" s="216">
        <f t="shared" si="8"/>
        <v>3.37</v>
      </c>
      <c r="AL41" s="218">
        <f t="shared" si="9"/>
        <v>3.0520039525691698</v>
      </c>
      <c r="AM41" s="423" t="str">
        <f t="shared" si="10"/>
        <v>0 pts.</v>
      </c>
      <c r="AN41" s="474" t="str">
        <f t="shared" si="11"/>
        <v>0 pts.</v>
      </c>
      <c r="AO41" s="11"/>
    </row>
    <row r="42" spans="1:41" x14ac:dyDescent="0.25">
      <c r="A42" s="11" t="s">
        <v>108</v>
      </c>
      <c r="B42" s="11"/>
      <c r="C42" s="102" t="s">
        <v>101</v>
      </c>
      <c r="D42" s="11" t="s">
        <v>106</v>
      </c>
      <c r="E42" s="11"/>
      <c r="F42" s="11" t="s">
        <v>98</v>
      </c>
      <c r="G42" s="11"/>
      <c r="H42" s="11"/>
      <c r="I42" s="55"/>
      <c r="J42" s="55"/>
      <c r="K42" s="11"/>
      <c r="L42" s="11"/>
      <c r="M42" s="11"/>
      <c r="N42" s="11"/>
      <c r="O42" s="199"/>
      <c r="P42" s="200"/>
      <c r="Q42" s="200"/>
      <c r="R42" s="200"/>
      <c r="S42" s="200"/>
      <c r="T42" s="200"/>
      <c r="U42" s="200"/>
      <c r="V42" s="200"/>
      <c r="W42" s="200"/>
      <c r="X42" s="200"/>
      <c r="Y42" s="200"/>
      <c r="Z42" s="200"/>
      <c r="AA42" s="200"/>
      <c r="AB42" s="114"/>
      <c r="AC42" s="11"/>
      <c r="AD42" s="199"/>
      <c r="AE42" s="200"/>
      <c r="AF42" s="114"/>
      <c r="AG42" s="199"/>
      <c r="AH42" s="200"/>
      <c r="AI42" s="114"/>
      <c r="AJ42" s="11"/>
      <c r="AK42" s="11"/>
      <c r="AL42" s="11"/>
      <c r="AM42" s="11"/>
      <c r="AN42" s="11"/>
      <c r="AO42" s="11"/>
    </row>
    <row r="43" spans="1:41" x14ac:dyDescent="0.25">
      <c r="A43" s="11" t="s">
        <v>108</v>
      </c>
      <c r="B43" s="11"/>
      <c r="C43" s="192" t="s">
        <v>101</v>
      </c>
      <c r="D43" s="11" t="s">
        <v>107</v>
      </c>
      <c r="E43" s="11"/>
      <c r="F43" s="11" t="s">
        <v>99</v>
      </c>
      <c r="G43" s="11"/>
      <c r="H43" s="11" t="s">
        <v>281</v>
      </c>
      <c r="I43" s="55" t="str">
        <f>IF(_epmOfflineCondition_,"B1",_xll.EVPRO($B$1,$H43,"STYLE"))</f>
        <v>B1</v>
      </c>
      <c r="J43" s="55" t="str">
        <f>IF(_epmOfflineCondition_,"Y",_xll.EVPRO($B$1,$H43,"CALC"))</f>
        <v>Y</v>
      </c>
      <c r="K43" s="11"/>
      <c r="L43" s="11"/>
      <c r="M43" s="11"/>
      <c r="N43" s="101" t="str">
        <f>IF(_epmOfflineCondition_,"Cost of Sales",IF(_xll.EVDES(H43,$B$1)="#NODATA","",_xll.EVDES(H43,$B$1)))</f>
        <v>Cost of Sales</v>
      </c>
      <c r="O43" s="199"/>
      <c r="P43" s="200"/>
      <c r="Q43" s="200"/>
      <c r="R43" s="200"/>
      <c r="S43" s="200"/>
      <c r="T43" s="200"/>
      <c r="U43" s="200"/>
      <c r="V43" s="200"/>
      <c r="W43" s="200"/>
      <c r="X43" s="200"/>
      <c r="Y43" s="200"/>
      <c r="Z43" s="200"/>
      <c r="AA43" s="200"/>
      <c r="AB43" s="114"/>
      <c r="AC43" s="11"/>
      <c r="AD43" s="199"/>
      <c r="AE43" s="200"/>
      <c r="AF43" s="114"/>
      <c r="AG43" s="199"/>
      <c r="AH43" s="200"/>
      <c r="AI43" s="114"/>
      <c r="AJ43" s="11"/>
      <c r="AK43" s="11"/>
      <c r="AL43" s="11"/>
      <c r="AM43" s="11"/>
      <c r="AN43" s="11"/>
      <c r="AO43" s="11"/>
    </row>
    <row r="44" spans="1:41" x14ac:dyDescent="0.25">
      <c r="A44" s="11"/>
      <c r="B44" s="11"/>
      <c r="C44" s="11"/>
      <c r="D44" s="11"/>
      <c r="E44" s="11"/>
      <c r="F44" s="11"/>
      <c r="G44" s="11"/>
      <c r="H44" s="11" t="s">
        <v>284</v>
      </c>
      <c r="I44" s="55" t="str">
        <f>IF(_epmOfflineCondition_,"B1",_xll.EVPRO($B$1,$H44,"STYLE"))</f>
        <v>B1</v>
      </c>
      <c r="J44" s="55" t="str">
        <f>IF(_epmOfflineCondition_,"Y",_xll.EVPRO($B$1,$H44,"CALC"))</f>
        <v>Y</v>
      </c>
      <c r="K44" s="11"/>
      <c r="L44" s="11"/>
      <c r="M44" s="11"/>
      <c r="N44" s="49" t="str">
        <f>IF(_epmOfflineCondition_,"Cost of Food &amp; Beverage Sales",IF(_xll.EVDES(H44,$B$1)="#NODATA","",_xll.EVDES(H44,$B$1)))</f>
        <v>Cost of Food &amp; Beverage Sales</v>
      </c>
      <c r="O44" s="199"/>
      <c r="P44" s="200"/>
      <c r="Q44" s="200"/>
      <c r="R44" s="200"/>
      <c r="S44" s="200"/>
      <c r="T44" s="200"/>
      <c r="U44" s="200"/>
      <c r="V44" s="200"/>
      <c r="W44" s="200"/>
      <c r="X44" s="200"/>
      <c r="Y44" s="200"/>
      <c r="Z44" s="200"/>
      <c r="AA44" s="200"/>
      <c r="AB44" s="114"/>
      <c r="AC44" s="11"/>
      <c r="AD44" s="199"/>
      <c r="AE44" s="200"/>
      <c r="AF44" s="114"/>
      <c r="AG44" s="199"/>
      <c r="AH44" s="200"/>
      <c r="AI44" s="114"/>
      <c r="AJ44" s="11"/>
      <c r="AK44" s="11"/>
      <c r="AL44" s="11"/>
      <c r="AM44" s="11"/>
      <c r="AN44" s="11"/>
      <c r="AO44" s="11"/>
    </row>
    <row r="45" spans="1:41" x14ac:dyDescent="0.25">
      <c r="A45" s="11"/>
      <c r="B45" s="11"/>
      <c r="C45" s="11"/>
      <c r="D45" s="11"/>
      <c r="E45" s="11"/>
      <c r="F45" s="11"/>
      <c r="G45" s="11"/>
      <c r="H45" s="84" t="s">
        <v>353</v>
      </c>
      <c r="I45" s="118" t="str">
        <f>IF(_epmOfflineCondition_,"N",_xll.EVPRO($B$1,$H45,"STYLE"))</f>
        <v>N</v>
      </c>
      <c r="J45" s="118" t="str">
        <f>IF(_epmOfflineCondition_,"N",_xll.EVPRO($B$1,$H45,"CALC"))</f>
        <v>N</v>
      </c>
      <c r="K45" s="175" t="str">
        <f t="shared" ref="K45:K51" si="12">IF(AND(I45&gt;="T5"),"&gt;","")</f>
        <v/>
      </c>
      <c r="L45" s="86" t="str">
        <f>IF(_epmOfflineCondition_,"567100",_xll.EVPRO($B$1,H45,"JDEID"))</f>
        <v>567100</v>
      </c>
      <c r="M45" s="86" t="str">
        <f>IF(_epmOfflineCondition_,"301010",IF(AND(I45="N",J45="N"),_xll.EVPRO($B$1,H45,"PSFTID"),""))</f>
        <v>301010</v>
      </c>
      <c r="N45" s="86" t="str">
        <f>IF(_epmOfflineCondition_,"Mini Bar Cost of Food",IF(_xll.EVDES(H45,$B$1)="#NODATA","",_xll.EVDES(H45,$B$1)))</f>
        <v>Mini Bar Cost of Food</v>
      </c>
      <c r="O45" s="569">
        <v>972.37</v>
      </c>
      <c r="P45" s="569">
        <v>865.23</v>
      </c>
      <c r="Q45" s="569">
        <v>1027.22</v>
      </c>
      <c r="R45" s="569">
        <v>1787.33</v>
      </c>
      <c r="S45" s="569">
        <v>1045.68</v>
      </c>
      <c r="T45" s="134">
        <v>985.76</v>
      </c>
      <c r="U45" s="134">
        <v>1633.19</v>
      </c>
      <c r="V45" s="134">
        <v>525.39</v>
      </c>
      <c r="W45" s="134">
        <v>797.76</v>
      </c>
      <c r="X45" s="134">
        <v>965.86</v>
      </c>
      <c r="Y45" s="134">
        <v>1103.68</v>
      </c>
      <c r="Z45" s="134">
        <v>2260.33</v>
      </c>
      <c r="AA45" s="223">
        <f>IF($I45="B1","",SUM(O45:Z45))</f>
        <v>13969.800000000001</v>
      </c>
      <c r="AB45" s="138">
        <f>IF(_epmOfflineCondition_,0.212668430251596,IF(AA45=0,"",IFERROR(AA45/_xll.EVGTS($B$1,1,_xll.EVPRO($B$1,$H45,"COSBASIS"),$B$3,$B$5,$B$6,$B$7,$B$9,AA$16,AA$17,AA$11),"")))</f>
        <v>0.21266843025159601</v>
      </c>
      <c r="AC45" s="136"/>
      <c r="AD45" s="134">
        <v>25524.778999999999</v>
      </c>
      <c r="AE45" s="138">
        <f>IF(_epmOfflineCondition_,0.305,IF(AD45=0,"",IFERROR(AD45/_xll.EVGTS($B$1,1,_xll.EVPRO($B$1,$H45,"COSBASIS"),$B$3,$B$5,$B$6,$B$7,$B$9,AD$16,AD$17,AD$18),"")))</f>
        <v>0.30499999999999999</v>
      </c>
      <c r="AF45" s="137">
        <f t="shared" ref="AF45:AF51" si="13">IF(AND($AA45="",AD45=""),"",$AA45-AD45)</f>
        <v>-11554.978999999998</v>
      </c>
      <c r="AG45" s="134">
        <v>8106.36</v>
      </c>
      <c r="AH45" s="138">
        <f>IF(_epmOfflineCondition_,0.242959551099264,IF(AG45=0,"",IFERROR(AG45/_xll.EVGTS($B$1,1,_xll.EVPRO($B$1,$H45,"COSBASIS"),$B$3,$B$5,$B$6,$B$7,$B$9,AG$16,AG$17,AG$18),"")))</f>
        <v>0.24295955109926401</v>
      </c>
      <c r="AI45" s="137">
        <f t="shared" ref="AI45:AI51" si="14">IF(AND($AA45="",AG45=""),"",$AA45-AG45)</f>
        <v>5863.4400000000014</v>
      </c>
      <c r="AJ45" s="458">
        <f t="shared" ref="AJ45:AJ51" si="15">IFERROR(AA45/AA$20,0)</f>
        <v>0.42484642053403082</v>
      </c>
      <c r="AK45" s="459">
        <f t="shared" ref="AK45:AK51" si="16">IFERROR(AD45/AD$20,0)</f>
        <v>0.70150000000000001</v>
      </c>
      <c r="AL45" s="460">
        <f t="shared" ref="AL45:AL51" si="17">IFERROR(AG45/AG$20,0)</f>
        <v>0.53401581027667977</v>
      </c>
      <c r="AM45" s="461" t="str">
        <f t="shared" ref="AM45:AM51" si="18">+IFERROR(ROUND(($AB45-AE45)*100,2)&amp;" pts.",0)</f>
        <v>-9.23 pts.</v>
      </c>
      <c r="AN45" s="462" t="str">
        <f t="shared" ref="AN45:AN51" si="19">+IFERROR(ROUND(($AB45-AH45)*100,2)&amp;" pts.",0)</f>
        <v>-3.03 pts.</v>
      </c>
      <c r="AO45" s="11"/>
    </row>
    <row r="46" spans="1:41" x14ac:dyDescent="0.25">
      <c r="A46" s="56" t="str">
        <f>IF(_epmOfflineCondition_,"Evdre:Ok",_xll.EVDRE($B$1,A49:B56,A59:B65))</f>
        <v>Evdre:Ok</v>
      </c>
      <c r="B46" s="11"/>
      <c r="C46" s="11"/>
      <c r="D46" s="11"/>
      <c r="E46" s="11"/>
      <c r="F46" s="11"/>
      <c r="G46" s="11"/>
      <c r="H46" s="84" t="s">
        <v>354</v>
      </c>
      <c r="I46" s="118" t="str">
        <f>IF(_epmOfflineCondition_,"N",_xll.EVPRO($B$1,$H46,"STYLE"))</f>
        <v>N</v>
      </c>
      <c r="J46" s="118" t="str">
        <f>IF(_epmOfflineCondition_,"N",_xll.EVPRO($B$1,$H46,"CALC"))</f>
        <v>N</v>
      </c>
      <c r="K46" s="175" t="str">
        <f t="shared" si="12"/>
        <v/>
      </c>
      <c r="L46" s="86" t="str">
        <f>IF(_epmOfflineCondition_,"567200",_xll.EVPRO($B$1,H46,"JDEID"))</f>
        <v>567200</v>
      </c>
      <c r="M46" s="86" t="str">
        <f>IF(_epmOfflineCondition_,"302010",IF(AND(I46="N",J46="N"),_xll.EVPRO($B$1,H46,"PSFTID"),""))</f>
        <v>302010</v>
      </c>
      <c r="N46" s="86" t="str">
        <f>IF(_epmOfflineCondition_,"Mini Bar Cost of Beverage",IF(_xll.EVDES(H46,$B$1)="#NODATA","",_xll.EVDES(H46,$B$1)))</f>
        <v>Mini Bar Cost of Beverage</v>
      </c>
      <c r="O46" s="565">
        <v>1225.01</v>
      </c>
      <c r="P46" s="565">
        <v>1013.32</v>
      </c>
      <c r="Q46" s="565">
        <v>849.43</v>
      </c>
      <c r="R46" s="565">
        <v>698.69</v>
      </c>
      <c r="S46" s="565">
        <v>1323.8</v>
      </c>
      <c r="T46" s="228">
        <v>650.48</v>
      </c>
      <c r="U46" s="228">
        <v>2090.2399999999998</v>
      </c>
      <c r="V46" s="228">
        <v>955.91</v>
      </c>
      <c r="W46" s="228">
        <v>876.15</v>
      </c>
      <c r="X46" s="228">
        <v>-182.84</v>
      </c>
      <c r="Y46" s="228">
        <v>959.27</v>
      </c>
      <c r="Z46" s="228">
        <v>1104.19</v>
      </c>
      <c r="AA46" s="229">
        <f>IF($I46="B1","",SUM(O46:Z46))</f>
        <v>11563.65</v>
      </c>
      <c r="AB46" s="230">
        <f>IF(_epmOfflineCondition_,0.292033487385408,IF(AA46=0,"",IFERROR(AA46/_xll.EVGTS($B$1,1,_xll.EVPRO($B$1,$H46,"COSBASIS"),$B$3,$B$5,$B$6,$B$7,$B$9,AA$16,AA$17,AA$11),"")))</f>
        <v>0.29203348738540802</v>
      </c>
      <c r="AC46" s="136"/>
      <c r="AD46" s="228">
        <v>10947.09196</v>
      </c>
      <c r="AE46" s="230">
        <f>IF(_epmOfflineCondition_,0.307,IF(AD46=0,"",IFERROR(AD46/_xll.EVGTS($B$1,1,_xll.EVPRO($B$1,$H46,"COSBASIS"),$B$3,$B$5,$B$6,$B$7,$B$9,AD$16,AD$17,AD$18),"")))</f>
        <v>0.307</v>
      </c>
      <c r="AF46" s="231">
        <f t="shared" si="13"/>
        <v>616.55803999999989</v>
      </c>
      <c r="AG46" s="228">
        <v>7392.04</v>
      </c>
      <c r="AH46" s="230">
        <f>IF(_epmOfflineCondition_,0.565529798791217,IF(AG46=0,"",IFERROR(AG46/_xll.EVGTS($B$1,1,_xll.EVPRO($B$1,$H46,"COSBASIS"),$B$3,$B$5,$B$6,$B$7,$B$9,AG$16,AG$17,AG$18),"")))</f>
        <v>0.56552979879121701</v>
      </c>
      <c r="AI46" s="231">
        <f t="shared" si="14"/>
        <v>4171.6099999999997</v>
      </c>
      <c r="AJ46" s="467">
        <f t="shared" si="15"/>
        <v>0.35167112706039777</v>
      </c>
      <c r="AK46" s="468">
        <f t="shared" si="16"/>
        <v>0.30086000000000002</v>
      </c>
      <c r="AL46" s="469">
        <f t="shared" si="17"/>
        <v>0.48695915678524376</v>
      </c>
      <c r="AM46" s="470" t="str">
        <f t="shared" si="18"/>
        <v>-1.5 pts.</v>
      </c>
      <c r="AN46" s="471" t="str">
        <f t="shared" si="19"/>
        <v>-27.35 pts.</v>
      </c>
      <c r="AO46" s="11"/>
    </row>
    <row r="47" spans="1:41" x14ac:dyDescent="0.25">
      <c r="A47" s="11"/>
      <c r="B47" s="11"/>
      <c r="C47" s="11"/>
      <c r="D47" s="11"/>
      <c r="E47" s="11"/>
      <c r="F47" s="11"/>
      <c r="G47" s="11"/>
      <c r="H47" s="84" t="s">
        <v>286</v>
      </c>
      <c r="I47" s="184" t="str">
        <f>IF(_epmOfflineCondition_,"T4",_xll.EVPRO($B$1,$H47,"STYLE"))</f>
        <v>T4</v>
      </c>
      <c r="J47" s="184" t="str">
        <f>IF(_epmOfflineCondition_,"Y",_xll.EVPRO($B$1,$H47,"CALC"))</f>
        <v>Y</v>
      </c>
      <c r="K47" s="185" t="str">
        <f t="shared" si="12"/>
        <v/>
      </c>
      <c r="L47" s="186" t="str">
        <f>IF(_epmOfflineCondition_,"",_xll.EVPRO($B$1,H47,"JDEID"))</f>
        <v/>
      </c>
      <c r="M47" s="186" t="str">
        <f>IF(_epmOfflineCondition_,"",IF(AND(I47="N",J47="N"),_xll.EVPRO($B$1,H47,"PSFTID"),""))</f>
        <v/>
      </c>
      <c r="N47" s="186" t="str">
        <f>IF(_epmOfflineCondition_,"Total Cost of Food &amp; Beverage Sales",IF(_xll.EVDES(H47,$B$1)="#NODATA","",_xll.EVDES(H47,$B$1)))</f>
        <v>Total Cost of Food &amp; Beverage Sales</v>
      </c>
      <c r="O47" s="566">
        <v>2197.38</v>
      </c>
      <c r="P47" s="566">
        <v>1878.55</v>
      </c>
      <c r="Q47" s="566">
        <v>1876.65</v>
      </c>
      <c r="R47" s="566">
        <v>2486.02</v>
      </c>
      <c r="S47" s="566">
        <v>2369.48</v>
      </c>
      <c r="T47" s="236">
        <v>1636.24</v>
      </c>
      <c r="U47" s="236">
        <v>3723.43</v>
      </c>
      <c r="V47" s="236">
        <v>1481.3</v>
      </c>
      <c r="W47" s="236">
        <v>1673.91</v>
      </c>
      <c r="X47" s="236">
        <v>783.02</v>
      </c>
      <c r="Y47" s="236">
        <v>2062.9499999999998</v>
      </c>
      <c r="Z47" s="236">
        <v>3364.52</v>
      </c>
      <c r="AA47" s="236">
        <f>IF($I47="B1","",SUM(O47:Z47))</f>
        <v>25533.45</v>
      </c>
      <c r="AB47" s="237">
        <f>IF(_epmOfflineCondition_,0.242630857809876,IF(AA47=0,"",IFERROR(AA47/_xll.EVGTS($B$1,1,_xll.EVPRO($B$1,$H47,"COSBASIS"),$B$3,$B$5,$B$6,$B$7,$B$9,AA$16,AA$17,AA$11),"")))</f>
        <v>0.242630857809876</v>
      </c>
      <c r="AC47" s="238"/>
      <c r="AD47" s="236">
        <v>36471.87096</v>
      </c>
      <c r="AE47" s="237">
        <f>IF(_epmOfflineCondition_,0.30559756097561,IF(AD47=0,"",IFERROR(AD47/_xll.EVGTS($B$1,1,_xll.EVPRO($B$1,$H47,"COSBASIS"),$B$3,$B$5,$B$6,$B$7,$B$9,AD$16,AD$17,AD$18),"")))</f>
        <v>0.30559756097561003</v>
      </c>
      <c r="AF47" s="239">
        <f t="shared" si="13"/>
        <v>-10938.420959999999</v>
      </c>
      <c r="AG47" s="236">
        <v>15498.4</v>
      </c>
      <c r="AH47" s="237">
        <f>IF(_epmOfflineCondition_,0.334619990059681,IF(AG47=0,"",IFERROR(AG47/_xll.EVGTS($B$1,1,_xll.EVPRO($B$1,$H47,"COSBASIS"),$B$3,$B$5,$B$6,$B$7,$B$9,AG$16,AG$17,AG$18),"")))</f>
        <v>0.33461999005968102</v>
      </c>
      <c r="AI47" s="239">
        <f t="shared" si="14"/>
        <v>10035.050000000001</v>
      </c>
      <c r="AJ47" s="215">
        <f t="shared" si="15"/>
        <v>0.77651754759442859</v>
      </c>
      <c r="AK47" s="216">
        <f t="shared" si="16"/>
        <v>1.0023599999999999</v>
      </c>
      <c r="AL47" s="218">
        <f t="shared" si="17"/>
        <v>1.0209749670619235</v>
      </c>
      <c r="AM47" s="423" t="str">
        <f t="shared" si="18"/>
        <v>-6.3 pts.</v>
      </c>
      <c r="AN47" s="474" t="str">
        <f t="shared" si="19"/>
        <v>-9.2 pts.</v>
      </c>
      <c r="AO47" s="11"/>
    </row>
    <row r="48" spans="1:41" x14ac:dyDescent="0.25">
      <c r="A48" s="57" t="s">
        <v>0</v>
      </c>
      <c r="B48" s="58" t="s">
        <v>1</v>
      </c>
      <c r="C48" s="11"/>
      <c r="D48" s="11"/>
      <c r="E48" s="11"/>
      <c r="F48" s="11"/>
      <c r="G48" s="11"/>
      <c r="H48" s="84" t="s">
        <v>355</v>
      </c>
      <c r="I48" s="118" t="str">
        <f>IF(_epmOfflineCondition_,"N",_xll.EVPRO($B$1,$H48,"STYLE"))</f>
        <v>N</v>
      </c>
      <c r="J48" s="118" t="str">
        <f>IF(_epmOfflineCondition_,"N",_xll.EVPRO($B$1,$H48,"CALC"))</f>
        <v>N</v>
      </c>
      <c r="K48" s="175" t="str">
        <f t="shared" si="12"/>
        <v/>
      </c>
      <c r="L48" s="86" t="str">
        <f>IF(_epmOfflineCondition_,"567300",_xll.EVPRO($B$1,H48,"JDEID"))</f>
        <v>567300</v>
      </c>
      <c r="M48" s="86" t="str">
        <f>IF(_epmOfflineCondition_,"306099",IF(AND(I48="N",J48="N"),_xll.EVPRO($B$1,H48,"PSFTID"),""))</f>
        <v>306099</v>
      </c>
      <c r="N48" s="86" t="str">
        <f>IF(_epmOfflineCondition_,"Mini Bar Cost of Merchandise",IF(_xll.EVDES(H48,$B$1)="#NODATA","",_xll.EVDES(H48,$B$1)))</f>
        <v>Mini Bar Cost of Merchandise</v>
      </c>
      <c r="O48" s="567">
        <v>60</v>
      </c>
      <c r="P48" s="567">
        <v>77.64</v>
      </c>
      <c r="Q48" s="567">
        <v>51.3</v>
      </c>
      <c r="R48" s="567">
        <v>60.47</v>
      </c>
      <c r="S48" s="567">
        <v>43.48</v>
      </c>
      <c r="T48" s="248">
        <v>60.35</v>
      </c>
      <c r="U48" s="248">
        <v>1489.48</v>
      </c>
      <c r="V48" s="248">
        <v>401.01</v>
      </c>
      <c r="W48" s="248">
        <v>174.81</v>
      </c>
      <c r="X48" s="248">
        <v>641.46</v>
      </c>
      <c r="Y48" s="248">
        <v>570.9</v>
      </c>
      <c r="Z48" s="248">
        <v>578.79999999999995</v>
      </c>
      <c r="AA48" s="248">
        <f>IF($I48="B1","",SUM(O48:Z48))</f>
        <v>4209.7</v>
      </c>
      <c r="AB48" s="249">
        <f>IF(_epmOfflineCondition_,0.754852649793342,IF(AA48=0,"",IFERROR(AA48/_xll.EVGTS($B$1,1,_xll.EVPRO($B$1,$H48,"COSBASIS"),$B$3,$B$5,$B$6,$B$7,$B$9,AA$16,AA$17,AA$11),"")))</f>
        <v>0.75485264979334199</v>
      </c>
      <c r="AC48" s="136"/>
      <c r="AD48" s="248">
        <v>776.11338000000001</v>
      </c>
      <c r="AE48" s="249">
        <f>IF(_epmOfflineCondition_,0.237,IF(AD48=0,"",IFERROR(AD48/_xll.EVGTS($B$1,1,_xll.EVPRO($B$1,$H48,"COSBASIS"),$B$3,$B$5,$B$6,$B$7,$B$9,AD$16,AD$17,AD$18),"")))</f>
        <v>0.23699999999999999</v>
      </c>
      <c r="AF48" s="250">
        <f t="shared" si="13"/>
        <v>3433.58662</v>
      </c>
      <c r="AG48" s="248">
        <v>189.45</v>
      </c>
      <c r="AH48" s="249">
        <f>IF(_epmOfflineCondition_,14.5730769230769,IF(AG48=0,"",IFERROR(AG48/_xll.EVGTS($B$1,1,_xll.EVPRO($B$1,$H48,"COSBASIS"),$B$3,$B$5,$B$6,$B$7,$B$9,AG$16,AG$17,AG$18),"")))</f>
        <v>14.573076923076901</v>
      </c>
      <c r="AI48" s="250">
        <f t="shared" si="14"/>
        <v>4020.25</v>
      </c>
      <c r="AJ48" s="532">
        <f t="shared" si="15"/>
        <v>0.1280244510674533</v>
      </c>
      <c r="AK48" s="533">
        <f t="shared" si="16"/>
        <v>2.1330000000000002E-2</v>
      </c>
      <c r="AL48" s="534">
        <f t="shared" si="17"/>
        <v>1.2480237154150198E-2</v>
      </c>
      <c r="AM48" s="535" t="str">
        <f t="shared" si="18"/>
        <v>51.79 pts.</v>
      </c>
      <c r="AN48" s="536" t="str">
        <f t="shared" si="19"/>
        <v>-1381.82 pts.</v>
      </c>
      <c r="AO48" s="11"/>
    </row>
    <row r="49" spans="1:41" x14ac:dyDescent="0.25">
      <c r="A49" s="61" t="s">
        <v>2</v>
      </c>
      <c r="B49" s="62" t="str">
        <f>IF(_epmOfflineCondition_,"'Mini_Bar'!$B$2:$B$10",_xll.EVRNG($B$2:$B$10))</f>
        <v>'Mini_Bar'!$B$2:$B$10</v>
      </c>
      <c r="C49" s="11"/>
      <c r="D49" s="11"/>
      <c r="E49" s="11"/>
      <c r="F49" s="11"/>
      <c r="G49" s="11"/>
      <c r="H49" s="84" t="s">
        <v>289</v>
      </c>
      <c r="I49" s="184" t="str">
        <f>IF(_epmOfflineCondition_,"T3",_xll.EVPRO($B$1,$H49,"STYLE"))</f>
        <v>T3</v>
      </c>
      <c r="J49" s="184" t="str">
        <f>IF(_epmOfflineCondition_,"Y",_xll.EVPRO($B$1,$H49,"CALC"))</f>
        <v>Y</v>
      </c>
      <c r="K49" s="185" t="str">
        <f t="shared" si="12"/>
        <v/>
      </c>
      <c r="L49" s="186" t="str">
        <f>IF(_epmOfflineCondition_,"500001",_xll.EVPRO($B$1,H49,"JDEID"))</f>
        <v>500001</v>
      </c>
      <c r="M49" s="186" t="str">
        <f>IF(_epmOfflineCondition_,"",IF(AND(I49="N",J49="N"),_xll.EVPRO($B$1,H49,"PSFTID"),""))</f>
        <v/>
      </c>
      <c r="N49" s="186" t="str">
        <f>IF(_epmOfflineCondition_,"Total Cost of Sales",IF(_xll.EVDES(H49,$B$1)="#NODATA","",_xll.EVDES(H49,$B$1)))</f>
        <v>Total Cost of Sales</v>
      </c>
      <c r="O49" s="566">
        <v>2257.38</v>
      </c>
      <c r="P49" s="566">
        <v>1956.19</v>
      </c>
      <c r="Q49" s="566">
        <v>1927.95</v>
      </c>
      <c r="R49" s="566">
        <v>2546.4899999999998</v>
      </c>
      <c r="S49" s="566">
        <v>2412.96</v>
      </c>
      <c r="T49" s="236">
        <v>1696.59</v>
      </c>
      <c r="U49" s="236">
        <v>5212.91</v>
      </c>
      <c r="V49" s="236">
        <v>1882.31</v>
      </c>
      <c r="W49" s="236">
        <v>1848.72</v>
      </c>
      <c r="X49" s="236">
        <v>1424.48</v>
      </c>
      <c r="Y49" s="236">
        <v>2633.85</v>
      </c>
      <c r="Z49" s="236">
        <v>3943.32</v>
      </c>
      <c r="AA49" s="236">
        <f>IF($I49="B1","",SUM(O49:Z49))</f>
        <v>29743.149999999998</v>
      </c>
      <c r="AB49" s="237">
        <f>IF(_epmOfflineCondition_,0.268409361964483,IF(AA49=0,"",IFERROR(AA49/_xll.EVGTS($B$1,1,_xll.EVPRO($B$1,$H49,"COSBASIS"),$B$3,$B$5,$B$6,$B$7,$B$9,AA$16,AA$17,AA$11),"")))</f>
        <v>0.26840936196448301</v>
      </c>
      <c r="AC49" s="238"/>
      <c r="AD49" s="236">
        <v>37247.984340000003</v>
      </c>
      <c r="AE49" s="237">
        <f>IF(_epmOfflineCondition_,0.303765578635015,IF(AD49=0,"",IFERROR(AD49/_xll.EVGTS($B$1,1,_xll.EVPRO($B$1,$H49,"COSBASIS"),$B$3,$B$5,$B$6,$B$7,$B$9,AD$16,AD$17,AD$18),"")))</f>
        <v>0.30376557863501502</v>
      </c>
      <c r="AF49" s="239">
        <f t="shared" si="13"/>
        <v>-7504.8343400000049</v>
      </c>
      <c r="AG49" s="236">
        <v>15687.85</v>
      </c>
      <c r="AH49" s="237">
        <f>IF(_epmOfflineCondition_,0.338615290241061,IF(AG49=0,"",IFERROR(AG49/_xll.EVGTS($B$1,1,_xll.EVPRO($B$1,$H49,"COSBASIS"),$B$3,$B$5,$B$6,$B$7,$B$9,AG$16,AG$17,AG$18),"")))</f>
        <v>0.33861529024106102</v>
      </c>
      <c r="AI49" s="239">
        <f t="shared" si="14"/>
        <v>14055.299999999997</v>
      </c>
      <c r="AJ49" s="215">
        <f t="shared" si="15"/>
        <v>0.90454199866188179</v>
      </c>
      <c r="AK49" s="216">
        <f t="shared" si="16"/>
        <v>1.02369</v>
      </c>
      <c r="AL49" s="218">
        <f t="shared" si="17"/>
        <v>1.0334552042160738</v>
      </c>
      <c r="AM49" s="423" t="str">
        <f t="shared" si="18"/>
        <v>-3.54 pts.</v>
      </c>
      <c r="AN49" s="474" t="str">
        <f t="shared" si="19"/>
        <v>-7.02 pts.</v>
      </c>
      <c r="AO49" s="11"/>
    </row>
    <row r="50" spans="1:41" x14ac:dyDescent="0.25">
      <c r="A50" s="61" t="s">
        <v>3</v>
      </c>
      <c r="B50" s="62" t="str">
        <f>IF(_epmOfflineCondition_,"'Mini_Bar'!$O$16:$AN$18",_xll.EVRNG($O$16:$AN$18))</f>
        <v>'Mini_Bar'!$O$16:$AN$18</v>
      </c>
      <c r="C50" s="11"/>
      <c r="D50" s="11"/>
      <c r="E50" s="11"/>
      <c r="F50" s="11"/>
      <c r="G50" s="11"/>
      <c r="H50" s="181" t="s">
        <v>175</v>
      </c>
      <c r="I50" s="85" t="str">
        <f>IF(_epmOfflineCondition_,"B1",_xll.EVPRO($B$1,$H50,"STYLE"))</f>
        <v>B1</v>
      </c>
      <c r="J50" s="85" t="str">
        <f>IF(_epmOfflineCondition_,"Y",_xll.EVPRO($B$1,$H50,"CALC"))</f>
        <v>Y</v>
      </c>
      <c r="K50" s="261" t="str">
        <f t="shared" si="12"/>
        <v/>
      </c>
      <c r="L50" s="261"/>
      <c r="M50" s="261"/>
      <c r="N50" s="102" t="str">
        <f>IF(_epmOfflineCondition_,"BLANKROW",IF(_xll.EVDES(H50,$B$1)="#NODATA","",_xll.EVDES(H50,$B$1)))</f>
        <v>BLANKROW</v>
      </c>
      <c r="O50" s="201"/>
      <c r="P50" s="201"/>
      <c r="Q50" s="201"/>
      <c r="R50" s="201"/>
      <c r="S50" s="201"/>
      <c r="T50" s="201"/>
      <c r="U50" s="201"/>
      <c r="V50" s="201"/>
      <c r="W50" s="201"/>
      <c r="X50" s="201"/>
      <c r="Y50" s="201"/>
      <c r="Z50" s="201"/>
      <c r="AA50" s="201"/>
      <c r="AB50" s="202" t="str">
        <f>IF(_epmOfflineCondition_,"",IF(O50=0,"",IFERROR(O50/_xll.EVGTS($B$1,1,INDEX($C$150:$C$173,MATCH($H50,$A$150:$A$173,0)),$B$3,$B$5,$B$6,$B$7,$B$9,O$16,O$17,O$18),"")))</f>
        <v/>
      </c>
      <c r="AC50" s="11"/>
      <c r="AD50" s="201"/>
      <c r="AE50" s="202" t="str">
        <f>IF(_epmOfflineCondition_,"",IF(AD50=0,"",IFERROR(AD50/_xll.EVGTS($B$1,1,INDEX($C$150:$C$173,MATCH($H50,$A$150:$A$173,0)),$B$3,$B$5,$B$6,$B$7,$B$9,AD$16,AD$17,AD$18),"")))</f>
        <v/>
      </c>
      <c r="AF50" s="203" t="str">
        <f t="shared" si="13"/>
        <v/>
      </c>
      <c r="AG50" s="201"/>
      <c r="AH50" s="202" t="str">
        <f>IF(_epmOfflineCondition_,"",IF(AG50=0,"",IFERROR(AG50/_xll.EVGTS($B$1,1,INDEX($C$150:$C$173,MATCH($H50,$A$150:$A$173,0)),$B$3,$B$5,$B$6,$B$7,$B$9,AG$16,AG$17,AG$18),"")))</f>
        <v/>
      </c>
      <c r="AI50" s="203" t="str">
        <f t="shared" si="14"/>
        <v/>
      </c>
      <c r="AJ50" s="518">
        <f t="shared" si="15"/>
        <v>0</v>
      </c>
      <c r="AK50" s="519">
        <f t="shared" si="16"/>
        <v>0</v>
      </c>
      <c r="AL50" s="520">
        <f t="shared" si="17"/>
        <v>0</v>
      </c>
      <c r="AM50" s="521">
        <f t="shared" si="18"/>
        <v>0</v>
      </c>
      <c r="AN50" s="522">
        <f t="shared" si="19"/>
        <v>0</v>
      </c>
      <c r="AO50" s="11"/>
    </row>
    <row r="51" spans="1:41" x14ac:dyDescent="0.25">
      <c r="A51" s="61" t="s">
        <v>4</v>
      </c>
      <c r="B51" s="62" t="str">
        <f>IF(_epmOfflineCondition_,"'Mini_Bar'!$H$45:$H$49",_xll.EVRNG(H45:H49))</f>
        <v>'Mini_Bar'!$H$45:$H$49</v>
      </c>
      <c r="C51" s="11"/>
      <c r="D51" s="11"/>
      <c r="E51" s="11"/>
      <c r="F51" s="11"/>
      <c r="G51" s="11"/>
      <c r="H51" s="181" t="s">
        <v>292</v>
      </c>
      <c r="I51" s="85" t="str">
        <f>IF(_epmOfflineCondition_,"T3",_xll.EVPRO($B$1,$H51,"STYLE"))</f>
        <v>T3</v>
      </c>
      <c r="J51" s="85" t="str">
        <f>IF(_epmOfflineCondition_,"Y",_xll.EVPRO($B$1,$H51,"CALC"))</f>
        <v>Y</v>
      </c>
      <c r="K51" s="261" t="str">
        <f t="shared" si="12"/>
        <v/>
      </c>
      <c r="L51" s="261"/>
      <c r="M51" s="261"/>
      <c r="N51" s="102" t="str">
        <f>IF(_epmOfflineCondition_,"Gross Profit",IF(_xll.EVDES(H51,$B$1)="#NODATA","",_xll.EVDES(H51,$B$1)))</f>
        <v>Gross Profit</v>
      </c>
      <c r="O51" s="119">
        <f t="shared" ref="O51:Z51" si="20">SUMIF($H$35:$H$49,"400000",O35:O49)-SUMIF($H$35:$H$49,"500001",O35:O49)</f>
        <v>8164.5700000000006</v>
      </c>
      <c r="P51" s="119">
        <f t="shared" si="20"/>
        <v>6017.7000000000007</v>
      </c>
      <c r="Q51" s="119">
        <f t="shared" si="20"/>
        <v>7464.05</v>
      </c>
      <c r="R51" s="119">
        <f t="shared" si="20"/>
        <v>6564.51</v>
      </c>
      <c r="S51" s="119">
        <f t="shared" si="20"/>
        <v>7370.6600000000008</v>
      </c>
      <c r="T51" s="119">
        <f t="shared" si="20"/>
        <v>4358.41</v>
      </c>
      <c r="U51" s="119">
        <f t="shared" si="20"/>
        <v>4092.09</v>
      </c>
      <c r="V51" s="119">
        <f t="shared" si="20"/>
        <v>7102.6900000000005</v>
      </c>
      <c r="W51" s="119">
        <f t="shared" si="20"/>
        <v>4544.2</v>
      </c>
      <c r="X51" s="119">
        <f t="shared" si="20"/>
        <v>6347.74</v>
      </c>
      <c r="Y51" s="119">
        <f t="shared" si="20"/>
        <v>7513.7799999999988</v>
      </c>
      <c r="Z51" s="119">
        <f t="shared" si="20"/>
        <v>11529.09</v>
      </c>
      <c r="AA51" s="119">
        <f>IF($I51="B1","",SUM(O51:Z51))</f>
        <v>81069.489999999991</v>
      </c>
      <c r="AB51" s="188">
        <f>IF(AA51=0,"",IFERROR(AA51/AA$19,""))</f>
        <v>0.73159063803551649</v>
      </c>
      <c r="AC51" s="11"/>
      <c r="AD51" s="119">
        <f>SUMIF($H$35:$H$49,"400000",AD35:AD49)-SUMIF($H$35:$H$49,"500001",AD35:AD49)</f>
        <v>85372.835660000012</v>
      </c>
      <c r="AE51" s="188">
        <f>IF(AD51=0,"",IFERROR(AD51/AD$19,""))</f>
        <v>0.69623442136498526</v>
      </c>
      <c r="AF51" s="121">
        <f t="shared" si="13"/>
        <v>-4303.3456600000209</v>
      </c>
      <c r="AG51" s="119">
        <f>SUMIF($H$35:$H$49,"400000",AG35:AG49)-SUMIF($H$35:$H$49,"500001",AG35:AG49)</f>
        <v>30641.57</v>
      </c>
      <c r="AH51" s="188">
        <f>IF(AG51=0,"",IFERROR(AG51/AG$19,""))</f>
        <v>0.66138470975893937</v>
      </c>
      <c r="AI51" s="121">
        <f t="shared" si="14"/>
        <v>50427.919999999991</v>
      </c>
      <c r="AJ51" s="384">
        <f t="shared" si="15"/>
        <v>2.4654671248707496</v>
      </c>
      <c r="AK51" s="385">
        <f t="shared" si="16"/>
        <v>2.3463100000000003</v>
      </c>
      <c r="AL51" s="386">
        <f t="shared" si="17"/>
        <v>2.0185487483530959</v>
      </c>
      <c r="AM51" s="387" t="str">
        <f t="shared" si="18"/>
        <v>3.54 pts.</v>
      </c>
      <c r="AN51" s="539" t="str">
        <f t="shared" si="19"/>
        <v>7.02 pts.</v>
      </c>
      <c r="AO51" s="11"/>
    </row>
    <row r="52" spans="1:41" x14ac:dyDescent="0.25">
      <c r="A52" s="61" t="s">
        <v>5</v>
      </c>
      <c r="B52" s="62"/>
      <c r="C52" s="11"/>
      <c r="D52" s="11"/>
      <c r="E52" s="11"/>
      <c r="F52" s="380"/>
      <c r="G52" s="11"/>
      <c r="H52" s="11"/>
      <c r="I52" s="55"/>
      <c r="J52" s="55"/>
      <c r="K52" s="11"/>
      <c r="L52" s="11"/>
      <c r="M52" s="11"/>
      <c r="N52" s="11"/>
      <c r="O52" s="389"/>
      <c r="P52" s="390"/>
      <c r="Q52" s="390"/>
      <c r="R52" s="390"/>
      <c r="S52" s="390"/>
      <c r="T52" s="390"/>
      <c r="U52" s="390"/>
      <c r="V52" s="390"/>
      <c r="W52" s="390"/>
      <c r="X52" s="390"/>
      <c r="Y52" s="390"/>
      <c r="Z52" s="390"/>
      <c r="AA52" s="390"/>
      <c r="AB52" s="114"/>
      <c r="AC52" s="11"/>
      <c r="AD52" s="389"/>
      <c r="AE52" s="200"/>
      <c r="AF52" s="114"/>
      <c r="AG52" s="389"/>
      <c r="AH52" s="200"/>
      <c r="AI52" s="114"/>
      <c r="AJ52" s="11"/>
      <c r="AK52" s="11"/>
      <c r="AL52" s="11"/>
      <c r="AM52" s="11"/>
      <c r="AN52" s="11"/>
      <c r="AO52" s="11"/>
    </row>
    <row r="53" spans="1:41" x14ac:dyDescent="0.25">
      <c r="A53" s="61" t="s">
        <v>6</v>
      </c>
      <c r="B53" s="62"/>
      <c r="C53" s="11"/>
      <c r="D53" s="11"/>
      <c r="E53" s="11"/>
      <c r="F53" s="380"/>
      <c r="G53" s="11"/>
      <c r="H53" s="11" t="s">
        <v>73</v>
      </c>
      <c r="I53" s="55" t="str">
        <f>IF(_epmOfflineCondition_,"B1",_xll.EVPRO($B$1,$H53,"STYLE"))</f>
        <v>B1</v>
      </c>
      <c r="J53" s="55" t="str">
        <f>IF(_epmOfflineCondition_,"Y",_xll.EVPRO($B$1,$H53,"CALC"))</f>
        <v>Y</v>
      </c>
      <c r="K53" s="11"/>
      <c r="L53" s="11"/>
      <c r="M53" s="11"/>
      <c r="N53" s="101" t="str">
        <f>IF(_epmOfflineCondition_,"Labor &amp; Related Expenses",IF(_xll.EVDES(H53,$B$1)="#NODATA","",_xll.EVDES(H53,$B$1)))</f>
        <v>Labor &amp; Related Expenses</v>
      </c>
      <c r="O53" s="199"/>
      <c r="P53" s="200"/>
      <c r="Q53" s="200"/>
      <c r="R53" s="200"/>
      <c r="S53" s="200"/>
      <c r="T53" s="200"/>
      <c r="U53" s="200"/>
      <c r="V53" s="200"/>
      <c r="W53" s="200"/>
      <c r="X53" s="200"/>
      <c r="Y53" s="200"/>
      <c r="Z53" s="200"/>
      <c r="AA53" s="200"/>
      <c r="AB53" s="406"/>
      <c r="AC53" s="11"/>
      <c r="AD53" s="407"/>
      <c r="AE53" s="408"/>
      <c r="AF53" s="114"/>
      <c r="AG53" s="200"/>
      <c r="AH53" s="408"/>
      <c r="AI53" s="114"/>
      <c r="AJ53" s="11"/>
      <c r="AK53" s="11"/>
      <c r="AL53" s="11"/>
      <c r="AM53" s="11"/>
      <c r="AN53" s="11"/>
      <c r="AO53" s="11"/>
    </row>
    <row r="54" spans="1:41" x14ac:dyDescent="0.25">
      <c r="A54" s="61" t="s">
        <v>7</v>
      </c>
      <c r="B54" s="62" t="str">
        <f>IF(_epmOfflineCondition_,"'Mini_Bar'!$A$68:$F$75",_xll.EVRNG(A68:F75))</f>
        <v>'Mini_Bar'!$A$68:$F$75</v>
      </c>
      <c r="C54" s="11"/>
      <c r="D54" s="11"/>
      <c r="E54" s="11"/>
      <c r="F54" s="380"/>
      <c r="G54" s="11"/>
      <c r="H54" s="11" t="s">
        <v>74</v>
      </c>
      <c r="I54" s="55" t="str">
        <f>IF(_epmOfflineCondition_,"B1",_xll.EVPRO($B$1,$H54,"STYLE"))</f>
        <v>B1</v>
      </c>
      <c r="J54" s="55" t="str">
        <f>IF(_epmOfflineCondition_,"Y",_xll.EVPRO($B$1,$H54,"CALC"))</f>
        <v>Y</v>
      </c>
      <c r="K54" s="11"/>
      <c r="L54" s="11"/>
      <c r="M54" s="11"/>
      <c r="N54" s="49" t="str">
        <f>IF(_epmOfflineCondition_,"Salaries &amp; Wages",IF(_xll.EVDES(H54,$B$1)="#NODATA","",_xll.EVDES(H54,$B$1)))</f>
        <v>Salaries &amp; Wages</v>
      </c>
      <c r="O54" s="115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7"/>
      <c r="AC54" s="11"/>
      <c r="AD54" s="115"/>
      <c r="AE54" s="116"/>
      <c r="AF54" s="117"/>
      <c r="AG54" s="116"/>
      <c r="AH54" s="116"/>
      <c r="AI54" s="117"/>
      <c r="AJ54" s="11"/>
      <c r="AK54" s="11"/>
      <c r="AL54" s="11"/>
      <c r="AM54" s="11"/>
      <c r="AN54" s="11"/>
      <c r="AO54" s="11"/>
    </row>
    <row r="55" spans="1:41" hidden="1" x14ac:dyDescent="0.25">
      <c r="A55" s="61" t="s">
        <v>47</v>
      </c>
      <c r="B55" s="62" t="str">
        <f>IF(_epmOfflineCondition_,"'Mini_Bar'!$A$123:$B$144",_xll.EVRNG($A$123:$B$144))</f>
        <v>'Mini_Bar'!$A$123:$B$144</v>
      </c>
      <c r="C55" s="11"/>
      <c r="D55" s="11"/>
      <c r="E55" s="11"/>
      <c r="F55" s="11"/>
      <c r="G55" s="11"/>
      <c r="H55" s="84" t="s">
        <v>668</v>
      </c>
      <c r="I55" s="118" t="str">
        <f>IF(_epmOfflineCondition_,"",_xll.EVPRO($B$1,$H55,"STYLE"))</f>
        <v/>
      </c>
      <c r="J55" s="118" t="str">
        <f>IF(_epmOfflineCondition_,"",_xll.EVPRO($B$1,$H55,"CALC"))</f>
        <v/>
      </c>
      <c r="K55" s="175" t="str">
        <f>IF(AND(I55&lt;&gt;"B1",J55="Y"),"&gt;","")</f>
        <v/>
      </c>
      <c r="L55" s="86" t="str">
        <f>IF(_epmOfflineCondition_,"",_xll.EVPRO($B$1,H55,"JDEID"))</f>
        <v/>
      </c>
      <c r="M55" s="86" t="str">
        <f>IF(_epmOfflineCondition_,"",IF(AND(I55="N",J55="N"),_xll.EVPRO($B$1,H55,"PSFTID"),""))</f>
        <v/>
      </c>
      <c r="N55" s="86" t="str">
        <f>IF(_epmOfflineCondition_,"",IF(_xll.EVDES(H55,$B$1)="#NODATA","",_xll.EVDES(H55,$B$1)))</f>
        <v/>
      </c>
      <c r="O55" s="134"/>
      <c r="P55" s="134"/>
      <c r="Q55" s="134"/>
      <c r="R55" s="134"/>
      <c r="S55" s="134"/>
      <c r="T55" s="134"/>
      <c r="U55" s="134"/>
      <c r="V55" s="134"/>
      <c r="W55" s="134"/>
      <c r="X55" s="134"/>
      <c r="Y55" s="134"/>
      <c r="Z55" s="134"/>
      <c r="AA55" s="223">
        <f t="shared" ref="AA55:AA66" si="21">IF($I55="B1","",SUM(O55:Z55))</f>
        <v>0</v>
      </c>
      <c r="AB55" s="138" t="str">
        <f t="shared" ref="AB55:AB66" si="22">IF(AA55=0,"",IFERROR(AA55/AA$19,""))</f>
        <v/>
      </c>
      <c r="AC55" s="136"/>
      <c r="AD55" s="134"/>
      <c r="AE55" s="138" t="str">
        <f t="shared" ref="AE55:AE66" si="23">IF(AD55=0,"",IFERROR(AD55/AD$19,""))</f>
        <v/>
      </c>
      <c r="AF55" s="137">
        <f t="shared" ref="AF55:AF66" si="24">IF(AND($AA55="",AD55=""),"",$AA55-AD55)</f>
        <v>0</v>
      </c>
      <c r="AG55" s="134"/>
      <c r="AH55" s="138" t="str">
        <f t="shared" ref="AH55:AH66" si="25">IF(AG55=0,"",IFERROR(AG55/AG$19,""))</f>
        <v/>
      </c>
      <c r="AI55" s="137">
        <f t="shared" ref="AI55:AI66" si="26">IF(AND($AA55="",AG55=""),"",$AA55-AG55)</f>
        <v>0</v>
      </c>
      <c r="AJ55" s="458">
        <f t="shared" ref="AJ55:AJ66" si="27">IFERROR(AA55/AA$20,0)</f>
        <v>0</v>
      </c>
      <c r="AK55" s="459">
        <f t="shared" ref="AK55:AK66" si="28">IFERROR(AD55/AD$20,0)</f>
        <v>0</v>
      </c>
      <c r="AL55" s="460">
        <f t="shared" ref="AL55:AL66" si="29">IFERROR(AG55/AG$20,0)</f>
        <v>0</v>
      </c>
      <c r="AM55" s="461">
        <f t="shared" ref="AM55:AM66" si="30">+IFERROR(ROUND(($AB55-AE55)*100,2)&amp;" pts.",0)</f>
        <v>0</v>
      </c>
      <c r="AN55" s="462">
        <f t="shared" ref="AN55:AN66" si="31">+IFERROR(ROUND(($AB55-AH55)*100,2)&amp;" pts.",0)</f>
        <v>0</v>
      </c>
      <c r="AO55" s="11"/>
    </row>
    <row r="56" spans="1:41" hidden="1" x14ac:dyDescent="0.25">
      <c r="A56" s="61" t="s">
        <v>8</v>
      </c>
      <c r="B56" s="62"/>
      <c r="C56" s="11"/>
      <c r="D56" s="11"/>
      <c r="E56" s="11"/>
      <c r="F56" s="11"/>
      <c r="G56" s="11"/>
      <c r="H56" s="84"/>
      <c r="I56" s="118" t="str">
        <f>IF(_epmOfflineCondition_,"",_xll.EVPRO($B$1,$H56,"STYLE"))</f>
        <v/>
      </c>
      <c r="J56" s="118" t="str">
        <f>IF(_epmOfflineCondition_,"",_xll.EVPRO($B$1,$H56,"CALC"))</f>
        <v/>
      </c>
      <c r="K56" s="175" t="str">
        <f>IF(AND(I56&lt;&gt;"B1",J56="Y"),"&gt;","")</f>
        <v/>
      </c>
      <c r="L56" s="86" t="str">
        <f>IF(_epmOfflineCondition_,"",_xll.EVPRO($B$1,H56,"JDEID"))</f>
        <v/>
      </c>
      <c r="M56" s="86" t="str">
        <f>IF(_epmOfflineCondition_,"",IF(AND(I56="N",J56="N"),_xll.EVPRO($B$1,H56,"PSFTID"),""))</f>
        <v/>
      </c>
      <c r="N56" s="86" t="str">
        <f>IF(_epmOfflineCondition_,"",IF(_xll.EVDES(H56,$B$1)="#NODATA","",_xll.EVDES(H56,$B$1)))</f>
        <v/>
      </c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/>
      <c r="Z56" s="134"/>
      <c r="AA56" s="223">
        <f t="shared" si="21"/>
        <v>0</v>
      </c>
      <c r="AB56" s="138" t="str">
        <f t="shared" si="22"/>
        <v/>
      </c>
      <c r="AC56" s="136"/>
      <c r="AD56" s="134"/>
      <c r="AE56" s="138" t="str">
        <f t="shared" si="23"/>
        <v/>
      </c>
      <c r="AF56" s="137">
        <f t="shared" si="24"/>
        <v>0</v>
      </c>
      <c r="AG56" s="134"/>
      <c r="AH56" s="138" t="str">
        <f t="shared" si="25"/>
        <v/>
      </c>
      <c r="AI56" s="137">
        <f t="shared" si="26"/>
        <v>0</v>
      </c>
      <c r="AJ56" s="458">
        <f t="shared" si="27"/>
        <v>0</v>
      </c>
      <c r="AK56" s="459">
        <f t="shared" si="28"/>
        <v>0</v>
      </c>
      <c r="AL56" s="460">
        <f t="shared" si="29"/>
        <v>0</v>
      </c>
      <c r="AM56" s="461">
        <f t="shared" si="30"/>
        <v>0</v>
      </c>
      <c r="AN56" s="462">
        <f t="shared" si="31"/>
        <v>0</v>
      </c>
      <c r="AO56" s="11"/>
    </row>
    <row r="57" spans="1:41" x14ac:dyDescent="0.25">
      <c r="A57" s="11"/>
      <c r="B57" s="11"/>
      <c r="C57" s="11"/>
      <c r="D57" s="11"/>
      <c r="E57" s="11"/>
      <c r="F57" s="11"/>
      <c r="G57" s="11"/>
      <c r="H57" s="84" t="s">
        <v>75</v>
      </c>
      <c r="I57" s="85" t="str">
        <f>IF(_epmOfflineCondition_,"B1",_xll.EVPRO($B$1,$H57,"STYLE"))</f>
        <v>B1</v>
      </c>
      <c r="J57" s="85" t="str">
        <f>IF(_epmOfflineCondition_,"Y",_xll.EVPRO($B$1,$H57,"CALC"))</f>
        <v>Y</v>
      </c>
      <c r="K57" s="261" t="str">
        <f>IF(AND(I57&gt;="T3"),"&gt;","")</f>
        <v/>
      </c>
      <c r="L57" s="102" t="str">
        <f>IF(_epmOfflineCondition_,"",_xll.EVPRO($B$1,H57,"JDEID"))</f>
        <v/>
      </c>
      <c r="M57" s="86" t="str">
        <f>IF(_epmOfflineCondition_,"",IF(AND(I57="N",J57="N"),_xll.EVPRO($B$1,H57,"PSFTID"),""))</f>
        <v/>
      </c>
      <c r="N57" s="102" t="str">
        <f>IF(_epmOfflineCondition_,"Non-Management",IF(_xll.EVDES(H57,$B$1)="#NODATA","",_xll.EVDES(H57,$B$1)))</f>
        <v>Non-Management</v>
      </c>
      <c r="O57" s="193"/>
      <c r="P57" s="193"/>
      <c r="Q57" s="193"/>
      <c r="R57" s="193"/>
      <c r="S57" s="193"/>
      <c r="T57" s="193"/>
      <c r="U57" s="193"/>
      <c r="V57" s="193"/>
      <c r="W57" s="193"/>
      <c r="X57" s="193"/>
      <c r="Y57" s="193"/>
      <c r="Z57" s="193"/>
      <c r="AA57" s="176" t="str">
        <f t="shared" si="21"/>
        <v/>
      </c>
      <c r="AB57" s="194" t="str">
        <f t="shared" si="22"/>
        <v/>
      </c>
      <c r="AC57" s="11"/>
      <c r="AD57" s="193"/>
      <c r="AE57" s="194" t="str">
        <f t="shared" si="23"/>
        <v/>
      </c>
      <c r="AF57" s="195" t="str">
        <f t="shared" si="24"/>
        <v/>
      </c>
      <c r="AG57" s="193"/>
      <c r="AH57" s="194" t="str">
        <f t="shared" si="25"/>
        <v/>
      </c>
      <c r="AI57" s="195" t="str">
        <f t="shared" si="26"/>
        <v/>
      </c>
      <c r="AJ57" s="393">
        <f t="shared" si="27"/>
        <v>0</v>
      </c>
      <c r="AK57" s="394">
        <f t="shared" si="28"/>
        <v>0</v>
      </c>
      <c r="AL57" s="395">
        <f t="shared" si="29"/>
        <v>0</v>
      </c>
      <c r="AM57" s="396">
        <f t="shared" si="30"/>
        <v>0</v>
      </c>
      <c r="AN57" s="397">
        <f t="shared" si="31"/>
        <v>0</v>
      </c>
      <c r="AO57" s="11"/>
    </row>
    <row r="58" spans="1:41" x14ac:dyDescent="0.25">
      <c r="A58" s="57" t="s">
        <v>9</v>
      </c>
      <c r="B58" s="58" t="s">
        <v>10</v>
      </c>
      <c r="C58" s="11"/>
      <c r="D58" s="11"/>
      <c r="E58" s="11"/>
      <c r="F58" s="11"/>
      <c r="G58" s="11"/>
      <c r="H58" s="84" t="s">
        <v>835</v>
      </c>
      <c r="I58" s="118" t="str">
        <f>IF(_epmOfflineCondition_,"T3",_xll.EVPRO($B$1,$H58,"STYLE"))</f>
        <v>T3</v>
      </c>
      <c r="J58" s="118" t="str">
        <f>IF(_epmOfflineCondition_,"Y",_xll.EVPRO($B$1,$H58,"CALC"))</f>
        <v>Y</v>
      </c>
      <c r="K58" s="175" t="str">
        <f t="shared" ref="K58:K66" si="32">IF(AND(I58&lt;&gt;"B1",J58="Y"),"&gt;","")</f>
        <v>&gt;</v>
      </c>
      <c r="L58" s="86" t="str">
        <f>IF(_epmOfflineCondition_,"",_xll.EVPRO($B$1,H58,"JDEID"))</f>
        <v/>
      </c>
      <c r="M58" s="86" t="str">
        <f>IF(_epmOfflineCondition_,"",IF(AND(I58="N",J58="N"),_xll.EVPRO($B$1,H58,"PSFTID"),""))</f>
        <v/>
      </c>
      <c r="N58" s="86" t="str">
        <f>IF(_epmOfflineCondition_,"F&amp;B Venues",IF(_xll.EVDES(H58,$B$1)="#NODATA","",_xll.EVDES(H58,$B$1)))</f>
        <v>F&amp;B Venues</v>
      </c>
      <c r="O58" s="565">
        <v>3325.03</v>
      </c>
      <c r="P58" s="565">
        <v>2254.6999999999998</v>
      </c>
      <c r="Q58" s="565">
        <v>3489.53</v>
      </c>
      <c r="R58" s="565">
        <v>2948.14</v>
      </c>
      <c r="S58" s="565">
        <v>3174.69</v>
      </c>
      <c r="T58" s="228">
        <v>3072.45</v>
      </c>
      <c r="U58" s="228">
        <v>1262.6199999999999</v>
      </c>
      <c r="V58" s="228">
        <v>803.68</v>
      </c>
      <c r="W58" s="228">
        <v>2575.5500000000002</v>
      </c>
      <c r="X58" s="228">
        <v>2803.58</v>
      </c>
      <c r="Y58" s="228">
        <v>2732.97</v>
      </c>
      <c r="Z58" s="228">
        <v>3221.13</v>
      </c>
      <c r="AA58" s="229">
        <f t="shared" si="21"/>
        <v>31664.070000000003</v>
      </c>
      <c r="AB58" s="230">
        <f t="shared" si="22"/>
        <v>0.28574420752000856</v>
      </c>
      <c r="AC58" s="136"/>
      <c r="AD58" s="228">
        <v>48965.85</v>
      </c>
      <c r="AE58" s="230">
        <f t="shared" si="23"/>
        <v>0.39932737360588516</v>
      </c>
      <c r="AF58" s="231">
        <f t="shared" si="24"/>
        <v>-17301.779999999995</v>
      </c>
      <c r="AG58" s="228">
        <v>26494.16</v>
      </c>
      <c r="AH58" s="230">
        <f t="shared" si="25"/>
        <v>0.57186470281734592</v>
      </c>
      <c r="AI58" s="231">
        <f t="shared" si="26"/>
        <v>5169.9100000000035</v>
      </c>
      <c r="AJ58" s="467">
        <f t="shared" si="27"/>
        <v>0.96296058633903059</v>
      </c>
      <c r="AK58" s="468">
        <f t="shared" si="28"/>
        <v>1.345733249051833</v>
      </c>
      <c r="AL58" s="469">
        <f t="shared" si="29"/>
        <v>1.7453333333333334</v>
      </c>
      <c r="AM58" s="470" t="str">
        <f t="shared" si="30"/>
        <v>-11.36 pts.</v>
      </c>
      <c r="AN58" s="471" t="str">
        <f t="shared" si="31"/>
        <v>-28.61 pts.</v>
      </c>
      <c r="AO58" s="11"/>
    </row>
    <row r="59" spans="1:41" x14ac:dyDescent="0.25">
      <c r="A59" s="61" t="s">
        <v>11</v>
      </c>
      <c r="B59" s="62" t="s">
        <v>21</v>
      </c>
      <c r="C59" s="11"/>
      <c r="D59" s="11"/>
      <c r="E59" s="11"/>
      <c r="F59" s="11"/>
      <c r="G59" s="11"/>
      <c r="H59" s="84" t="s">
        <v>812</v>
      </c>
      <c r="I59" s="184" t="str">
        <f>IF(_epmOfflineCondition_,"T2",_xll.EVPRO($B$1,$H59,"STYLE"))</f>
        <v>T2</v>
      </c>
      <c r="J59" s="184" t="str">
        <f>IF(_epmOfflineCondition_,"Y",_xll.EVPRO($B$1,$H59,"CALC"))</f>
        <v>Y</v>
      </c>
      <c r="K59" s="185" t="str">
        <f t="shared" si="32"/>
        <v>&gt;</v>
      </c>
      <c r="L59" s="186" t="str">
        <f>IF(_epmOfflineCondition_,"",_xll.EVPRO($B$1,H59,"JDEID"))</f>
        <v/>
      </c>
      <c r="M59" s="186" t="str">
        <f>IF(_epmOfflineCondition_,"",IF(AND(I59="N",J59="N"),_xll.EVPRO($B$1,H59,"PSFTID"),""))</f>
        <v/>
      </c>
      <c r="N59" s="186" t="str">
        <f>IF(_epmOfflineCondition_,"Total Salaries and Wages",IF(_xll.EVDES(H59,$B$1)="#NODATA","",_xll.EVDES(H59,$B$1)))</f>
        <v>Total Salaries and Wages</v>
      </c>
      <c r="O59" s="566">
        <v>3325.03</v>
      </c>
      <c r="P59" s="566">
        <v>2254.6999999999998</v>
      </c>
      <c r="Q59" s="566">
        <v>3489.53</v>
      </c>
      <c r="R59" s="566">
        <v>2948.14</v>
      </c>
      <c r="S59" s="566">
        <v>3174.69</v>
      </c>
      <c r="T59" s="236">
        <v>3072.45</v>
      </c>
      <c r="U59" s="236">
        <v>1262.6199999999999</v>
      </c>
      <c r="V59" s="236">
        <v>803.68</v>
      </c>
      <c r="W59" s="236">
        <v>2575.5500000000002</v>
      </c>
      <c r="X59" s="236">
        <v>2803.58</v>
      </c>
      <c r="Y59" s="236">
        <v>2732.97</v>
      </c>
      <c r="Z59" s="236">
        <v>3221.13</v>
      </c>
      <c r="AA59" s="236">
        <f t="shared" si="21"/>
        <v>31664.070000000003</v>
      </c>
      <c r="AB59" s="237">
        <f t="shared" si="22"/>
        <v>0.28574420752000856</v>
      </c>
      <c r="AC59" s="238"/>
      <c r="AD59" s="236">
        <v>48965.85</v>
      </c>
      <c r="AE59" s="237">
        <f t="shared" si="23"/>
        <v>0.39932737360588516</v>
      </c>
      <c r="AF59" s="239">
        <f t="shared" si="24"/>
        <v>-17301.779999999995</v>
      </c>
      <c r="AG59" s="236">
        <v>26494.16</v>
      </c>
      <c r="AH59" s="237">
        <f t="shared" si="25"/>
        <v>0.57186470281734592</v>
      </c>
      <c r="AI59" s="239">
        <f t="shared" si="26"/>
        <v>5169.9100000000035</v>
      </c>
      <c r="AJ59" s="215">
        <f t="shared" si="27"/>
        <v>0.96296058633903059</v>
      </c>
      <c r="AK59" s="216">
        <f t="shared" si="28"/>
        <v>1.345733249051833</v>
      </c>
      <c r="AL59" s="218">
        <f t="shared" si="29"/>
        <v>1.7453333333333334</v>
      </c>
      <c r="AM59" s="423" t="str">
        <f t="shared" si="30"/>
        <v>-11.36 pts.</v>
      </c>
      <c r="AN59" s="474" t="str">
        <f t="shared" si="31"/>
        <v>-28.61 pts.</v>
      </c>
      <c r="AO59" s="11"/>
    </row>
    <row r="60" spans="1:41" x14ac:dyDescent="0.25">
      <c r="A60" s="61" t="s">
        <v>12</v>
      </c>
      <c r="B60" s="62" t="s">
        <v>22</v>
      </c>
      <c r="C60" s="11"/>
      <c r="D60" s="11"/>
      <c r="E60" s="11"/>
      <c r="F60" s="11"/>
      <c r="G60" s="11"/>
      <c r="H60" s="84" t="s">
        <v>813</v>
      </c>
      <c r="I60" s="118" t="str">
        <f>IF(_epmOfflineCondition_,"T3",_xll.EVPRO($B$1,$H60,"STYLE"))</f>
        <v>T3</v>
      </c>
      <c r="J60" s="118" t="str">
        <f>IF(_epmOfflineCondition_,"Y",_xll.EVPRO($B$1,$H60,"CALC"))</f>
        <v>Y</v>
      </c>
      <c r="K60" s="175" t="str">
        <f t="shared" si="32"/>
        <v>&gt;</v>
      </c>
      <c r="L60" s="86" t="str">
        <f>IF(_epmOfflineCondition_,"",_xll.EVPRO($B$1,H60,"JDEID"))</f>
        <v/>
      </c>
      <c r="M60" s="86" t="str">
        <f>IF(_epmOfflineCondition_,"",IF(AND(I60="N",J60="N"),_xll.EVPRO($B$1,H60,"PSFTID"),""))</f>
        <v/>
      </c>
      <c r="N60" s="86" t="str">
        <f>IF(_epmOfflineCondition_,"Bonuses &amp; Incentives",IF(_xll.EVDES(H60,$B$1)="#NODATA","",_xll.EVDES(H60,$B$1)))</f>
        <v>Bonuses &amp; Incentives</v>
      </c>
      <c r="O60" s="567"/>
      <c r="P60" s="567"/>
      <c r="Q60" s="567"/>
      <c r="R60" s="567"/>
      <c r="S60" s="567"/>
      <c r="T60" s="248"/>
      <c r="U60" s="248"/>
      <c r="V60" s="248"/>
      <c r="W60" s="248"/>
      <c r="X60" s="248"/>
      <c r="Y60" s="248"/>
      <c r="Z60" s="248"/>
      <c r="AA60" s="248">
        <f t="shared" si="21"/>
        <v>0</v>
      </c>
      <c r="AB60" s="249" t="str">
        <f t="shared" si="22"/>
        <v/>
      </c>
      <c r="AC60" s="136"/>
      <c r="AD60" s="248"/>
      <c r="AE60" s="249" t="str">
        <f t="shared" si="23"/>
        <v/>
      </c>
      <c r="AF60" s="250">
        <f t="shared" si="24"/>
        <v>0</v>
      </c>
      <c r="AG60" s="248">
        <v>318.48</v>
      </c>
      <c r="AH60" s="249">
        <f t="shared" si="25"/>
        <v>6.8742496668423659E-3</v>
      </c>
      <c r="AI60" s="250">
        <f t="shared" si="26"/>
        <v>-318.48</v>
      </c>
      <c r="AJ60" s="532">
        <f t="shared" si="27"/>
        <v>0</v>
      </c>
      <c r="AK60" s="533">
        <f t="shared" si="28"/>
        <v>0</v>
      </c>
      <c r="AL60" s="534">
        <f t="shared" si="29"/>
        <v>2.0980237154150198E-2</v>
      </c>
      <c r="AM60" s="535">
        <f t="shared" si="30"/>
        <v>0</v>
      </c>
      <c r="AN60" s="536">
        <f t="shared" si="31"/>
        <v>0</v>
      </c>
      <c r="AO60" s="11"/>
    </row>
    <row r="61" spans="1:41" x14ac:dyDescent="0.25">
      <c r="A61" s="61" t="s">
        <v>13</v>
      </c>
      <c r="B61" s="62" t="str">
        <f>"lDEP(2,COS_FB) AND "&amp;$E$6&amp;"=Y,COS_FB,DEP(COS_MISC) AND "&amp;$E$6&amp;"=Y,500001"</f>
        <v>lDEP(2,COS_FB) AND D1149=Y,COS_FB,DEP(COS_MISC) AND D1149=Y,500001</v>
      </c>
      <c r="C61" s="11"/>
      <c r="D61" s="11"/>
      <c r="E61" s="11"/>
      <c r="F61" s="11"/>
      <c r="G61" s="72"/>
      <c r="H61" s="84" t="s">
        <v>814</v>
      </c>
      <c r="I61" s="184" t="str">
        <f>IF(_epmOfflineCondition_,"T2",_xll.EVPRO($B$1,$H61,"STYLE"))</f>
        <v>T2</v>
      </c>
      <c r="J61" s="184" t="str">
        <f>IF(_epmOfflineCondition_,"Y",_xll.EVPRO($B$1,$H61,"CALC"))</f>
        <v>Y</v>
      </c>
      <c r="K61" s="185" t="str">
        <f t="shared" si="32"/>
        <v>&gt;</v>
      </c>
      <c r="L61" s="186" t="str">
        <f>IF(_epmOfflineCondition_,"",_xll.EVPRO($B$1,H61,"JDEID"))</f>
        <v/>
      </c>
      <c r="M61" s="186" t="str">
        <f>IF(_epmOfflineCondition_,"",IF(AND(I61="N",J61="N"),_xll.EVPRO($B$1,H61,"PSFTID"),""))</f>
        <v/>
      </c>
      <c r="N61" s="186" t="str">
        <f>IF(_epmOfflineCondition_,"Total Labor Expense",IF(_xll.EVDES(H61,$B$1)="#NODATA","",_xll.EVDES(H61,$B$1)))</f>
        <v>Total Labor Expense</v>
      </c>
      <c r="O61" s="566">
        <v>3325.03</v>
      </c>
      <c r="P61" s="566">
        <v>2254.6999999999998</v>
      </c>
      <c r="Q61" s="566">
        <v>3489.53</v>
      </c>
      <c r="R61" s="566">
        <v>2948.14</v>
      </c>
      <c r="S61" s="566">
        <v>3174.69</v>
      </c>
      <c r="T61" s="236">
        <v>3072.45</v>
      </c>
      <c r="U61" s="236">
        <v>1262.6199999999999</v>
      </c>
      <c r="V61" s="236">
        <v>803.68</v>
      </c>
      <c r="W61" s="236">
        <v>2575.5500000000002</v>
      </c>
      <c r="X61" s="236">
        <v>2803.58</v>
      </c>
      <c r="Y61" s="236">
        <v>2732.97</v>
      </c>
      <c r="Z61" s="236">
        <v>3221.13</v>
      </c>
      <c r="AA61" s="236">
        <f t="shared" si="21"/>
        <v>31664.070000000003</v>
      </c>
      <c r="AB61" s="237">
        <f t="shared" si="22"/>
        <v>0.28574420752000856</v>
      </c>
      <c r="AC61" s="238"/>
      <c r="AD61" s="236">
        <v>48965.85</v>
      </c>
      <c r="AE61" s="237">
        <f t="shared" si="23"/>
        <v>0.39932737360588516</v>
      </c>
      <c r="AF61" s="239">
        <f t="shared" si="24"/>
        <v>-17301.779999999995</v>
      </c>
      <c r="AG61" s="236">
        <v>26812.639999999999</v>
      </c>
      <c r="AH61" s="237">
        <f t="shared" si="25"/>
        <v>0.57873895248418827</v>
      </c>
      <c r="AI61" s="239">
        <f t="shared" si="26"/>
        <v>4851.4300000000039</v>
      </c>
      <c r="AJ61" s="215">
        <f t="shared" si="27"/>
        <v>0.96296058633903059</v>
      </c>
      <c r="AK61" s="216">
        <f t="shared" si="28"/>
        <v>1.345733249051833</v>
      </c>
      <c r="AL61" s="218">
        <f t="shared" si="29"/>
        <v>1.7663135704874835</v>
      </c>
      <c r="AM61" s="423" t="str">
        <f t="shared" si="30"/>
        <v>-11.36 pts.</v>
      </c>
      <c r="AN61" s="474" t="str">
        <f t="shared" si="31"/>
        <v>-29.3 pts.</v>
      </c>
      <c r="AO61" s="11"/>
    </row>
    <row r="62" spans="1:41" x14ac:dyDescent="0.25">
      <c r="A62" s="61" t="s">
        <v>14</v>
      </c>
      <c r="B62" s="62"/>
      <c r="C62" s="11"/>
      <c r="D62" s="11"/>
      <c r="E62" s="11"/>
      <c r="F62" s="11"/>
      <c r="G62" s="11"/>
      <c r="H62" s="84" t="s">
        <v>815</v>
      </c>
      <c r="I62" s="118" t="str">
        <f>IF(_epmOfflineCondition_,"T3",_xll.EVPRO($B$1,$H62,"STYLE"))</f>
        <v>T3</v>
      </c>
      <c r="J62" s="118" t="str">
        <f>IF(_epmOfflineCondition_,"Y",_xll.EVPRO($B$1,$H62,"CALC"))</f>
        <v>Y</v>
      </c>
      <c r="K62" s="175" t="str">
        <f t="shared" si="32"/>
        <v>&gt;</v>
      </c>
      <c r="L62" s="86" t="str">
        <f>IF(_epmOfflineCondition_,"",_xll.EVPRO($B$1,H62,"JDEID"))</f>
        <v/>
      </c>
      <c r="M62" s="86" t="str">
        <f>IF(_epmOfflineCondition_,"",IF(AND(I62="N",J62="N"),_xll.EVPRO($B$1,H62,"PSFTID"),""))</f>
        <v/>
      </c>
      <c r="N62" s="86" t="str">
        <f>IF(_epmOfflineCondition_,"Payroll Taxes",IF(_xll.EVDES(H62,$B$1)="#NODATA","",_xll.EVDES(H62,$B$1)))</f>
        <v>Payroll Taxes</v>
      </c>
      <c r="O62" s="567">
        <v>313.60000000000002</v>
      </c>
      <c r="P62" s="567">
        <v>188.17</v>
      </c>
      <c r="Q62" s="567">
        <v>318.72000000000003</v>
      </c>
      <c r="R62" s="567">
        <v>245.78</v>
      </c>
      <c r="S62" s="567">
        <v>285.3</v>
      </c>
      <c r="T62" s="248">
        <v>270.74</v>
      </c>
      <c r="U62" s="248">
        <v>45.85</v>
      </c>
      <c r="V62" s="248">
        <v>265.20999999999998</v>
      </c>
      <c r="W62" s="248"/>
      <c r="X62" s="248">
        <v>151.36000000000001</v>
      </c>
      <c r="Y62" s="248">
        <v>146.47999999999999</v>
      </c>
      <c r="Z62" s="248">
        <v>174.18</v>
      </c>
      <c r="AA62" s="248">
        <f t="shared" si="21"/>
        <v>2405.39</v>
      </c>
      <c r="AB62" s="249">
        <f t="shared" si="22"/>
        <v>2.1706819727424595E-2</v>
      </c>
      <c r="AC62" s="136"/>
      <c r="AD62" s="248">
        <v>8091.5682458269002</v>
      </c>
      <c r="AE62" s="249">
        <f t="shared" si="23"/>
        <v>6.5988534784116593E-2</v>
      </c>
      <c r="AF62" s="250">
        <f t="shared" si="24"/>
        <v>-5686.1782458269008</v>
      </c>
      <c r="AG62" s="248">
        <v>2404.42</v>
      </c>
      <c r="AH62" s="249">
        <f t="shared" si="25"/>
        <v>5.1898340190747051E-2</v>
      </c>
      <c r="AI62" s="250">
        <f t="shared" si="26"/>
        <v>0.96999999999979991</v>
      </c>
      <c r="AJ62" s="532">
        <f t="shared" si="27"/>
        <v>7.3152180524299004E-2</v>
      </c>
      <c r="AK62" s="533">
        <f t="shared" si="28"/>
        <v>0.22238136222247293</v>
      </c>
      <c r="AL62" s="534">
        <f t="shared" si="29"/>
        <v>0.15839393939393939</v>
      </c>
      <c r="AM62" s="535" t="str">
        <f t="shared" si="30"/>
        <v>-4.43 pts.</v>
      </c>
      <c r="AN62" s="536" t="str">
        <f t="shared" si="31"/>
        <v>-3.02 pts.</v>
      </c>
      <c r="AO62" s="11"/>
    </row>
    <row r="63" spans="1:41" x14ac:dyDescent="0.25">
      <c r="A63" s="61" t="s">
        <v>15</v>
      </c>
      <c r="B63" s="62"/>
      <c r="C63" s="11"/>
      <c r="D63" s="11"/>
      <c r="E63" s="11"/>
      <c r="F63" s="11"/>
      <c r="G63" s="11"/>
      <c r="H63" s="84" t="s">
        <v>816</v>
      </c>
      <c r="I63" s="118" t="str">
        <f>IF(_epmOfflineCondition_,"T3",_xll.EVPRO($B$1,$H63,"STYLE"))</f>
        <v>T3</v>
      </c>
      <c r="J63" s="118" t="str">
        <f>IF(_epmOfflineCondition_,"Y",_xll.EVPRO($B$1,$H63,"CALC"))</f>
        <v>Y</v>
      </c>
      <c r="K63" s="175" t="str">
        <f t="shared" si="32"/>
        <v>&gt;</v>
      </c>
      <c r="L63" s="86" t="str">
        <f>IF(_epmOfflineCondition_,"",_xll.EVPRO($B$1,H63,"JDEID"))</f>
        <v/>
      </c>
      <c r="M63" s="86" t="str">
        <f>IF(_epmOfflineCondition_,"",IF(AND(I63="N",J63="N"),_xll.EVPRO($B$1,H63,"PSFTID"),""))</f>
        <v/>
      </c>
      <c r="N63" s="86" t="str">
        <f>IF(_epmOfflineCondition_,"Supplemental Pay",IF(_xll.EVDES(H63,$B$1)="#NODATA","",_xll.EVDES(H63,$B$1)))</f>
        <v>Supplemental Pay</v>
      </c>
      <c r="O63" s="565">
        <v>306.52999999999997</v>
      </c>
      <c r="P63" s="565">
        <v>102.65</v>
      </c>
      <c r="Q63" s="565">
        <v>107.66</v>
      </c>
      <c r="R63" s="565">
        <v>129.56</v>
      </c>
      <c r="S63" s="565">
        <v>129.99</v>
      </c>
      <c r="T63" s="228">
        <v>-8.48</v>
      </c>
      <c r="U63" s="228">
        <v>513.85</v>
      </c>
      <c r="V63" s="228"/>
      <c r="W63" s="228"/>
      <c r="X63" s="228">
        <v>736.34</v>
      </c>
      <c r="Y63" s="228">
        <v>236.71</v>
      </c>
      <c r="Z63" s="228">
        <v>90.64</v>
      </c>
      <c r="AA63" s="229">
        <f t="shared" si="21"/>
        <v>2345.4499999999998</v>
      </c>
      <c r="AB63" s="230">
        <f t="shared" si="22"/>
        <v>2.116590670522785E-2</v>
      </c>
      <c r="AC63" s="136"/>
      <c r="AD63" s="228">
        <v>3474.6441401613001</v>
      </c>
      <c r="AE63" s="230">
        <f t="shared" si="23"/>
        <v>2.8336494081195183E-2</v>
      </c>
      <c r="AF63" s="231">
        <f t="shared" si="24"/>
        <v>-1129.1941401613003</v>
      </c>
      <c r="AG63" s="228">
        <v>1110.19</v>
      </c>
      <c r="AH63" s="230">
        <f t="shared" si="25"/>
        <v>2.3962959173674095E-2</v>
      </c>
      <c r="AI63" s="231">
        <f t="shared" si="26"/>
        <v>1235.2599999999998</v>
      </c>
      <c r="AJ63" s="467">
        <f t="shared" si="27"/>
        <v>7.1329298704458366E-2</v>
      </c>
      <c r="AK63" s="468">
        <f t="shared" si="28"/>
        <v>9.5493985053627772E-2</v>
      </c>
      <c r="AL63" s="469">
        <f t="shared" si="29"/>
        <v>7.3135046113306984E-2</v>
      </c>
      <c r="AM63" s="470" t="str">
        <f t="shared" si="30"/>
        <v>-0.72 pts.</v>
      </c>
      <c r="AN63" s="471" t="str">
        <f t="shared" si="31"/>
        <v>-0.28 pts.</v>
      </c>
      <c r="AO63" s="11"/>
    </row>
    <row r="64" spans="1:41" x14ac:dyDescent="0.25">
      <c r="A64" s="61" t="s">
        <v>16</v>
      </c>
      <c r="B64" s="62"/>
      <c r="C64" s="11"/>
      <c r="D64" s="11"/>
      <c r="E64" s="11"/>
      <c r="F64" s="11"/>
      <c r="G64" s="11"/>
      <c r="H64" s="84" t="s">
        <v>817</v>
      </c>
      <c r="I64" s="118" t="str">
        <f>IF(_epmOfflineCondition_,"T3",_xll.EVPRO($B$1,$H64,"STYLE"))</f>
        <v>T3</v>
      </c>
      <c r="J64" s="118" t="str">
        <f>IF(_epmOfflineCondition_,"Y",_xll.EVPRO($B$1,$H64,"CALC"))</f>
        <v>Y</v>
      </c>
      <c r="K64" s="175" t="str">
        <f t="shared" si="32"/>
        <v>&gt;</v>
      </c>
      <c r="L64" s="86" t="str">
        <f>IF(_epmOfflineCondition_,"",_xll.EVPRO($B$1,H64,"JDEID"))</f>
        <v/>
      </c>
      <c r="M64" s="86" t="str">
        <f>IF(_epmOfflineCondition_,"",IF(AND(I64="N",J64="N"),_xll.EVPRO($B$1,H64,"PSFTID"),""))</f>
        <v/>
      </c>
      <c r="N64" s="86" t="str">
        <f>IF(_epmOfflineCondition_,"Employee Benefits",IF(_xll.EVDES(H64,$B$1)="#NODATA","",_xll.EVDES(H64,$B$1)))</f>
        <v>Employee Benefits</v>
      </c>
      <c r="O64" s="565">
        <v>310.14</v>
      </c>
      <c r="P64" s="565">
        <v>298.86</v>
      </c>
      <c r="Q64" s="565">
        <v>298.91000000000003</v>
      </c>
      <c r="R64" s="565">
        <v>298.39</v>
      </c>
      <c r="S64" s="565">
        <v>301.87</v>
      </c>
      <c r="T64" s="228">
        <v>279.37</v>
      </c>
      <c r="U64" s="228">
        <v>390.46</v>
      </c>
      <c r="V64" s="228">
        <v>7.01</v>
      </c>
      <c r="W64" s="228">
        <v>-1.87</v>
      </c>
      <c r="X64" s="228">
        <v>-172.75</v>
      </c>
      <c r="Y64" s="228">
        <v>227.41</v>
      </c>
      <c r="Z64" s="228">
        <v>225.29</v>
      </c>
      <c r="AA64" s="229">
        <f t="shared" si="21"/>
        <v>2463.09</v>
      </c>
      <c r="AB64" s="230">
        <f t="shared" si="22"/>
        <v>2.2227518449158871E-2</v>
      </c>
      <c r="AC64" s="136"/>
      <c r="AD64" s="228">
        <v>5030.4992722937995</v>
      </c>
      <c r="AE64" s="230">
        <f t="shared" si="23"/>
        <v>4.1024837970369134E-2</v>
      </c>
      <c r="AF64" s="231">
        <f t="shared" si="24"/>
        <v>-2567.4092722937994</v>
      </c>
      <c r="AG64" s="228">
        <v>2077.89</v>
      </c>
      <c r="AH64" s="230">
        <f t="shared" si="25"/>
        <v>4.4850334841230473E-2</v>
      </c>
      <c r="AI64" s="231">
        <f t="shared" si="26"/>
        <v>385.20000000000027</v>
      </c>
      <c r="AJ64" s="467">
        <f t="shared" si="27"/>
        <v>7.4906939967155292E-2</v>
      </c>
      <c r="AK64" s="468">
        <f t="shared" si="28"/>
        <v>0.138253703960144</v>
      </c>
      <c r="AL64" s="469">
        <f t="shared" si="29"/>
        <v>0.13688339920948617</v>
      </c>
      <c r="AM64" s="470" t="str">
        <f t="shared" si="30"/>
        <v>-1.88 pts.</v>
      </c>
      <c r="AN64" s="471" t="str">
        <f t="shared" si="31"/>
        <v>-2.26 pts.</v>
      </c>
      <c r="AO64" s="11"/>
    </row>
    <row r="65" spans="1:41" x14ac:dyDescent="0.25">
      <c r="A65" s="61" t="s">
        <v>17</v>
      </c>
      <c r="B65" s="62"/>
      <c r="C65" s="11"/>
      <c r="D65" s="11"/>
      <c r="E65" s="11"/>
      <c r="F65" s="11"/>
      <c r="G65" s="11"/>
      <c r="H65" s="84" t="s">
        <v>818</v>
      </c>
      <c r="I65" s="184" t="str">
        <f>IF(_epmOfflineCondition_,"T2",_xll.EVPRO($B$1,$H65,"STYLE"))</f>
        <v>T2</v>
      </c>
      <c r="J65" s="184" t="str">
        <f>IF(_epmOfflineCondition_,"Y",_xll.EVPRO($B$1,$H65,"CALC"))</f>
        <v>Y</v>
      </c>
      <c r="K65" s="185" t="str">
        <f t="shared" si="32"/>
        <v>&gt;</v>
      </c>
      <c r="L65" s="186" t="str">
        <f>IF(_epmOfflineCondition_,"",_xll.EVPRO($B$1,H65,"JDEID"))</f>
        <v/>
      </c>
      <c r="M65" s="186" t="str">
        <f>IF(_epmOfflineCondition_,"",IF(AND(I65="N",J65="N"),_xll.EVPRO($B$1,H65,"PSFTID"),""))</f>
        <v/>
      </c>
      <c r="N65" s="186" t="str">
        <f>IF(_epmOfflineCondition_,"Total Payroll Related",IF(_xll.EVDES(H65,$B$1)="#NODATA","",_xll.EVDES(H65,$B$1)))</f>
        <v>Total Payroll Related</v>
      </c>
      <c r="O65" s="568">
        <v>930.27</v>
      </c>
      <c r="P65" s="568">
        <v>589.67999999999995</v>
      </c>
      <c r="Q65" s="568">
        <v>725.29</v>
      </c>
      <c r="R65" s="568">
        <v>673.73</v>
      </c>
      <c r="S65" s="568">
        <v>717.16</v>
      </c>
      <c r="T65" s="210">
        <v>541.63</v>
      </c>
      <c r="U65" s="210">
        <v>950.16</v>
      </c>
      <c r="V65" s="210">
        <v>272.22000000000003</v>
      </c>
      <c r="W65" s="210">
        <v>-1.87</v>
      </c>
      <c r="X65" s="210">
        <v>714.95</v>
      </c>
      <c r="Y65" s="210">
        <v>610.6</v>
      </c>
      <c r="Z65" s="210">
        <v>490.11</v>
      </c>
      <c r="AA65" s="210">
        <f t="shared" si="21"/>
        <v>7213.9299999999994</v>
      </c>
      <c r="AB65" s="211">
        <f t="shared" si="22"/>
        <v>6.5100244881811306E-2</v>
      </c>
      <c r="AC65" s="251"/>
      <c r="AD65" s="210">
        <v>16596.711658282002</v>
      </c>
      <c r="AE65" s="211">
        <f t="shared" si="23"/>
        <v>0.13534986683568093</v>
      </c>
      <c r="AF65" s="252">
        <f t="shared" si="24"/>
        <v>-9382.7816582820014</v>
      </c>
      <c r="AG65" s="210">
        <v>5592.5</v>
      </c>
      <c r="AH65" s="211">
        <f t="shared" si="25"/>
        <v>0.12071163420565162</v>
      </c>
      <c r="AI65" s="252">
        <f t="shared" si="26"/>
        <v>1621.4299999999994</v>
      </c>
      <c r="AJ65" s="253">
        <f t="shared" si="27"/>
        <v>0.21938841919591265</v>
      </c>
      <c r="AK65" s="254">
        <f t="shared" si="28"/>
        <v>0.45612905123624475</v>
      </c>
      <c r="AL65" s="256">
        <f t="shared" si="29"/>
        <v>0.36841238471673254</v>
      </c>
      <c r="AM65" s="427" t="str">
        <f t="shared" si="30"/>
        <v>-7.02 pts.</v>
      </c>
      <c r="AN65" s="483" t="str">
        <f t="shared" si="31"/>
        <v>-5.56 pts.</v>
      </c>
      <c r="AO65" s="11"/>
    </row>
    <row r="66" spans="1:41" x14ac:dyDescent="0.25">
      <c r="A66" s="11"/>
      <c r="B66" s="11"/>
      <c r="C66" s="11"/>
      <c r="D66" s="11"/>
      <c r="E66" s="11"/>
      <c r="F66" s="11"/>
      <c r="G66" s="11"/>
      <c r="H66" s="84" t="s">
        <v>76</v>
      </c>
      <c r="I66" s="184" t="str">
        <f>IF(_epmOfflineCondition_,"T1",_xll.EVPRO($B$1,$H66,"STYLE"))</f>
        <v>T1</v>
      </c>
      <c r="J66" s="184" t="str">
        <f>IF(_epmOfflineCondition_,"Y",_xll.EVPRO($B$1,$H66,"CALC"))</f>
        <v>Y</v>
      </c>
      <c r="K66" s="185" t="str">
        <f t="shared" si="32"/>
        <v>&gt;</v>
      </c>
      <c r="L66" s="186" t="str">
        <f>IF(_epmOfflineCondition_,"600000",_xll.EVPRO($B$1,H66,"JDEID"))</f>
        <v>600000</v>
      </c>
      <c r="M66" s="186" t="str">
        <f>IF(_epmOfflineCondition_,"",IF(AND(I66="N",J66="N"),_xll.EVPRO($B$1,H66,"PSFTID"),""))</f>
        <v/>
      </c>
      <c r="N66" s="186" t="str">
        <f>IF(_epmOfflineCondition_,"Total Labor &amp; Related Exp",IF(_xll.EVDES(H66,$B$1)="#NODATA","",_xll.EVDES(H66,$B$1)))</f>
        <v>Total Labor &amp; Related Exp</v>
      </c>
      <c r="O66" s="568">
        <v>4255.3</v>
      </c>
      <c r="P66" s="568">
        <v>2844.38</v>
      </c>
      <c r="Q66" s="568">
        <v>4214.82</v>
      </c>
      <c r="R66" s="568">
        <v>3621.87</v>
      </c>
      <c r="S66" s="568">
        <v>3891.85</v>
      </c>
      <c r="T66" s="210">
        <v>3614.08</v>
      </c>
      <c r="U66" s="210">
        <v>2212.7800000000002</v>
      </c>
      <c r="V66" s="210">
        <v>1075.9000000000001</v>
      </c>
      <c r="W66" s="210">
        <v>2573.6799999999998</v>
      </c>
      <c r="X66" s="210">
        <v>3518.53</v>
      </c>
      <c r="Y66" s="210">
        <v>3343.57</v>
      </c>
      <c r="Z66" s="210">
        <v>3711.24</v>
      </c>
      <c r="AA66" s="210">
        <f t="shared" si="21"/>
        <v>38877.999999999993</v>
      </c>
      <c r="AB66" s="211">
        <f t="shared" si="22"/>
        <v>0.35084445240181983</v>
      </c>
      <c r="AC66" s="251"/>
      <c r="AD66" s="210">
        <v>65562.561658281993</v>
      </c>
      <c r="AE66" s="211">
        <f t="shared" si="23"/>
        <v>0.53467724044156606</v>
      </c>
      <c r="AF66" s="252">
        <f t="shared" si="24"/>
        <v>-26684.561658282</v>
      </c>
      <c r="AG66" s="210">
        <v>32405.14</v>
      </c>
      <c r="AH66" s="211">
        <f t="shared" si="25"/>
        <v>0.69945058668983984</v>
      </c>
      <c r="AI66" s="252">
        <f t="shared" si="26"/>
        <v>6472.8599999999933</v>
      </c>
      <c r="AJ66" s="253">
        <f t="shared" si="27"/>
        <v>1.1823490055349428</v>
      </c>
      <c r="AK66" s="254">
        <f t="shared" si="28"/>
        <v>1.8018623002880776</v>
      </c>
      <c r="AL66" s="256">
        <f t="shared" si="29"/>
        <v>2.1347259552042162</v>
      </c>
      <c r="AM66" s="427" t="str">
        <f t="shared" si="30"/>
        <v>-18.38 pts.</v>
      </c>
      <c r="AN66" s="483" t="str">
        <f t="shared" si="31"/>
        <v>-34.86 pts.</v>
      </c>
      <c r="AO66" s="11"/>
    </row>
    <row r="67" spans="1:41" x14ac:dyDescent="0.25">
      <c r="A67" s="93" t="s">
        <v>92</v>
      </c>
      <c r="B67" s="94" t="s">
        <v>93</v>
      </c>
      <c r="C67" s="94" t="s">
        <v>94</v>
      </c>
      <c r="D67" s="94" t="s">
        <v>95</v>
      </c>
      <c r="E67" s="94" t="s">
        <v>96</v>
      </c>
      <c r="F67" s="95" t="s">
        <v>97</v>
      </c>
      <c r="G67" s="11"/>
      <c r="H67" s="11"/>
      <c r="I67" s="55"/>
      <c r="J67" s="55"/>
      <c r="K67" s="11"/>
      <c r="L67" s="11"/>
      <c r="M67" s="11"/>
      <c r="N67" s="11"/>
      <c r="O67" s="125"/>
      <c r="P67" s="126"/>
      <c r="Q67" s="126"/>
      <c r="R67" s="126"/>
      <c r="S67" s="126"/>
      <c r="T67" s="126"/>
      <c r="U67" s="126"/>
      <c r="V67" s="126"/>
      <c r="W67" s="126"/>
      <c r="X67" s="126"/>
      <c r="Y67" s="126"/>
      <c r="Z67" s="126"/>
      <c r="AA67" s="126"/>
      <c r="AB67" s="127"/>
      <c r="AC67" s="11"/>
      <c r="AD67" s="125"/>
      <c r="AE67" s="126"/>
      <c r="AF67" s="127"/>
      <c r="AG67" s="125"/>
      <c r="AH67" s="126"/>
      <c r="AI67" s="127"/>
      <c r="AJ67" s="11"/>
      <c r="AK67" s="11"/>
      <c r="AL67" s="11"/>
      <c r="AM67" s="11"/>
      <c r="AN67" s="11"/>
      <c r="AO67" s="11"/>
    </row>
    <row r="68" spans="1:41" x14ac:dyDescent="0.25">
      <c r="A68" s="11"/>
      <c r="B68" s="11"/>
      <c r="C68" s="11"/>
      <c r="D68" s="11"/>
      <c r="E68" s="11"/>
      <c r="F68" s="11"/>
      <c r="G68" s="11"/>
      <c r="H68" s="11" t="s">
        <v>82</v>
      </c>
      <c r="I68" s="55" t="str">
        <f>IF(_epmOfflineCondition_,"B1",_xll.EVPRO($B$1,$H68,"STYLE"))</f>
        <v>B1</v>
      </c>
      <c r="J68" s="55" t="str">
        <f>IF(_epmOfflineCondition_,"Y",_xll.EVPRO($B$1,$H68,"CALC"))</f>
        <v>Y</v>
      </c>
      <c r="K68" s="11"/>
      <c r="L68" s="11"/>
      <c r="M68" s="11"/>
      <c r="N68" s="101" t="str">
        <f>IF(_epmOfflineCondition_,"Other Expenses",IF(_xll.EVDES(H68,$B$1)="#NODATA","",_xll.EVDES(H68,$B$1)))</f>
        <v>Other Expenses</v>
      </c>
      <c r="O68" s="115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7"/>
      <c r="AC68" s="11"/>
      <c r="AD68" s="115"/>
      <c r="AE68" s="116"/>
      <c r="AF68" s="117"/>
      <c r="AG68" s="115"/>
      <c r="AH68" s="116"/>
      <c r="AI68" s="117"/>
      <c r="AJ68" s="11"/>
      <c r="AK68" s="11"/>
      <c r="AL68" s="11"/>
      <c r="AM68" s="11"/>
      <c r="AN68" s="11"/>
      <c r="AO68" s="11"/>
    </row>
    <row r="69" spans="1:41" hidden="1" x14ac:dyDescent="0.25">
      <c r="A69" s="11" t="s">
        <v>105</v>
      </c>
      <c r="B69" s="11"/>
      <c r="C69" s="100" t="s">
        <v>101</v>
      </c>
      <c r="D69" s="11" t="s">
        <v>106</v>
      </c>
      <c r="E69" s="11"/>
      <c r="F69" s="11" t="s">
        <v>98</v>
      </c>
      <c r="G69" s="11"/>
      <c r="H69" s="84" t="s">
        <v>668</v>
      </c>
      <c r="I69" s="118" t="str">
        <f>IF(_epmOfflineCondition_,"",_xll.EVPRO($B$1,$H69,"STYLE"))</f>
        <v/>
      </c>
      <c r="J69" s="118" t="str">
        <f>IF(_epmOfflineCondition_,"",_xll.EVPRO($B$1,$H69,"CALC"))</f>
        <v/>
      </c>
      <c r="K69" s="175" t="str">
        <f>IF(AND(I69&lt;&gt;"B1",J69="Y"),"&gt;","")</f>
        <v/>
      </c>
      <c r="L69" s="86" t="str">
        <f>IF(_epmOfflineCondition_,"",_xll.EVPRO($B$1,H69,"JDEID"))</f>
        <v/>
      </c>
      <c r="M69" s="86" t="str">
        <f>IF(_epmOfflineCondition_,"",IF(AND(I69="N",J69="N"),_xll.EVPRO($B$1,H69,"PSFTID"),""))</f>
        <v/>
      </c>
      <c r="N69" s="86" t="str">
        <f>IF(_epmOfflineCondition_,"",IF(_xll.EVDES(H69,$B$1)="#NODATA","",_xll.EVDES(H69,$B$1)))</f>
        <v/>
      </c>
      <c r="O69" s="134"/>
      <c r="P69" s="134"/>
      <c r="Q69" s="134"/>
      <c r="R69" s="134"/>
      <c r="S69" s="134"/>
      <c r="T69" s="134"/>
      <c r="U69" s="134"/>
      <c r="V69" s="134"/>
      <c r="W69" s="134"/>
      <c r="X69" s="134"/>
      <c r="Y69" s="134"/>
      <c r="Z69" s="134"/>
      <c r="AA69" s="223">
        <f>IF($I69="B1","",SUM(O69:Z69))</f>
        <v>0</v>
      </c>
      <c r="AB69" s="138" t="str">
        <f>IF(AA69=0,"",IFERROR(AA69/AA$19,""))</f>
        <v/>
      </c>
      <c r="AC69" s="136"/>
      <c r="AD69" s="134"/>
      <c r="AE69" s="138" t="str">
        <f>IF(AD69=0,"",IFERROR(AD69/AD$19,""))</f>
        <v/>
      </c>
      <c r="AF69" s="137">
        <f>IF(AND($AA69="",AD69=""),"",$AA69-AD69)</f>
        <v>0</v>
      </c>
      <c r="AG69" s="134"/>
      <c r="AH69" s="138" t="str">
        <f>IF(AG69=0,"",IFERROR(AG69/AG$19,""))</f>
        <v/>
      </c>
      <c r="AI69" s="137">
        <f>IF(AND($AA69="",AG69=""),"",$AA69-AG69)</f>
        <v>0</v>
      </c>
      <c r="AJ69" s="458">
        <f>IFERROR(AA69/AA$20,0)</f>
        <v>0</v>
      </c>
      <c r="AK69" s="459">
        <f>IFERROR(AD69/AD$20,0)</f>
        <v>0</v>
      </c>
      <c r="AL69" s="460">
        <f>IFERROR(AG69/AG$20,0)</f>
        <v>0</v>
      </c>
      <c r="AM69" s="461">
        <f>+IFERROR(ROUND(($AB69-AE69)*100,2)&amp;" pts.",0)</f>
        <v>0</v>
      </c>
      <c r="AN69" s="462">
        <f>+IFERROR(ROUND(($AB69-AH69)*100,2)&amp;" pts.",0)</f>
        <v>0</v>
      </c>
      <c r="AO69" s="11"/>
    </row>
    <row r="70" spans="1:41" hidden="1" x14ac:dyDescent="0.25">
      <c r="A70" s="11" t="s">
        <v>104</v>
      </c>
      <c r="B70" s="11"/>
      <c r="C70" s="100" t="s">
        <v>101</v>
      </c>
      <c r="D70" s="11" t="s">
        <v>106</v>
      </c>
      <c r="E70" s="11"/>
      <c r="F70" s="11" t="s">
        <v>98</v>
      </c>
      <c r="G70" s="11"/>
      <c r="H70" s="84"/>
      <c r="I70" s="118" t="str">
        <f>IF(_epmOfflineCondition_,"",_xll.EVPRO($B$1,$H70,"STYLE"))</f>
        <v/>
      </c>
      <c r="J70" s="118" t="str">
        <f>IF(_epmOfflineCondition_,"",_xll.EVPRO($B$1,$H70,"CALC"))</f>
        <v/>
      </c>
      <c r="K70" s="175" t="str">
        <f>IF(AND(I70&lt;&gt;"B1",J70="Y"),"&gt;","")</f>
        <v/>
      </c>
      <c r="L70" s="86" t="str">
        <f>IF(_epmOfflineCondition_,"",_xll.EVPRO($B$1,H70,"JDEID"))</f>
        <v/>
      </c>
      <c r="M70" s="86" t="str">
        <f>IF(_epmOfflineCondition_,"",IF(AND(I70="N",J70="N"),_xll.EVPRO($B$1,H70,"PSFTID"),""))</f>
        <v/>
      </c>
      <c r="N70" s="86" t="str">
        <f>IF(_epmOfflineCondition_,"",IF(_xll.EVDES(H70,$B$1)="#NODATA","",_xll.EVDES(H70,$B$1)))</f>
        <v/>
      </c>
      <c r="O70" s="134"/>
      <c r="P70" s="134"/>
      <c r="Q70" s="134"/>
      <c r="R70" s="134"/>
      <c r="S70" s="134"/>
      <c r="T70" s="134"/>
      <c r="U70" s="134"/>
      <c r="V70" s="134"/>
      <c r="W70" s="134"/>
      <c r="X70" s="134"/>
      <c r="Y70" s="134"/>
      <c r="Z70" s="134"/>
      <c r="AA70" s="223">
        <f>IF($I70="B1","",SUM(O70:Z70))</f>
        <v>0</v>
      </c>
      <c r="AB70" s="138" t="str">
        <f>IF(AA70=0,"",IFERROR(AA70/AA$19,""))</f>
        <v/>
      </c>
      <c r="AC70" s="136"/>
      <c r="AD70" s="134"/>
      <c r="AE70" s="138" t="str">
        <f>IF(AD70=0,"",IFERROR(AD70/AD$19,""))</f>
        <v/>
      </c>
      <c r="AF70" s="137">
        <f>IF(AND($AA70="",AD70=""),"",$AA70-AD70)</f>
        <v>0</v>
      </c>
      <c r="AG70" s="134"/>
      <c r="AH70" s="138" t="str">
        <f>IF(AG70=0,"",IFERROR(AG70/AG$19,""))</f>
        <v/>
      </c>
      <c r="AI70" s="137">
        <f>IF(AND($AA70="",AG70=""),"",$AA70-AG70)</f>
        <v>0</v>
      </c>
      <c r="AJ70" s="458">
        <f>IFERROR(AA70/AA$20,0)</f>
        <v>0</v>
      </c>
      <c r="AK70" s="459">
        <f>IFERROR(AD70/AD$20,0)</f>
        <v>0</v>
      </c>
      <c r="AL70" s="460">
        <f>IFERROR(AG70/AG$20,0)</f>
        <v>0</v>
      </c>
      <c r="AM70" s="461">
        <f>+IFERROR(ROUND(($AB70-AE70)*100,2)&amp;" pts.",0)</f>
        <v>0</v>
      </c>
      <c r="AN70" s="462">
        <f>+IFERROR(ROUND(($AB70-AH70)*100,2)&amp;" pts.",0)</f>
        <v>0</v>
      </c>
      <c r="AO70" s="11"/>
    </row>
    <row r="71" spans="1:41" x14ac:dyDescent="0.25">
      <c r="A71" s="11" t="s">
        <v>100</v>
      </c>
      <c r="B71" s="11"/>
      <c r="C71" s="49" t="s">
        <v>101</v>
      </c>
      <c r="D71" s="11" t="s">
        <v>106</v>
      </c>
      <c r="E71" s="11"/>
      <c r="F71" s="11" t="s">
        <v>98</v>
      </c>
      <c r="G71" s="11"/>
      <c r="H71" s="84" t="s">
        <v>79</v>
      </c>
      <c r="I71" s="132" t="str">
        <f>IF(_epmOfflineCondition_,"T3",_xll.EVPRO($B$1,$H71,"STYLE"))</f>
        <v>T3</v>
      </c>
      <c r="J71" s="132" t="str">
        <f>IF(_epmOfflineCondition_,"Y",_xll.EVPRO($B$1,$H71,"CALC"))</f>
        <v>Y</v>
      </c>
      <c r="K71" s="100"/>
      <c r="L71" s="100"/>
      <c r="M71" s="100"/>
      <c r="N71" s="102" t="str">
        <f>IF(_epmOfflineCondition_,"Total Operations Expense",IF(_xll.EVDES(H71,$B$1)="#NODATA","",_xll.EVDES(H71,$B$1)))</f>
        <v>Total Operations Expense</v>
      </c>
      <c r="O71" s="146"/>
      <c r="P71" s="146"/>
      <c r="Q71" s="146"/>
      <c r="R71" s="146"/>
      <c r="S71" s="146"/>
      <c r="T71" s="146"/>
      <c r="U71" s="146"/>
      <c r="V71" s="146"/>
      <c r="W71" s="146"/>
      <c r="X71" s="146"/>
      <c r="Y71" s="146"/>
      <c r="Z71" s="146"/>
      <c r="AA71" s="146">
        <f>IF($I71="B1","",SUM(O71:Z71))</f>
        <v>0</v>
      </c>
      <c r="AB71" s="147" t="str">
        <f>IF(AA71=0,"",IFERROR(AA71/AA$19,""))</f>
        <v/>
      </c>
      <c r="AC71" s="136"/>
      <c r="AD71" s="146"/>
      <c r="AE71" s="147" t="str">
        <f>IF(AD71=0,"",IFERROR(AD71/AD$19,""))</f>
        <v/>
      </c>
      <c r="AF71" s="148">
        <f>IF(AND($AA71="",AD71=""),"",$AA71-AD71)</f>
        <v>0</v>
      </c>
      <c r="AG71" s="146"/>
      <c r="AH71" s="147" t="str">
        <f>IF(AG71=0,"",IFERROR(AG71/AG$19,""))</f>
        <v/>
      </c>
      <c r="AI71" s="148">
        <f>IF(AND($AA71="",AG71=""),"",$AA71-AG71)</f>
        <v>0</v>
      </c>
      <c r="AJ71" s="431">
        <f>IFERROR(AA71/AA$20,0)</f>
        <v>0</v>
      </c>
      <c r="AK71" s="432">
        <f>IFERROR(AD71/AD$20,0)</f>
        <v>0</v>
      </c>
      <c r="AL71" s="433">
        <f>IFERROR(AG71/AG$20,0)</f>
        <v>0</v>
      </c>
      <c r="AM71" s="434">
        <f>+IFERROR(ROUND(($AB71-AE71)*100,2)&amp;" pts.",0)</f>
        <v>0</v>
      </c>
      <c r="AN71" s="550">
        <f>+IFERROR(ROUND(($AB71-AH71)*100,2)&amp;" pts.",0)</f>
        <v>0</v>
      </c>
      <c r="AO71" s="11"/>
    </row>
    <row r="72" spans="1:41" x14ac:dyDescent="0.25">
      <c r="A72" s="11" t="s">
        <v>102</v>
      </c>
      <c r="B72" s="11"/>
      <c r="C72" s="102" t="s">
        <v>101</v>
      </c>
      <c r="D72" s="11" t="s">
        <v>106</v>
      </c>
      <c r="E72" s="11"/>
      <c r="F72" s="11" t="s">
        <v>98</v>
      </c>
      <c r="G72" s="11"/>
      <c r="H72" s="11"/>
      <c r="I72" s="55"/>
      <c r="J72" s="55"/>
      <c r="K72" s="11"/>
      <c r="L72" s="11"/>
      <c r="M72" s="11"/>
      <c r="N72" s="11"/>
      <c r="O72" s="136"/>
      <c r="P72" s="136"/>
      <c r="Q72" s="136"/>
      <c r="R72" s="136"/>
      <c r="S72" s="136"/>
      <c r="T72" s="136"/>
      <c r="U72" s="136"/>
      <c r="V72" s="136"/>
      <c r="W72" s="136"/>
      <c r="X72" s="136"/>
      <c r="Y72" s="136"/>
      <c r="Z72" s="136"/>
      <c r="AA72" s="136"/>
      <c r="AB72" s="136"/>
      <c r="AC72" s="136"/>
      <c r="AD72" s="136"/>
      <c r="AE72" s="136"/>
      <c r="AF72" s="136"/>
      <c r="AG72" s="136"/>
      <c r="AH72" s="136"/>
      <c r="AI72" s="136"/>
      <c r="AJ72" s="136"/>
      <c r="AK72" s="136"/>
      <c r="AL72" s="136"/>
      <c r="AM72" s="136"/>
      <c r="AN72" s="136"/>
      <c r="AO72" s="11"/>
    </row>
    <row r="73" spans="1:41" x14ac:dyDescent="0.25">
      <c r="A73" s="11" t="s">
        <v>102</v>
      </c>
      <c r="B73" s="11"/>
      <c r="C73" s="192" t="s">
        <v>101</v>
      </c>
      <c r="D73" s="11" t="s">
        <v>107</v>
      </c>
      <c r="E73" s="11"/>
      <c r="F73" s="11" t="s">
        <v>99</v>
      </c>
      <c r="G73" s="11"/>
      <c r="H73" s="84" t="s">
        <v>80</v>
      </c>
      <c r="I73" s="132" t="str">
        <f>IF(_epmOfflineCondition_,"T3",_xll.EVPRO($B$1,$H73,"STYLE"))</f>
        <v>T3</v>
      </c>
      <c r="J73" s="132" t="str">
        <f>IF(_epmOfflineCondition_,"Y",_xll.EVPRO($B$1,$H73,"CALC"))</f>
        <v>Y</v>
      </c>
      <c r="K73" s="102"/>
      <c r="L73" s="102"/>
      <c r="M73" s="102"/>
      <c r="N73" s="102" t="str">
        <f>IF(_epmOfflineCondition_,"Total Expenses",IF(_xll.EVDES(H73,$B$1)="#NODATA","",_xll.EVDES(H73,$B$1)))</f>
        <v>Total Expenses</v>
      </c>
      <c r="O73" s="210">
        <v>4255.3</v>
      </c>
      <c r="P73" s="210">
        <v>2844.38</v>
      </c>
      <c r="Q73" s="210">
        <v>4214.82</v>
      </c>
      <c r="R73" s="210">
        <v>3621.87</v>
      </c>
      <c r="S73" s="210">
        <v>3891.85</v>
      </c>
      <c r="T73" s="210">
        <v>3614.08</v>
      </c>
      <c r="U73" s="210">
        <v>2212.7800000000002</v>
      </c>
      <c r="V73" s="210">
        <v>1075.9000000000001</v>
      </c>
      <c r="W73" s="210">
        <v>2573.6799999999998</v>
      </c>
      <c r="X73" s="210">
        <v>3518.53</v>
      </c>
      <c r="Y73" s="210">
        <v>3343.57</v>
      </c>
      <c r="Z73" s="210">
        <v>3711.24</v>
      </c>
      <c r="AA73" s="210">
        <f>IF($I73="B1","",SUM(O73:Z73))</f>
        <v>38877.999999999993</v>
      </c>
      <c r="AB73" s="211">
        <f>IF(AA73=0,"",IFERROR(AA73/AA$19,""))</f>
        <v>0.35084445240181983</v>
      </c>
      <c r="AC73" s="136"/>
      <c r="AD73" s="210">
        <v>65562.561658281993</v>
      </c>
      <c r="AE73" s="211">
        <f>IF(AD73=0,"",IFERROR(AD73/AD$19,""))</f>
        <v>0.53467724044156606</v>
      </c>
      <c r="AF73" s="212">
        <f>IF(AND($AA73="",AD73=""),"",$AA73-AD73)</f>
        <v>-26684.561658282</v>
      </c>
      <c r="AG73" s="213">
        <v>32405.14</v>
      </c>
      <c r="AH73" s="214">
        <f>IF(AG73=0,"",IFERROR(AG73/AG$19,""))</f>
        <v>0.69945058668983984</v>
      </c>
      <c r="AI73" s="212">
        <f>IF(AND($AA73="",AG73=""),"",$AA73-AG73)</f>
        <v>6472.8599999999933</v>
      </c>
      <c r="AJ73" s="437">
        <f>IFERROR(AA73/AA$20,0)</f>
        <v>1.1823490055349428</v>
      </c>
      <c r="AK73" s="438">
        <f>IFERROR(AD73/AD$20,0)</f>
        <v>1.8018623002880776</v>
      </c>
      <c r="AL73" s="439">
        <f>IFERROR(AG73/AG$20,0)</f>
        <v>2.1347259552042162</v>
      </c>
      <c r="AM73" s="440" t="str">
        <f>+IFERROR(ROUND(($AB73-AE73)*100,2)&amp;" pts.",0)</f>
        <v>-18.38 pts.</v>
      </c>
      <c r="AN73" s="551" t="str">
        <f>+IFERROR(ROUND(($AB73-AH73)*100,2)&amp;" pts.",0)</f>
        <v>-34.86 pts.</v>
      </c>
      <c r="AO73" s="11"/>
    </row>
    <row r="74" spans="1:41" ht="15.75" thickBot="1" x14ac:dyDescent="0.3">
      <c r="A74" s="11" t="s">
        <v>108</v>
      </c>
      <c r="B74" s="11"/>
      <c r="C74" s="102" t="s">
        <v>101</v>
      </c>
      <c r="D74" s="11" t="s">
        <v>106</v>
      </c>
      <c r="E74" s="11"/>
      <c r="F74" s="11" t="s">
        <v>98</v>
      </c>
      <c r="G74" s="11"/>
      <c r="H74" s="84" t="s">
        <v>81</v>
      </c>
      <c r="I74" s="132" t="str">
        <f>IF(_epmOfflineCondition_,"T3",_xll.EVPRO($B$1,$H74,"STYLE"))</f>
        <v>T3</v>
      </c>
      <c r="J74" s="132" t="str">
        <f>IF(_epmOfflineCondition_,"Y",_xll.EVPRO($B$1,$H74,"CALC"))</f>
        <v>Y</v>
      </c>
      <c r="K74" s="102"/>
      <c r="L74" s="102"/>
      <c r="M74" s="102"/>
      <c r="N74" s="102" t="str">
        <f>IF(_epmOfflineCondition_,"Department Profit (Loss)",IF(_xll.EVDES(H74,$B$1)="#NODATA","",_xll.EVDES(H74,$B$1)))</f>
        <v>Department Profit (Loss)</v>
      </c>
      <c r="O74" s="161">
        <v>3909.27</v>
      </c>
      <c r="P74" s="161">
        <v>3173.32</v>
      </c>
      <c r="Q74" s="161">
        <v>3249.23</v>
      </c>
      <c r="R74" s="161">
        <v>2942.64</v>
      </c>
      <c r="S74" s="161">
        <v>3478.81</v>
      </c>
      <c r="T74" s="161">
        <v>744.33</v>
      </c>
      <c r="U74" s="161">
        <v>1879.31</v>
      </c>
      <c r="V74" s="161">
        <v>6026.79</v>
      </c>
      <c r="W74" s="161">
        <v>1970.52</v>
      </c>
      <c r="X74" s="161">
        <v>2829.21</v>
      </c>
      <c r="Y74" s="161">
        <v>4170.21</v>
      </c>
      <c r="Z74" s="161">
        <v>7817.85</v>
      </c>
      <c r="AA74" s="161">
        <f>IF($I74="B1","",SUM(O74:Z74))</f>
        <v>42191.490000000005</v>
      </c>
      <c r="AB74" s="162">
        <f>IF(AA74=0,"",IFERROR(AA74/AA$19,""))</f>
        <v>0.38074618563369672</v>
      </c>
      <c r="AC74" s="136"/>
      <c r="AD74" s="161">
        <v>19810.274001718</v>
      </c>
      <c r="AE74" s="162">
        <f>IF(AD74=0,"",IFERROR(AD74/AD$19,""))</f>
        <v>0.16155718092341903</v>
      </c>
      <c r="AF74" s="163">
        <f>IF(AND($AA74="",AD74=""),"",$AA74-AD74)</f>
        <v>22381.215998282005</v>
      </c>
      <c r="AG74" s="161">
        <v>-1763.5700000000099</v>
      </c>
      <c r="AH74" s="162">
        <f>IF(AG74=0,"",IFERROR(AG74/AG$19,""))</f>
        <v>-3.8065876930900709E-2</v>
      </c>
      <c r="AI74" s="163">
        <f>IF(AND($AA74="",AG74=""),"",$AA74-AG74)</f>
        <v>43955.060000000012</v>
      </c>
      <c r="AJ74" s="442">
        <f>IFERROR(AA74/AA$20,0)</f>
        <v>1.283118119335807</v>
      </c>
      <c r="AK74" s="443">
        <f>IFERROR(AD74/AD$20,0)</f>
        <v>0.5444476997119222</v>
      </c>
      <c r="AL74" s="444">
        <f>IFERROR(AG74/AG$20,0)</f>
        <v>-0.11617720685112055</v>
      </c>
      <c r="AM74" s="445" t="str">
        <f>+IFERROR(ROUND(($AB74-AE74)*100,2)&amp;" pts.",0)</f>
        <v>21.92 pts.</v>
      </c>
      <c r="AN74" s="552" t="str">
        <f>+IFERROR(ROUND(($AB74-AH74)*100,2)&amp;" pts.",0)</f>
        <v>41.88 pts.</v>
      </c>
      <c r="AO74" s="11"/>
    </row>
    <row r="75" spans="1:41" ht="15.75" thickTop="1" x14ac:dyDescent="0.25">
      <c r="A75" s="11" t="s">
        <v>108</v>
      </c>
      <c r="B75" s="11"/>
      <c r="C75" s="192" t="s">
        <v>101</v>
      </c>
      <c r="D75" s="11" t="s">
        <v>107</v>
      </c>
      <c r="E75" s="11"/>
      <c r="F75" s="11" t="s">
        <v>99</v>
      </c>
      <c r="G75" s="11"/>
      <c r="H75" s="11"/>
      <c r="I75" s="55"/>
      <c r="J75" s="55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</row>
    <row r="76" spans="1:41" x14ac:dyDescent="0.25">
      <c r="A76" s="11"/>
      <c r="B76" s="11"/>
      <c r="C76" s="11"/>
      <c r="D76" s="11"/>
      <c r="E76" s="11"/>
      <c r="F76" s="11"/>
      <c r="G76" s="11"/>
      <c r="H76" s="11"/>
      <c r="I76" s="55"/>
      <c r="J76" s="55"/>
      <c r="K76" s="11"/>
      <c r="L76" s="11"/>
      <c r="M76" s="11"/>
      <c r="N76" s="100" t="str">
        <f>N73&amp;" - Check"</f>
        <v>Total Expenses - Check</v>
      </c>
      <c r="O76" s="205">
        <f t="shared" ref="O76:AA76" si="33">SUMIF($H$35:$H$74,"600000",O$35:O$74)+SUMIF($H$35:$H$74,"700000",O$35:O$74)-SUMIF($H$35:$H$74,"TOTDEPTEXP",O$35:O$74)</f>
        <v>0</v>
      </c>
      <c r="P76" s="205">
        <f t="shared" si="33"/>
        <v>0</v>
      </c>
      <c r="Q76" s="205">
        <f t="shared" si="33"/>
        <v>0</v>
      </c>
      <c r="R76" s="205">
        <f t="shared" si="33"/>
        <v>0</v>
      </c>
      <c r="S76" s="205">
        <f t="shared" si="33"/>
        <v>0</v>
      </c>
      <c r="T76" s="205">
        <f t="shared" si="33"/>
        <v>0</v>
      </c>
      <c r="U76" s="205">
        <f t="shared" si="33"/>
        <v>0</v>
      </c>
      <c r="V76" s="205">
        <f t="shared" si="33"/>
        <v>0</v>
      </c>
      <c r="W76" s="205">
        <f t="shared" si="33"/>
        <v>0</v>
      </c>
      <c r="X76" s="205">
        <f t="shared" si="33"/>
        <v>0</v>
      </c>
      <c r="Y76" s="205">
        <f t="shared" si="33"/>
        <v>0</v>
      </c>
      <c r="Z76" s="205">
        <f t="shared" si="33"/>
        <v>0</v>
      </c>
      <c r="AA76" s="205">
        <f t="shared" si="33"/>
        <v>0</v>
      </c>
      <c r="AB76" s="96"/>
      <c r="AC76" s="11"/>
      <c r="AD76" s="205">
        <f>SUMIF($H$35:$H$74,"600000",AD$35:AD$74)+SUMIF($H$35:$H$74,"700000",AD$35:AD$74)-SUMIF($H$35:$H$74,"TOTDEPTEXP",AD$35:AD$74)</f>
        <v>0</v>
      </c>
      <c r="AE76" s="96"/>
      <c r="AF76" s="87"/>
      <c r="AG76" s="205">
        <f>SUMIF($H$35:$H$74,"600000",AG$35:AG$74)+SUMIF($H$35:$H$74,"700000",AG$35:AG$74)-SUMIF($H$35:$H$74,"TOTDEPTEXP",AG$35:AG$74)</f>
        <v>0</v>
      </c>
      <c r="AH76" s="96"/>
      <c r="AI76" s="87"/>
      <c r="AJ76" s="11"/>
      <c r="AK76" s="11"/>
      <c r="AL76" s="11"/>
      <c r="AM76" s="11"/>
      <c r="AN76" s="11"/>
      <c r="AO76" s="11"/>
    </row>
    <row r="77" spans="1:41" x14ac:dyDescent="0.25">
      <c r="A77" s="11"/>
      <c r="B77" s="11"/>
      <c r="C77" s="204"/>
      <c r="D77" s="11"/>
      <c r="E77" s="11"/>
      <c r="F77" s="11"/>
      <c r="G77" s="11"/>
      <c r="H77" s="11"/>
      <c r="I77" s="55"/>
      <c r="J77" s="55"/>
      <c r="K77" s="11"/>
      <c r="L77" s="11"/>
      <c r="M77" s="11"/>
      <c r="N77" s="100" t="str">
        <f>N74&amp;" - Check"</f>
        <v>Department Profit (Loss) - Check</v>
      </c>
      <c r="O77" s="205">
        <f t="shared" ref="O77:AA77" si="34">SUMIF($H$35:$H$74,"KPI_GP",O$35:O$74)-SUMIF($H$35:$H$74,"TOTDEPTEXP",O$35:O$74)-SUMIF($H$35:$H$74,"TOTDEPTPL",O$35:O$74)</f>
        <v>0</v>
      </c>
      <c r="P77" s="205">
        <f t="shared" si="34"/>
        <v>0</v>
      </c>
      <c r="Q77" s="205">
        <f t="shared" si="34"/>
        <v>0</v>
      </c>
      <c r="R77" s="205">
        <f t="shared" si="34"/>
        <v>0</v>
      </c>
      <c r="S77" s="205">
        <f t="shared" si="34"/>
        <v>0</v>
      </c>
      <c r="T77" s="205">
        <f t="shared" si="34"/>
        <v>0</v>
      </c>
      <c r="U77" s="205">
        <f t="shared" si="34"/>
        <v>0</v>
      </c>
      <c r="V77" s="205">
        <f t="shared" si="34"/>
        <v>0</v>
      </c>
      <c r="W77" s="205">
        <f t="shared" si="34"/>
        <v>0</v>
      </c>
      <c r="X77" s="205">
        <f t="shared" si="34"/>
        <v>0</v>
      </c>
      <c r="Y77" s="205">
        <f t="shared" si="34"/>
        <v>0</v>
      </c>
      <c r="Z77" s="205">
        <f t="shared" si="34"/>
        <v>0</v>
      </c>
      <c r="AA77" s="205">
        <f t="shared" si="34"/>
        <v>0</v>
      </c>
      <c r="AB77" s="96"/>
      <c r="AC77" s="11"/>
      <c r="AD77" s="205">
        <f>SUMIF($H$35:$H$74,"KPI_GP",AD$35:AD$74)-SUMIF($H$35:$H$74,"TOTDEPTEXP",AD$35:AD$74)-SUMIF($H$35:$H$74,"TOTDEPTPL",AD$35:AD$74)</f>
        <v>0</v>
      </c>
      <c r="AE77" s="96"/>
      <c r="AF77" s="87"/>
      <c r="AG77" s="205">
        <f>SUMIF($H$35:$H$74,"KPI_GP",AG$35:AG$74)-SUMIF($H$35:$H$74,"TOTDEPTEXP",AG$35:AG$74)-SUMIF($H$35:$H$74,"TOTDEPTPL",AG$35:AG$74)</f>
        <v>1.0231815394945443E-11</v>
      </c>
      <c r="AH77" s="96"/>
      <c r="AI77" s="87"/>
      <c r="AJ77" s="11"/>
      <c r="AK77" s="11"/>
      <c r="AL77" s="11"/>
      <c r="AM77" s="11"/>
      <c r="AN77" s="11"/>
      <c r="AO77" s="11"/>
    </row>
    <row r="78" spans="1:41" x14ac:dyDescent="0.25">
      <c r="A78" s="56" t="str">
        <f>IF(_epmOfflineCondition_,"Evdre:Ok",_xll.EVDRE($B$1,A81:B88,A91:B97))</f>
        <v>Evdre:Ok</v>
      </c>
      <c r="B78" s="11"/>
      <c r="C78" s="11"/>
      <c r="D78" s="11"/>
      <c r="E78" s="11"/>
      <c r="F78" s="11"/>
      <c r="G78" s="11"/>
      <c r="H78" s="11"/>
      <c r="I78" s="55"/>
      <c r="J78" s="55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  <row r="79" spans="1:41" x14ac:dyDescent="0.25">
      <c r="A79" s="11"/>
      <c r="B79" s="11"/>
      <c r="C79" s="11"/>
      <c r="D79" s="11"/>
      <c r="E79" s="11"/>
      <c r="F79" s="11"/>
      <c r="G79" s="11"/>
      <c r="H79" s="11"/>
      <c r="I79" s="55"/>
      <c r="J79" s="55"/>
      <c r="K79" s="11"/>
      <c r="L79" s="11"/>
      <c r="M79" s="11"/>
      <c r="N79" s="11"/>
      <c r="O79" s="133"/>
      <c r="P79" s="133"/>
      <c r="Q79" s="133"/>
      <c r="R79" s="133"/>
      <c r="S79" s="133"/>
      <c r="T79" s="133"/>
      <c r="U79" s="133"/>
      <c r="V79" s="133"/>
      <c r="W79" s="133"/>
      <c r="X79" s="133"/>
      <c r="Y79" s="133"/>
      <c r="Z79" s="133"/>
      <c r="AA79" s="133"/>
      <c r="AB79" s="11"/>
      <c r="AC79" s="11"/>
      <c r="AD79" s="133"/>
      <c r="AE79" s="11"/>
      <c r="AF79" s="11"/>
      <c r="AG79" s="133"/>
      <c r="AH79" s="11"/>
      <c r="AI79" s="11"/>
      <c r="AJ79" s="11"/>
      <c r="AK79" s="11"/>
      <c r="AL79" s="11"/>
      <c r="AM79" s="11"/>
      <c r="AN79" s="11"/>
      <c r="AO79" s="11"/>
    </row>
    <row r="80" spans="1:41" x14ac:dyDescent="0.25">
      <c r="A80" s="57" t="s">
        <v>0</v>
      </c>
      <c r="B80" s="58" t="s">
        <v>1</v>
      </c>
      <c r="C80" s="11"/>
      <c r="D80" s="11"/>
      <c r="E80" s="11"/>
      <c r="F80" s="11"/>
      <c r="G80" s="11"/>
      <c r="H80" s="11"/>
      <c r="I80" s="55"/>
      <c r="J80" s="55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x14ac:dyDescent="0.25">
      <c r="A81" s="61" t="s">
        <v>2</v>
      </c>
      <c r="B81" s="62" t="str">
        <f>IF(_epmOfflineCondition_,"'Mini_Bar'!$B$2:$B$10",_xll.EVRNG($B$2:$B$10))</f>
        <v>'Mini_Bar'!$B$2:$B$10</v>
      </c>
      <c r="C81" s="11"/>
      <c r="D81" s="11"/>
      <c r="E81" s="11"/>
      <c r="F81" s="11"/>
      <c r="G81" s="11"/>
      <c r="H81" s="11"/>
      <c r="I81" s="55"/>
      <c r="J81" s="55"/>
      <c r="K81" s="11"/>
      <c r="L81" s="11"/>
      <c r="M81" s="11"/>
      <c r="N81" s="11"/>
      <c r="O81" s="133"/>
      <c r="P81" s="133"/>
      <c r="Q81" s="133"/>
      <c r="R81" s="133"/>
      <c r="S81" s="133"/>
      <c r="T81" s="133"/>
      <c r="U81" s="133"/>
      <c r="V81" s="133"/>
      <c r="W81" s="133"/>
      <c r="X81" s="133"/>
      <c r="Y81" s="133"/>
      <c r="Z81" s="133"/>
      <c r="AA81" s="133"/>
      <c r="AB81" s="11"/>
      <c r="AC81" s="11"/>
      <c r="AD81" s="133"/>
      <c r="AE81" s="11"/>
      <c r="AF81" s="11"/>
      <c r="AG81" s="133"/>
      <c r="AH81" s="11"/>
      <c r="AI81" s="11"/>
      <c r="AJ81" s="11"/>
      <c r="AK81" s="11"/>
      <c r="AL81" s="11"/>
      <c r="AM81" s="11"/>
      <c r="AN81" s="11"/>
      <c r="AO81" s="11"/>
    </row>
    <row r="82" spans="1:41" x14ac:dyDescent="0.25">
      <c r="A82" s="61" t="s">
        <v>3</v>
      </c>
      <c r="B82" s="62" t="str">
        <f>IF(_epmOfflineCondition_,"'Mini_Bar'!$O$16:$AN$18",_xll.EVRNG($O$16:$AN$18))</f>
        <v>'Mini_Bar'!$O$16:$AN$18</v>
      </c>
      <c r="C82" s="11"/>
      <c r="D82" s="11"/>
      <c r="E82" s="11"/>
      <c r="F82" s="11"/>
      <c r="G82" s="11"/>
      <c r="H82" s="11"/>
      <c r="I82" s="55"/>
      <c r="J82" s="55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x14ac:dyDescent="0.25">
      <c r="A83" s="61" t="s">
        <v>4</v>
      </c>
      <c r="B83" s="62" t="str">
        <f>IF(_epmOfflineCondition_,"'Mini_Bar'!$H$55:$H$56,'Mini_Bar'!$H$58:$H$66,'Mini_Bar'!$H$69:$H$70",_xll.EVRNG(H55:H56,H58:H66,H69:H70))</f>
        <v>'Mini_Bar'!$H$55:$H$56,'Mini_Bar'!$H$58:$H$66,'Mini_Bar'!$H$69:$H$70</v>
      </c>
      <c r="C83" s="11"/>
      <c r="D83" s="11"/>
      <c r="E83" s="11"/>
      <c r="F83" s="11"/>
      <c r="G83" s="11"/>
      <c r="H83" s="11"/>
      <c r="I83" s="55"/>
      <c r="J83" s="55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x14ac:dyDescent="0.25">
      <c r="A84" s="61" t="s">
        <v>5</v>
      </c>
      <c r="B84" s="62"/>
      <c r="C84" s="11"/>
      <c r="D84" s="11"/>
      <c r="E84" s="11"/>
      <c r="F84" s="11"/>
      <c r="G84" s="11"/>
      <c r="H84" s="55"/>
      <c r="I84" s="55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x14ac:dyDescent="0.25">
      <c r="A85" s="61" t="s">
        <v>6</v>
      </c>
      <c r="B85" s="62"/>
      <c r="C85" s="11"/>
      <c r="D85" s="11"/>
      <c r="E85" s="11"/>
      <c r="F85" s="11"/>
      <c r="G85" s="11"/>
      <c r="H85" s="55"/>
      <c r="I85" s="55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x14ac:dyDescent="0.25">
      <c r="A86" s="61" t="s">
        <v>7</v>
      </c>
      <c r="B86" s="62" t="str">
        <f>IF(_epmOfflineCondition_,"'Mini_Bar'!$A$100:$F$106",_xll.EVRNG(A100:F106))</f>
        <v>'Mini_Bar'!$A$100:$F$106</v>
      </c>
      <c r="C86" s="11"/>
      <c r="D86" s="11"/>
      <c r="E86" s="11"/>
      <c r="F86" s="11"/>
      <c r="G86" s="11"/>
      <c r="H86" s="55"/>
      <c r="I86" s="55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x14ac:dyDescent="0.25">
      <c r="A87" s="61" t="s">
        <v>47</v>
      </c>
      <c r="B87" s="62" t="str">
        <f>IF(_epmOfflineCondition_,"'Mini_Bar'!$A$123:$B$144",_xll.EVRNG($A$123:$B$144))</f>
        <v>'Mini_Bar'!$A$123:$B$144</v>
      </c>
      <c r="C87" s="11"/>
      <c r="D87" s="11"/>
      <c r="E87" s="11"/>
      <c r="F87" s="11"/>
      <c r="G87" s="11"/>
      <c r="H87" s="55"/>
      <c r="I87" s="55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x14ac:dyDescent="0.25">
      <c r="A88" s="61" t="s">
        <v>8</v>
      </c>
      <c r="B88" s="62"/>
      <c r="C88" s="11"/>
      <c r="D88" s="11"/>
      <c r="E88" s="11"/>
      <c r="F88" s="11"/>
      <c r="G88" s="11"/>
      <c r="H88" s="55"/>
      <c r="I88" s="55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x14ac:dyDescent="0.25">
      <c r="A89" s="11"/>
      <c r="B89" s="11"/>
      <c r="C89" s="11"/>
      <c r="D89" s="11"/>
      <c r="E89" s="11"/>
      <c r="F89" s="11"/>
      <c r="G89" s="11"/>
      <c r="H89" s="55"/>
      <c r="I89" s="55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x14ac:dyDescent="0.25">
      <c r="A90" s="57" t="s">
        <v>9</v>
      </c>
      <c r="B90" s="58" t="s">
        <v>10</v>
      </c>
      <c r="C90" s="11"/>
      <c r="D90" s="11"/>
      <c r="E90" s="11"/>
      <c r="F90" s="11"/>
      <c r="G90" s="11"/>
      <c r="H90" s="55"/>
      <c r="I90" s="55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x14ac:dyDescent="0.25">
      <c r="A91" s="61" t="s">
        <v>11</v>
      </c>
      <c r="B91" s="62" t="s">
        <v>21</v>
      </c>
      <c r="C91" s="11"/>
      <c r="D91" s="11"/>
      <c r="E91" s="11"/>
      <c r="F91" s="11"/>
      <c r="G91" s="11"/>
      <c r="H91" s="55"/>
      <c r="I91" s="55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x14ac:dyDescent="0.25">
      <c r="A92" s="61" t="s">
        <v>12</v>
      </c>
      <c r="B92" s="62" t="s">
        <v>22</v>
      </c>
      <c r="C92" s="11"/>
      <c r="D92" s="11"/>
      <c r="E92" s="11"/>
      <c r="F92" s="11"/>
      <c r="G92" s="11"/>
      <c r="H92" s="55"/>
      <c r="I92" s="55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x14ac:dyDescent="0.25">
      <c r="A93" s="61" t="s">
        <v>13</v>
      </c>
      <c r="B93" s="62" t="s">
        <v>738</v>
      </c>
      <c r="C93" s="11"/>
      <c r="D93" s="11"/>
      <c r="E93" s="11"/>
      <c r="F93" s="11"/>
      <c r="G93" s="11"/>
      <c r="H93" s="55"/>
      <c r="I93" s="55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x14ac:dyDescent="0.25">
      <c r="A94" s="61" t="s">
        <v>14</v>
      </c>
      <c r="B94" s="62"/>
      <c r="C94" s="11"/>
      <c r="D94" s="11"/>
      <c r="E94" s="11"/>
      <c r="F94" s="11"/>
      <c r="G94" s="72"/>
      <c r="H94" s="55"/>
      <c r="I94" s="55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x14ac:dyDescent="0.25">
      <c r="A95" s="61" t="s">
        <v>15</v>
      </c>
      <c r="B95" s="62"/>
      <c r="C95" s="11"/>
      <c r="D95" s="11"/>
      <c r="E95" s="11"/>
      <c r="F95" s="11"/>
      <c r="G95" s="11"/>
      <c r="H95" s="55"/>
      <c r="I95" s="55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x14ac:dyDescent="0.25">
      <c r="A96" s="61" t="s">
        <v>16</v>
      </c>
      <c r="B96" s="62" t="s">
        <v>78</v>
      </c>
      <c r="C96" s="11"/>
      <c r="D96" s="11"/>
      <c r="E96" s="11"/>
      <c r="F96" s="11"/>
      <c r="G96" s="11"/>
      <c r="H96" s="55"/>
      <c r="I96" s="55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x14ac:dyDescent="0.25">
      <c r="A97" s="61" t="s">
        <v>17</v>
      </c>
      <c r="B97" s="62"/>
      <c r="C97" s="11"/>
      <c r="D97" s="11"/>
      <c r="E97" s="11"/>
      <c r="F97" s="11"/>
      <c r="G97" s="11"/>
      <c r="H97" s="55"/>
      <c r="I97" s="55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x14ac:dyDescent="0.25">
      <c r="A98" s="11"/>
      <c r="B98" s="11"/>
      <c r="C98" s="11"/>
      <c r="D98" s="11"/>
      <c r="E98" s="11"/>
      <c r="F98" s="11"/>
      <c r="G98" s="11"/>
      <c r="H98" s="55"/>
      <c r="I98" s="55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x14ac:dyDescent="0.25">
      <c r="A99" s="93" t="s">
        <v>92</v>
      </c>
      <c r="B99" s="94" t="s">
        <v>93</v>
      </c>
      <c r="C99" s="94" t="s">
        <v>94</v>
      </c>
      <c r="D99" s="94" t="s">
        <v>95</v>
      </c>
      <c r="E99" s="94" t="s">
        <v>96</v>
      </c>
      <c r="F99" s="95" t="s">
        <v>97</v>
      </c>
      <c r="G99" s="11"/>
      <c r="H99" s="55"/>
      <c r="I99" s="55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x14ac:dyDescent="0.25">
      <c r="A100" s="11"/>
      <c r="B100" s="11"/>
      <c r="C100" s="11"/>
      <c r="D100" s="11"/>
      <c r="E100" s="11"/>
      <c r="F100" s="11"/>
      <c r="G100" s="11"/>
      <c r="H100" s="55"/>
      <c r="I100" s="55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x14ac:dyDescent="0.25">
      <c r="A101" s="11" t="s">
        <v>108</v>
      </c>
      <c r="B101" s="11"/>
      <c r="C101" s="100" t="s">
        <v>101</v>
      </c>
      <c r="D101" s="11" t="s">
        <v>106</v>
      </c>
      <c r="E101" s="11"/>
      <c r="F101" s="11" t="s">
        <v>98</v>
      </c>
      <c r="G101" s="11"/>
      <c r="H101" s="55"/>
      <c r="I101" s="55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x14ac:dyDescent="0.25">
      <c r="A102" s="11" t="s">
        <v>100</v>
      </c>
      <c r="B102" s="11"/>
      <c r="C102" s="49" t="s">
        <v>101</v>
      </c>
      <c r="D102" s="11" t="s">
        <v>106</v>
      </c>
      <c r="E102" s="11"/>
      <c r="F102" s="11" t="s">
        <v>98</v>
      </c>
      <c r="G102" s="11"/>
      <c r="H102" s="55"/>
      <c r="I102" s="55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x14ac:dyDescent="0.25">
      <c r="A103" s="11" t="s">
        <v>109</v>
      </c>
      <c r="B103" s="11"/>
      <c r="C103" s="102" t="s">
        <v>101</v>
      </c>
      <c r="D103" s="11" t="s">
        <v>106</v>
      </c>
      <c r="E103" s="11"/>
      <c r="F103" s="11" t="s">
        <v>98</v>
      </c>
      <c r="G103" s="11"/>
      <c r="H103" s="55"/>
      <c r="I103" s="55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x14ac:dyDescent="0.25">
      <c r="A104" s="11" t="s">
        <v>109</v>
      </c>
      <c r="B104" s="11"/>
      <c r="C104" s="192" t="s">
        <v>101</v>
      </c>
      <c r="D104" s="11" t="s">
        <v>107</v>
      </c>
      <c r="E104" s="11"/>
      <c r="F104" s="11" t="s">
        <v>99</v>
      </c>
      <c r="G104" s="11"/>
      <c r="H104" s="55"/>
      <c r="I104" s="55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x14ac:dyDescent="0.25">
      <c r="A105" s="11" t="s">
        <v>110</v>
      </c>
      <c r="B105" s="11"/>
      <c r="C105" s="102" t="s">
        <v>101</v>
      </c>
      <c r="D105" s="11" t="s">
        <v>106</v>
      </c>
      <c r="E105" s="11"/>
      <c r="F105" s="11" t="s">
        <v>98</v>
      </c>
      <c r="G105" s="11"/>
      <c r="H105" s="55"/>
      <c r="I105" s="55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x14ac:dyDescent="0.25">
      <c r="A106" s="11" t="s">
        <v>110</v>
      </c>
      <c r="B106" s="11"/>
      <c r="C106" s="105" t="s">
        <v>101</v>
      </c>
      <c r="D106" s="11" t="s">
        <v>107</v>
      </c>
      <c r="E106" s="11"/>
      <c r="F106" s="11" t="s">
        <v>99</v>
      </c>
      <c r="G106" s="11"/>
      <c r="H106" s="55"/>
      <c r="I106" s="55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x14ac:dyDescent="0.25">
      <c r="A107" s="11"/>
      <c r="B107" s="11"/>
      <c r="C107" s="204"/>
      <c r="D107" s="11"/>
      <c r="E107" s="11"/>
      <c r="F107" s="11"/>
      <c r="G107" s="11"/>
      <c r="H107" s="11"/>
      <c r="I107" s="55"/>
      <c r="J107" s="55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x14ac:dyDescent="0.25">
      <c r="A108" s="11"/>
      <c r="B108" s="11"/>
      <c r="C108" s="11"/>
      <c r="D108" s="11"/>
      <c r="E108" s="11"/>
      <c r="F108" s="11"/>
      <c r="G108" s="72"/>
      <c r="H108" s="11"/>
      <c r="I108" s="55"/>
      <c r="J108" s="55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x14ac:dyDescent="0.25">
      <c r="A109" s="56" t="str">
        <f>IF(_epmOfflineCondition_,"Evdre:Ok",_xll.EVDRE($B$1,A112:B119))</f>
        <v>Evdre:Ok</v>
      </c>
      <c r="B109" s="11" t="s">
        <v>737</v>
      </c>
      <c r="C109" s="11"/>
      <c r="D109" s="11"/>
      <c r="E109" s="11"/>
      <c r="F109" s="11"/>
      <c r="G109" s="11"/>
      <c r="H109" s="11"/>
      <c r="I109" s="55"/>
      <c r="J109" s="55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x14ac:dyDescent="0.25">
      <c r="A110" s="11"/>
      <c r="B110" s="11"/>
      <c r="C110" s="11"/>
      <c r="D110" s="11"/>
      <c r="E110" s="11"/>
      <c r="F110" s="11"/>
      <c r="G110" s="11"/>
      <c r="H110" s="11"/>
      <c r="I110" s="55"/>
      <c r="J110" s="55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x14ac:dyDescent="0.25">
      <c r="A111" s="57" t="s">
        <v>0</v>
      </c>
      <c r="B111" s="58" t="s">
        <v>1</v>
      </c>
      <c r="C111" s="11"/>
      <c r="D111" s="11"/>
      <c r="E111" s="11"/>
      <c r="F111" s="11"/>
      <c r="G111" s="11"/>
      <c r="H111" s="11"/>
      <c r="I111" s="55"/>
      <c r="J111" s="55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x14ac:dyDescent="0.25">
      <c r="A112" s="61" t="s">
        <v>2</v>
      </c>
      <c r="B112" s="62" t="str">
        <f>IF(_epmOfflineCondition_,"'Mini_Bar'!$B$2:$B$10",_xll.EVRNG($B$2:$B$10))</f>
        <v>'Mini_Bar'!$B$2:$B$10</v>
      </c>
      <c r="C112" s="11"/>
      <c r="D112" s="11"/>
      <c r="E112" s="11"/>
      <c r="F112" s="11"/>
      <c r="G112" s="11"/>
      <c r="H112" s="11"/>
      <c r="I112" s="55"/>
      <c r="J112" s="55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x14ac:dyDescent="0.25">
      <c r="A113" s="61" t="s">
        <v>3</v>
      </c>
      <c r="B113" s="62" t="str">
        <f>IF(_epmOfflineCondition_,"'Mini_Bar'!$O$16:$AN$18",_xll.EVRNG($O$16:$AN$18))</f>
        <v>'Mini_Bar'!$O$16:$AN$18</v>
      </c>
      <c r="C113" s="11"/>
      <c r="D113" s="11"/>
      <c r="E113" s="11"/>
      <c r="F113" s="11"/>
      <c r="G113" s="11"/>
      <c r="H113" s="11"/>
      <c r="I113" s="55"/>
      <c r="J113" s="55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  <row r="114" spans="1:41" x14ac:dyDescent="0.25">
      <c r="A114" s="61" t="s">
        <v>4</v>
      </c>
      <c r="B114" s="62" t="str">
        <f>IF(_epmOfflineCondition_,"'Mini_Bar'!$H$71:$H$74",_xll.EVRNG(H71:H74))</f>
        <v>'Mini_Bar'!$H$71:$H$74</v>
      </c>
      <c r="C114" s="11"/>
      <c r="D114" s="11"/>
      <c r="E114" s="11"/>
      <c r="F114" s="11"/>
      <c r="G114" s="11"/>
      <c r="H114" s="11"/>
      <c r="I114" s="55"/>
      <c r="J114" s="55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x14ac:dyDescent="0.25">
      <c r="A115" s="61" t="s">
        <v>5</v>
      </c>
      <c r="B115" s="62"/>
      <c r="C115" s="11"/>
      <c r="D115" s="11"/>
      <c r="E115" s="11"/>
      <c r="F115" s="11"/>
      <c r="G115" s="11"/>
      <c r="H115" s="11"/>
      <c r="I115" s="55"/>
      <c r="J115" s="55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x14ac:dyDescent="0.25">
      <c r="A116" s="61" t="s">
        <v>6</v>
      </c>
      <c r="B116" s="62"/>
      <c r="C116" s="11"/>
      <c r="D116" s="11"/>
      <c r="E116" s="11"/>
      <c r="F116" s="11"/>
      <c r="G116" s="11"/>
      <c r="H116" s="11"/>
      <c r="I116" s="55"/>
      <c r="J116" s="55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x14ac:dyDescent="0.25">
      <c r="A117" s="61" t="s">
        <v>7</v>
      </c>
      <c r="B117" s="62"/>
      <c r="C117" s="11"/>
      <c r="D117" s="11"/>
      <c r="E117" s="11"/>
      <c r="F117" s="11"/>
      <c r="G117" s="11"/>
      <c r="H117" s="11"/>
      <c r="I117" s="55"/>
      <c r="J117" s="55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x14ac:dyDescent="0.25">
      <c r="A118" s="61" t="s">
        <v>47</v>
      </c>
      <c r="B118" s="62" t="str">
        <f>IF(_epmOfflineCondition_,"'Mini_Bar'!$A$123:$B$144",_xll.EVRNG($A$123:$B$144))</f>
        <v>'Mini_Bar'!$A$123:$B$144</v>
      </c>
      <c r="C118" s="11"/>
      <c r="D118" s="11"/>
      <c r="E118" s="11"/>
      <c r="F118" s="11"/>
      <c r="G118" s="11"/>
      <c r="H118" s="11"/>
      <c r="I118" s="55"/>
      <c r="J118" s="55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x14ac:dyDescent="0.25">
      <c r="A119" s="61" t="s">
        <v>8</v>
      </c>
      <c r="B119" s="62"/>
      <c r="C119" s="11"/>
      <c r="D119" s="11"/>
      <c r="E119" s="11"/>
      <c r="F119" s="11"/>
      <c r="G119" s="11"/>
      <c r="H119" s="11"/>
      <c r="I119" s="55"/>
      <c r="J119" s="55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x14ac:dyDescent="0.25">
      <c r="A120" s="11"/>
      <c r="B120" s="11"/>
      <c r="C120" s="11"/>
      <c r="D120" s="11"/>
      <c r="E120" s="11"/>
      <c r="F120" s="11"/>
      <c r="G120" s="11"/>
      <c r="H120" s="11"/>
      <c r="I120" s="55"/>
      <c r="J120" s="55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x14ac:dyDescent="0.25">
      <c r="A121" s="11"/>
      <c r="B121" s="11"/>
      <c r="C121" s="11"/>
      <c r="D121" s="11"/>
      <c r="E121" s="11"/>
      <c r="F121" s="11"/>
      <c r="G121" s="11"/>
      <c r="H121" s="11"/>
      <c r="I121" s="55"/>
      <c r="J121" s="55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x14ac:dyDescent="0.25">
      <c r="A122" s="57" t="s">
        <v>23</v>
      </c>
      <c r="B122" s="58" t="s">
        <v>24</v>
      </c>
      <c r="C122" s="11"/>
      <c r="D122" s="11"/>
      <c r="E122" s="11"/>
      <c r="F122" s="11"/>
      <c r="G122" s="11"/>
      <c r="H122" s="11"/>
      <c r="I122" s="55"/>
      <c r="J122" s="55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x14ac:dyDescent="0.25">
      <c r="A123" s="61" t="s">
        <v>25</v>
      </c>
      <c r="B123" s="62"/>
      <c r="C123" s="11"/>
      <c r="D123" s="11"/>
      <c r="E123" s="11"/>
      <c r="F123" s="11"/>
      <c r="G123" s="11"/>
      <c r="H123" s="11"/>
      <c r="I123" s="55"/>
      <c r="J123" s="55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x14ac:dyDescent="0.25">
      <c r="A124" s="61" t="s">
        <v>26</v>
      </c>
      <c r="B124" s="62"/>
      <c r="C124" s="11"/>
      <c r="D124" s="11"/>
      <c r="E124" s="11"/>
      <c r="F124" s="11"/>
      <c r="G124" s="11"/>
      <c r="H124" s="11"/>
      <c r="I124" s="55"/>
      <c r="J124" s="55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x14ac:dyDescent="0.25">
      <c r="A125" s="61" t="s">
        <v>27</v>
      </c>
      <c r="B125" s="62"/>
      <c r="C125" s="11"/>
      <c r="D125" s="11"/>
      <c r="E125" s="11"/>
      <c r="F125" s="11"/>
      <c r="G125" s="11"/>
      <c r="H125" s="11"/>
      <c r="I125" s="55"/>
      <c r="J125" s="55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x14ac:dyDescent="0.25">
      <c r="A126" s="61" t="s">
        <v>28</v>
      </c>
      <c r="B126" s="62"/>
      <c r="C126" s="11"/>
      <c r="D126" s="11"/>
      <c r="E126" s="11"/>
      <c r="F126" s="11"/>
      <c r="G126" s="11"/>
      <c r="H126" s="11"/>
      <c r="I126" s="55"/>
      <c r="J126" s="55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x14ac:dyDescent="0.25">
      <c r="A127" s="61" t="s">
        <v>29</v>
      </c>
      <c r="B127" s="62"/>
      <c r="C127" s="11"/>
      <c r="D127" s="11"/>
      <c r="E127" s="11"/>
      <c r="F127" s="11"/>
      <c r="G127" s="11"/>
      <c r="H127" s="11"/>
      <c r="I127" s="55"/>
      <c r="J127" s="55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x14ac:dyDescent="0.25">
      <c r="A128" s="61" t="s">
        <v>30</v>
      </c>
      <c r="B128" s="62" t="s">
        <v>78</v>
      </c>
      <c r="C128" s="11"/>
      <c r="D128" s="11"/>
      <c r="E128" s="11"/>
      <c r="F128" s="11"/>
      <c r="G128" s="11"/>
      <c r="H128" s="11"/>
      <c r="I128" s="55"/>
      <c r="J128" s="55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</row>
    <row r="129" spans="1:41" x14ac:dyDescent="0.25">
      <c r="A129" s="61" t="s">
        <v>31</v>
      </c>
      <c r="B129" s="62" t="s">
        <v>78</v>
      </c>
      <c r="C129" s="11"/>
      <c r="D129" s="11"/>
      <c r="E129" s="11"/>
      <c r="F129" s="11"/>
      <c r="G129" s="11"/>
      <c r="H129" s="11"/>
      <c r="I129" s="55"/>
      <c r="J129" s="55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x14ac:dyDescent="0.25">
      <c r="A130" s="61" t="s">
        <v>32</v>
      </c>
      <c r="B130" s="62"/>
      <c r="C130" s="11"/>
      <c r="D130" s="11"/>
      <c r="E130" s="11"/>
      <c r="F130" s="11"/>
      <c r="G130" s="11"/>
      <c r="H130" s="11"/>
      <c r="I130" s="55"/>
      <c r="J130" s="55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x14ac:dyDescent="0.25">
      <c r="A131" s="61" t="s">
        <v>33</v>
      </c>
      <c r="B131" s="62"/>
      <c r="C131" s="11"/>
      <c r="D131" s="11"/>
      <c r="E131" s="11"/>
      <c r="F131" s="11"/>
      <c r="G131" s="11"/>
      <c r="H131" s="11"/>
      <c r="I131" s="55"/>
      <c r="J131" s="55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x14ac:dyDescent="0.25">
      <c r="A132" s="61" t="s">
        <v>34</v>
      </c>
      <c r="B132" s="62"/>
      <c r="C132" s="11"/>
      <c r="D132" s="11"/>
      <c r="E132" s="11"/>
      <c r="F132" s="11"/>
      <c r="G132" s="11"/>
      <c r="H132" s="11"/>
      <c r="I132" s="55"/>
      <c r="J132" s="55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x14ac:dyDescent="0.25">
      <c r="A133" s="61" t="s">
        <v>35</v>
      </c>
      <c r="B133" s="62"/>
      <c r="C133" s="11"/>
      <c r="D133" s="11"/>
      <c r="E133" s="11"/>
      <c r="F133" s="11"/>
      <c r="G133" s="11"/>
      <c r="H133" s="11"/>
      <c r="I133" s="55"/>
      <c r="J133" s="55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x14ac:dyDescent="0.25">
      <c r="A134" s="61" t="s">
        <v>36</v>
      </c>
      <c r="B134" s="62"/>
      <c r="C134" s="11"/>
      <c r="D134" s="11"/>
      <c r="E134" s="11"/>
      <c r="F134" s="11"/>
      <c r="G134" s="11"/>
      <c r="H134" s="11"/>
      <c r="I134" s="55"/>
      <c r="J134" s="55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x14ac:dyDescent="0.25">
      <c r="A135" s="61" t="s">
        <v>37</v>
      </c>
      <c r="B135" s="62"/>
      <c r="C135" s="11"/>
      <c r="D135" s="11"/>
      <c r="E135" s="11"/>
      <c r="F135" s="11"/>
      <c r="G135" s="11"/>
      <c r="H135" s="11"/>
      <c r="I135" s="55"/>
      <c r="J135" s="55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x14ac:dyDescent="0.25">
      <c r="A136" s="61" t="s">
        <v>38</v>
      </c>
      <c r="B136" s="62"/>
      <c r="C136" s="11"/>
      <c r="D136" s="11"/>
      <c r="E136" s="11"/>
      <c r="F136" s="11"/>
      <c r="G136" s="11"/>
      <c r="H136" s="11"/>
      <c r="I136" s="55"/>
      <c r="J136" s="55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x14ac:dyDescent="0.25">
      <c r="A137" s="61" t="s">
        <v>39</v>
      </c>
      <c r="B137" s="62"/>
      <c r="C137" s="11"/>
      <c r="D137" s="11"/>
      <c r="E137" s="11"/>
      <c r="F137" s="11"/>
      <c r="G137" s="11"/>
      <c r="H137" s="11"/>
      <c r="I137" s="55"/>
      <c r="J137" s="55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x14ac:dyDescent="0.25">
      <c r="A138" s="61" t="s">
        <v>40</v>
      </c>
      <c r="B138" s="62"/>
      <c r="C138" s="11"/>
      <c r="D138" s="11"/>
      <c r="E138" s="11"/>
      <c r="F138" s="11"/>
      <c r="G138" s="11"/>
      <c r="H138" s="11"/>
      <c r="I138" s="55"/>
      <c r="J138" s="55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x14ac:dyDescent="0.25">
      <c r="A139" s="61" t="s">
        <v>41</v>
      </c>
      <c r="B139" s="62"/>
      <c r="C139" s="11"/>
      <c r="D139" s="11"/>
      <c r="E139" s="11"/>
      <c r="F139" s="11"/>
      <c r="G139" s="11"/>
      <c r="H139" s="11"/>
      <c r="I139" s="55"/>
      <c r="J139" s="55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x14ac:dyDescent="0.25">
      <c r="A140" s="61" t="s">
        <v>42</v>
      </c>
      <c r="B140" s="62"/>
      <c r="C140" s="11"/>
      <c r="D140" s="11"/>
      <c r="E140" s="11"/>
      <c r="F140" s="11"/>
      <c r="G140" s="11"/>
      <c r="H140" s="11"/>
      <c r="I140" s="55"/>
      <c r="J140" s="55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</row>
    <row r="141" spans="1:41" x14ac:dyDescent="0.25">
      <c r="A141" s="61" t="s">
        <v>43</v>
      </c>
      <c r="B141" s="62"/>
      <c r="C141" s="11"/>
      <c r="D141" s="11"/>
      <c r="E141" s="11"/>
      <c r="F141" s="11"/>
      <c r="G141" s="11"/>
      <c r="H141" s="11"/>
      <c r="I141" s="55"/>
      <c r="J141" s="55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x14ac:dyDescent="0.25">
      <c r="A142" s="61" t="s">
        <v>44</v>
      </c>
      <c r="B142" s="62"/>
      <c r="C142" s="11"/>
      <c r="D142" s="11"/>
      <c r="E142" s="11"/>
      <c r="F142" s="11"/>
      <c r="G142" s="11"/>
      <c r="H142" s="11"/>
      <c r="I142" s="55"/>
      <c r="J142" s="55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</row>
    <row r="143" spans="1:41" x14ac:dyDescent="0.25">
      <c r="A143" s="61" t="s">
        <v>45</v>
      </c>
      <c r="B143" s="62"/>
      <c r="C143" s="11"/>
      <c r="D143" s="11"/>
      <c r="E143" s="11"/>
      <c r="F143" s="11"/>
      <c r="G143" s="11"/>
      <c r="H143" s="11"/>
      <c r="I143" s="55"/>
      <c r="J143" s="55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x14ac:dyDescent="0.25">
      <c r="A144" s="61" t="s">
        <v>46</v>
      </c>
      <c r="B144" s="62"/>
      <c r="C144" s="11"/>
      <c r="D144" s="11"/>
      <c r="E144" s="11"/>
      <c r="F144" s="11"/>
      <c r="G144" s="11"/>
      <c r="H144" s="11"/>
      <c r="I144" s="55"/>
      <c r="J144" s="55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</row>
    <row r="145" spans="1:41" x14ac:dyDescent="0.25">
      <c r="A145" s="11"/>
      <c r="B145" s="11"/>
      <c r="C145" s="11"/>
      <c r="D145" s="11"/>
      <c r="E145" s="11"/>
      <c r="F145" s="11"/>
      <c r="G145" s="11"/>
      <c r="H145" s="11"/>
      <c r="I145" s="55"/>
      <c r="J145" s="55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</row>
    <row r="146" spans="1:41" x14ac:dyDescent="0.25">
      <c r="A146" s="11"/>
      <c r="B146" s="11"/>
      <c r="C146" s="11"/>
      <c r="D146" s="11"/>
      <c r="E146" s="11"/>
      <c r="F146" s="11"/>
      <c r="G146" s="11"/>
      <c r="H146" s="11"/>
      <c r="I146" s="55"/>
      <c r="J146" s="55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</row>
    <row r="147" spans="1:41" x14ac:dyDescent="0.25">
      <c r="A147" s="11"/>
      <c r="B147" s="11"/>
      <c r="C147" s="11"/>
      <c r="D147" s="11"/>
      <c r="E147" s="11"/>
      <c r="F147" s="11"/>
      <c r="G147" s="11"/>
      <c r="H147" s="11"/>
      <c r="I147" s="263"/>
      <c r="J147" s="11"/>
      <c r="K147" s="263"/>
      <c r="L147" s="263"/>
      <c r="M147" s="263"/>
      <c r="N147" s="11"/>
      <c r="O147" s="263"/>
      <c r="P147" s="263"/>
      <c r="Q147" s="263"/>
      <c r="R147" s="263"/>
      <c r="S147" s="263"/>
      <c r="T147" s="263"/>
      <c r="U147" s="263"/>
      <c r="V147" s="263"/>
      <c r="W147" s="263"/>
      <c r="X147" s="263"/>
      <c r="Y147" s="263"/>
      <c r="Z147" s="263"/>
      <c r="AA147" s="263"/>
      <c r="AB147" s="11"/>
      <c r="AC147" s="11"/>
      <c r="AD147" s="263"/>
      <c r="AE147" s="11"/>
      <c r="AF147" s="263"/>
      <c r="AG147" s="11"/>
      <c r="AH147" s="263"/>
      <c r="AI147" s="11"/>
      <c r="AJ147" s="11"/>
      <c r="AK147" s="11"/>
      <c r="AL147" s="11"/>
      <c r="AM147" s="11"/>
      <c r="AN147" s="11"/>
      <c r="AO147" s="11"/>
    </row>
    <row r="148" spans="1:41" x14ac:dyDescent="0.25">
      <c r="A148" s="11"/>
      <c r="B148" s="11"/>
      <c r="C148" s="11"/>
      <c r="D148" s="11"/>
      <c r="E148" s="11"/>
      <c r="F148" s="11"/>
      <c r="G148" s="11"/>
      <c r="H148" s="11"/>
      <c r="I148" s="55"/>
      <c r="J148" s="55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x14ac:dyDescent="0.25">
      <c r="A149" s="11"/>
      <c r="B149" s="11"/>
      <c r="C149" s="11"/>
      <c r="D149" s="11"/>
      <c r="E149" s="11"/>
      <c r="F149" s="11"/>
      <c r="G149" s="11"/>
      <c r="H149" s="11"/>
      <c r="I149" s="55"/>
      <c r="J149" s="55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</row>
    <row r="150" spans="1:41" x14ac:dyDescent="0.25">
      <c r="A150" s="11"/>
      <c r="B150" s="11"/>
      <c r="C150" s="11"/>
      <c r="D150" s="11"/>
      <c r="E150" s="11"/>
      <c r="F150" s="11"/>
      <c r="G150" s="11"/>
      <c r="H150" s="11"/>
      <c r="I150" s="55"/>
      <c r="J150" s="55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x14ac:dyDescent="0.25">
      <c r="A151" s="11"/>
      <c r="B151" s="11"/>
      <c r="C151" s="11"/>
      <c r="D151" s="11"/>
      <c r="E151" s="11"/>
      <c r="F151" s="11"/>
      <c r="G151" s="11"/>
      <c r="H151" s="11"/>
      <c r="I151" s="263"/>
      <c r="J151" s="11"/>
      <c r="K151" s="263"/>
      <c r="L151" s="263"/>
      <c r="M151" s="263"/>
      <c r="N151" s="11"/>
      <c r="O151" s="263"/>
      <c r="P151" s="263"/>
      <c r="Q151" s="263"/>
      <c r="R151" s="263"/>
      <c r="S151" s="263"/>
      <c r="T151" s="263"/>
      <c r="U151" s="263"/>
      <c r="V151" s="263"/>
      <c r="W151" s="263"/>
      <c r="X151" s="263"/>
      <c r="Y151" s="263"/>
      <c r="Z151" s="263"/>
      <c r="AA151" s="263"/>
      <c r="AB151" s="11"/>
      <c r="AC151" s="11"/>
      <c r="AD151" s="263"/>
      <c r="AE151" s="11"/>
      <c r="AF151" s="263"/>
      <c r="AG151" s="11"/>
      <c r="AH151" s="263"/>
      <c r="AI151" s="11"/>
      <c r="AJ151" s="11"/>
      <c r="AK151" s="11"/>
      <c r="AL151" s="11"/>
      <c r="AM151" s="11"/>
      <c r="AN151" s="11"/>
      <c r="AO151" s="11"/>
    </row>
    <row r="152" spans="1:41" x14ac:dyDescent="0.25">
      <c r="A152" s="11"/>
      <c r="B152" s="11"/>
      <c r="C152" s="11"/>
      <c r="D152" s="11"/>
      <c r="E152" s="11"/>
      <c r="F152" s="11"/>
      <c r="G152" s="11"/>
      <c r="H152" s="11"/>
      <c r="I152" s="55"/>
      <c r="J152" s="55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x14ac:dyDescent="0.25">
      <c r="A153" s="11"/>
      <c r="B153" s="11"/>
      <c r="C153" s="11"/>
      <c r="D153" s="11"/>
      <c r="E153" s="11"/>
      <c r="F153" s="11"/>
      <c r="G153" s="11"/>
      <c r="H153" s="11"/>
      <c r="I153" s="55"/>
      <c r="J153" s="55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x14ac:dyDescent="0.25">
      <c r="A154" s="11"/>
      <c r="B154" s="11"/>
      <c r="C154" s="11"/>
      <c r="D154" s="11"/>
      <c r="E154" s="11"/>
      <c r="F154" s="11"/>
      <c r="G154" s="11"/>
      <c r="H154" s="11"/>
      <c r="I154" s="55"/>
      <c r="J154" s="55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x14ac:dyDescent="0.25">
      <c r="A155" s="11"/>
      <c r="B155" s="11"/>
      <c r="C155" s="11"/>
      <c r="D155" s="11"/>
      <c r="E155" s="11"/>
      <c r="F155" s="11"/>
      <c r="G155" s="11"/>
      <c r="H155" s="11"/>
      <c r="I155" s="55"/>
      <c r="J155" s="55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x14ac:dyDescent="0.25">
      <c r="A156" s="11"/>
      <c r="B156" s="11"/>
      <c r="C156" s="11"/>
      <c r="D156" s="11"/>
      <c r="E156" s="11"/>
      <c r="F156" s="11"/>
      <c r="G156" s="11"/>
      <c r="H156" s="11"/>
      <c r="I156" s="55"/>
      <c r="J156" s="55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x14ac:dyDescent="0.25">
      <c r="A157" s="11"/>
      <c r="B157" s="11"/>
      <c r="C157" s="11"/>
      <c r="D157" s="11"/>
      <c r="E157" s="11"/>
      <c r="F157" s="11"/>
      <c r="G157" s="11"/>
      <c r="H157" s="11"/>
      <c r="I157" s="55"/>
      <c r="J157" s="55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</row>
    <row r="158" spans="1:41" x14ac:dyDescent="0.25">
      <c r="A158" s="11"/>
      <c r="B158" s="11"/>
      <c r="C158" s="11"/>
      <c r="D158" s="11"/>
      <c r="E158" s="11"/>
      <c r="F158" s="11"/>
      <c r="G158" s="11"/>
      <c r="H158" s="11"/>
      <c r="I158" s="55"/>
      <c r="J158" s="55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</row>
    <row r="159" spans="1:41" x14ac:dyDescent="0.25">
      <c r="A159" s="11"/>
      <c r="B159" s="11"/>
      <c r="C159" s="11"/>
      <c r="D159" s="11"/>
      <c r="E159" s="11"/>
      <c r="F159" s="11"/>
      <c r="G159" s="11"/>
      <c r="H159" s="11"/>
      <c r="I159" s="55"/>
      <c r="J159" s="55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</row>
    <row r="160" spans="1:41" x14ac:dyDescent="0.25">
      <c r="A160" s="11"/>
      <c r="B160" s="11"/>
      <c r="C160" s="11"/>
      <c r="D160" s="11"/>
      <c r="E160" s="11"/>
      <c r="F160" s="11"/>
      <c r="G160" s="11"/>
      <c r="H160" s="11"/>
      <c r="I160" s="55"/>
      <c r="J160" s="55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</row>
    <row r="161" spans="1:41" x14ac:dyDescent="0.25">
      <c r="A161" s="11"/>
      <c r="B161" s="11"/>
      <c r="C161" s="11"/>
      <c r="D161" s="11"/>
      <c r="E161" s="263"/>
      <c r="F161" s="11"/>
      <c r="G161" s="11"/>
      <c r="H161" s="11"/>
      <c r="I161" s="55"/>
      <c r="J161" s="55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</row>
    <row r="162" spans="1:41" x14ac:dyDescent="0.25">
      <c r="A162" s="11"/>
      <c r="B162" s="11"/>
      <c r="C162" s="11"/>
      <c r="D162" s="11"/>
      <c r="E162" s="11"/>
      <c r="F162" s="11"/>
      <c r="G162" s="11"/>
      <c r="H162" s="11"/>
      <c r="I162" s="55"/>
      <c r="J162" s="55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</row>
    <row r="163" spans="1:41" x14ac:dyDescent="0.25">
      <c r="A163" s="11"/>
      <c r="B163" s="11"/>
      <c r="C163" s="11"/>
      <c r="D163" s="11"/>
      <c r="E163" s="11"/>
      <c r="F163" s="11"/>
      <c r="G163" s="11"/>
      <c r="H163" s="11"/>
      <c r="I163" s="55"/>
      <c r="J163" s="55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</row>
    <row r="164" spans="1:41" x14ac:dyDescent="0.25">
      <c r="A164" s="11"/>
      <c r="B164" s="11"/>
      <c r="C164" s="11"/>
      <c r="D164" s="11"/>
      <c r="E164" s="11"/>
      <c r="F164" s="11"/>
      <c r="G164" s="11"/>
      <c r="H164" s="11"/>
      <c r="I164" s="55"/>
      <c r="J164" s="55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</row>
    <row r="165" spans="1:41" x14ac:dyDescent="0.25">
      <c r="A165" s="11"/>
      <c r="B165" s="11"/>
      <c r="C165" s="11"/>
      <c r="D165" s="11"/>
      <c r="E165" s="263"/>
      <c r="F165" s="11"/>
      <c r="G165" s="11"/>
      <c r="H165" s="11"/>
      <c r="I165" s="55"/>
      <c r="J165" s="55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</row>
    <row r="166" spans="1:41" x14ac:dyDescent="0.25">
      <c r="A166" s="11"/>
      <c r="B166" s="11"/>
      <c r="C166" s="11"/>
      <c r="D166" s="11"/>
      <c r="E166" s="11"/>
      <c r="F166" s="11"/>
      <c r="G166" s="11"/>
      <c r="H166" s="11"/>
      <c r="I166" s="55"/>
      <c r="J166" s="55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</row>
    <row r="167" spans="1:41" x14ac:dyDescent="0.25">
      <c r="A167" s="11"/>
      <c r="B167" s="11"/>
      <c r="C167" s="11"/>
      <c r="D167" s="11"/>
      <c r="E167" s="11"/>
      <c r="F167" s="11"/>
      <c r="G167" s="11"/>
      <c r="H167" s="11"/>
      <c r="I167" s="55"/>
      <c r="J167" s="55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</row>
    <row r="168" spans="1:41" x14ac:dyDescent="0.25">
      <c r="A168" s="11"/>
      <c r="B168" s="11"/>
      <c r="C168" s="11"/>
      <c r="D168" s="11"/>
      <c r="E168" s="11"/>
      <c r="F168" s="11"/>
      <c r="G168" s="11"/>
      <c r="H168" s="11"/>
      <c r="I168" s="55"/>
      <c r="J168" s="55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</row>
    <row r="169" spans="1:41" x14ac:dyDescent="0.25">
      <c r="A169" s="11"/>
      <c r="B169" s="11"/>
      <c r="C169" s="11"/>
      <c r="D169" s="11"/>
      <c r="E169" s="11"/>
      <c r="F169" s="11"/>
      <c r="G169" s="11"/>
      <c r="H169" s="11"/>
      <c r="I169" s="55"/>
      <c r="J169" s="55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</row>
    <row r="170" spans="1:41" x14ac:dyDescent="0.25">
      <c r="A170" s="11"/>
      <c r="B170" s="11"/>
      <c r="C170" s="11"/>
      <c r="D170" s="11"/>
      <c r="E170" s="11"/>
      <c r="F170" s="11"/>
      <c r="G170" s="263"/>
      <c r="H170" s="11"/>
      <c r="I170" s="55"/>
      <c r="J170" s="55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</row>
    <row r="171" spans="1:41" x14ac:dyDescent="0.25">
      <c r="A171" s="11"/>
      <c r="B171" s="11"/>
      <c r="C171" s="11"/>
      <c r="D171" s="11"/>
      <c r="E171" s="11"/>
      <c r="F171" s="11"/>
      <c r="G171" s="11"/>
      <c r="H171" s="11"/>
      <c r="I171" s="55"/>
      <c r="J171" s="55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</row>
    <row r="172" spans="1:41" x14ac:dyDescent="0.25">
      <c r="A172" s="11"/>
      <c r="B172" s="11"/>
      <c r="C172" s="11"/>
      <c r="D172" s="11"/>
      <c r="E172" s="11"/>
      <c r="F172" s="11"/>
      <c r="G172" s="11"/>
      <c r="H172" s="11"/>
      <c r="I172" s="55"/>
      <c r="J172" s="55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</row>
    <row r="173" spans="1:41" x14ac:dyDescent="0.25">
      <c r="A173" s="11"/>
      <c r="B173" s="11"/>
      <c r="C173" s="11"/>
      <c r="D173" s="11"/>
      <c r="E173" s="11"/>
      <c r="F173" s="11"/>
      <c r="G173" s="11"/>
      <c r="H173" s="11"/>
      <c r="I173" s="55"/>
      <c r="J173" s="55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</row>
    <row r="174" spans="1:41" x14ac:dyDescent="0.25">
      <c r="A174" s="11"/>
      <c r="B174" s="11"/>
      <c r="C174" s="11"/>
      <c r="D174" s="11"/>
      <c r="E174" s="11"/>
      <c r="F174" s="11"/>
      <c r="G174" s="263"/>
      <c r="H174" s="11"/>
      <c r="I174" s="55"/>
      <c r="J174" s="55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</row>
  </sheetData>
  <sheetProtection algorithmName="SHA-512" hashValue="hly42QnMqCn9DkTyinOoldtd5Y3vXIYP1g7YXPTyapXRiw5kpQEevYmzzhkIbaGnDxbRnktbATpWuMkS9k1Fxw==" saltValue="PnCmUNIKA2LRFSGJWPVA4g==" spinCount="100000" sheet="1" scenarios="1"/>
  <mergeCells count="2">
    <mergeCell ref="AD31:AE31"/>
    <mergeCell ref="AG31:AH31"/>
  </mergeCells>
  <dataValidations disablePrompts="1" count="2">
    <dataValidation type="list" allowBlank="1" sqref="B93 B29 B61" xr:uid="{00000000-0002-0000-1500-000000000000}">
      <formula1>"SELF,ALL,BAS,DEP,BASMEMBERS,MEMBERS,NOEXPAND,GDEP"</formula1>
    </dataValidation>
    <dataValidation type="list" allowBlank="1" sqref="B60 B28 B92" xr:uid="{00000000-0002-0000-1500-000001000000}">
      <formula1>"ACCOUNT,BUSINESSUNIT,CATEGORY,DATASRC,DEPARTMENT,INTCO,MEASURES,RPTCURRENCY,TIME"</formula1>
    </dataValidation>
  </dataValidations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customProperties>
    <customPr name="EpmWorksheetKeyString_GUID" r:id="rId2"/>
    <customPr name="FPMExcelClientCellBasedFunctionStatus" r:id="rId3"/>
    <customPr name="FPMExcelClientRefreshTime" r:id="rId4"/>
  </customProperties>
  <legacyDrawing r:id="rId5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>
    <tabColor theme="9" tint="0.39997558519241921"/>
    <pageSetUpPr fitToPage="1"/>
  </sheetPr>
  <dimension ref="A1:AP160"/>
  <sheetViews>
    <sheetView topLeftCell="K25" zoomScale="85" zoomScaleNormal="85" workbookViewId="0">
      <pane xSplit="3" ySplit="8" topLeftCell="N33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2" width="9.7109375" style="1" hidden="1" customWidth="1" outlineLevel="1"/>
    <col min="13" max="13" width="36.7109375" style="1" customWidth="1" collapsed="1"/>
    <col min="14" max="25" width="11.7109375" style="1" customWidth="1" outlineLevel="1"/>
    <col min="26" max="26" width="12.7109375" style="1" customWidth="1"/>
    <col min="27" max="27" width="7.7109375" style="1" customWidth="1"/>
    <col min="28" max="28" width="1.7109375" style="1" customWidth="1"/>
    <col min="29" max="29" width="12.7109375" style="1" customWidth="1"/>
    <col min="30" max="30" width="7.7109375" style="1" customWidth="1"/>
    <col min="31" max="31" width="11.7109375" style="1" customWidth="1"/>
    <col min="32" max="32" width="12.7109375" style="1" customWidth="1"/>
    <col min="33" max="33" width="7.7109375" style="1" customWidth="1"/>
    <col min="34" max="34" width="11.7109375" style="1" customWidth="1"/>
    <col min="35" max="39" width="0" style="1" hidden="1" customWidth="1" outlineLevel="1"/>
    <col min="40" max="40" width="9.140625" style="1" collapsed="1"/>
    <col min="41" max="16384" width="9.140625" style="1"/>
  </cols>
  <sheetData>
    <row r="1" spans="1:42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</row>
    <row r="2" spans="1:42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</row>
    <row r="3" spans="1:42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</row>
    <row r="4" spans="1:42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11"/>
      <c r="H4" s="11"/>
      <c r="I4" s="55"/>
      <c r="J4" s="55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</row>
    <row r="5" spans="1:42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11"/>
      <c r="H5" s="11"/>
      <c r="I5" s="55"/>
      <c r="J5" s="55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</row>
    <row r="6" spans="1:42" hidden="1" outlineLevel="1" x14ac:dyDescent="0.25">
      <c r="A6" s="49" t="s">
        <v>52</v>
      </c>
      <c r="B6" s="52" t="s">
        <v>463</v>
      </c>
      <c r="C6" s="11" t="str">
        <f>IF(_epmOfflineCondition_,"Other Operated Departments",_xll.EVDES(B6,$B$1))</f>
        <v>Other Operated Departments</v>
      </c>
      <c r="D6" s="11"/>
      <c r="E6" s="54" t="str">
        <f>IF(_epmOfflineCondition_,"",_xll.EVPRO($B$1,$B$6,$F$6))</f>
        <v/>
      </c>
      <c r="F6" s="11" t="s">
        <v>278</v>
      </c>
      <c r="G6" s="11"/>
      <c r="H6" s="11"/>
      <c r="I6" s="55"/>
      <c r="J6" s="55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</row>
    <row r="7" spans="1:42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11"/>
      <c r="H7" s="11"/>
      <c r="I7" s="55"/>
      <c r="J7" s="55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</row>
    <row r="8" spans="1:42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11"/>
      <c r="H8" s="11"/>
      <c r="I8" s="55"/>
      <c r="J8" s="55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</row>
    <row r="9" spans="1:42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</row>
    <row r="10" spans="1:42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</row>
    <row r="11" spans="1:42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</row>
    <row r="12" spans="1:42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11"/>
      <c r="M12" s="11" t="s">
        <v>597</v>
      </c>
      <c r="N12" s="4" t="str">
        <f>IF(_epmOfflineCondition_,"Y",_xll.EVPRO($B$1,N$16,$M$12))</f>
        <v>Y</v>
      </c>
      <c r="O12" s="4" t="str">
        <f>IF(_epmOfflineCondition_,"Y",_xll.EVPRO($B$1,O$16,$M$12))</f>
        <v>Y</v>
      </c>
      <c r="P12" s="4" t="str">
        <f>IF(_epmOfflineCondition_,"Y",_xll.EVPRO($B$1,P$16,$M$12))</f>
        <v>Y</v>
      </c>
      <c r="Q12" s="4" t="str">
        <f>IF(_epmOfflineCondition_,"Y",_xll.EVPRO($B$1,Q$16,$M$12))</f>
        <v>Y</v>
      </c>
      <c r="R12" s="4" t="str">
        <f>IF(_epmOfflineCondition_,"Y",_xll.EVPRO($B$1,R$16,$M$12))</f>
        <v>Y</v>
      </c>
      <c r="S12" s="4" t="str">
        <f>IF(_epmOfflineCondition_,"Y",_xll.EVPRO($B$1,S$16,$M$12))</f>
        <v>Y</v>
      </c>
      <c r="T12" s="4" t="str">
        <f>IF(_epmOfflineCondition_,"Y",_xll.EVPRO($B$1,T$16,$M$12))</f>
        <v>Y</v>
      </c>
      <c r="U12" s="4" t="str">
        <f>IF(_epmOfflineCondition_,"Y",_xll.EVPRO($B$1,U$16,$M$12))</f>
        <v>Y</v>
      </c>
      <c r="V12" s="4" t="str">
        <f>IF(_epmOfflineCondition_,"Y",_xll.EVPRO($B$1,V$16,$M$12))</f>
        <v>Y</v>
      </c>
      <c r="W12" s="4" t="str">
        <f>IF(_epmOfflineCondition_,"Y",_xll.EVPRO($B$1,W$16,$M$12))</f>
        <v>Y</v>
      </c>
      <c r="X12" s="4" t="str">
        <f>IF(_epmOfflineCondition_,"Y",_xll.EVPRO($B$1,X$16,$M$12))</f>
        <v>Y</v>
      </c>
      <c r="Y12" s="4" t="str">
        <f>IF(_epmOfflineCondition_,"Y",_xll.EVPRO($B$1,Y$16,$M$12))</f>
        <v>Y</v>
      </c>
      <c r="Z12" s="4" t="str">
        <f>IF(_epmOfflineCondition_,"",_xll.EVPRO($B$1,Z$16,$M$12))</f>
        <v/>
      </c>
      <c r="AA12" s="11"/>
      <c r="AB12" s="11"/>
      <c r="AC12" s="4" t="str">
        <f>IF(_epmOfflineCondition_,"",_xll.EVPRO($B$1,AC$16,$M$12))</f>
        <v/>
      </c>
      <c r="AD12" s="11"/>
      <c r="AE12" s="11"/>
      <c r="AF12" s="4" t="str">
        <f>IF(_epmOfflineCondition_,"",_xll.EVPRO($B$1,AF$16,$M$12))</f>
        <v/>
      </c>
      <c r="AG12" s="11"/>
      <c r="AH12" s="11"/>
      <c r="AI12" s="11"/>
      <c r="AJ12" s="11"/>
      <c r="AK12" s="11"/>
      <c r="AL12" s="11"/>
      <c r="AM12" s="11"/>
      <c r="AN12" s="11"/>
      <c r="AO12" s="11"/>
      <c r="AP12" s="11"/>
    </row>
    <row r="13" spans="1:42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11"/>
      <c r="M13" s="11" t="s">
        <v>598</v>
      </c>
      <c r="N13" s="5" t="str">
        <f>IF(_epmOfflineCondition_,"20190100",_xll.EVPRO($B$1,N16,"TIMEID"))</f>
        <v>20190100</v>
      </c>
      <c r="O13" s="5" t="str">
        <f>IF(_epmOfflineCondition_,"20190200",_xll.EVPRO($B$1,O16,"TIMEID"))</f>
        <v>20190200</v>
      </c>
      <c r="P13" s="5" t="str">
        <f>IF(_epmOfflineCondition_,"20190300",_xll.EVPRO($B$1,P16,"TIMEID"))</f>
        <v>20190300</v>
      </c>
      <c r="Q13" s="5" t="str">
        <f>IF(_epmOfflineCondition_,"20190400",_xll.EVPRO($B$1,Q16,"TIMEID"))</f>
        <v>20190400</v>
      </c>
      <c r="R13" s="5" t="str">
        <f>IF(_epmOfflineCondition_,"20190500",_xll.EVPRO($B$1,R16,"TIMEID"))</f>
        <v>20190500</v>
      </c>
      <c r="S13" s="5" t="str">
        <f>IF(_epmOfflineCondition_,"20190600",_xll.EVPRO($B$1,S16,"TIMEID"))</f>
        <v>20190600</v>
      </c>
      <c r="T13" s="5" t="str">
        <f>IF(_epmOfflineCondition_,"20190700",_xll.EVPRO($B$1,T16,"TIMEID"))</f>
        <v>20190700</v>
      </c>
      <c r="U13" s="5" t="str">
        <f>IF(_epmOfflineCondition_,"20190800",_xll.EVPRO($B$1,U16,"TIMEID"))</f>
        <v>20190800</v>
      </c>
      <c r="V13" s="5" t="str">
        <f>IF(_epmOfflineCondition_,"20190900",_xll.EVPRO($B$1,V16,"TIMEID"))</f>
        <v>20190900</v>
      </c>
      <c r="W13" s="5" t="str">
        <f>IF(_epmOfflineCondition_,"20191000",_xll.EVPRO($B$1,W16,"TIMEID"))</f>
        <v>20191000</v>
      </c>
      <c r="X13" s="5" t="str">
        <f>IF(_epmOfflineCondition_,"20191100",_xll.EVPRO($B$1,X16,"TIMEID"))</f>
        <v>20191100</v>
      </c>
      <c r="Y13" s="5" t="str">
        <f>IF(_epmOfflineCondition_,"20191200",_xll.EVPRO($B$1,Y16,"TIMEID"))</f>
        <v>20191200</v>
      </c>
      <c r="Z13" s="5" t="str">
        <f>IF(_epmOfflineCondition_,"10000149",_xll.EVPRO($B$1,Z16,"TIMEID"))</f>
        <v>10000149</v>
      </c>
      <c r="AA13" s="11"/>
      <c r="AB13" s="11"/>
      <c r="AC13" s="5" t="str">
        <f>IF(_epmOfflineCondition_,"10000149",_xll.EVPRO($B$1,AC16,"TIMEID"))</f>
        <v>10000149</v>
      </c>
      <c r="AD13" s="11"/>
      <c r="AE13" s="11"/>
      <c r="AF13" s="5" t="str">
        <f>IF(_epmOfflineCondition_,"10000139",_xll.EVPRO($B$1,AF16,"TIMEID"))</f>
        <v>10000139</v>
      </c>
      <c r="AG13" s="11"/>
      <c r="AH13" s="11"/>
      <c r="AI13" s="11"/>
      <c r="AJ13" s="11"/>
      <c r="AK13" s="11"/>
      <c r="AL13" s="11"/>
      <c r="AM13" s="11"/>
      <c r="AN13" s="11"/>
      <c r="AO13" s="11"/>
      <c r="AP13" s="11"/>
    </row>
    <row r="14" spans="1:42" hidden="1" outlineLevel="1" x14ac:dyDescent="0.25">
      <c r="A14" s="56" t="str">
        <f>IF(_epmOfflineCondition_,"Evdre:Ok",_xll.EVDRE($B$1,A17:B24,A27:C33))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11"/>
      <c r="M14" s="11" t="s">
        <v>599</v>
      </c>
      <c r="N14" s="5" t="s">
        <v>604</v>
      </c>
      <c r="O14" s="5" t="s">
        <v>605</v>
      </c>
      <c r="P14" s="5" t="s">
        <v>606</v>
      </c>
      <c r="Q14" s="5" t="s">
        <v>607</v>
      </c>
      <c r="R14" s="5" t="s">
        <v>608</v>
      </c>
      <c r="S14" s="5" t="s">
        <v>609</v>
      </c>
      <c r="T14" s="5" t="s">
        <v>610</v>
      </c>
      <c r="U14" s="5" t="s">
        <v>611</v>
      </c>
      <c r="V14" s="5" t="s">
        <v>612</v>
      </c>
      <c r="W14" s="5" t="s">
        <v>613</v>
      </c>
      <c r="X14" s="5" t="s">
        <v>614</v>
      </c>
      <c r="Y14" s="5" t="s">
        <v>615</v>
      </c>
      <c r="Z14" s="5" t="s">
        <v>116</v>
      </c>
      <c r="AA14" s="11"/>
      <c r="AB14" s="11"/>
      <c r="AC14" s="5" t="s">
        <v>116</v>
      </c>
      <c r="AD14" s="11"/>
      <c r="AE14" s="11"/>
      <c r="AF14" s="5" t="s">
        <v>116</v>
      </c>
      <c r="AG14" s="11"/>
      <c r="AH14" s="11"/>
      <c r="AI14" s="11"/>
      <c r="AJ14" s="11"/>
      <c r="AK14" s="11"/>
      <c r="AL14" s="11"/>
      <c r="AM14" s="11"/>
      <c r="AN14" s="11"/>
      <c r="AO14" s="11"/>
      <c r="AP14" s="11"/>
    </row>
    <row r="15" spans="1:42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11"/>
      <c r="M15" s="11" t="s">
        <v>600</v>
      </c>
      <c r="N15" s="6" t="s">
        <v>616</v>
      </c>
      <c r="O15" s="6" t="s">
        <v>617</v>
      </c>
      <c r="P15" s="7" t="s">
        <v>618</v>
      </c>
      <c r="Q15" s="7" t="s">
        <v>619</v>
      </c>
      <c r="R15" s="7" t="s">
        <v>620</v>
      </c>
      <c r="S15" s="7" t="s">
        <v>621</v>
      </c>
      <c r="T15" s="7" t="s">
        <v>622</v>
      </c>
      <c r="U15" s="7" t="s">
        <v>623</v>
      </c>
      <c r="V15" s="7" t="s">
        <v>624</v>
      </c>
      <c r="W15" s="7" t="s">
        <v>625</v>
      </c>
      <c r="X15" s="7" t="s">
        <v>626</v>
      </c>
      <c r="Y15" s="7" t="s">
        <v>627</v>
      </c>
      <c r="Z15" s="5" t="s">
        <v>116</v>
      </c>
      <c r="AA15" s="11"/>
      <c r="AB15" s="11"/>
      <c r="AC15" s="5" t="s">
        <v>116</v>
      </c>
      <c r="AD15" s="11"/>
      <c r="AE15" s="11"/>
      <c r="AF15" s="5" t="s">
        <v>116</v>
      </c>
      <c r="AG15" s="11"/>
      <c r="AH15" s="11"/>
      <c r="AI15" s="11"/>
      <c r="AJ15" s="11"/>
      <c r="AK15" s="11"/>
      <c r="AL15" s="11"/>
      <c r="AM15" s="11"/>
      <c r="AN15" s="11"/>
      <c r="AO15" s="11"/>
      <c r="AP15" s="11"/>
    </row>
    <row r="16" spans="1:42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11"/>
      <c r="M16" s="11" t="s">
        <v>18</v>
      </c>
      <c r="N16" s="59" t="str">
        <f>IF(_epmOfflineCondition_,"2019.JAN",IF(SetUp!$O$1=TRUE,_xll.EVTIM($B$1,O16,-1),IF($D$10="FY",LEFT($B$10,6)&amp;"."&amp;N15,$B$12&amp;"."&amp;N14)))</f>
        <v>2019.JAN</v>
      </c>
      <c r="O16" s="59" t="str">
        <f>IF(_epmOfflineCondition_,"2019.FEB",IF(SetUp!$O$1=TRUE,_xll.EVTIM($B$1,P16,-1),IF($D$10="FY",LEFT($B$10,6)&amp;"."&amp;O15,$B$12&amp;"."&amp;O14)))</f>
        <v>2019.FEB</v>
      </c>
      <c r="P16" s="59" t="str">
        <f>IF(_epmOfflineCondition_,"2019.MAR",IF(SetUp!$O$1=TRUE,_xll.EVTIM($B$1,Q16,-1),IF($D$10="FY",LEFT($B$10,6)&amp;"."&amp;P15,$B$12&amp;"."&amp;P14)))</f>
        <v>2019.MAR</v>
      </c>
      <c r="Q16" s="59" t="str">
        <f>IF(_epmOfflineCondition_,"2019.APR",IF(SetUp!$O$1=TRUE,_xll.EVTIM($B$1,R16,-1),IF($D$10="FY",LEFT($B$10,6)&amp;"."&amp;Q15,$B$12&amp;"."&amp;Q14)))</f>
        <v>2019.APR</v>
      </c>
      <c r="R16" s="59" t="str">
        <f>IF(_epmOfflineCondition_,"2019.MAY",IF(SetUp!$O$1=TRUE,_xll.EVTIM($B$1,S16,-1),IF($D$10="FY",LEFT($B$10,6)&amp;"."&amp;R15,$B$12&amp;"."&amp;R14)))</f>
        <v>2019.MAY</v>
      </c>
      <c r="S16" s="59" t="str">
        <f>IF(_epmOfflineCondition_,"2019.JUN",IF(SetUp!$O$1=TRUE,_xll.EVTIM($B$1,T16,-1),IF($D$10="FY",LEFT($B$10,6)&amp;"."&amp;S15,$B$12&amp;"."&amp;S14)))</f>
        <v>2019.JUN</v>
      </c>
      <c r="T16" s="59" t="str">
        <f>IF(_epmOfflineCondition_,"2019.JUL",IF(SetUp!$O$1=TRUE,_xll.EVTIM($B$1,U16,-1),IF($D$10="FY",LEFT($B$10,6)&amp;"."&amp;T15,$B$12&amp;"."&amp;T14)))</f>
        <v>2019.JUL</v>
      </c>
      <c r="U16" s="59" t="str">
        <f>IF(_epmOfflineCondition_,"2019.AUG",IF(SetUp!$O$1=TRUE,_xll.EVTIM($B$1,V16,-1),IF($D$10="FY",LEFT($B$10,6)&amp;"."&amp;U15,$B$12&amp;"."&amp;U14)))</f>
        <v>2019.AUG</v>
      </c>
      <c r="V16" s="59" t="str">
        <f>IF(_epmOfflineCondition_,"2019.SEP",IF(SetUp!$O$1=TRUE,_xll.EVTIM($B$1,W16,-1),IF($D$10="FY",LEFT($B$10,6)&amp;"."&amp;V15,$B$12&amp;"."&amp;V14)))</f>
        <v>2019.SEP</v>
      </c>
      <c r="W16" s="59" t="str">
        <f>IF(_epmOfflineCondition_,"2019.OCT",IF(SetUp!$O$1=TRUE,_xll.EVTIM($B$1,X16,-1),IF($D$10="FY",LEFT($B$10,6)&amp;"."&amp;W15,$B$12&amp;"."&amp;W14)))</f>
        <v>2019.OCT</v>
      </c>
      <c r="X16" s="59" t="str">
        <f>IF(_epmOfflineCondition_,"2019.NOV",IF(SetUp!$O$1=TRUE,_xll.EVTIM($B$1,Y16,-1),IF($D$10="FY",LEFT($B$10,6)&amp;"."&amp;X15,$B$12&amp;"."&amp;X14)))</f>
        <v>2019.NOV</v>
      </c>
      <c r="Y16" s="59" t="str">
        <f>IF(SetUp!$O$1=TRUE,SetUp!$Q$6,IF($D$10="FY",LEFT($B$10,6)&amp;"."&amp;Y15,$B$12&amp;"."&amp;Y14))</f>
        <v>2019.DEC</v>
      </c>
      <c r="Z16" s="59" t="str">
        <f>IF($D$10="FY",LEFT($B$10,6)&amp;"."&amp;Z15,$B$12&amp;"."&amp;Z14)</f>
        <v>2019.TOTAL</v>
      </c>
      <c r="AA16" s="60"/>
      <c r="AB16" s="60"/>
      <c r="AC16" s="59" t="str">
        <f>IF(SetUp!$O$1=TRUE,SetUp!$Q$6,SetUp!$G$7)</f>
        <v>2019.TOTAL</v>
      </c>
      <c r="AD16" s="60"/>
      <c r="AE16" s="60"/>
      <c r="AF16" s="59" t="str">
        <f>IF(_epmOfflineCondition_,"2018.TOTAL",IF(SetUp!$O$1=TRUE,_xll.EVTIM($B$1,AC16,-1,"YEAR"),SetUp!$J$7))</f>
        <v>2018.TOTAL</v>
      </c>
      <c r="AG16" s="60"/>
      <c r="AH16" s="60"/>
      <c r="AI16" s="11"/>
      <c r="AJ16" s="11"/>
      <c r="AK16" s="11"/>
      <c r="AL16" s="11"/>
      <c r="AM16" s="11"/>
      <c r="AN16" s="11"/>
      <c r="AO16" s="11"/>
      <c r="AP16" s="11"/>
    </row>
    <row r="17" spans="1:42" hidden="1" outlineLevel="1" x14ac:dyDescent="0.25">
      <c r="A17" s="61" t="s">
        <v>2</v>
      </c>
      <c r="B17" s="62" t="str">
        <f>IF(_epmOfflineCondition_,"'OTH_OP'!$B$2:$B$10",_xll.EVRNG($B$2:$B$10))</f>
        <v>'OTH_OP'!$B$2:$B$10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11"/>
      <c r="M17" s="11" t="s">
        <v>19</v>
      </c>
      <c r="N17" s="59" t="str">
        <f>IF(_epmOfflineCondition_,"ACTUAL_CON",IF(N13&lt;$E$4,_xll.EVPRO($B$1,$B$4,"COMPARISON"),$B$4))</f>
        <v>ACTUAL_CON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/>
      <c r="AA17" s="60"/>
      <c r="AB17" s="60"/>
      <c r="AC17" s="59" t="str">
        <f>SetUp!$G$6</f>
        <v>BUDGET</v>
      </c>
      <c r="AD17" s="60"/>
      <c r="AE17" s="60"/>
      <c r="AF17" s="59" t="str">
        <f>SetUp!$J$6</f>
        <v>ACTUAL</v>
      </c>
      <c r="AG17" s="60"/>
      <c r="AH17" s="60"/>
      <c r="AI17" s="11"/>
      <c r="AJ17" s="11"/>
      <c r="AK17" s="11"/>
      <c r="AL17" s="11"/>
      <c r="AM17" s="11"/>
      <c r="AN17" s="11"/>
      <c r="AO17" s="11"/>
      <c r="AP17" s="11"/>
    </row>
    <row r="18" spans="1:42" hidden="1" outlineLevel="1" x14ac:dyDescent="0.25">
      <c r="A18" s="61" t="s">
        <v>3</v>
      </c>
      <c r="B18" s="62" t="str">
        <f>IF(_epmOfflineCondition_,"'OTH_OP'!$N$16:$AM$18",_xll.EVRNG($N$16:$AM$18))</f>
        <v>'OTH_OP'!$N$16:$AM$18</v>
      </c>
      <c r="C18" s="11"/>
      <c r="D18" s="11"/>
      <c r="E18" s="11"/>
      <c r="F18" s="11"/>
      <c r="G18" s="11"/>
      <c r="H18" s="11"/>
      <c r="I18" s="55"/>
      <c r="J18" s="55"/>
      <c r="K18" s="11"/>
      <c r="L18" s="11"/>
      <c r="M18" s="11" t="s">
        <v>601</v>
      </c>
      <c r="N18" s="60" t="s">
        <v>55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/>
      <c r="AA18" s="60"/>
      <c r="AB18" s="60"/>
      <c r="AC18" s="59" t="str">
        <f>IF(SetUp!$O$1=TRUE,"TRAILING12",IF(AC17="CURRENT","ROLLINGFORECAST","PERIODIC"))</f>
        <v>PERIODIC</v>
      </c>
      <c r="AD18" s="60"/>
      <c r="AE18" s="60"/>
      <c r="AF18" s="59" t="str">
        <f>IF(SetUp!$O$1=TRUE,"TRAILING12",IF(AF17="CURRENT","ROLLINGFORECAST","PERIODIC"))</f>
        <v>PERIODIC</v>
      </c>
      <c r="AG18" s="60"/>
      <c r="AH18" s="60"/>
      <c r="AI18" s="11"/>
      <c r="AJ18" s="11"/>
      <c r="AK18" s="11"/>
      <c r="AL18" s="11"/>
      <c r="AM18" s="11"/>
      <c r="AN18" s="11"/>
      <c r="AO18" s="11"/>
      <c r="AP18" s="11"/>
    </row>
    <row r="19" spans="1:42" hidden="1" outlineLevel="1" x14ac:dyDescent="0.25">
      <c r="A19" s="61" t="s">
        <v>4</v>
      </c>
      <c r="B19" s="62" t="str">
        <f>IF(_epmOfflineCondition_,"'OTH_OP'!$G$34:$H$39,'OTH_OP'!$G$43:$H$48,'OTH_OP'!$G$52:$H$57",_xll.EVRNG(G34:H39,G43:H48,G52:H57))</f>
        <v>'OTH_OP'!$G$34:$H$39,'OTH_OP'!$G$43:$H$48,'OTH_OP'!$G$52:$H$57</v>
      </c>
      <c r="C19" s="11"/>
      <c r="D19" s="11"/>
      <c r="E19" s="11"/>
      <c r="F19" s="11"/>
      <c r="G19" s="63" t="str">
        <f>$B$6</f>
        <v>D_OTHER_CON</v>
      </c>
      <c r="H19" s="63">
        <v>400000</v>
      </c>
      <c r="I19" s="64"/>
      <c r="J19" s="64"/>
      <c r="K19" s="63"/>
      <c r="L19" s="63"/>
      <c r="M19" s="63" t="str">
        <f>IF(_epmOfflineCondition_,"Total Revenue",_xll.EVDES(H19))</f>
        <v>Total Revenue</v>
      </c>
      <c r="N19" s="65">
        <f>IF(_epmOfflineCondition_,22021.48,_xll.EVGTS($B$1,1,$B$3,$B$5,$B$7,$B$9,N$16,N$17,N$18,$G$19,$H$19))</f>
        <v>22021.48</v>
      </c>
      <c r="O19" s="65">
        <f>IF(_epmOfflineCondition_,17748.01,_xll.EVGTS($B$1,1,$B$3,$B$5,$B$7,$B$9,O$16,O$17,O$18,$G$19,$H$19))</f>
        <v>17748.009999999998</v>
      </c>
      <c r="P19" s="65">
        <f>IF(_epmOfflineCondition_,19776.21,_xll.EVGTS($B$1,1,$B$3,$B$5,$B$7,$B$9,P$16,P$17,P$18,$G$19,$H$19))</f>
        <v>19776.21</v>
      </c>
      <c r="Q19" s="65">
        <f>IF(_epmOfflineCondition_,23529.74,_xll.EVGTS($B$1,1,$B$3,$B$5,$B$7,$B$9,Q$16,Q$17,Q$18,$G$19,$H$19))</f>
        <v>23529.74</v>
      </c>
      <c r="R19" s="65">
        <f>IF(_epmOfflineCondition_,19740.59,_xll.EVGTS($B$1,1,$B$3,$B$5,$B$7,$B$9,R$16,R$17,R$18,$G$19,$H$19))</f>
        <v>19740.59</v>
      </c>
      <c r="S19" s="65">
        <f>IF(_epmOfflineCondition_,16670.51,_xll.EVGTS($B$1,1,$B$3,$B$5,$B$7,$B$9,S$16,S$17,S$18,$G$19,$H$19))</f>
        <v>16670.509999999998</v>
      </c>
      <c r="T19" s="65">
        <f>IF(_epmOfflineCondition_,21067.08,_xll.EVGTS($B$1,1,$B$3,$B$5,$B$7,$B$9,T$16,T$17,T$18,$G$19,$H$19))</f>
        <v>21067.08</v>
      </c>
      <c r="U19" s="65">
        <f>IF(_epmOfflineCondition_,22378.51,_xll.EVGTS($B$1,1,$B$3,$B$5,$B$7,$B$9,U$16,U$17,U$18,$G$19,$H$19))</f>
        <v>22378.51</v>
      </c>
      <c r="V19" s="65">
        <f>IF(_epmOfflineCondition_,14207.35,_xll.EVGTS($B$1,1,$B$3,$B$5,$B$7,$B$9,V$16,V$17,V$18,$G$19,$H$19))</f>
        <v>14207.35</v>
      </c>
      <c r="W19" s="65">
        <f>IF(_epmOfflineCondition_,20314.58,_xll.EVGTS($B$1,1,$B$3,$B$5,$B$7,$B$9,W$16,W$17,W$18,$G$19,$H$19))</f>
        <v>20314.580000000002</v>
      </c>
      <c r="X19" s="65">
        <f>IF(_epmOfflineCondition_,22223.23,_xll.EVGTS($B$1,1,$B$3,$B$5,$B$7,$B$9,X$16,X$17,X$18,$G$19,$H$19))</f>
        <v>22223.23</v>
      </c>
      <c r="Y19" s="65">
        <f>IF(_epmOfflineCondition_,25851.48,_xll.EVGTS($B$1,1,$B$3,$B$5,$B$7,$B$9,Y$16,Y$17,Y$18,$G$19,$H$19))</f>
        <v>25851.48</v>
      </c>
      <c r="Z19" s="65">
        <f>SUM(N19:Y19)</f>
        <v>245528.77000000002</v>
      </c>
      <c r="AA19" s="63"/>
      <c r="AB19" s="63"/>
      <c r="AC19" s="65">
        <f>IF(_epmOfflineCondition_,297029.365715886,_xll.EVGTS($B$1,1,$B$3,$B$5,$B$7,$B$9,AC$16,AC$17,AC$18,$G$19,$H$19))</f>
        <v>297029.365715886</v>
      </c>
      <c r="AD19" s="63"/>
      <c r="AE19" s="63"/>
      <c r="AF19" s="65">
        <f>IF(_epmOfflineCondition_,93974.11,_xll.EVGTS($B$1,1,$B$3,$B$5,$B$7,$B$9,AF$16,AF$17,AF$18,$G$19,$H$19))</f>
        <v>93974.11</v>
      </c>
      <c r="AG19" s="63"/>
      <c r="AH19" s="63"/>
      <c r="AI19" s="11"/>
      <c r="AJ19" s="11"/>
      <c r="AK19" s="11"/>
      <c r="AL19" s="11"/>
      <c r="AM19" s="11"/>
      <c r="AN19" s="11"/>
      <c r="AO19" s="11"/>
      <c r="AP19" s="11"/>
    </row>
    <row r="20" spans="1:42" hidden="1" outlineLevel="1" x14ac:dyDescent="0.25">
      <c r="A20" s="61" t="s">
        <v>5</v>
      </c>
      <c r="B20" s="62"/>
      <c r="C20" s="11"/>
      <c r="D20" s="11"/>
      <c r="E20" s="11"/>
      <c r="F20" s="11"/>
      <c r="G20" s="63" t="s">
        <v>750</v>
      </c>
      <c r="H20" s="63">
        <v>900200</v>
      </c>
      <c r="I20" s="64"/>
      <c r="J20" s="64"/>
      <c r="K20" s="63"/>
      <c r="L20" s="64"/>
      <c r="M20" s="63" t="str">
        <f>IF(_epmOfflineCondition_,"Total Rooms Occupied",_xll.EVDES(H20))</f>
        <v>Total Rooms Occupied</v>
      </c>
      <c r="N20" s="65">
        <f>IF(_epmOfflineCondition_,2885,_xll.EVGTS($B$1,1,$B$3,$B$5,$B$7,$B$9,N$16,N$17,N$18,$G$20,$H$20))</f>
        <v>2885</v>
      </c>
      <c r="O20" s="65">
        <f>IF(_epmOfflineCondition_,2648,_xll.EVGTS($B$1,1,$B$3,$B$5,$B$7,$B$9,O$16,O$17,O$18,$G$20,$H$20))</f>
        <v>2648</v>
      </c>
      <c r="P20" s="65">
        <f>IF(_epmOfflineCondition_,3038,_xll.EVGTS($B$1,1,$B$3,$B$5,$B$7,$B$9,P$16,P$17,P$18,$G$20,$H$20))</f>
        <v>3038</v>
      </c>
      <c r="Q20" s="65">
        <f>IF(_epmOfflineCondition_,2737,_xll.EVGTS($B$1,1,$B$3,$B$5,$B$7,$B$9,Q$16,Q$17,Q$18,$G$20,$H$20))</f>
        <v>2737</v>
      </c>
      <c r="R20" s="65">
        <f>IF(_epmOfflineCondition_,2600,_xll.EVGTS($B$1,1,$B$3,$B$5,$B$7,$B$9,R$16,R$17,R$18,$G$20,$H$20))</f>
        <v>2600</v>
      </c>
      <c r="S20" s="65">
        <f>IF(_epmOfflineCondition_,2202,_xll.EVGTS($B$1,1,$B$3,$B$5,$B$7,$B$9,S$16,S$17,S$18,$G$20,$H$20))</f>
        <v>2202</v>
      </c>
      <c r="T20" s="65">
        <f>IF(_epmOfflineCondition_,2516,_xll.EVGTS($B$1,1,$B$3,$B$5,$B$7,$B$9,T$16,T$17,T$18,$G$20,$H$20))</f>
        <v>2516</v>
      </c>
      <c r="U20" s="65">
        <f>IF(_epmOfflineCondition_,2830,_xll.EVGTS($B$1,1,$B$3,$B$5,$B$7,$B$9,U$16,U$17,U$18,$G$20,$H$20))</f>
        <v>2830</v>
      </c>
      <c r="V20" s="65">
        <f>IF(_epmOfflineCondition_,2120,_xll.EVGTS($B$1,1,$B$3,$B$5,$B$7,$B$9,V$16,V$17,V$18,$G$20,$H$20))</f>
        <v>2120</v>
      </c>
      <c r="W20" s="65">
        <f>IF(_epmOfflineCondition_,2772,_xll.EVGTS($B$1,1,$B$3,$B$5,$B$7,$B$9,W$16,W$17,W$18,$G$20,$H$20))</f>
        <v>2772</v>
      </c>
      <c r="X20" s="65">
        <f>IF(_epmOfflineCondition_,2993,_xll.EVGTS($B$1,1,$B$3,$B$5,$B$7,$B$9,X$16,X$17,X$18,$G$20,$H$20))</f>
        <v>2993</v>
      </c>
      <c r="Y20" s="65">
        <f>IF(_epmOfflineCondition_,3541,_xll.EVGTS($B$1,1,$B$3,$B$5,$B$7,$B$9,Y$16,Y$17,Y$18,$G$20,$H$20))</f>
        <v>3541</v>
      </c>
      <c r="Z20" s="65">
        <f>SUM(N20:Y20)</f>
        <v>32882</v>
      </c>
      <c r="AA20" s="63"/>
      <c r="AB20" s="63"/>
      <c r="AC20" s="65">
        <f>IF(_epmOfflineCondition_,36386,_xll.EVGTS($B$1,1,$B$3,$B$5,$B$7,$B$9,AC$16,AC$17,AC$18,$G$20,$H$20))</f>
        <v>36386</v>
      </c>
      <c r="AD20" s="63"/>
      <c r="AE20" s="63"/>
      <c r="AF20" s="65">
        <f>IF(_epmOfflineCondition_,15180,_xll.EVGTS($B$1,1,$B$3,$B$5,$B$7,$B$9,AF$16,AF$17,AF$18,$G$20,$H$20))</f>
        <v>15180</v>
      </c>
      <c r="AG20" s="63"/>
      <c r="AH20" s="63"/>
      <c r="AI20" s="11"/>
      <c r="AJ20" s="11"/>
      <c r="AK20" s="11"/>
      <c r="AL20" s="11"/>
      <c r="AM20" s="11"/>
      <c r="AN20" s="11"/>
      <c r="AO20" s="11"/>
      <c r="AP20" s="11"/>
    </row>
    <row r="21" spans="1:42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</row>
    <row r="22" spans="1:42" hidden="1" outlineLevel="1" x14ac:dyDescent="0.25">
      <c r="A22" s="61" t="s">
        <v>7</v>
      </c>
      <c r="B22" s="62" t="str">
        <f>IF(_epmOfflineCondition_,"'OTH_OP'!$A$36:$F$38",_xll.EVRNG(A36:F38))</f>
        <v>'OTH_OP'!$A$36:$F$38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</row>
    <row r="23" spans="1:42" hidden="1" outlineLevel="1" x14ac:dyDescent="0.25">
      <c r="A23" s="61" t="s">
        <v>47</v>
      </c>
      <c r="B23" s="62" t="str">
        <f>IF(_epmOfflineCondition_,"'OTH_OP'!$A$44:$B$65",_xll.EVRNG($A$44:$B$65))</f>
        <v>'OTH_OP'!$A$44:$B$65</v>
      </c>
      <c r="C23" s="11"/>
      <c r="D23" s="11"/>
      <c r="E23" s="11"/>
      <c r="F23" s="11"/>
      <c r="G23" s="11"/>
      <c r="H23" s="11"/>
      <c r="I23" s="55"/>
      <c r="J23" s="55"/>
      <c r="K23" s="6"/>
      <c r="L23" s="6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380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</row>
    <row r="24" spans="1:42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</row>
    <row r="25" spans="1:42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</row>
    <row r="26" spans="1:42" ht="22.5" x14ac:dyDescent="0.3">
      <c r="A26" s="57" t="s">
        <v>9</v>
      </c>
      <c r="B26" s="58" t="s">
        <v>10</v>
      </c>
      <c r="C26" s="58" t="s">
        <v>357</v>
      </c>
      <c r="D26" s="11"/>
      <c r="E26" s="11"/>
      <c r="F26" s="11"/>
      <c r="G26" s="11"/>
      <c r="H26" s="11"/>
      <c r="I26" s="55"/>
      <c r="J26" s="55"/>
      <c r="K26" s="11"/>
      <c r="L26" s="11"/>
      <c r="M26" s="66" t="str">
        <f>IF(_epmOfflineCondition_,"Anglers Boutique Resorts LLC",IF(_xll.EVDES(B3,$B$1)="#NODATA","",_xll.EVDES(B3,$B$1)))</f>
        <v>Anglers Boutique Resorts LLC</v>
      </c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</row>
    <row r="27" spans="1:42" ht="18" x14ac:dyDescent="0.25">
      <c r="A27" s="61" t="s">
        <v>11</v>
      </c>
      <c r="B27" s="62" t="s">
        <v>21</v>
      </c>
      <c r="C27" s="62" t="s">
        <v>21</v>
      </c>
      <c r="D27" s="11"/>
      <c r="E27" s="11"/>
      <c r="F27" s="11"/>
      <c r="G27" s="11"/>
      <c r="H27" s="11"/>
      <c r="I27" s="55"/>
      <c r="J27" s="55"/>
      <c r="K27" s="11"/>
      <c r="L27" s="11"/>
      <c r="M27" s="67" t="str">
        <f>IF(_epmOfflineCondition_,"Other Operated Departments",IF(_xll.EVDES(B6,$B$1)="#NODATA","",_xll.EVDES(B6,$B$1)))</f>
        <v>Other Operated Departments</v>
      </c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</row>
    <row r="28" spans="1:42" ht="15.75" x14ac:dyDescent="0.25">
      <c r="A28" s="61" t="s">
        <v>12</v>
      </c>
      <c r="B28" s="62" t="s">
        <v>52</v>
      </c>
      <c r="C28" s="62" t="s">
        <v>22</v>
      </c>
      <c r="D28" s="11"/>
      <c r="E28" s="11"/>
      <c r="F28" s="11"/>
      <c r="G28" s="11"/>
      <c r="H28" s="11"/>
      <c r="I28" s="55"/>
      <c r="J28" s="55"/>
      <c r="K28" s="11"/>
      <c r="L28" s="11"/>
      <c r="M28" s="68" t="str">
        <f>IF(_epmOfflineCondition_,"For the Period ended 2019 TOTAL","For the Period ended"&amp;" "&amp;IF(_xll.EVDES($B$10,$B$1)="#NODATA","",_xll.EVDES($B$10,$B$1)))</f>
        <v>For the Period ended 2019 TOTAL</v>
      </c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</row>
    <row r="29" spans="1:42" ht="15" customHeight="1" x14ac:dyDescent="0.25">
      <c r="A29" s="61" t="s">
        <v>13</v>
      </c>
      <c r="B29" s="62" t="s">
        <v>468</v>
      </c>
      <c r="C29" s="62" t="s">
        <v>467</v>
      </c>
      <c r="D29" s="11"/>
      <c r="E29" s="11"/>
      <c r="F29" s="11"/>
      <c r="G29" s="11"/>
      <c r="H29" s="11"/>
      <c r="I29" s="55"/>
      <c r="J29" s="55"/>
      <c r="K29" s="11"/>
      <c r="L29" s="11"/>
      <c r="M29" s="68" t="str">
        <f>IF(_epmOfflineCondition_,"Local Currency",_xll.EVDES(B9,B1))</f>
        <v>Local Currency</v>
      </c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</row>
    <row r="30" spans="1:42" x14ac:dyDescent="0.25">
      <c r="A30" s="61" t="s">
        <v>14</v>
      </c>
      <c r="B30" s="62"/>
      <c r="C30" s="62"/>
      <c r="D30" s="11"/>
      <c r="E30" s="11"/>
      <c r="F30" s="11"/>
      <c r="G30" s="11"/>
      <c r="H30" s="11"/>
      <c r="I30" s="55"/>
      <c r="J30" s="55"/>
      <c r="K30" s="11"/>
      <c r="L30" s="11"/>
      <c r="M30" s="11"/>
      <c r="N30" s="69"/>
      <c r="O30" s="70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1"/>
      <c r="AB30" s="11"/>
      <c r="AC30" s="70"/>
      <c r="AD30" s="70"/>
      <c r="AE30" s="70"/>
      <c r="AF30" s="70"/>
      <c r="AG30" s="70"/>
      <c r="AH30" s="70"/>
      <c r="AI30" s="69" t="s">
        <v>749</v>
      </c>
      <c r="AJ30" s="70"/>
      <c r="AK30" s="71"/>
      <c r="AL30" s="70" t="s">
        <v>751</v>
      </c>
      <c r="AM30" s="70"/>
      <c r="AN30" s="11"/>
      <c r="AO30" s="11"/>
      <c r="AP30" s="11"/>
    </row>
    <row r="31" spans="1:42" x14ac:dyDescent="0.25">
      <c r="A31" s="61" t="s">
        <v>15</v>
      </c>
      <c r="B31" s="62"/>
      <c r="C31" s="62"/>
      <c r="D31" s="11"/>
      <c r="E31" s="11"/>
      <c r="F31" s="11"/>
      <c r="G31" s="72"/>
      <c r="H31" s="11"/>
      <c r="I31" s="55"/>
      <c r="J31" s="55"/>
      <c r="K31" s="11"/>
      <c r="L31" s="11"/>
      <c r="M31" s="11"/>
      <c r="N31" s="73" t="str">
        <f>IF(_epmOfflineCondition_,"JAN",IF($D$10="FY",_xll.EVPRO($B$1,N$16,"PERIOD")&amp;" "&amp;LEFT(N$13,4),_xll.EVPRO($B$1,N$16,"PERIOD")))</f>
        <v>JAN</v>
      </c>
      <c r="O31" s="73" t="str">
        <f>IF(_epmOfflineCondition_,"FEB",IF($D$10="FY",_xll.EVPRO($B$1,O$16,"PERIOD")&amp;" "&amp;LEFT(O$13,4),_xll.EVPRO($B$1,O$16,"PERIOD")))</f>
        <v>FEB</v>
      </c>
      <c r="P31" s="73" t="str">
        <f>IF(_epmOfflineCondition_,"MAR",IF($D$10="FY",_xll.EVPRO($B$1,P$16,"PERIOD")&amp;" "&amp;LEFT(P$13,4),_xll.EVPRO($B$1,P$16,"PERIOD")))</f>
        <v>MAR</v>
      </c>
      <c r="Q31" s="73" t="str">
        <f>IF(_epmOfflineCondition_,"APR",IF($D$10="FY",_xll.EVPRO($B$1,Q$16,"PERIOD")&amp;" "&amp;LEFT(Q$13,4),_xll.EVPRO($B$1,Q$16,"PERIOD")))</f>
        <v>APR</v>
      </c>
      <c r="R31" s="73" t="str">
        <f>IF(_epmOfflineCondition_,"MAY",IF($D$10="FY",_xll.EVPRO($B$1,R$16,"PERIOD")&amp;" "&amp;LEFT(R$13,4),_xll.EVPRO($B$1,R$16,"PERIOD")))</f>
        <v>MAY</v>
      </c>
      <c r="S31" s="73" t="str">
        <f>IF(_epmOfflineCondition_,"JUN",IF($D$10="FY",_xll.EVPRO($B$1,S$16,"PERIOD")&amp;" "&amp;LEFT(S$13,4),_xll.EVPRO($B$1,S$16,"PERIOD")))</f>
        <v>JUN</v>
      </c>
      <c r="T31" s="73" t="str">
        <f>IF(_epmOfflineCondition_,"JUL",IF($D$10="FY",_xll.EVPRO($B$1,T$16,"PERIOD")&amp;" "&amp;LEFT(T$13,4),_xll.EVPRO($B$1,T$16,"PERIOD")))</f>
        <v>JUL</v>
      </c>
      <c r="U31" s="73" t="str">
        <f>IF(_epmOfflineCondition_,"AUG",IF($D$10="FY",_xll.EVPRO($B$1,U$16,"PERIOD")&amp;" "&amp;LEFT(U$13,4),_xll.EVPRO($B$1,U$16,"PERIOD")))</f>
        <v>AUG</v>
      </c>
      <c r="V31" s="73" t="str">
        <f>IF(_epmOfflineCondition_,"SEP",IF($D$10="FY",_xll.EVPRO($B$1,V$16,"PERIOD")&amp;" "&amp;LEFT(V$13,4),_xll.EVPRO($B$1,V$16,"PERIOD")))</f>
        <v>SEP</v>
      </c>
      <c r="W31" s="73" t="str">
        <f>IF(_epmOfflineCondition_,"OCT",IF($D$10="FY",_xll.EVPRO($B$1,W$16,"PERIOD")&amp;" "&amp;LEFT(W$13,4),_xll.EVPRO($B$1,W$16,"PERIOD")))</f>
        <v>OCT</v>
      </c>
      <c r="X31" s="73" t="str">
        <f>IF(_epmOfflineCondition_,"NOV",IF($D$10="FY",_xll.EVPRO($B$1,X$16,"PERIOD")&amp;" "&amp;LEFT(X$13,4),_xll.EVPRO($B$1,X$16,"PERIOD")))</f>
        <v>NOV</v>
      </c>
      <c r="Y31" s="73" t="str">
        <f>IF(_epmOfflineCondition_,"DEC",IF($D$10="FY",_xll.EVPRO($B$1,Y$16,"PERIOD")&amp;" "&amp;LEFT(Y$13,4),_xll.EVPRO($B$1,Y$16,"PERIOD")))</f>
        <v>DEC</v>
      </c>
      <c r="Z31" s="73" t="str">
        <f>Z14</f>
        <v>TOTAL</v>
      </c>
      <c r="AA31" s="74"/>
      <c r="AB31" s="11"/>
      <c r="AC31" s="598" t="str">
        <f>IF(_epmOfflineCondition_,"2019 TOTAL",IF(_xll.EVDES(AC16,$B$1)="#NODATA","",_xll.EVDES(AC16,$B$1)))</f>
        <v>2019 TOTAL</v>
      </c>
      <c r="AD31" s="599"/>
      <c r="AE31" s="73" t="s">
        <v>632</v>
      </c>
      <c r="AF31" s="598" t="str">
        <f>IF(_epmOfflineCondition_,"2018 TOTAL",IF(_xll.EVDES(AF16,$B$1)="#NODATA","",_xll.EVDES(AF16,$B$1)))</f>
        <v>2018 TOTAL</v>
      </c>
      <c r="AG31" s="599"/>
      <c r="AH31" s="73" t="s">
        <v>632</v>
      </c>
      <c r="AI31" s="73" t="str">
        <f>IF(_epmOfflineCondition_,"2019",_xll.EVPRO($B$1,Z$16,"YEAR"))</f>
        <v>2019</v>
      </c>
      <c r="AJ31" s="76" t="str">
        <f>IF(_epmOfflineCondition_,"2019",_xll.EVPRO($B$1,AC$16,"YEAR"))</f>
        <v>2019</v>
      </c>
      <c r="AK31" s="76" t="str">
        <f>IF(_epmOfflineCondition_,"2018",_xll.EVPRO($B$1,AF$16,"YEAR"))</f>
        <v>2018</v>
      </c>
      <c r="AL31" s="73" t="str">
        <f>"vs "&amp;AJ31</f>
        <v>vs 2019</v>
      </c>
      <c r="AM31" s="73" t="str">
        <f>"vs "&amp;AK31</f>
        <v>vs 2018</v>
      </c>
      <c r="AN31" s="11"/>
      <c r="AO31" s="11"/>
      <c r="AP31" s="11"/>
    </row>
    <row r="32" spans="1:42" s="8" customFormat="1" ht="30" customHeight="1" x14ac:dyDescent="0.25">
      <c r="A32" s="77" t="s">
        <v>16</v>
      </c>
      <c r="B32" s="78"/>
      <c r="C32" s="78"/>
      <c r="D32" s="79"/>
      <c r="E32" s="79"/>
      <c r="F32" s="79"/>
      <c r="G32" s="359"/>
      <c r="H32" s="80"/>
      <c r="I32" s="81"/>
      <c r="J32" s="81"/>
      <c r="K32" s="79"/>
      <c r="L32" s="79"/>
      <c r="M32" s="79"/>
      <c r="N32" s="83" t="str">
        <f>IF(_epmOfflineCondition_,"Actual",IF(_xll.EVDES(N17,$B$1)="#NODATA","",_xll.EVDES(N17,$B$1)))</f>
        <v>Actual</v>
      </c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76"/>
      <c r="AA32" s="76" t="s">
        <v>58</v>
      </c>
      <c r="AB32" s="79"/>
      <c r="AC32" s="83" t="str">
        <f>IF(_epmOfflineCondition_,"Budget",IF(_xll.EVDES(AC17,$B$1)="#NODATA","",_xll.EVDES(AC17,$B$1)))</f>
        <v>Budget</v>
      </c>
      <c r="AD32" s="76" t="s">
        <v>58</v>
      </c>
      <c r="AE32" s="83" t="s">
        <v>57</v>
      </c>
      <c r="AF32" s="83" t="str">
        <f>IF(_epmOfflineCondition_,"Actual",IF(_xll.EVDES(AF17,$B$1)="#NODATA","",_xll.EVDES(AF17,$B$1)))</f>
        <v>Actual</v>
      </c>
      <c r="AG32" s="76" t="s">
        <v>58</v>
      </c>
      <c r="AH32" s="83" t="s">
        <v>57</v>
      </c>
      <c r="AI32" s="83" t="str">
        <f>Y32</f>
        <v>Actual</v>
      </c>
      <c r="AJ32" s="76" t="str">
        <f>AC32</f>
        <v>Budget</v>
      </c>
      <c r="AK32" s="83" t="str">
        <f>AF32</f>
        <v>Actual</v>
      </c>
      <c r="AL32" s="73" t="s">
        <v>748</v>
      </c>
      <c r="AM32" s="73" t="s">
        <v>748</v>
      </c>
      <c r="AN32" s="79"/>
      <c r="AO32" s="79"/>
      <c r="AP32" s="79"/>
    </row>
    <row r="33" spans="1:42" x14ac:dyDescent="0.25">
      <c r="A33" s="61" t="s">
        <v>17</v>
      </c>
      <c r="B33" s="62"/>
      <c r="C33" s="62"/>
      <c r="D33" s="11"/>
      <c r="E33" s="11"/>
      <c r="F33" s="11"/>
      <c r="G33" s="11"/>
      <c r="H33" s="11" t="s">
        <v>69</v>
      </c>
      <c r="I33" s="55" t="str">
        <f>IF(_epmOfflineCondition_,"B1",_xll.EVPRO($B$1,$H33,"STYLE"))</f>
        <v>B1</v>
      </c>
      <c r="J33" s="55" t="str">
        <f>IF(_epmOfflineCondition_,"Y",_xll.EVPRO($B$1,$H33,"CALC"))</f>
        <v>Y</v>
      </c>
      <c r="K33" s="11"/>
      <c r="L33" s="11"/>
      <c r="M33" s="101" t="str">
        <f>IF(_epmOfflineCondition_,"Revenues",IF(_xll.EVDES(H33,$B$1)="#NODATA","",_xll.EVDES(H33,$B$1)))</f>
        <v>Revenues</v>
      </c>
      <c r="N33" s="125"/>
      <c r="O33" s="126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7"/>
      <c r="AB33" s="11"/>
      <c r="AC33" s="125"/>
      <c r="AD33" s="126"/>
      <c r="AE33" s="127"/>
      <c r="AF33" s="125"/>
      <c r="AG33" s="126"/>
      <c r="AH33" s="127"/>
      <c r="AI33" s="11"/>
      <c r="AJ33" s="11"/>
      <c r="AK33" s="11"/>
      <c r="AL33" s="11"/>
      <c r="AM33" s="11"/>
      <c r="AN33" s="11"/>
      <c r="AO33" s="11"/>
      <c r="AP33" s="11"/>
    </row>
    <row r="34" spans="1:42" x14ac:dyDescent="0.25">
      <c r="A34" s="11"/>
      <c r="B34" s="11"/>
      <c r="C34" s="11"/>
      <c r="D34" s="11"/>
      <c r="E34" s="11"/>
      <c r="F34" s="11"/>
      <c r="G34" s="84" t="s">
        <v>365</v>
      </c>
      <c r="H34" s="84" t="s">
        <v>280</v>
      </c>
      <c r="I34" s="118" t="str">
        <f>IF(_epmOfflineCondition_,"7",_xll.EVPRO($B$1,$G34,"HLEVEL"))</f>
        <v>7</v>
      </c>
      <c r="J34" s="118" t="str">
        <f>IF(_epmOfflineCondition_,"Y",_xll.EVPRO($B$1,$H34,"CALC"))</f>
        <v>Y</v>
      </c>
      <c r="K34" s="175" t="str">
        <f t="shared" ref="K34:K39" si="0">IF(AND(I34&gt;="T5"),"&gt;","")</f>
        <v/>
      </c>
      <c r="L34" s="86"/>
      <c r="M34" s="86" t="str">
        <f>IF(_epmOfflineCondition_,"Guest Communications",IF(_xll.EVDES(G34,$B$1)="#NODATA","",_xll.EVDES(G34,$B$1)))</f>
        <v>Guest Communications</v>
      </c>
      <c r="N34" s="134"/>
      <c r="O34" s="134"/>
      <c r="P34" s="134"/>
      <c r="Q34" s="134"/>
      <c r="R34" s="134"/>
      <c r="S34" s="134"/>
      <c r="T34" s="134"/>
      <c r="U34" s="134"/>
      <c r="V34" s="134"/>
      <c r="W34" s="134"/>
      <c r="X34" s="134"/>
      <c r="Y34" s="134"/>
      <c r="Z34" s="223">
        <f t="shared" ref="Z34:Z40" si="1">IF($I34="B1","",SUM(N34:Y34))</f>
        <v>0</v>
      </c>
      <c r="AA34" s="138" t="str">
        <f t="shared" ref="AA34:AA40" si="2">IF(Z34=0,"",IFERROR(Z34/Z$19,""))</f>
        <v/>
      </c>
      <c r="AB34" s="136"/>
      <c r="AC34" s="134"/>
      <c r="AD34" s="138" t="str">
        <f t="shared" ref="AD34:AD40" si="3">IF(AC34=0,"",IFERROR(AC34/AC$19,""))</f>
        <v/>
      </c>
      <c r="AE34" s="137">
        <f t="shared" ref="AE34:AE40" si="4">IF(AND($Z34="",AC34=""),"",$Z34-AC34)</f>
        <v>0</v>
      </c>
      <c r="AF34" s="134"/>
      <c r="AG34" s="138" t="str">
        <f t="shared" ref="AG34:AG40" si="5">IF(AF34=0,"",IFERROR(AF34/AF$19,""))</f>
        <v/>
      </c>
      <c r="AH34" s="137">
        <f t="shared" ref="AH34:AH40" si="6">IF(AND($Z34="",AF34=""),"",$Z34-AF34)</f>
        <v>0</v>
      </c>
      <c r="AI34" s="458">
        <f t="shared" ref="AI34:AI40" si="7">IFERROR(Z34/Z$20,0)</f>
        <v>0</v>
      </c>
      <c r="AJ34" s="459">
        <f t="shared" ref="AJ34:AJ40" si="8">IFERROR(AC34/AC$20,0)</f>
        <v>0</v>
      </c>
      <c r="AK34" s="460">
        <f t="shared" ref="AK34:AK40" si="9">IFERROR(AF34/AF$20,0)</f>
        <v>0</v>
      </c>
      <c r="AL34" s="461">
        <f t="shared" ref="AL34:AL40" si="10">+IFERROR(ROUND(($AA34-AD34)*100,2)&amp;" pts.",0)</f>
        <v>0</v>
      </c>
      <c r="AM34" s="462">
        <f t="shared" ref="AM34:AM40" si="11">+IFERROR(ROUND(($AA34-AG34)*100,2)&amp;" pts.",0)</f>
        <v>0</v>
      </c>
      <c r="AN34" s="11"/>
      <c r="AO34" s="11"/>
      <c r="AP34" s="11"/>
    </row>
    <row r="35" spans="1:42" x14ac:dyDescent="0.25">
      <c r="A35" s="93" t="s">
        <v>92</v>
      </c>
      <c r="B35" s="94" t="s">
        <v>93</v>
      </c>
      <c r="C35" s="94" t="s">
        <v>94</v>
      </c>
      <c r="D35" s="94" t="s">
        <v>95</v>
      </c>
      <c r="E35" s="94" t="s">
        <v>96</v>
      </c>
      <c r="F35" s="95" t="s">
        <v>97</v>
      </c>
      <c r="G35" s="84" t="s">
        <v>366</v>
      </c>
      <c r="H35" s="84" t="s">
        <v>280</v>
      </c>
      <c r="I35" s="118" t="str">
        <f>IF(_epmOfflineCondition_,"7",_xll.EVPRO($B$1,$G35,"HLEVEL"))</f>
        <v>7</v>
      </c>
      <c r="J35" s="118" t="str">
        <f>IF(_epmOfflineCondition_,"Y",_xll.EVPRO($B$1,$H35,"CALC"))</f>
        <v>Y</v>
      </c>
      <c r="K35" s="175" t="str">
        <f t="shared" si="0"/>
        <v/>
      </c>
      <c r="L35" s="86"/>
      <c r="M35" s="86" t="str">
        <f>IF(_epmOfflineCondition_,"Health Club/Spa",IF(_xll.EVDES(G35,$B$1)="#NODATA","",_xll.EVDES(G35,$B$1)))</f>
        <v>Health Club/Spa</v>
      </c>
      <c r="N35" s="134"/>
      <c r="O35" s="134"/>
      <c r="P35" s="134"/>
      <c r="Q35" s="134">
        <v>372</v>
      </c>
      <c r="R35" s="134">
        <v>-372</v>
      </c>
      <c r="S35" s="134"/>
      <c r="T35" s="134"/>
      <c r="U35" s="134"/>
      <c r="V35" s="134"/>
      <c r="W35" s="134"/>
      <c r="X35" s="134"/>
      <c r="Y35" s="134"/>
      <c r="Z35" s="223">
        <f t="shared" si="1"/>
        <v>0</v>
      </c>
      <c r="AA35" s="138" t="str">
        <f t="shared" si="2"/>
        <v/>
      </c>
      <c r="AB35" s="136"/>
      <c r="AC35" s="134"/>
      <c r="AD35" s="138" t="str">
        <f t="shared" si="3"/>
        <v/>
      </c>
      <c r="AE35" s="137">
        <f t="shared" si="4"/>
        <v>0</v>
      </c>
      <c r="AF35" s="134"/>
      <c r="AG35" s="138" t="str">
        <f t="shared" si="5"/>
        <v/>
      </c>
      <c r="AH35" s="137">
        <f t="shared" si="6"/>
        <v>0</v>
      </c>
      <c r="AI35" s="458">
        <f t="shared" si="7"/>
        <v>0</v>
      </c>
      <c r="AJ35" s="459">
        <f t="shared" si="8"/>
        <v>0</v>
      </c>
      <c r="AK35" s="460">
        <f t="shared" si="9"/>
        <v>0</v>
      </c>
      <c r="AL35" s="461">
        <f t="shared" si="10"/>
        <v>0</v>
      </c>
      <c r="AM35" s="462">
        <f t="shared" si="11"/>
        <v>0</v>
      </c>
      <c r="AN35" s="11"/>
      <c r="AO35" s="11"/>
      <c r="AP35" s="11"/>
    </row>
    <row r="36" spans="1:42" x14ac:dyDescent="0.25">
      <c r="A36" s="11"/>
      <c r="B36" s="11"/>
      <c r="C36" s="11"/>
      <c r="D36" s="11"/>
      <c r="E36" s="11"/>
      <c r="F36" s="11"/>
      <c r="G36" s="84" t="s">
        <v>380</v>
      </c>
      <c r="H36" s="84" t="s">
        <v>280</v>
      </c>
      <c r="I36" s="118" t="str">
        <f>IF(_epmOfflineCondition_,"7",_xll.EVPRO($B$1,$G36,"HLEVEL"))</f>
        <v>7</v>
      </c>
      <c r="J36" s="118" t="str">
        <f>IF(_epmOfflineCondition_,"Y",_xll.EVPRO($B$1,$H36,"CALC"))</f>
        <v>Y</v>
      </c>
      <c r="K36" s="175" t="str">
        <f t="shared" si="0"/>
        <v/>
      </c>
      <c r="L36" s="86"/>
      <c r="M36" s="86" t="str">
        <f>IF(_epmOfflineCondition_,"Parking",IF(_xll.EVDES(G36,$B$1)="#NODATA","",_xll.EVDES(G36,$B$1)))</f>
        <v>Parking</v>
      </c>
      <c r="N36" s="134">
        <v>21370.84</v>
      </c>
      <c r="O36" s="134">
        <v>15574.57</v>
      </c>
      <c r="P36" s="134">
        <v>18684.310000000001</v>
      </c>
      <c r="Q36" s="134">
        <v>21913.9</v>
      </c>
      <c r="R36" s="134">
        <v>19513.12</v>
      </c>
      <c r="S36" s="134">
        <v>16080.43</v>
      </c>
      <c r="T36" s="134">
        <v>19743.93</v>
      </c>
      <c r="U36" s="134">
        <v>21454.81</v>
      </c>
      <c r="V36" s="134">
        <v>12863.6</v>
      </c>
      <c r="W36" s="134">
        <v>18801.93</v>
      </c>
      <c r="X36" s="134">
        <v>20946.79</v>
      </c>
      <c r="Y36" s="134">
        <v>24841.19</v>
      </c>
      <c r="Z36" s="223">
        <f t="shared" si="1"/>
        <v>231789.41999999998</v>
      </c>
      <c r="AA36" s="138">
        <f t="shared" si="2"/>
        <v>0.9440417919252394</v>
      </c>
      <c r="AB36" s="136"/>
      <c r="AC36" s="134">
        <v>287932.865715886</v>
      </c>
      <c r="AD36" s="138">
        <f t="shared" si="3"/>
        <v>0.96937508189442467</v>
      </c>
      <c r="AE36" s="137">
        <f t="shared" si="4"/>
        <v>-56143.445715886017</v>
      </c>
      <c r="AF36" s="134">
        <v>90201.22</v>
      </c>
      <c r="AG36" s="138">
        <f t="shared" si="5"/>
        <v>0.95985181450508017</v>
      </c>
      <c r="AH36" s="137">
        <f t="shared" si="6"/>
        <v>141588.19999999998</v>
      </c>
      <c r="AI36" s="458">
        <f t="shared" si="7"/>
        <v>7.0491277902803962</v>
      </c>
      <c r="AJ36" s="459">
        <f t="shared" si="8"/>
        <v>7.9132871355984715</v>
      </c>
      <c r="AK36" s="460">
        <f t="shared" si="9"/>
        <v>5.9421093544137022</v>
      </c>
      <c r="AL36" s="461" t="str">
        <f t="shared" si="10"/>
        <v>-2.53 pts.</v>
      </c>
      <c r="AM36" s="462" t="str">
        <f t="shared" si="11"/>
        <v>-1.58 pts.</v>
      </c>
      <c r="AN36" s="11"/>
      <c r="AO36" s="11"/>
      <c r="AP36" s="11"/>
    </row>
    <row r="37" spans="1:42" x14ac:dyDescent="0.25">
      <c r="A37" s="11" t="s">
        <v>105</v>
      </c>
      <c r="B37" s="11"/>
      <c r="C37" s="100" t="s">
        <v>101</v>
      </c>
      <c r="D37" s="11" t="s">
        <v>106</v>
      </c>
      <c r="E37" s="11"/>
      <c r="F37" s="11" t="s">
        <v>98</v>
      </c>
      <c r="G37" s="84" t="s">
        <v>386</v>
      </c>
      <c r="H37" s="84" t="s">
        <v>280</v>
      </c>
      <c r="I37" s="118" t="str">
        <f>IF(_epmOfflineCondition_,"7",_xll.EVPRO($B$1,$G37,"HLEVEL"))</f>
        <v>7</v>
      </c>
      <c r="J37" s="118" t="str">
        <f>IF(_epmOfflineCondition_,"Y",_xll.EVPRO($B$1,$H37,"CALC"))</f>
        <v>Y</v>
      </c>
      <c r="K37" s="175" t="str">
        <f t="shared" si="0"/>
        <v/>
      </c>
      <c r="L37" s="86"/>
      <c r="M37" s="86" t="str">
        <f>IF(_epmOfflineCondition_,"Retail Shop",IF(_xll.EVDES(G37,$B$1)="#NODATA","",_xll.EVDES(G37,$B$1)))</f>
        <v>Retail Shop</v>
      </c>
      <c r="N37" s="134"/>
      <c r="O37" s="134"/>
      <c r="P37" s="134"/>
      <c r="Q37" s="134"/>
      <c r="R37" s="134"/>
      <c r="S37" s="134"/>
      <c r="T37" s="134"/>
      <c r="U37" s="134"/>
      <c r="V37" s="134"/>
      <c r="W37" s="134"/>
      <c r="X37" s="134"/>
      <c r="Y37" s="134"/>
      <c r="Z37" s="223">
        <f t="shared" si="1"/>
        <v>0</v>
      </c>
      <c r="AA37" s="138" t="str">
        <f t="shared" si="2"/>
        <v/>
      </c>
      <c r="AB37" s="136"/>
      <c r="AC37" s="134"/>
      <c r="AD37" s="138" t="str">
        <f t="shared" si="3"/>
        <v/>
      </c>
      <c r="AE37" s="137">
        <f t="shared" si="4"/>
        <v>0</v>
      </c>
      <c r="AF37" s="134"/>
      <c r="AG37" s="138" t="str">
        <f t="shared" si="5"/>
        <v/>
      </c>
      <c r="AH37" s="137">
        <f t="shared" si="6"/>
        <v>0</v>
      </c>
      <c r="AI37" s="458">
        <f t="shared" si="7"/>
        <v>0</v>
      </c>
      <c r="AJ37" s="459">
        <f t="shared" si="8"/>
        <v>0</v>
      </c>
      <c r="AK37" s="460">
        <f t="shared" si="9"/>
        <v>0</v>
      </c>
      <c r="AL37" s="461">
        <f t="shared" si="10"/>
        <v>0</v>
      </c>
      <c r="AM37" s="462">
        <f t="shared" si="11"/>
        <v>0</v>
      </c>
      <c r="AN37" s="11"/>
      <c r="AO37" s="11"/>
      <c r="AP37" s="11"/>
    </row>
    <row r="38" spans="1:42" x14ac:dyDescent="0.25">
      <c r="A38" s="11" t="s">
        <v>465</v>
      </c>
      <c r="B38" s="11"/>
      <c r="C38" s="100" t="s">
        <v>101</v>
      </c>
      <c r="D38" s="11" t="s">
        <v>106</v>
      </c>
      <c r="E38" s="11"/>
      <c r="F38" s="11" t="s">
        <v>98</v>
      </c>
      <c r="G38" s="84" t="s">
        <v>406</v>
      </c>
      <c r="H38" s="84" t="s">
        <v>280</v>
      </c>
      <c r="I38" s="118" t="str">
        <f>IF(_epmOfflineCondition_,"6",_xll.EVPRO($B$1,$G38,"HLEVEL"))</f>
        <v>6</v>
      </c>
      <c r="J38" s="118" t="str">
        <f>IF(_epmOfflineCondition_,"Y",_xll.EVPRO($B$1,$H38,"CALC"))</f>
        <v>Y</v>
      </c>
      <c r="K38" s="175" t="str">
        <f t="shared" si="0"/>
        <v/>
      </c>
      <c r="L38" s="86"/>
      <c r="M38" s="86" t="str">
        <f>IF(_epmOfflineCondition_,"Food &amp; Beverage Retail Shop",IF(_xll.EVDES(G38,$B$1)="#NODATA","",_xll.EVDES(G38,$B$1)))</f>
        <v>Food &amp; Beverage Retail Shop</v>
      </c>
      <c r="N38" s="134"/>
      <c r="O38" s="134"/>
      <c r="P38" s="134"/>
      <c r="Q38" s="134"/>
      <c r="R38" s="134"/>
      <c r="S38" s="134"/>
      <c r="T38" s="134"/>
      <c r="U38" s="134"/>
      <c r="V38" s="134"/>
      <c r="W38" s="134"/>
      <c r="X38" s="134"/>
      <c r="Y38" s="134"/>
      <c r="Z38" s="223">
        <f t="shared" si="1"/>
        <v>0</v>
      </c>
      <c r="AA38" s="138" t="str">
        <f t="shared" si="2"/>
        <v/>
      </c>
      <c r="AB38" s="136"/>
      <c r="AC38" s="134"/>
      <c r="AD38" s="138" t="str">
        <f t="shared" si="3"/>
        <v/>
      </c>
      <c r="AE38" s="137">
        <f t="shared" si="4"/>
        <v>0</v>
      </c>
      <c r="AF38" s="134"/>
      <c r="AG38" s="138" t="str">
        <f t="shared" si="5"/>
        <v/>
      </c>
      <c r="AH38" s="137">
        <f t="shared" si="6"/>
        <v>0</v>
      </c>
      <c r="AI38" s="458">
        <f t="shared" si="7"/>
        <v>0</v>
      </c>
      <c r="AJ38" s="459">
        <f t="shared" si="8"/>
        <v>0</v>
      </c>
      <c r="AK38" s="460">
        <f t="shared" si="9"/>
        <v>0</v>
      </c>
      <c r="AL38" s="461">
        <f t="shared" si="10"/>
        <v>0</v>
      </c>
      <c r="AM38" s="462">
        <f t="shared" si="11"/>
        <v>0</v>
      </c>
      <c r="AN38" s="11"/>
      <c r="AO38" s="11"/>
      <c r="AP38" s="11"/>
    </row>
    <row r="39" spans="1:42" x14ac:dyDescent="0.25">
      <c r="A39" s="11" t="s">
        <v>466</v>
      </c>
      <c r="B39" s="11"/>
      <c r="C39" s="49" t="s">
        <v>101</v>
      </c>
      <c r="D39" s="11" t="s">
        <v>106</v>
      </c>
      <c r="E39" s="11"/>
      <c r="F39" s="11" t="s">
        <v>98</v>
      </c>
      <c r="G39" s="84" t="s">
        <v>423</v>
      </c>
      <c r="H39" s="84" t="s">
        <v>280</v>
      </c>
      <c r="I39" s="118" t="str">
        <f>IF(_epmOfflineCondition_,"7",_xll.EVPRO($B$1,$G39,"HLEVEL"))</f>
        <v>7</v>
      </c>
      <c r="J39" s="118" t="str">
        <f>IF(_epmOfflineCondition_,"Y",_xll.EVPRO($B$1,$H39,"CALC"))</f>
        <v>Y</v>
      </c>
      <c r="K39" s="175" t="str">
        <f t="shared" si="0"/>
        <v/>
      </c>
      <c r="L39" s="86"/>
      <c r="M39" s="86" t="str">
        <f>IF(_epmOfflineCondition_,"Minor Operated Departments",IF(_xll.EVDES(G39,$B$1)="#NODATA","",_xll.EVDES(G39,$B$1)))</f>
        <v>Minor Operated Departments</v>
      </c>
      <c r="N39" s="134">
        <v>650.64</v>
      </c>
      <c r="O39" s="134">
        <v>2173.44</v>
      </c>
      <c r="P39" s="134">
        <v>1091.9000000000001</v>
      </c>
      <c r="Q39" s="134">
        <v>1243.8399999999999</v>
      </c>
      <c r="R39" s="134">
        <v>599.47</v>
      </c>
      <c r="S39" s="134">
        <v>590.08000000000004</v>
      </c>
      <c r="T39" s="134">
        <v>1323.15</v>
      </c>
      <c r="U39" s="134">
        <v>923.7</v>
      </c>
      <c r="V39" s="134">
        <v>1343.75</v>
      </c>
      <c r="W39" s="134">
        <v>1512.65</v>
      </c>
      <c r="X39" s="134">
        <v>1276.44</v>
      </c>
      <c r="Y39" s="134">
        <v>1010.29</v>
      </c>
      <c r="Z39" s="223">
        <f t="shared" si="1"/>
        <v>13739.350000000002</v>
      </c>
      <c r="AA39" s="138">
        <f t="shared" si="2"/>
        <v>5.595820807476045E-2</v>
      </c>
      <c r="AB39" s="136"/>
      <c r="AC39" s="134">
        <v>9096.5</v>
      </c>
      <c r="AD39" s="138">
        <f t="shared" si="3"/>
        <v>3.0624918105575352E-2</v>
      </c>
      <c r="AE39" s="137">
        <f t="shared" si="4"/>
        <v>4642.8500000000022</v>
      </c>
      <c r="AF39" s="134">
        <v>3772.89</v>
      </c>
      <c r="AG39" s="138">
        <f t="shared" si="5"/>
        <v>4.0148185494919823E-2</v>
      </c>
      <c r="AH39" s="137">
        <f t="shared" si="6"/>
        <v>9966.4600000000028</v>
      </c>
      <c r="AI39" s="458">
        <f t="shared" si="7"/>
        <v>0.41783802688400956</v>
      </c>
      <c r="AJ39" s="459">
        <f t="shared" si="8"/>
        <v>0.25</v>
      </c>
      <c r="AK39" s="460">
        <f t="shared" si="9"/>
        <v>0.24854347826086956</v>
      </c>
      <c r="AL39" s="461" t="str">
        <f t="shared" si="10"/>
        <v>2.53 pts.</v>
      </c>
      <c r="AM39" s="462" t="str">
        <f t="shared" si="11"/>
        <v>1.58 pts.</v>
      </c>
      <c r="AN39" s="11"/>
      <c r="AO39" s="11"/>
      <c r="AP39" s="11"/>
    </row>
    <row r="40" spans="1:42" x14ac:dyDescent="0.25">
      <c r="A40" s="11" t="s">
        <v>466</v>
      </c>
      <c r="B40" s="11"/>
      <c r="C40" s="192" t="s">
        <v>101</v>
      </c>
      <c r="D40" s="11" t="s">
        <v>107</v>
      </c>
      <c r="E40" s="11"/>
      <c r="F40" s="11" t="s">
        <v>99</v>
      </c>
      <c r="G40" s="11"/>
      <c r="H40" s="571" t="s">
        <v>69</v>
      </c>
      <c r="I40" s="175"/>
      <c r="J40" s="175"/>
      <c r="K40" s="175"/>
      <c r="L40" s="86"/>
      <c r="M40" s="102" t="s">
        <v>470</v>
      </c>
      <c r="N40" s="119">
        <f t="shared" ref="N40:Y40" si="12">SUM(N34:N39)</f>
        <v>22021.48</v>
      </c>
      <c r="O40" s="119">
        <f t="shared" si="12"/>
        <v>17748.009999999998</v>
      </c>
      <c r="P40" s="119">
        <f t="shared" si="12"/>
        <v>19776.210000000003</v>
      </c>
      <c r="Q40" s="119">
        <f t="shared" si="12"/>
        <v>23529.74</v>
      </c>
      <c r="R40" s="119">
        <f t="shared" si="12"/>
        <v>19740.59</v>
      </c>
      <c r="S40" s="119">
        <f t="shared" si="12"/>
        <v>16670.510000000002</v>
      </c>
      <c r="T40" s="119">
        <f t="shared" si="12"/>
        <v>21067.08</v>
      </c>
      <c r="U40" s="119">
        <f t="shared" si="12"/>
        <v>22378.510000000002</v>
      </c>
      <c r="V40" s="119">
        <f t="shared" si="12"/>
        <v>14207.35</v>
      </c>
      <c r="W40" s="119">
        <f t="shared" si="12"/>
        <v>20314.580000000002</v>
      </c>
      <c r="X40" s="119">
        <f t="shared" si="12"/>
        <v>22223.23</v>
      </c>
      <c r="Y40" s="119">
        <f t="shared" si="12"/>
        <v>25851.48</v>
      </c>
      <c r="Z40" s="119">
        <f t="shared" si="1"/>
        <v>245528.77000000002</v>
      </c>
      <c r="AA40" s="120">
        <f t="shared" si="2"/>
        <v>1</v>
      </c>
      <c r="AB40" s="11"/>
      <c r="AC40" s="119">
        <f>SUM(AC34:AC39)</f>
        <v>297029.365715886</v>
      </c>
      <c r="AD40" s="120">
        <f t="shared" si="3"/>
        <v>1</v>
      </c>
      <c r="AE40" s="121">
        <f t="shared" si="4"/>
        <v>-51500.595715885982</v>
      </c>
      <c r="AF40" s="119">
        <f>SUM(AF34:AF39)</f>
        <v>93974.11</v>
      </c>
      <c r="AG40" s="120">
        <f t="shared" si="5"/>
        <v>1</v>
      </c>
      <c r="AH40" s="121">
        <f t="shared" si="6"/>
        <v>151554.66000000003</v>
      </c>
      <c r="AI40" s="384">
        <f t="shared" si="7"/>
        <v>7.4669658171644064</v>
      </c>
      <c r="AJ40" s="385">
        <f t="shared" si="8"/>
        <v>8.1632871355984715</v>
      </c>
      <c r="AK40" s="386">
        <f t="shared" si="9"/>
        <v>6.190652832674572</v>
      </c>
      <c r="AL40" s="387" t="str">
        <f t="shared" si="10"/>
        <v>0 pts.</v>
      </c>
      <c r="AM40" s="539" t="str">
        <f t="shared" si="11"/>
        <v>0 pts.</v>
      </c>
      <c r="AN40" s="11"/>
      <c r="AO40" s="11"/>
      <c r="AP40" s="11"/>
    </row>
    <row r="41" spans="1:42" x14ac:dyDescent="0.25">
      <c r="A41" s="11"/>
      <c r="B41" s="11"/>
      <c r="C41" s="11"/>
      <c r="D41" s="11"/>
      <c r="E41" s="11"/>
      <c r="F41" s="11"/>
      <c r="G41" s="102"/>
      <c r="H41" s="102"/>
      <c r="I41" s="102"/>
      <c r="J41" s="102"/>
      <c r="K41" s="102"/>
      <c r="L41" s="102"/>
      <c r="M41" s="102"/>
      <c r="N41" s="199"/>
      <c r="O41" s="200"/>
      <c r="P41" s="200"/>
      <c r="Q41" s="200"/>
      <c r="R41" s="200"/>
      <c r="S41" s="200"/>
      <c r="T41" s="200"/>
      <c r="U41" s="200"/>
      <c r="V41" s="200"/>
      <c r="W41" s="200"/>
      <c r="X41" s="200"/>
      <c r="Y41" s="200"/>
      <c r="Z41" s="200"/>
      <c r="AA41" s="114"/>
      <c r="AB41" s="11"/>
      <c r="AC41" s="199"/>
      <c r="AD41" s="200"/>
      <c r="AE41" s="114"/>
      <c r="AF41" s="199"/>
      <c r="AG41" s="200"/>
      <c r="AH41" s="114"/>
      <c r="AI41" s="11"/>
      <c r="AJ41" s="11"/>
      <c r="AK41" s="11"/>
      <c r="AL41" s="11"/>
      <c r="AM41" s="11"/>
      <c r="AN41" s="11"/>
      <c r="AO41" s="11"/>
      <c r="AP41" s="11"/>
    </row>
    <row r="42" spans="1:42" x14ac:dyDescent="0.25">
      <c r="A42" s="11"/>
      <c r="B42" s="11"/>
      <c r="C42" s="11"/>
      <c r="D42" s="11"/>
      <c r="E42" s="11"/>
      <c r="F42" s="11"/>
      <c r="G42" s="11"/>
      <c r="H42" s="11" t="s">
        <v>464</v>
      </c>
      <c r="I42" s="55" t="str">
        <f>IF(_epmOfflineCondition_,"T3",_xll.EVPRO($B$1,$H42,"STYLE"))</f>
        <v>T3</v>
      </c>
      <c r="J42" s="55" t="str">
        <f>IF(_epmOfflineCondition_,"Y",_xll.EVPRO($B$1,$H42,"CALC"))</f>
        <v>Y</v>
      </c>
      <c r="K42" s="11"/>
      <c r="L42" s="11"/>
      <c r="M42" s="101" t="str">
        <f>IF(_epmOfflineCondition_,"Departmental Expenses (Incl COS)",IF(_xll.EVDES(H42,$B$1)="#NODATA","",_xll.EVDES(H42,$B$1)))</f>
        <v>Departmental Expenses (Incl COS)</v>
      </c>
      <c r="N42" s="199"/>
      <c r="O42" s="200"/>
      <c r="P42" s="200"/>
      <c r="Q42" s="200"/>
      <c r="R42" s="200"/>
      <c r="S42" s="200"/>
      <c r="T42" s="200"/>
      <c r="U42" s="200"/>
      <c r="V42" s="200"/>
      <c r="W42" s="200"/>
      <c r="X42" s="200"/>
      <c r="Y42" s="200"/>
      <c r="Z42" s="200"/>
      <c r="AA42" s="114"/>
      <c r="AB42" s="11"/>
      <c r="AC42" s="199"/>
      <c r="AD42" s="200"/>
      <c r="AE42" s="114"/>
      <c r="AF42" s="199"/>
      <c r="AG42" s="200"/>
      <c r="AH42" s="114"/>
      <c r="AI42" s="11"/>
      <c r="AJ42" s="11"/>
      <c r="AK42" s="11"/>
      <c r="AL42" s="11"/>
      <c r="AM42" s="11"/>
      <c r="AN42" s="11"/>
      <c r="AO42" s="11"/>
      <c r="AP42" s="11"/>
    </row>
    <row r="43" spans="1:42" x14ac:dyDescent="0.25">
      <c r="A43" s="57" t="s">
        <v>23</v>
      </c>
      <c r="B43" s="58" t="s">
        <v>24</v>
      </c>
      <c r="C43" s="11"/>
      <c r="D43" s="11"/>
      <c r="E43" s="11"/>
      <c r="F43" s="11"/>
      <c r="G43" s="84" t="s">
        <v>365</v>
      </c>
      <c r="H43" s="84" t="s">
        <v>464</v>
      </c>
      <c r="I43" s="118" t="str">
        <f>IF(_epmOfflineCondition_,"7",_xll.EVPRO($B$1,$G43,"HLEVEL"))</f>
        <v>7</v>
      </c>
      <c r="J43" s="118" t="str">
        <f>IF(_epmOfflineCondition_,"Y",_xll.EVPRO($B$1,$H43,"CALC"))</f>
        <v>Y</v>
      </c>
      <c r="K43" s="86"/>
      <c r="L43" s="86"/>
      <c r="M43" s="86" t="str">
        <f>IF(_epmOfflineCondition_,"Guest Communications",IF(_xll.EVDES(G43,$B$1)="#NODATA","",_xll.EVDES(G43,$B$1)))</f>
        <v>Guest Communications</v>
      </c>
      <c r="N43" s="134"/>
      <c r="O43" s="134"/>
      <c r="P43" s="134"/>
      <c r="Q43" s="134"/>
      <c r="R43" s="134"/>
      <c r="S43" s="134"/>
      <c r="T43" s="134"/>
      <c r="U43" s="134"/>
      <c r="V43" s="134"/>
      <c r="W43" s="134"/>
      <c r="X43" s="134"/>
      <c r="Y43" s="134"/>
      <c r="Z43" s="223">
        <f t="shared" ref="Z43:Z49" si="13">IF($I43="B1","",SUM(N43:Y43))</f>
        <v>0</v>
      </c>
      <c r="AA43" s="138" t="str">
        <f t="shared" ref="AA43:AA49" si="14">IF(Z43=0,"",IFERROR(Z43/Z34,""))</f>
        <v/>
      </c>
      <c r="AB43" s="136"/>
      <c r="AC43" s="134"/>
      <c r="AD43" s="138" t="str">
        <f t="shared" ref="AD43:AD49" si="15">IF(AC43=0,"",IFERROR(AC43/AC34,""))</f>
        <v/>
      </c>
      <c r="AE43" s="137">
        <f t="shared" ref="AE43:AE49" si="16">IF(AND($Z43="",AC43=""),"",$Z43-AC43)</f>
        <v>0</v>
      </c>
      <c r="AF43" s="134"/>
      <c r="AG43" s="138" t="str">
        <f t="shared" ref="AG43:AG49" si="17">IF(AF43=0,"",IFERROR(AF43/AF34,""))</f>
        <v/>
      </c>
      <c r="AH43" s="137">
        <f t="shared" ref="AH43:AH49" si="18">IF(AND($Z43="",AF43=""),"",$Z43-AF43)</f>
        <v>0</v>
      </c>
      <c r="AI43" s="458">
        <f t="shared" ref="AI43:AI49" si="19">IFERROR(Z43/Z$20,0)</f>
        <v>0</v>
      </c>
      <c r="AJ43" s="459">
        <f t="shared" ref="AJ43:AJ49" si="20">IFERROR(AC43/AC$20,0)</f>
        <v>0</v>
      </c>
      <c r="AK43" s="460">
        <f t="shared" ref="AK43:AK49" si="21">IFERROR(AF43/AF$20,0)</f>
        <v>0</v>
      </c>
      <c r="AL43" s="461">
        <f t="shared" ref="AL43:AL49" si="22">+IFERROR(ROUND(($AA43-AD43)*100,2)&amp;" pts.",0)</f>
        <v>0</v>
      </c>
      <c r="AM43" s="462">
        <f t="shared" ref="AM43:AM49" si="23">+IFERROR(ROUND(($AA43-AG43)*100,2)&amp;" pts.",0)</f>
        <v>0</v>
      </c>
      <c r="AN43" s="11"/>
      <c r="AO43" s="11"/>
      <c r="AP43" s="11"/>
    </row>
    <row r="44" spans="1:42" x14ac:dyDescent="0.25">
      <c r="A44" s="61" t="s">
        <v>25</v>
      </c>
      <c r="B44" s="62"/>
      <c r="C44" s="11"/>
      <c r="D44" s="11"/>
      <c r="E44" s="11"/>
      <c r="F44" s="11"/>
      <c r="G44" s="84" t="s">
        <v>366</v>
      </c>
      <c r="H44" s="84" t="s">
        <v>464</v>
      </c>
      <c r="I44" s="118" t="str">
        <f>IF(_epmOfflineCondition_,"7",_xll.EVPRO($B$1,$G44,"HLEVEL"))</f>
        <v>7</v>
      </c>
      <c r="J44" s="118" t="str">
        <f>IF(_epmOfflineCondition_,"Y",_xll.EVPRO($B$1,$H44,"CALC"))</f>
        <v>Y</v>
      </c>
      <c r="K44" s="86"/>
      <c r="L44" s="86"/>
      <c r="M44" s="86" t="str">
        <f>IF(_epmOfflineCondition_,"Health Club/Spa",IF(_xll.EVDES(G44,$B$1)="#NODATA","",_xll.EVDES(G44,$B$1)))</f>
        <v>Health Club/Spa</v>
      </c>
      <c r="N44" s="134"/>
      <c r="O44" s="134"/>
      <c r="P44" s="134"/>
      <c r="Q44" s="134"/>
      <c r="R44" s="134"/>
      <c r="S44" s="134"/>
      <c r="T44" s="134"/>
      <c r="U44" s="134"/>
      <c r="V44" s="134"/>
      <c r="W44" s="134"/>
      <c r="X44" s="134"/>
      <c r="Y44" s="134"/>
      <c r="Z44" s="223">
        <f t="shared" si="13"/>
        <v>0</v>
      </c>
      <c r="AA44" s="138" t="str">
        <f t="shared" si="14"/>
        <v/>
      </c>
      <c r="AB44" s="136"/>
      <c r="AC44" s="134"/>
      <c r="AD44" s="138" t="str">
        <f t="shared" si="15"/>
        <v/>
      </c>
      <c r="AE44" s="137">
        <f t="shared" si="16"/>
        <v>0</v>
      </c>
      <c r="AF44" s="134"/>
      <c r="AG44" s="138" t="str">
        <f t="shared" si="17"/>
        <v/>
      </c>
      <c r="AH44" s="137">
        <f t="shared" si="18"/>
        <v>0</v>
      </c>
      <c r="AI44" s="458">
        <f t="shared" si="19"/>
        <v>0</v>
      </c>
      <c r="AJ44" s="459">
        <f t="shared" si="20"/>
        <v>0</v>
      </c>
      <c r="AK44" s="460">
        <f t="shared" si="21"/>
        <v>0</v>
      </c>
      <c r="AL44" s="461">
        <f t="shared" si="22"/>
        <v>0</v>
      </c>
      <c r="AM44" s="462">
        <f t="shared" si="23"/>
        <v>0</v>
      </c>
      <c r="AN44" s="11"/>
      <c r="AO44" s="11"/>
      <c r="AP44" s="11"/>
    </row>
    <row r="45" spans="1:42" x14ac:dyDescent="0.25">
      <c r="A45" s="61" t="s">
        <v>26</v>
      </c>
      <c r="B45" s="62"/>
      <c r="C45" s="11"/>
      <c r="D45" s="11"/>
      <c r="E45" s="11"/>
      <c r="F45" s="11"/>
      <c r="G45" s="84" t="s">
        <v>380</v>
      </c>
      <c r="H45" s="84" t="s">
        <v>464</v>
      </c>
      <c r="I45" s="118" t="str">
        <f>IF(_epmOfflineCondition_,"7",_xll.EVPRO($B$1,$G45,"HLEVEL"))</f>
        <v>7</v>
      </c>
      <c r="J45" s="118" t="str">
        <f>IF(_epmOfflineCondition_,"Y",_xll.EVPRO($B$1,$H45,"CALC"))</f>
        <v>Y</v>
      </c>
      <c r="K45" s="86"/>
      <c r="L45" s="86"/>
      <c r="M45" s="86" t="str">
        <f>IF(_epmOfflineCondition_,"Parking",IF(_xll.EVDES(G45,$B$1)="#NODATA","",_xll.EVDES(G45,$B$1)))</f>
        <v>Parking</v>
      </c>
      <c r="N45" s="134">
        <v>17829.71</v>
      </c>
      <c r="O45" s="134">
        <v>22593.64</v>
      </c>
      <c r="P45" s="134">
        <v>29926.19</v>
      </c>
      <c r="Q45" s="134">
        <v>21427.73</v>
      </c>
      <c r="R45" s="134">
        <v>26003.51</v>
      </c>
      <c r="S45" s="134">
        <v>23934.44</v>
      </c>
      <c r="T45" s="134">
        <v>22298.84</v>
      </c>
      <c r="U45" s="134">
        <v>28476.880000000001</v>
      </c>
      <c r="V45" s="134">
        <v>20182.71</v>
      </c>
      <c r="W45" s="134">
        <v>15651.66</v>
      </c>
      <c r="X45" s="134">
        <v>10353.49</v>
      </c>
      <c r="Y45" s="134">
        <v>34551.370000000003</v>
      </c>
      <c r="Z45" s="223">
        <f t="shared" si="13"/>
        <v>273230.17</v>
      </c>
      <c r="AA45" s="138">
        <f t="shared" si="14"/>
        <v>1.1787862017170585</v>
      </c>
      <c r="AB45" s="136"/>
      <c r="AC45" s="134">
        <v>205387.71428571301</v>
      </c>
      <c r="AD45" s="138">
        <f t="shared" si="15"/>
        <v>0.71331806383081209</v>
      </c>
      <c r="AE45" s="137">
        <f t="shared" si="16"/>
        <v>67842.455714286974</v>
      </c>
      <c r="AF45" s="134">
        <v>155050.96</v>
      </c>
      <c r="AG45" s="138">
        <f t="shared" si="17"/>
        <v>1.7189452648201431</v>
      </c>
      <c r="AH45" s="137">
        <f t="shared" si="18"/>
        <v>118179.20999999999</v>
      </c>
      <c r="AI45" s="458">
        <f t="shared" si="19"/>
        <v>8.3094145733227904</v>
      </c>
      <c r="AJ45" s="459">
        <f t="shared" si="20"/>
        <v>5.644690658102375</v>
      </c>
      <c r="AK45" s="460">
        <f t="shared" si="21"/>
        <v>10.214160737812911</v>
      </c>
      <c r="AL45" s="461" t="str">
        <f t="shared" si="22"/>
        <v>46.55 pts.</v>
      </c>
      <c r="AM45" s="462" t="str">
        <f t="shared" si="23"/>
        <v>-54.02 pts.</v>
      </c>
      <c r="AN45" s="11"/>
      <c r="AO45" s="11"/>
      <c r="AP45" s="11"/>
    </row>
    <row r="46" spans="1:42" x14ac:dyDescent="0.25">
      <c r="A46" s="61" t="s">
        <v>27</v>
      </c>
      <c r="B46" s="62"/>
      <c r="C46" s="11"/>
      <c r="D46" s="11"/>
      <c r="E46" s="11"/>
      <c r="F46" s="11"/>
      <c r="G46" s="84" t="s">
        <v>386</v>
      </c>
      <c r="H46" s="84" t="s">
        <v>464</v>
      </c>
      <c r="I46" s="118" t="str">
        <f>IF(_epmOfflineCondition_,"7",_xll.EVPRO($B$1,$G46,"HLEVEL"))</f>
        <v>7</v>
      </c>
      <c r="J46" s="118" t="str">
        <f>IF(_epmOfflineCondition_,"Y",_xll.EVPRO($B$1,$H46,"CALC"))</f>
        <v>Y</v>
      </c>
      <c r="K46" s="86"/>
      <c r="L46" s="86"/>
      <c r="M46" s="86" t="str">
        <f>IF(_epmOfflineCondition_,"Retail Shop",IF(_xll.EVDES(G46,$B$1)="#NODATA","",_xll.EVDES(G46,$B$1)))</f>
        <v>Retail Shop</v>
      </c>
      <c r="N46" s="134"/>
      <c r="O46" s="134"/>
      <c r="P46" s="134"/>
      <c r="Q46" s="134"/>
      <c r="R46" s="134"/>
      <c r="S46" s="134"/>
      <c r="T46" s="134"/>
      <c r="U46" s="134"/>
      <c r="V46" s="134"/>
      <c r="W46" s="134"/>
      <c r="X46" s="134"/>
      <c r="Y46" s="134"/>
      <c r="Z46" s="223">
        <f t="shared" si="13"/>
        <v>0</v>
      </c>
      <c r="AA46" s="138" t="str">
        <f t="shared" si="14"/>
        <v/>
      </c>
      <c r="AB46" s="136"/>
      <c r="AC46" s="134"/>
      <c r="AD46" s="138" t="str">
        <f t="shared" si="15"/>
        <v/>
      </c>
      <c r="AE46" s="137">
        <f t="shared" si="16"/>
        <v>0</v>
      </c>
      <c r="AF46" s="134"/>
      <c r="AG46" s="138" t="str">
        <f t="shared" si="17"/>
        <v/>
      </c>
      <c r="AH46" s="137">
        <f t="shared" si="18"/>
        <v>0</v>
      </c>
      <c r="AI46" s="458">
        <f t="shared" si="19"/>
        <v>0</v>
      </c>
      <c r="AJ46" s="459">
        <f t="shared" si="20"/>
        <v>0</v>
      </c>
      <c r="AK46" s="460">
        <f t="shared" si="21"/>
        <v>0</v>
      </c>
      <c r="AL46" s="461">
        <f t="shared" si="22"/>
        <v>0</v>
      </c>
      <c r="AM46" s="462">
        <f t="shared" si="23"/>
        <v>0</v>
      </c>
      <c r="AN46" s="11"/>
      <c r="AO46" s="11"/>
      <c r="AP46" s="11"/>
    </row>
    <row r="47" spans="1:42" x14ac:dyDescent="0.25">
      <c r="A47" s="61" t="s">
        <v>28</v>
      </c>
      <c r="B47" s="62"/>
      <c r="C47" s="11"/>
      <c r="D47" s="11"/>
      <c r="E47" s="11"/>
      <c r="F47" s="11"/>
      <c r="G47" s="84" t="s">
        <v>406</v>
      </c>
      <c r="H47" s="84" t="s">
        <v>464</v>
      </c>
      <c r="I47" s="118" t="str">
        <f>IF(_epmOfflineCondition_,"6",_xll.EVPRO($B$1,$G47,"HLEVEL"))</f>
        <v>6</v>
      </c>
      <c r="J47" s="118" t="str">
        <f>IF(_epmOfflineCondition_,"Y",_xll.EVPRO($B$1,$H47,"CALC"))</f>
        <v>Y</v>
      </c>
      <c r="K47" s="86"/>
      <c r="L47" s="86"/>
      <c r="M47" s="86" t="str">
        <f>IF(_epmOfflineCondition_,"Food &amp; Beverage Retail Shop",IF(_xll.EVDES(G47,$B$1)="#NODATA","",_xll.EVDES(G47,$B$1)))</f>
        <v>Food &amp; Beverage Retail Shop</v>
      </c>
      <c r="N47" s="134"/>
      <c r="O47" s="134"/>
      <c r="P47" s="134"/>
      <c r="Q47" s="134"/>
      <c r="R47" s="134"/>
      <c r="S47" s="134"/>
      <c r="T47" s="134"/>
      <c r="U47" s="134"/>
      <c r="V47" s="134"/>
      <c r="W47" s="134"/>
      <c r="X47" s="134"/>
      <c r="Y47" s="134"/>
      <c r="Z47" s="223">
        <f t="shared" si="13"/>
        <v>0</v>
      </c>
      <c r="AA47" s="138" t="str">
        <f t="shared" si="14"/>
        <v/>
      </c>
      <c r="AB47" s="136"/>
      <c r="AC47" s="134"/>
      <c r="AD47" s="138" t="str">
        <f t="shared" si="15"/>
        <v/>
      </c>
      <c r="AE47" s="137">
        <f t="shared" si="16"/>
        <v>0</v>
      </c>
      <c r="AF47" s="134"/>
      <c r="AG47" s="138" t="str">
        <f t="shared" si="17"/>
        <v/>
      </c>
      <c r="AH47" s="137">
        <f t="shared" si="18"/>
        <v>0</v>
      </c>
      <c r="AI47" s="458">
        <f t="shared" si="19"/>
        <v>0</v>
      </c>
      <c r="AJ47" s="459">
        <f t="shared" si="20"/>
        <v>0</v>
      </c>
      <c r="AK47" s="460">
        <f t="shared" si="21"/>
        <v>0</v>
      </c>
      <c r="AL47" s="461">
        <f t="shared" si="22"/>
        <v>0</v>
      </c>
      <c r="AM47" s="462">
        <f t="shared" si="23"/>
        <v>0</v>
      </c>
      <c r="AN47" s="11"/>
      <c r="AO47" s="11"/>
      <c r="AP47" s="11"/>
    </row>
    <row r="48" spans="1:42" x14ac:dyDescent="0.25">
      <c r="A48" s="61" t="s">
        <v>29</v>
      </c>
      <c r="B48" s="62"/>
      <c r="C48" s="11"/>
      <c r="D48" s="11"/>
      <c r="E48" s="11"/>
      <c r="F48" s="11"/>
      <c r="G48" s="84" t="s">
        <v>423</v>
      </c>
      <c r="H48" s="84" t="s">
        <v>464</v>
      </c>
      <c r="I48" s="118" t="str">
        <f>IF(_epmOfflineCondition_,"7",_xll.EVPRO($B$1,$G48,"HLEVEL"))</f>
        <v>7</v>
      </c>
      <c r="J48" s="118" t="str">
        <f>IF(_epmOfflineCondition_,"Y",_xll.EVPRO($B$1,$H48,"CALC"))</f>
        <v>Y</v>
      </c>
      <c r="K48" s="86"/>
      <c r="L48" s="86"/>
      <c r="M48" s="86" t="str">
        <f>IF(_epmOfflineCondition_,"Minor Operated Departments",IF(_xll.EVDES(G48,$B$1)="#NODATA","",_xll.EVDES(G48,$B$1)))</f>
        <v>Minor Operated Departments</v>
      </c>
      <c r="N48" s="134">
        <v>390.92</v>
      </c>
      <c r="O48" s="134">
        <v>175.16</v>
      </c>
      <c r="P48" s="134">
        <v>600.21</v>
      </c>
      <c r="Q48" s="134">
        <v>359.11</v>
      </c>
      <c r="R48" s="134">
        <v>263.33</v>
      </c>
      <c r="S48" s="134">
        <v>325.88</v>
      </c>
      <c r="T48" s="134">
        <v>347.8</v>
      </c>
      <c r="U48" s="134">
        <v>259.52999999999997</v>
      </c>
      <c r="V48" s="134">
        <v>77.72</v>
      </c>
      <c r="W48" s="134">
        <v>1430.06</v>
      </c>
      <c r="X48" s="134">
        <v>454.84</v>
      </c>
      <c r="Y48" s="134">
        <v>416.58</v>
      </c>
      <c r="Z48" s="223">
        <f t="shared" si="13"/>
        <v>5101.1400000000003</v>
      </c>
      <c r="AA48" s="138">
        <f t="shared" si="14"/>
        <v>0.37127957290555952</v>
      </c>
      <c r="AB48" s="136"/>
      <c r="AC48" s="134">
        <v>4443.0944600000003</v>
      </c>
      <c r="AD48" s="138">
        <f t="shared" si="15"/>
        <v>0.48844000000000004</v>
      </c>
      <c r="AE48" s="137">
        <f t="shared" si="16"/>
        <v>658.04554000000007</v>
      </c>
      <c r="AF48" s="134">
        <v>1981.78</v>
      </c>
      <c r="AG48" s="138">
        <f t="shared" si="17"/>
        <v>0.52526842818104957</v>
      </c>
      <c r="AH48" s="137">
        <f t="shared" si="18"/>
        <v>3119.3600000000006</v>
      </c>
      <c r="AI48" s="458">
        <f t="shared" si="19"/>
        <v>0.15513472416519677</v>
      </c>
      <c r="AJ48" s="459">
        <f t="shared" si="20"/>
        <v>0.12211000000000001</v>
      </c>
      <c r="AK48" s="460">
        <f t="shared" si="21"/>
        <v>0.13055204216073782</v>
      </c>
      <c r="AL48" s="461" t="str">
        <f t="shared" si="22"/>
        <v>-11.72 pts.</v>
      </c>
      <c r="AM48" s="462" t="str">
        <f t="shared" si="23"/>
        <v>-15.4 pts.</v>
      </c>
      <c r="AN48" s="11"/>
      <c r="AO48" s="11"/>
      <c r="AP48" s="11"/>
    </row>
    <row r="49" spans="1:42" x14ac:dyDescent="0.25">
      <c r="A49" s="61" t="s">
        <v>30</v>
      </c>
      <c r="B49" s="62" t="s">
        <v>78</v>
      </c>
      <c r="C49" s="11"/>
      <c r="D49" s="11"/>
      <c r="E49" s="11"/>
      <c r="F49" s="11"/>
      <c r="G49" s="11"/>
      <c r="H49" s="571" t="s">
        <v>493</v>
      </c>
      <c r="I49" s="175"/>
      <c r="J49" s="175"/>
      <c r="K49" s="175"/>
      <c r="L49" s="86"/>
      <c r="M49" s="102" t="s">
        <v>469</v>
      </c>
      <c r="N49" s="119">
        <f t="shared" ref="N49:Y49" si="24">SUM(N43:N48)</f>
        <v>18220.629999999997</v>
      </c>
      <c r="O49" s="119">
        <f t="shared" si="24"/>
        <v>22768.799999999999</v>
      </c>
      <c r="P49" s="119">
        <f t="shared" si="24"/>
        <v>30526.399999999998</v>
      </c>
      <c r="Q49" s="119">
        <f t="shared" si="24"/>
        <v>21786.84</v>
      </c>
      <c r="R49" s="119">
        <f t="shared" si="24"/>
        <v>26266.84</v>
      </c>
      <c r="S49" s="119">
        <f t="shared" si="24"/>
        <v>24260.32</v>
      </c>
      <c r="T49" s="119">
        <f t="shared" si="24"/>
        <v>22646.639999999999</v>
      </c>
      <c r="U49" s="119">
        <f t="shared" si="24"/>
        <v>28736.41</v>
      </c>
      <c r="V49" s="119">
        <f t="shared" si="24"/>
        <v>20260.43</v>
      </c>
      <c r="W49" s="119">
        <f t="shared" si="24"/>
        <v>17081.72</v>
      </c>
      <c r="X49" s="119">
        <f t="shared" si="24"/>
        <v>10808.33</v>
      </c>
      <c r="Y49" s="119">
        <f t="shared" si="24"/>
        <v>34967.950000000004</v>
      </c>
      <c r="Z49" s="119">
        <f t="shared" si="13"/>
        <v>278331.30999999994</v>
      </c>
      <c r="AA49" s="120">
        <f t="shared" si="14"/>
        <v>1.1335995777602761</v>
      </c>
      <c r="AB49" s="11"/>
      <c r="AC49" s="119">
        <f>SUM(AC43:AC48)</f>
        <v>209830.808745713</v>
      </c>
      <c r="AD49" s="120">
        <f t="shared" si="15"/>
        <v>0.70643119154225309</v>
      </c>
      <c r="AE49" s="121">
        <f t="shared" si="16"/>
        <v>68500.501254286937</v>
      </c>
      <c r="AF49" s="119">
        <f>SUM(AF43:AF48)</f>
        <v>157032.74</v>
      </c>
      <c r="AG49" s="120">
        <f t="shared" si="17"/>
        <v>1.6710213057617678</v>
      </c>
      <c r="AH49" s="121">
        <f t="shared" si="18"/>
        <v>121298.56999999995</v>
      </c>
      <c r="AI49" s="384">
        <f t="shared" si="19"/>
        <v>8.4645492974879861</v>
      </c>
      <c r="AJ49" s="385">
        <f t="shared" si="20"/>
        <v>5.7668006581023743</v>
      </c>
      <c r="AK49" s="386">
        <f t="shared" si="21"/>
        <v>10.34471277997365</v>
      </c>
      <c r="AL49" s="387" t="str">
        <f t="shared" si="22"/>
        <v>42.72 pts.</v>
      </c>
      <c r="AM49" s="539" t="str">
        <f t="shared" si="23"/>
        <v>-53.74 pts.</v>
      </c>
      <c r="AN49" s="11"/>
      <c r="AO49" s="11"/>
      <c r="AP49" s="11"/>
    </row>
    <row r="50" spans="1:42" x14ac:dyDescent="0.25">
      <c r="A50" s="61" t="s">
        <v>31</v>
      </c>
      <c r="B50" s="62" t="s">
        <v>78</v>
      </c>
      <c r="C50" s="11"/>
      <c r="D50" s="11"/>
      <c r="E50" s="11"/>
      <c r="F50" s="11"/>
      <c r="G50" s="102"/>
      <c r="H50" s="102"/>
      <c r="I50" s="102"/>
      <c r="J50" s="102"/>
      <c r="K50" s="102"/>
      <c r="L50" s="102"/>
      <c r="M50" s="102"/>
      <c r="N50" s="199"/>
      <c r="O50" s="200"/>
      <c r="P50" s="200"/>
      <c r="Q50" s="200"/>
      <c r="R50" s="200"/>
      <c r="S50" s="200"/>
      <c r="T50" s="200"/>
      <c r="U50" s="200"/>
      <c r="V50" s="200"/>
      <c r="W50" s="200"/>
      <c r="X50" s="200"/>
      <c r="Y50" s="200"/>
      <c r="Z50" s="200"/>
      <c r="AA50" s="114"/>
      <c r="AB50" s="11"/>
      <c r="AC50" s="199"/>
      <c r="AD50" s="200"/>
      <c r="AE50" s="114"/>
      <c r="AF50" s="199"/>
      <c r="AG50" s="200"/>
      <c r="AH50" s="114"/>
      <c r="AI50" s="11"/>
      <c r="AJ50" s="11"/>
      <c r="AK50" s="11"/>
      <c r="AL50" s="11"/>
      <c r="AM50" s="11"/>
      <c r="AN50" s="11"/>
      <c r="AO50" s="11"/>
      <c r="AP50" s="11"/>
    </row>
    <row r="51" spans="1:42" x14ac:dyDescent="0.25">
      <c r="A51" s="61" t="s">
        <v>32</v>
      </c>
      <c r="B51" s="62"/>
      <c r="C51" s="11"/>
      <c r="D51" s="11"/>
      <c r="E51" s="11"/>
      <c r="F51" s="11"/>
      <c r="G51" s="11"/>
      <c r="H51" s="11" t="s">
        <v>81</v>
      </c>
      <c r="I51" s="55" t="str">
        <f>IF(_epmOfflineCondition_,"T3",_xll.EVPRO($B$1,$H51,"STYLE"))</f>
        <v>T3</v>
      </c>
      <c r="J51" s="55" t="str">
        <f>IF(_epmOfflineCondition_,"Y",_xll.EVPRO($B$1,$H51,"CALC"))</f>
        <v>Y</v>
      </c>
      <c r="K51" s="11"/>
      <c r="L51" s="11"/>
      <c r="M51" s="101" t="str">
        <f>IF(_epmOfflineCondition_,"Department Profit (Loss)",IF(_xll.EVDES(H51,$B$1)="#NODATA","",_xll.EVDES(H51,$B$1)))</f>
        <v>Department Profit (Loss)</v>
      </c>
      <c r="N51" s="199"/>
      <c r="O51" s="200"/>
      <c r="P51" s="200"/>
      <c r="Q51" s="200"/>
      <c r="R51" s="200"/>
      <c r="S51" s="200"/>
      <c r="T51" s="200"/>
      <c r="U51" s="200"/>
      <c r="V51" s="200"/>
      <c r="W51" s="200"/>
      <c r="X51" s="200"/>
      <c r="Y51" s="200"/>
      <c r="Z51" s="200"/>
      <c r="AA51" s="114"/>
      <c r="AB51" s="11"/>
      <c r="AC51" s="199"/>
      <c r="AD51" s="200"/>
      <c r="AE51" s="114"/>
      <c r="AF51" s="199"/>
      <c r="AG51" s="200"/>
      <c r="AH51" s="114"/>
      <c r="AI51" s="11"/>
      <c r="AJ51" s="11"/>
      <c r="AK51" s="11"/>
      <c r="AL51" s="11"/>
      <c r="AM51" s="11"/>
      <c r="AN51" s="11"/>
      <c r="AO51" s="11"/>
      <c r="AP51" s="11"/>
    </row>
    <row r="52" spans="1:42" x14ac:dyDescent="0.25">
      <c r="A52" s="61" t="s">
        <v>33</v>
      </c>
      <c r="B52" s="62"/>
      <c r="C52" s="11"/>
      <c r="D52" s="11"/>
      <c r="E52" s="11"/>
      <c r="F52" s="11"/>
      <c r="G52" s="84" t="s">
        <v>365</v>
      </c>
      <c r="H52" s="84" t="s">
        <v>81</v>
      </c>
      <c r="I52" s="118" t="str">
        <f>IF(_epmOfflineCondition_,"7",_xll.EVPRO($B$1,$G52,"HLEVEL"))</f>
        <v>7</v>
      </c>
      <c r="J52" s="118" t="str">
        <f>IF(_epmOfflineCondition_,"Y",_xll.EVPRO($B$1,$H52,"CALC"))</f>
        <v>Y</v>
      </c>
      <c r="K52" s="86"/>
      <c r="L52" s="86"/>
      <c r="M52" s="86" t="str">
        <f>IF(_epmOfflineCondition_,"Guest Communications",IF(_xll.EVDES(G52,$B$1)="#NODATA","",_xll.EVDES(G52,$B$1)))</f>
        <v>Guest Communications</v>
      </c>
      <c r="N52" s="134">
        <f t="shared" ref="N52:Y52" si="25">IFERROR(N34-N43,"")</f>
        <v>0</v>
      </c>
      <c r="O52" s="134">
        <f t="shared" si="25"/>
        <v>0</v>
      </c>
      <c r="P52" s="134">
        <f t="shared" si="25"/>
        <v>0</v>
      </c>
      <c r="Q52" s="134">
        <f t="shared" si="25"/>
        <v>0</v>
      </c>
      <c r="R52" s="134">
        <f t="shared" si="25"/>
        <v>0</v>
      </c>
      <c r="S52" s="134">
        <f t="shared" si="25"/>
        <v>0</v>
      </c>
      <c r="T52" s="134">
        <f t="shared" si="25"/>
        <v>0</v>
      </c>
      <c r="U52" s="134">
        <f t="shared" si="25"/>
        <v>0</v>
      </c>
      <c r="V52" s="134">
        <f t="shared" si="25"/>
        <v>0</v>
      </c>
      <c r="W52" s="134">
        <f t="shared" si="25"/>
        <v>0</v>
      </c>
      <c r="X52" s="134">
        <f t="shared" si="25"/>
        <v>0</v>
      </c>
      <c r="Y52" s="134">
        <f t="shared" si="25"/>
        <v>0</v>
      </c>
      <c r="Z52" s="223">
        <f t="shared" ref="Z52:Z58" si="26">IF($I52="B1","",SUM(N52:Y52))</f>
        <v>0</v>
      </c>
      <c r="AA52" s="138" t="str">
        <f t="shared" ref="AA52:AA58" si="27">IF(Z52=0,"",IFERROR(Z52/Z34,""))</f>
        <v/>
      </c>
      <c r="AB52" s="136"/>
      <c r="AC52" s="134">
        <f t="shared" ref="AC52:AC57" si="28">IFERROR(AC34-AC43,"")</f>
        <v>0</v>
      </c>
      <c r="AD52" s="138" t="str">
        <f t="shared" ref="AD52:AD58" si="29">IF(AC52=0,"",IFERROR(AC52/AC34,""))</f>
        <v/>
      </c>
      <c r="AE52" s="137">
        <f t="shared" ref="AE52:AE58" si="30">IF(AND($Z52="",AC52=""),"",$Z52-AC52)</f>
        <v>0</v>
      </c>
      <c r="AF52" s="134">
        <f t="shared" ref="AF52:AF57" si="31">IFERROR(AF34-AF43,"")</f>
        <v>0</v>
      </c>
      <c r="AG52" s="138" t="str">
        <f t="shared" ref="AG52:AG58" si="32">IF(AF52=0,"",IFERROR(AF52/AF34,""))</f>
        <v/>
      </c>
      <c r="AH52" s="137">
        <f t="shared" ref="AH52:AH58" si="33">IF(AND($Z52="",AF52=""),"",$Z52-AF52)</f>
        <v>0</v>
      </c>
      <c r="AI52" s="458">
        <f t="shared" ref="AI52:AI58" si="34">IFERROR(Z52/Z$20,0)</f>
        <v>0</v>
      </c>
      <c r="AJ52" s="459">
        <f t="shared" ref="AJ52:AJ58" si="35">IFERROR(AC52/AC$20,0)</f>
        <v>0</v>
      </c>
      <c r="AK52" s="460">
        <f t="shared" ref="AK52:AK58" si="36">IFERROR(AF52/AF$20,0)</f>
        <v>0</v>
      </c>
      <c r="AL52" s="461">
        <f t="shared" ref="AL52:AL58" si="37">+IFERROR(ROUND(($AA52-AD52)*100,2)&amp;" pts.",0)</f>
        <v>0</v>
      </c>
      <c r="AM52" s="462">
        <f t="shared" ref="AM52:AM58" si="38">+IFERROR(ROUND(($AA52-AG52)*100,2)&amp;" pts.",0)</f>
        <v>0</v>
      </c>
      <c r="AN52" s="11"/>
      <c r="AO52" s="11"/>
      <c r="AP52" s="11"/>
    </row>
    <row r="53" spans="1:42" x14ac:dyDescent="0.25">
      <c r="A53" s="61" t="s">
        <v>34</v>
      </c>
      <c r="B53" s="62"/>
      <c r="C53" s="11"/>
      <c r="D53" s="11"/>
      <c r="E53" s="11"/>
      <c r="F53" s="11"/>
      <c r="G53" s="84" t="s">
        <v>366</v>
      </c>
      <c r="H53" s="84" t="s">
        <v>81</v>
      </c>
      <c r="I53" s="118" t="str">
        <f>IF(_epmOfflineCondition_,"7",_xll.EVPRO($B$1,$G53,"HLEVEL"))</f>
        <v>7</v>
      </c>
      <c r="J53" s="118" t="str">
        <f>IF(_epmOfflineCondition_,"Y",_xll.EVPRO($B$1,$H53,"CALC"))</f>
        <v>Y</v>
      </c>
      <c r="K53" s="86"/>
      <c r="L53" s="86"/>
      <c r="M53" s="86" t="str">
        <f>IF(_epmOfflineCondition_,"Health Club/Spa",IF(_xll.EVDES(G53,$B$1)="#NODATA","",_xll.EVDES(G53,$B$1)))</f>
        <v>Health Club/Spa</v>
      </c>
      <c r="N53" s="134">
        <f t="shared" ref="N53:Y53" si="39">IFERROR(N35-N44,"")</f>
        <v>0</v>
      </c>
      <c r="O53" s="134">
        <f t="shared" si="39"/>
        <v>0</v>
      </c>
      <c r="P53" s="134">
        <f t="shared" si="39"/>
        <v>0</v>
      </c>
      <c r="Q53" s="134">
        <f t="shared" si="39"/>
        <v>372</v>
      </c>
      <c r="R53" s="134">
        <f t="shared" si="39"/>
        <v>-372</v>
      </c>
      <c r="S53" s="134">
        <f t="shared" si="39"/>
        <v>0</v>
      </c>
      <c r="T53" s="134">
        <f t="shared" si="39"/>
        <v>0</v>
      </c>
      <c r="U53" s="134">
        <f t="shared" si="39"/>
        <v>0</v>
      </c>
      <c r="V53" s="134">
        <f t="shared" si="39"/>
        <v>0</v>
      </c>
      <c r="W53" s="134">
        <f t="shared" si="39"/>
        <v>0</v>
      </c>
      <c r="X53" s="134">
        <f t="shared" si="39"/>
        <v>0</v>
      </c>
      <c r="Y53" s="134">
        <f t="shared" si="39"/>
        <v>0</v>
      </c>
      <c r="Z53" s="223">
        <f t="shared" si="26"/>
        <v>0</v>
      </c>
      <c r="AA53" s="138" t="str">
        <f t="shared" si="27"/>
        <v/>
      </c>
      <c r="AB53" s="136"/>
      <c r="AC53" s="134">
        <f t="shared" si="28"/>
        <v>0</v>
      </c>
      <c r="AD53" s="138" t="str">
        <f t="shared" si="29"/>
        <v/>
      </c>
      <c r="AE53" s="137">
        <f t="shared" si="30"/>
        <v>0</v>
      </c>
      <c r="AF53" s="134">
        <f t="shared" si="31"/>
        <v>0</v>
      </c>
      <c r="AG53" s="138" t="str">
        <f t="shared" si="32"/>
        <v/>
      </c>
      <c r="AH53" s="137">
        <f t="shared" si="33"/>
        <v>0</v>
      </c>
      <c r="AI53" s="458">
        <f t="shared" si="34"/>
        <v>0</v>
      </c>
      <c r="AJ53" s="459">
        <f t="shared" si="35"/>
        <v>0</v>
      </c>
      <c r="AK53" s="460">
        <f t="shared" si="36"/>
        <v>0</v>
      </c>
      <c r="AL53" s="461">
        <f t="shared" si="37"/>
        <v>0</v>
      </c>
      <c r="AM53" s="462">
        <f t="shared" si="38"/>
        <v>0</v>
      </c>
      <c r="AN53" s="11"/>
      <c r="AO53" s="11"/>
      <c r="AP53" s="11"/>
    </row>
    <row r="54" spans="1:42" x14ac:dyDescent="0.25">
      <c r="A54" s="61" t="s">
        <v>35</v>
      </c>
      <c r="B54" s="62"/>
      <c r="C54" s="11"/>
      <c r="D54" s="11"/>
      <c r="E54" s="11"/>
      <c r="F54" s="11"/>
      <c r="G54" s="84" t="s">
        <v>380</v>
      </c>
      <c r="H54" s="84" t="s">
        <v>81</v>
      </c>
      <c r="I54" s="118" t="str">
        <f>IF(_epmOfflineCondition_,"7",_xll.EVPRO($B$1,$G54,"HLEVEL"))</f>
        <v>7</v>
      </c>
      <c r="J54" s="118" t="str">
        <f>IF(_epmOfflineCondition_,"Y",_xll.EVPRO($B$1,$H54,"CALC"))</f>
        <v>Y</v>
      </c>
      <c r="K54" s="86"/>
      <c r="L54" s="86"/>
      <c r="M54" s="86" t="str">
        <f>IF(_epmOfflineCondition_,"Parking",IF(_xll.EVDES(G54,$B$1)="#NODATA","",_xll.EVDES(G54,$B$1)))</f>
        <v>Parking</v>
      </c>
      <c r="N54" s="134">
        <f t="shared" ref="N54:Y54" si="40">IFERROR(N36-N45,"")</f>
        <v>3541.130000000001</v>
      </c>
      <c r="O54" s="134">
        <f t="shared" si="40"/>
        <v>-7019.07</v>
      </c>
      <c r="P54" s="134">
        <f t="shared" si="40"/>
        <v>-11241.879999999997</v>
      </c>
      <c r="Q54" s="134">
        <f t="shared" si="40"/>
        <v>486.17000000000189</v>
      </c>
      <c r="R54" s="134">
        <f t="shared" si="40"/>
        <v>-6490.3899999999994</v>
      </c>
      <c r="S54" s="134">
        <f t="shared" si="40"/>
        <v>-7854.0099999999984</v>
      </c>
      <c r="T54" s="134">
        <f t="shared" si="40"/>
        <v>-2554.91</v>
      </c>
      <c r="U54" s="134">
        <f t="shared" si="40"/>
        <v>-7022.07</v>
      </c>
      <c r="V54" s="134">
        <f t="shared" si="40"/>
        <v>-7319.1099999999988</v>
      </c>
      <c r="W54" s="134">
        <f t="shared" si="40"/>
        <v>3150.2700000000004</v>
      </c>
      <c r="X54" s="134">
        <f t="shared" si="40"/>
        <v>10593.300000000001</v>
      </c>
      <c r="Y54" s="134">
        <f t="shared" si="40"/>
        <v>-9710.1800000000039</v>
      </c>
      <c r="Z54" s="223">
        <f t="shared" si="26"/>
        <v>-41440.75</v>
      </c>
      <c r="AA54" s="138">
        <f t="shared" si="27"/>
        <v>-0.17878620171705853</v>
      </c>
      <c r="AB54" s="136"/>
      <c r="AC54" s="134">
        <f t="shared" si="28"/>
        <v>82545.151430172991</v>
      </c>
      <c r="AD54" s="138">
        <f t="shared" si="29"/>
        <v>0.28668193616918791</v>
      </c>
      <c r="AE54" s="137">
        <f t="shared" si="30"/>
        <v>-123985.90143017299</v>
      </c>
      <c r="AF54" s="134">
        <f t="shared" si="31"/>
        <v>-64849.739999999991</v>
      </c>
      <c r="AG54" s="138">
        <f t="shared" si="32"/>
        <v>-0.71894526482014309</v>
      </c>
      <c r="AH54" s="137">
        <f t="shared" si="33"/>
        <v>23408.989999999991</v>
      </c>
      <c r="AI54" s="458">
        <f t="shared" si="34"/>
        <v>-1.2602867830423941</v>
      </c>
      <c r="AJ54" s="459">
        <f t="shared" si="35"/>
        <v>2.2685964774960969</v>
      </c>
      <c r="AK54" s="460">
        <f t="shared" si="36"/>
        <v>-4.2720513833992086</v>
      </c>
      <c r="AL54" s="461" t="str">
        <f t="shared" si="37"/>
        <v>-46.55 pts.</v>
      </c>
      <c r="AM54" s="462" t="str">
        <f t="shared" si="38"/>
        <v>54.02 pts.</v>
      </c>
      <c r="AN54" s="11"/>
      <c r="AO54" s="11"/>
      <c r="AP54" s="11"/>
    </row>
    <row r="55" spans="1:42" x14ac:dyDescent="0.25">
      <c r="A55" s="61" t="s">
        <v>36</v>
      </c>
      <c r="B55" s="62"/>
      <c r="C55" s="11"/>
      <c r="D55" s="11"/>
      <c r="E55" s="11"/>
      <c r="F55" s="11"/>
      <c r="G55" s="84" t="s">
        <v>386</v>
      </c>
      <c r="H55" s="84" t="s">
        <v>81</v>
      </c>
      <c r="I55" s="118" t="str">
        <f>IF(_epmOfflineCondition_,"7",_xll.EVPRO($B$1,$G55,"HLEVEL"))</f>
        <v>7</v>
      </c>
      <c r="J55" s="118" t="str">
        <f>IF(_epmOfflineCondition_,"Y",_xll.EVPRO($B$1,$H55,"CALC"))</f>
        <v>Y</v>
      </c>
      <c r="K55" s="86"/>
      <c r="L55" s="86"/>
      <c r="M55" s="86" t="str">
        <f>IF(_epmOfflineCondition_,"Retail Shop",IF(_xll.EVDES(G55,$B$1)="#NODATA","",_xll.EVDES(G55,$B$1)))</f>
        <v>Retail Shop</v>
      </c>
      <c r="N55" s="134">
        <f t="shared" ref="N55:Y55" si="41">IFERROR(N37-N46,"")</f>
        <v>0</v>
      </c>
      <c r="O55" s="134">
        <f t="shared" si="41"/>
        <v>0</v>
      </c>
      <c r="P55" s="134">
        <f t="shared" si="41"/>
        <v>0</v>
      </c>
      <c r="Q55" s="134">
        <f t="shared" si="41"/>
        <v>0</v>
      </c>
      <c r="R55" s="134">
        <f t="shared" si="41"/>
        <v>0</v>
      </c>
      <c r="S55" s="134">
        <f t="shared" si="41"/>
        <v>0</v>
      </c>
      <c r="T55" s="134">
        <f t="shared" si="41"/>
        <v>0</v>
      </c>
      <c r="U55" s="134">
        <f t="shared" si="41"/>
        <v>0</v>
      </c>
      <c r="V55" s="134">
        <f t="shared" si="41"/>
        <v>0</v>
      </c>
      <c r="W55" s="134">
        <f t="shared" si="41"/>
        <v>0</v>
      </c>
      <c r="X55" s="134">
        <f t="shared" si="41"/>
        <v>0</v>
      </c>
      <c r="Y55" s="134">
        <f t="shared" si="41"/>
        <v>0</v>
      </c>
      <c r="Z55" s="223">
        <f t="shared" si="26"/>
        <v>0</v>
      </c>
      <c r="AA55" s="138" t="str">
        <f t="shared" si="27"/>
        <v/>
      </c>
      <c r="AB55" s="136"/>
      <c r="AC55" s="134">
        <f t="shared" si="28"/>
        <v>0</v>
      </c>
      <c r="AD55" s="138" t="str">
        <f t="shared" si="29"/>
        <v/>
      </c>
      <c r="AE55" s="137">
        <f t="shared" si="30"/>
        <v>0</v>
      </c>
      <c r="AF55" s="134">
        <f t="shared" si="31"/>
        <v>0</v>
      </c>
      <c r="AG55" s="138" t="str">
        <f t="shared" si="32"/>
        <v/>
      </c>
      <c r="AH55" s="137">
        <f t="shared" si="33"/>
        <v>0</v>
      </c>
      <c r="AI55" s="458">
        <f t="shared" si="34"/>
        <v>0</v>
      </c>
      <c r="AJ55" s="459">
        <f t="shared" si="35"/>
        <v>0</v>
      </c>
      <c r="AK55" s="460">
        <f t="shared" si="36"/>
        <v>0</v>
      </c>
      <c r="AL55" s="461">
        <f t="shared" si="37"/>
        <v>0</v>
      </c>
      <c r="AM55" s="462">
        <f t="shared" si="38"/>
        <v>0</v>
      </c>
      <c r="AN55" s="11"/>
      <c r="AO55" s="11"/>
      <c r="AP55" s="11"/>
    </row>
    <row r="56" spans="1:42" x14ac:dyDescent="0.25">
      <c r="A56" s="61" t="s">
        <v>37</v>
      </c>
      <c r="B56" s="62"/>
      <c r="C56" s="11"/>
      <c r="D56" s="11"/>
      <c r="E56" s="11"/>
      <c r="F56" s="11"/>
      <c r="G56" s="84" t="s">
        <v>406</v>
      </c>
      <c r="H56" s="84" t="s">
        <v>81</v>
      </c>
      <c r="I56" s="118" t="str">
        <f>IF(_epmOfflineCondition_,"6",_xll.EVPRO($B$1,$G56,"HLEVEL"))</f>
        <v>6</v>
      </c>
      <c r="J56" s="118" t="str">
        <f>IF(_epmOfflineCondition_,"Y",_xll.EVPRO($B$1,$H56,"CALC"))</f>
        <v>Y</v>
      </c>
      <c r="K56" s="86"/>
      <c r="L56" s="86"/>
      <c r="M56" s="86" t="str">
        <f>IF(_epmOfflineCondition_,"Food &amp; Beverage Retail Shop",IF(_xll.EVDES(G56,$B$1)="#NODATA","",_xll.EVDES(G56,$B$1)))</f>
        <v>Food &amp; Beverage Retail Shop</v>
      </c>
      <c r="N56" s="134">
        <f t="shared" ref="N56:Y56" si="42">IFERROR(N38-N47,"")</f>
        <v>0</v>
      </c>
      <c r="O56" s="134">
        <f t="shared" si="42"/>
        <v>0</v>
      </c>
      <c r="P56" s="134">
        <f t="shared" si="42"/>
        <v>0</v>
      </c>
      <c r="Q56" s="134">
        <f t="shared" si="42"/>
        <v>0</v>
      </c>
      <c r="R56" s="134">
        <f t="shared" si="42"/>
        <v>0</v>
      </c>
      <c r="S56" s="134">
        <f t="shared" si="42"/>
        <v>0</v>
      </c>
      <c r="T56" s="134">
        <f t="shared" si="42"/>
        <v>0</v>
      </c>
      <c r="U56" s="134">
        <f t="shared" si="42"/>
        <v>0</v>
      </c>
      <c r="V56" s="134">
        <f t="shared" si="42"/>
        <v>0</v>
      </c>
      <c r="W56" s="134">
        <f t="shared" si="42"/>
        <v>0</v>
      </c>
      <c r="X56" s="134">
        <f t="shared" si="42"/>
        <v>0</v>
      </c>
      <c r="Y56" s="134">
        <f t="shared" si="42"/>
        <v>0</v>
      </c>
      <c r="Z56" s="223">
        <f t="shared" si="26"/>
        <v>0</v>
      </c>
      <c r="AA56" s="138" t="str">
        <f t="shared" si="27"/>
        <v/>
      </c>
      <c r="AB56" s="136"/>
      <c r="AC56" s="134">
        <f t="shared" si="28"/>
        <v>0</v>
      </c>
      <c r="AD56" s="138" t="str">
        <f t="shared" si="29"/>
        <v/>
      </c>
      <c r="AE56" s="137">
        <f t="shared" si="30"/>
        <v>0</v>
      </c>
      <c r="AF56" s="134">
        <f t="shared" si="31"/>
        <v>0</v>
      </c>
      <c r="AG56" s="138" t="str">
        <f t="shared" si="32"/>
        <v/>
      </c>
      <c r="AH56" s="137">
        <f t="shared" si="33"/>
        <v>0</v>
      </c>
      <c r="AI56" s="458">
        <f t="shared" si="34"/>
        <v>0</v>
      </c>
      <c r="AJ56" s="459">
        <f t="shared" si="35"/>
        <v>0</v>
      </c>
      <c r="AK56" s="460">
        <f t="shared" si="36"/>
        <v>0</v>
      </c>
      <c r="AL56" s="461">
        <f t="shared" si="37"/>
        <v>0</v>
      </c>
      <c r="AM56" s="462">
        <f t="shared" si="38"/>
        <v>0</v>
      </c>
      <c r="AN56" s="11"/>
      <c r="AO56" s="383"/>
      <c r="AP56" s="383"/>
    </row>
    <row r="57" spans="1:42" x14ac:dyDescent="0.25">
      <c r="A57" s="61" t="s">
        <v>38</v>
      </c>
      <c r="B57" s="62"/>
      <c r="C57" s="11"/>
      <c r="D57" s="11"/>
      <c r="E57" s="11"/>
      <c r="F57" s="11"/>
      <c r="G57" s="84" t="s">
        <v>423</v>
      </c>
      <c r="H57" s="84" t="s">
        <v>81</v>
      </c>
      <c r="I57" s="118" t="str">
        <f>IF(_epmOfflineCondition_,"7",_xll.EVPRO($B$1,$G57,"HLEVEL"))</f>
        <v>7</v>
      </c>
      <c r="J57" s="118" t="str">
        <f>IF(_epmOfflineCondition_,"Y",_xll.EVPRO($B$1,$H57,"CALC"))</f>
        <v>Y</v>
      </c>
      <c r="K57" s="86"/>
      <c r="L57" s="86"/>
      <c r="M57" s="86" t="str">
        <f>IF(_epmOfflineCondition_,"Minor Operated Departments",IF(_xll.EVDES(G57,$B$1)="#NODATA","",_xll.EVDES(G57,$B$1)))</f>
        <v>Minor Operated Departments</v>
      </c>
      <c r="N57" s="134">
        <f t="shared" ref="N57:Y57" si="43">IFERROR(N39-N48,"")</f>
        <v>259.71999999999997</v>
      </c>
      <c r="O57" s="134">
        <f t="shared" si="43"/>
        <v>1998.28</v>
      </c>
      <c r="P57" s="134">
        <f t="shared" si="43"/>
        <v>491.69000000000005</v>
      </c>
      <c r="Q57" s="134">
        <f t="shared" si="43"/>
        <v>884.7299999999999</v>
      </c>
      <c r="R57" s="134">
        <f t="shared" si="43"/>
        <v>336.14000000000004</v>
      </c>
      <c r="S57" s="134">
        <f t="shared" si="43"/>
        <v>264.20000000000005</v>
      </c>
      <c r="T57" s="134">
        <f t="shared" si="43"/>
        <v>975.35000000000014</v>
      </c>
      <c r="U57" s="134">
        <f t="shared" si="43"/>
        <v>664.17000000000007</v>
      </c>
      <c r="V57" s="134">
        <f t="shared" si="43"/>
        <v>1266.03</v>
      </c>
      <c r="W57" s="134">
        <f t="shared" si="43"/>
        <v>82.590000000000146</v>
      </c>
      <c r="X57" s="134">
        <f t="shared" si="43"/>
        <v>821.60000000000014</v>
      </c>
      <c r="Y57" s="134">
        <f t="shared" si="43"/>
        <v>593.71</v>
      </c>
      <c r="Z57" s="223">
        <f t="shared" si="26"/>
        <v>8638.2100000000009</v>
      </c>
      <c r="AA57" s="138">
        <f t="shared" si="27"/>
        <v>0.62872042709444043</v>
      </c>
      <c r="AB57" s="136"/>
      <c r="AC57" s="134">
        <f t="shared" si="28"/>
        <v>4653.4055399999997</v>
      </c>
      <c r="AD57" s="138">
        <f t="shared" si="29"/>
        <v>0.51156000000000001</v>
      </c>
      <c r="AE57" s="137">
        <f t="shared" si="30"/>
        <v>3984.8044600000012</v>
      </c>
      <c r="AF57" s="134">
        <f t="shared" si="31"/>
        <v>1791.11</v>
      </c>
      <c r="AG57" s="138">
        <f t="shared" si="32"/>
        <v>0.47473157181895043</v>
      </c>
      <c r="AH57" s="137">
        <f t="shared" si="33"/>
        <v>6847.1000000000013</v>
      </c>
      <c r="AI57" s="458">
        <f t="shared" si="34"/>
        <v>0.26270330271881276</v>
      </c>
      <c r="AJ57" s="459">
        <f t="shared" si="35"/>
        <v>0.12789</v>
      </c>
      <c r="AK57" s="460">
        <f t="shared" si="36"/>
        <v>0.11799143610013174</v>
      </c>
      <c r="AL57" s="461" t="str">
        <f t="shared" si="37"/>
        <v>11.72 pts.</v>
      </c>
      <c r="AM57" s="462" t="str">
        <f t="shared" si="38"/>
        <v>15.4 pts.</v>
      </c>
      <c r="AN57" s="11"/>
      <c r="AO57" s="11"/>
      <c r="AP57" s="11"/>
    </row>
    <row r="58" spans="1:42" x14ac:dyDescent="0.25">
      <c r="A58" s="61" t="s">
        <v>39</v>
      </c>
      <c r="B58" s="62"/>
      <c r="C58" s="11"/>
      <c r="D58" s="11"/>
      <c r="E58" s="11"/>
      <c r="F58" s="11"/>
      <c r="G58" s="11"/>
      <c r="H58" s="175"/>
      <c r="I58" s="175"/>
      <c r="J58" s="175"/>
      <c r="K58" s="175"/>
      <c r="L58" s="86"/>
      <c r="M58" s="102" t="s">
        <v>471</v>
      </c>
      <c r="N58" s="119">
        <f t="shared" ref="N58:Y58" si="44">SUM(N52:N57)</f>
        <v>3800.8500000000008</v>
      </c>
      <c r="O58" s="119">
        <f t="shared" si="44"/>
        <v>-5020.79</v>
      </c>
      <c r="P58" s="119">
        <f t="shared" si="44"/>
        <v>-10750.189999999997</v>
      </c>
      <c r="Q58" s="119">
        <f t="shared" si="44"/>
        <v>1742.9000000000019</v>
      </c>
      <c r="R58" s="119">
        <f t="shared" si="44"/>
        <v>-6526.2499999999991</v>
      </c>
      <c r="S58" s="119">
        <f t="shared" si="44"/>
        <v>-7589.8099999999986</v>
      </c>
      <c r="T58" s="119">
        <f t="shared" si="44"/>
        <v>-1579.5599999999997</v>
      </c>
      <c r="U58" s="119">
        <f t="shared" si="44"/>
        <v>-6357.9</v>
      </c>
      <c r="V58" s="119">
        <f t="shared" si="44"/>
        <v>-6053.079999999999</v>
      </c>
      <c r="W58" s="119">
        <f t="shared" si="44"/>
        <v>3232.8600000000006</v>
      </c>
      <c r="X58" s="119">
        <f t="shared" si="44"/>
        <v>11414.900000000001</v>
      </c>
      <c r="Y58" s="119">
        <f t="shared" si="44"/>
        <v>-9116.4700000000048</v>
      </c>
      <c r="Z58" s="119">
        <f t="shared" si="26"/>
        <v>-32802.539999999994</v>
      </c>
      <c r="AA58" s="120">
        <f t="shared" si="27"/>
        <v>-0.13359957776027628</v>
      </c>
      <c r="AB58" s="11"/>
      <c r="AC58" s="119">
        <f>SUM(AC52:AC57)</f>
        <v>87198.556970172998</v>
      </c>
      <c r="AD58" s="120">
        <f t="shared" si="29"/>
        <v>0.29356880845774691</v>
      </c>
      <c r="AE58" s="121">
        <f t="shared" si="30"/>
        <v>-120001.09697017299</v>
      </c>
      <c r="AF58" s="119">
        <f>SUM(AF52:AF57)</f>
        <v>-63058.62999999999</v>
      </c>
      <c r="AG58" s="120">
        <f t="shared" si="32"/>
        <v>-0.67102130576176766</v>
      </c>
      <c r="AH58" s="121">
        <f t="shared" si="33"/>
        <v>30256.089999999997</v>
      </c>
      <c r="AI58" s="384">
        <f t="shared" si="34"/>
        <v>-0.99758348032358113</v>
      </c>
      <c r="AJ58" s="385">
        <f t="shared" si="35"/>
        <v>2.3964864774960972</v>
      </c>
      <c r="AK58" s="386">
        <f t="shared" si="36"/>
        <v>-4.1540599472990767</v>
      </c>
      <c r="AL58" s="387" t="str">
        <f t="shared" si="37"/>
        <v>-42.72 pts.</v>
      </c>
      <c r="AM58" s="539" t="str">
        <f t="shared" si="38"/>
        <v>53.74 pts.</v>
      </c>
      <c r="AN58" s="11"/>
      <c r="AO58" s="11"/>
      <c r="AP58" s="11"/>
    </row>
    <row r="59" spans="1:42" x14ac:dyDescent="0.25">
      <c r="A59" s="61" t="s">
        <v>40</v>
      </c>
      <c r="B59" s="62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</row>
    <row r="60" spans="1:42" ht="15.75" thickBot="1" x14ac:dyDescent="0.3">
      <c r="A60" s="61" t="s">
        <v>41</v>
      </c>
      <c r="B60" s="62"/>
      <c r="C60" s="11"/>
      <c r="D60" s="11"/>
      <c r="E60" s="11"/>
      <c r="F60" s="11"/>
      <c r="G60" s="84" t="s">
        <v>463</v>
      </c>
      <c r="H60" s="84" t="s">
        <v>81</v>
      </c>
      <c r="I60" s="132" t="str">
        <f>IF(_epmOfflineCondition_,"T3",_xll.EVPRO($B$1,$H60,"STYLE"))</f>
        <v>T3</v>
      </c>
      <c r="J60" s="132" t="str">
        <f>IF(_epmOfflineCondition_,"Y",_xll.EVPRO($B$1,$H60,"CALC"))</f>
        <v>Y</v>
      </c>
      <c r="K60" s="102"/>
      <c r="L60" s="102"/>
      <c r="M60" s="102" t="str">
        <f>IF(_epmOfflineCondition_,"Department Profit (Loss)",IF(_xll.EVDES(H60,$B$1)="#NODATA","",_xll.EVDES(H60,$B$1)))</f>
        <v>Department Profit (Loss)</v>
      </c>
      <c r="N60" s="122">
        <f>IF(_epmOfflineCondition_,3800.85,_xll.EVGTS($B$1,1,$B$3,$B$5,$B$7,$B$9,N$16,N$17,N$18,$G$60,$H$60))</f>
        <v>3800.85</v>
      </c>
      <c r="O60" s="122">
        <f>IF(_epmOfflineCondition_,-5020.79,_xll.EVGTS($B$1,1,$B$3,$B$5,$B$7,$B$9,O$16,O$17,O$18,$G$60,$H$60))</f>
        <v>-5020.79</v>
      </c>
      <c r="P60" s="122">
        <f>IF(_epmOfflineCondition_,-10750.19,_xll.EVGTS($B$1,1,$B$3,$B$5,$B$7,$B$9,P$16,P$17,P$18,$G$60,$H$60))</f>
        <v>-10750.19</v>
      </c>
      <c r="Q60" s="122">
        <f>IF(_epmOfflineCondition_,1742.9,_xll.EVGTS($B$1,1,$B$3,$B$5,$B$7,$B$9,Q$16,Q$17,Q$18,$G$60,$H$60))</f>
        <v>1742.9</v>
      </c>
      <c r="R60" s="122">
        <f>IF(_epmOfflineCondition_,-6526.25,_xll.EVGTS($B$1,1,$B$3,$B$5,$B$7,$B$9,R$16,R$17,R$18,$G$60,$H$60))</f>
        <v>-6526.25</v>
      </c>
      <c r="S60" s="122">
        <f>IF(_epmOfflineCondition_,-7589.81,_xll.EVGTS($B$1,1,$B$3,$B$5,$B$7,$B$9,S$16,S$17,S$18,$G$60,$H$60))</f>
        <v>-7589.81</v>
      </c>
      <c r="T60" s="122">
        <f>IF(_epmOfflineCondition_,-1579.56,_xll.EVGTS($B$1,1,$B$3,$B$5,$B$7,$B$9,T$16,T$17,T$18,$G$60,$H$60))</f>
        <v>-1579.56</v>
      </c>
      <c r="U60" s="122">
        <f>IF(_epmOfflineCondition_,-6357.9,_xll.EVGTS($B$1,1,$B$3,$B$5,$B$7,$B$9,U$16,U$17,U$18,$G$60,$H$60))</f>
        <v>-6357.9</v>
      </c>
      <c r="V60" s="122">
        <f>IF(_epmOfflineCondition_,-6053.08,_xll.EVGTS($B$1,1,$B$3,$B$5,$B$7,$B$9,V$16,V$17,V$18,$G$60,$H$60))</f>
        <v>-6053.08</v>
      </c>
      <c r="W60" s="122">
        <f>IF(_epmOfflineCondition_,3232.86,_xll.EVGTS($B$1,1,$B$3,$B$5,$B$7,$B$9,W$16,W$17,W$18,$G$60,$H$60))</f>
        <v>3232.86</v>
      </c>
      <c r="X60" s="122">
        <f>IF(_epmOfflineCondition_,11414.9,_xll.EVGTS($B$1,1,$B$3,$B$5,$B$7,$B$9,X$16,X$17,X$18,$G$60,$H$60))</f>
        <v>11414.9</v>
      </c>
      <c r="Y60" s="122">
        <f>IF(_epmOfflineCondition_,-9116.47,_xll.EVGTS($B$1,1,$B$3,$B$5,$B$7,$B$9,Y$16,Y$17,Y$18,$G$60,$H$60))</f>
        <v>-9116.4699999999993</v>
      </c>
      <c r="Z60" s="122">
        <f>IF($I60="B1","",SUM(N60:Y60))</f>
        <v>-32802.540000000008</v>
      </c>
      <c r="AA60" s="123">
        <f>IF(Z60=0,"",IFERROR(Z60/Z$19,""))</f>
        <v>-0.13359957776027634</v>
      </c>
      <c r="AB60" s="11"/>
      <c r="AC60" s="122">
        <f>IF(_epmOfflineCondition_,87198.5569701726,_xll.EVGTS($B$1,1,$B$3,$B$5,$B$7,$B$9,AC$16,AC$17,AC$18,$G$60,$H$60))</f>
        <v>87198.556970172605</v>
      </c>
      <c r="AD60" s="123">
        <f>IF(AC60=0,"",IFERROR(AC60/AC$19,""))</f>
        <v>0.29356880845774558</v>
      </c>
      <c r="AE60" s="124">
        <f>IF(AND($Z60="",AC60=""),"",$Z60-AC60)</f>
        <v>-120001.09697017261</v>
      </c>
      <c r="AF60" s="122">
        <f>IF(_epmOfflineCondition_,-63058.63,_xll.EVGTS($B$1,1,$B$3,$B$5,$B$7,$B$9,AF$16,AF$17,AF$18,$G$60,$H$60))</f>
        <v>-63058.63</v>
      </c>
      <c r="AG60" s="123">
        <f>IF(AF60=0,"",IFERROR(AF60/AF$19,""))</f>
        <v>-0.67102130576176777</v>
      </c>
      <c r="AH60" s="124">
        <f>IF(AND($Z60="",AF60=""),"",$Z60-AF60)</f>
        <v>30256.089999999989</v>
      </c>
      <c r="AI60" s="415">
        <f>IFERROR(Z60/Z$20,0)</f>
        <v>-0.99758348032358157</v>
      </c>
      <c r="AJ60" s="416">
        <f>IFERROR(AC60/AC$20,0)</f>
        <v>2.3964864774960866</v>
      </c>
      <c r="AK60" s="417">
        <f>IFERROR(AF60/AF$20,0)</f>
        <v>-4.1540599472990776</v>
      </c>
      <c r="AL60" s="418" t="str">
        <f>+IFERROR(ROUND(($AA60-AD60)*100,2)&amp;" pts.",0)</f>
        <v>-42.72 pts.</v>
      </c>
      <c r="AM60" s="540" t="str">
        <f>+IFERROR(ROUND(($AA60-AG60)*100,2)&amp;" pts.",0)</f>
        <v>53.74 pts.</v>
      </c>
      <c r="AN60" s="11"/>
      <c r="AO60" s="11"/>
      <c r="AP60" s="11"/>
    </row>
    <row r="61" spans="1:42" ht="15.75" thickTop="1" x14ac:dyDescent="0.25">
      <c r="A61" s="61" t="s">
        <v>42</v>
      </c>
      <c r="B61" s="62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</row>
    <row r="62" spans="1:42" x14ac:dyDescent="0.25">
      <c r="A62" s="61" t="s">
        <v>43</v>
      </c>
      <c r="B62" s="62"/>
      <c r="C62" s="11"/>
      <c r="D62" s="11"/>
      <c r="E62" s="11"/>
      <c r="F62" s="11"/>
      <c r="G62" s="11"/>
      <c r="H62" s="11"/>
      <c r="I62" s="55"/>
      <c r="J62" s="55"/>
      <c r="K62" s="11"/>
      <c r="L62" s="11"/>
      <c r="M62" s="100" t="str">
        <f>$M$51&amp;" - Check"</f>
        <v>Department Profit (Loss) - Check</v>
      </c>
      <c r="N62" s="205">
        <f t="shared" ref="N62:Z62" si="45">SUMIF($H$34:$H$49,"REV",N34:N49)-SUMIF($H$34:$H$49,"EXP",N34:N49)-N60</f>
        <v>0</v>
      </c>
      <c r="O62" s="205">
        <f t="shared" si="45"/>
        <v>0</v>
      </c>
      <c r="P62" s="205">
        <f t="shared" si="45"/>
        <v>0</v>
      </c>
      <c r="Q62" s="205">
        <f t="shared" si="45"/>
        <v>0</v>
      </c>
      <c r="R62" s="205">
        <f t="shared" si="45"/>
        <v>0</v>
      </c>
      <c r="S62" s="205">
        <f t="shared" si="45"/>
        <v>0</v>
      </c>
      <c r="T62" s="205">
        <f t="shared" si="45"/>
        <v>2.2737367544323206E-12</v>
      </c>
      <c r="U62" s="205">
        <f t="shared" si="45"/>
        <v>0</v>
      </c>
      <c r="V62" s="205">
        <f t="shared" si="45"/>
        <v>0</v>
      </c>
      <c r="W62" s="205">
        <f t="shared" si="45"/>
        <v>0</v>
      </c>
      <c r="X62" s="205">
        <f t="shared" si="45"/>
        <v>0</v>
      </c>
      <c r="Y62" s="205">
        <f t="shared" si="45"/>
        <v>0</v>
      </c>
      <c r="Z62" s="205">
        <f t="shared" si="45"/>
        <v>8.7311491370201111E-11</v>
      </c>
      <c r="AA62" s="96"/>
      <c r="AB62" s="11"/>
      <c r="AC62" s="205">
        <f>SUMIF($H$34:$H$49,"REV",AC34:AC49)-SUMIF($H$34:$H$49,"EXP",AC34:AC49)-AC60</f>
        <v>3.92901711165905E-10</v>
      </c>
      <c r="AD62" s="96"/>
      <c r="AE62" s="87"/>
      <c r="AF62" s="205">
        <f>SUMIF($H$34:$H$49,"REV",AF34:AF49)-SUMIF($H$34:$H$49,"EXP",AF34:AF49)-AF60</f>
        <v>0</v>
      </c>
      <c r="AG62" s="96"/>
      <c r="AH62" s="87"/>
      <c r="AI62" s="11"/>
      <c r="AJ62" s="11"/>
      <c r="AK62" s="11"/>
      <c r="AL62" s="11"/>
      <c r="AM62" s="11"/>
      <c r="AN62" s="11"/>
      <c r="AO62" s="11"/>
      <c r="AP62" s="11"/>
    </row>
    <row r="63" spans="1:42" x14ac:dyDescent="0.25">
      <c r="A63" s="61" t="s">
        <v>44</v>
      </c>
      <c r="B63" s="62"/>
      <c r="C63" s="11"/>
      <c r="D63" s="11"/>
      <c r="E63" s="11"/>
      <c r="F63" s="11"/>
      <c r="G63" s="11"/>
      <c r="H63" s="11"/>
      <c r="I63" s="55"/>
      <c r="J63" s="55"/>
      <c r="K63" s="11"/>
      <c r="L63" s="11"/>
      <c r="M63" s="11"/>
      <c r="N63" s="133"/>
      <c r="O63" s="133"/>
      <c r="P63" s="133"/>
      <c r="Q63" s="133"/>
      <c r="R63" s="133"/>
      <c r="S63" s="133"/>
      <c r="T63" s="133"/>
      <c r="U63" s="133"/>
      <c r="V63" s="133"/>
      <c r="W63" s="133"/>
      <c r="X63" s="133"/>
      <c r="Y63" s="133"/>
      <c r="Z63" s="133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</row>
    <row r="64" spans="1:42" x14ac:dyDescent="0.25">
      <c r="A64" s="61" t="s">
        <v>45</v>
      </c>
      <c r="B64" s="62"/>
      <c r="C64" s="11"/>
      <c r="D64" s="11"/>
      <c r="E64" s="11"/>
      <c r="F64" s="11"/>
      <c r="G64" s="11"/>
      <c r="H64" s="11"/>
      <c r="I64" s="55"/>
      <c r="J64" s="55"/>
      <c r="K64" s="11"/>
      <c r="L64" s="11"/>
      <c r="M64" s="11"/>
      <c r="N64" s="133"/>
      <c r="O64" s="133"/>
      <c r="P64" s="133"/>
      <c r="Q64" s="133"/>
      <c r="R64" s="133"/>
      <c r="S64" s="133"/>
      <c r="T64" s="133"/>
      <c r="U64" s="133"/>
      <c r="V64" s="133"/>
      <c r="W64" s="133"/>
      <c r="X64" s="133"/>
      <c r="Y64" s="133"/>
      <c r="Z64" s="133"/>
      <c r="AA64" s="11"/>
      <c r="AB64" s="11"/>
      <c r="AC64" s="133"/>
      <c r="AD64" s="11"/>
      <c r="AE64" s="11"/>
      <c r="AF64" s="133"/>
      <c r="AG64" s="11"/>
      <c r="AH64" s="11"/>
      <c r="AI64" s="11"/>
      <c r="AJ64" s="11"/>
      <c r="AK64" s="11"/>
      <c r="AL64" s="11"/>
      <c r="AM64" s="11"/>
      <c r="AN64" s="11"/>
      <c r="AO64" s="11"/>
      <c r="AP64" s="11"/>
    </row>
    <row r="65" spans="1:42" x14ac:dyDescent="0.25">
      <c r="A65" s="61" t="s">
        <v>46</v>
      </c>
      <c r="B65" s="62"/>
      <c r="C65" s="11"/>
      <c r="D65" s="11"/>
      <c r="E65" s="11"/>
      <c r="F65" s="11"/>
      <c r="G65" s="11"/>
      <c r="H65" s="11"/>
      <c r="I65" s="55"/>
      <c r="J65" s="55"/>
      <c r="K65" s="11"/>
      <c r="L65" s="11"/>
      <c r="M65" s="11"/>
      <c r="N65" s="133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1"/>
      <c r="AB65" s="11"/>
      <c r="AC65" s="133"/>
      <c r="AD65" s="11"/>
      <c r="AE65" s="11"/>
      <c r="AF65" s="133"/>
      <c r="AG65" s="11"/>
      <c r="AH65" s="11"/>
      <c r="AI65" s="11"/>
      <c r="AJ65" s="11"/>
      <c r="AK65" s="11"/>
      <c r="AL65" s="11"/>
      <c r="AM65" s="11"/>
      <c r="AN65" s="11"/>
      <c r="AO65" s="11"/>
      <c r="AP65" s="11"/>
    </row>
    <row r="66" spans="1:42" x14ac:dyDescent="0.25">
      <c r="A66" s="11"/>
      <c r="B66" s="11"/>
      <c r="C66" s="11"/>
      <c r="D66" s="11"/>
      <c r="E66" s="11"/>
      <c r="F66" s="11"/>
      <c r="G66" s="11"/>
      <c r="H66" s="11"/>
      <c r="I66" s="55"/>
      <c r="J66" s="55"/>
      <c r="K66" s="11"/>
      <c r="L66" s="11"/>
      <c r="M66" s="11"/>
      <c r="N66" s="133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1"/>
      <c r="AB66" s="11"/>
      <c r="AC66" s="133"/>
      <c r="AD66" s="11"/>
      <c r="AE66" s="11"/>
      <c r="AF66" s="133"/>
      <c r="AG66" s="11"/>
      <c r="AH66" s="11"/>
      <c r="AI66" s="11"/>
      <c r="AJ66" s="11"/>
      <c r="AK66" s="11"/>
      <c r="AL66" s="11"/>
      <c r="AM66" s="11"/>
      <c r="AN66" s="11"/>
      <c r="AO66" s="11"/>
      <c r="AP66" s="11"/>
    </row>
    <row r="67" spans="1:42" x14ac:dyDescent="0.25">
      <c r="A67" s="11"/>
      <c r="B67" s="11"/>
      <c r="C67" s="11"/>
      <c r="D67" s="11"/>
      <c r="E67" s="11"/>
      <c r="F67" s="11"/>
      <c r="G67" s="11"/>
      <c r="H67" s="11"/>
      <c r="I67" s="55"/>
      <c r="J67" s="55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</row>
    <row r="68" spans="1:42" x14ac:dyDescent="0.25">
      <c r="A68" s="11"/>
      <c r="B68" s="11"/>
      <c r="C68" s="11"/>
      <c r="D68" s="11"/>
      <c r="E68" s="11"/>
      <c r="F68" s="11"/>
      <c r="G68" s="11"/>
      <c r="H68" s="11"/>
      <c r="I68" s="55"/>
      <c r="J68" s="55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</row>
    <row r="69" spans="1:42" x14ac:dyDescent="0.25">
      <c r="A69" s="11"/>
      <c r="B69" s="11"/>
      <c r="C69" s="11"/>
      <c r="D69" s="11"/>
      <c r="E69" s="11"/>
      <c r="F69" s="11"/>
      <c r="G69" s="11"/>
      <c r="H69" s="55"/>
      <c r="I69" s="55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</row>
    <row r="70" spans="1:42" x14ac:dyDescent="0.25">
      <c r="A70" s="11"/>
      <c r="B70" s="11"/>
      <c r="C70" s="11"/>
      <c r="D70" s="11"/>
      <c r="E70" s="11"/>
      <c r="F70" s="11"/>
      <c r="G70" s="11"/>
      <c r="H70" s="55"/>
      <c r="I70" s="55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</row>
    <row r="71" spans="1:42" x14ac:dyDescent="0.25">
      <c r="A71" s="11"/>
      <c r="B71" s="11"/>
      <c r="C71" s="11"/>
      <c r="D71" s="11"/>
      <c r="E71" s="11"/>
      <c r="F71" s="11"/>
      <c r="G71" s="11"/>
      <c r="H71" s="55"/>
      <c r="I71" s="55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</row>
    <row r="72" spans="1:42" x14ac:dyDescent="0.25">
      <c r="A72" s="11"/>
      <c r="B72" s="11"/>
      <c r="C72" s="11"/>
      <c r="D72" s="11"/>
      <c r="E72" s="11"/>
      <c r="F72" s="11"/>
      <c r="G72" s="72"/>
      <c r="H72" s="55"/>
      <c r="I72" s="55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</row>
    <row r="73" spans="1:42" x14ac:dyDescent="0.25">
      <c r="A73" s="11"/>
      <c r="B73" s="11"/>
      <c r="C73" s="11"/>
      <c r="D73" s="11"/>
      <c r="E73" s="11"/>
      <c r="F73" s="11"/>
      <c r="G73" s="11"/>
      <c r="H73" s="55"/>
      <c r="I73" s="55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</row>
    <row r="74" spans="1:42" x14ac:dyDescent="0.25">
      <c r="A74" s="11"/>
      <c r="B74" s="11"/>
      <c r="C74" s="11"/>
      <c r="D74" s="11"/>
      <c r="E74" s="11"/>
      <c r="F74" s="11"/>
      <c r="G74" s="11"/>
      <c r="H74" s="55"/>
      <c r="I74" s="55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</row>
    <row r="75" spans="1:42" x14ac:dyDescent="0.25">
      <c r="A75" s="11"/>
      <c r="B75" s="11"/>
      <c r="C75" s="11"/>
      <c r="D75" s="11"/>
      <c r="E75" s="11"/>
      <c r="F75" s="11"/>
      <c r="G75" s="11"/>
      <c r="H75" s="55"/>
      <c r="I75" s="55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</row>
    <row r="76" spans="1:42" x14ac:dyDescent="0.25">
      <c r="A76" s="11"/>
      <c r="B76" s="11"/>
      <c r="C76" s="11"/>
      <c r="D76" s="11"/>
      <c r="E76" s="11"/>
      <c r="F76" s="11"/>
      <c r="G76" s="11"/>
      <c r="H76" s="55"/>
      <c r="I76" s="55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</row>
    <row r="77" spans="1:42" x14ac:dyDescent="0.25">
      <c r="A77" s="11"/>
      <c r="B77" s="11"/>
      <c r="C77" s="11"/>
      <c r="D77" s="11"/>
      <c r="E77" s="11"/>
      <c r="F77" s="11"/>
      <c r="G77" s="72"/>
      <c r="H77" s="55"/>
      <c r="I77" s="55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</row>
    <row r="78" spans="1:42" x14ac:dyDescent="0.25">
      <c r="A78" s="11"/>
      <c r="B78" s="11"/>
      <c r="C78" s="11"/>
      <c r="D78" s="11"/>
      <c r="E78" s="11"/>
      <c r="F78" s="11"/>
      <c r="G78" s="11"/>
      <c r="H78" s="55"/>
      <c r="I78" s="55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</row>
    <row r="79" spans="1:42" x14ac:dyDescent="0.25">
      <c r="A79" s="11"/>
      <c r="B79" s="11"/>
      <c r="C79" s="11"/>
      <c r="D79" s="11"/>
      <c r="E79" s="11"/>
      <c r="F79" s="11"/>
      <c r="G79" s="11"/>
      <c r="H79" s="55"/>
      <c r="I79" s="55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</row>
    <row r="80" spans="1:42" x14ac:dyDescent="0.25">
      <c r="A80" s="11"/>
      <c r="B80" s="11"/>
      <c r="C80" s="11"/>
      <c r="D80" s="11"/>
      <c r="E80" s="11"/>
      <c r="F80" s="11"/>
      <c r="G80" s="11"/>
      <c r="H80" s="55"/>
      <c r="I80" s="55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</row>
    <row r="81" spans="1:42" x14ac:dyDescent="0.25">
      <c r="A81" s="11"/>
      <c r="B81" s="11"/>
      <c r="C81" s="11"/>
      <c r="D81" s="11"/>
      <c r="E81" s="11"/>
      <c r="F81" s="11"/>
      <c r="G81" s="11"/>
      <c r="H81" s="55"/>
      <c r="I81" s="55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</row>
    <row r="82" spans="1:42" x14ac:dyDescent="0.25">
      <c r="A82" s="11"/>
      <c r="B82" s="11"/>
      <c r="C82" s="11"/>
      <c r="D82" s="11"/>
      <c r="E82" s="11"/>
      <c r="F82" s="11"/>
      <c r="G82" s="11"/>
      <c r="H82" s="55"/>
      <c r="I82" s="55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</row>
    <row r="83" spans="1:42" x14ac:dyDescent="0.25">
      <c r="A83" s="11"/>
      <c r="B83" s="11"/>
      <c r="C83" s="11"/>
      <c r="D83" s="11"/>
      <c r="E83" s="11"/>
      <c r="F83" s="11"/>
      <c r="G83" s="11"/>
      <c r="H83" s="55"/>
      <c r="I83" s="55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</row>
    <row r="84" spans="1:42" x14ac:dyDescent="0.25">
      <c r="A84" s="11"/>
      <c r="B84" s="11"/>
      <c r="C84" s="11"/>
      <c r="D84" s="11"/>
      <c r="E84" s="11"/>
      <c r="F84" s="11"/>
      <c r="G84" s="11"/>
      <c r="H84" s="55"/>
      <c r="I84" s="55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</row>
    <row r="85" spans="1:42" x14ac:dyDescent="0.25">
      <c r="A85" s="11"/>
      <c r="B85" s="11"/>
      <c r="C85" s="11"/>
      <c r="D85" s="11"/>
      <c r="E85" s="11"/>
      <c r="F85" s="11"/>
      <c r="G85" s="11"/>
      <c r="H85" s="55"/>
      <c r="I85" s="55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</row>
    <row r="86" spans="1:42" x14ac:dyDescent="0.25">
      <c r="A86" s="11"/>
      <c r="B86" s="11"/>
      <c r="C86" s="11"/>
      <c r="D86" s="11"/>
      <c r="E86" s="11"/>
      <c r="F86" s="11"/>
      <c r="G86" s="11"/>
      <c r="H86" s="55"/>
      <c r="I86" s="55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</row>
    <row r="87" spans="1:42" x14ac:dyDescent="0.25">
      <c r="A87" s="11"/>
      <c r="B87" s="11"/>
      <c r="C87" s="11"/>
      <c r="D87" s="11"/>
      <c r="E87" s="11"/>
      <c r="F87" s="11"/>
      <c r="G87" s="11"/>
      <c r="H87" s="55"/>
      <c r="I87" s="55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</row>
    <row r="88" spans="1:42" x14ac:dyDescent="0.25">
      <c r="A88" s="11"/>
      <c r="B88" s="11"/>
      <c r="C88" s="11"/>
      <c r="D88" s="11"/>
      <c r="E88" s="11"/>
      <c r="F88" s="11"/>
      <c r="G88" s="11"/>
      <c r="H88" s="55"/>
      <c r="I88" s="55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</row>
    <row r="89" spans="1:42" x14ac:dyDescent="0.25">
      <c r="A89" s="11"/>
      <c r="B89" s="11"/>
      <c r="C89" s="11"/>
      <c r="D89" s="11"/>
      <c r="E89" s="11"/>
      <c r="F89" s="11"/>
      <c r="G89" s="11"/>
      <c r="H89" s="55"/>
      <c r="I89" s="55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</row>
    <row r="90" spans="1:42" x14ac:dyDescent="0.25">
      <c r="A90" s="11"/>
      <c r="B90" s="11"/>
      <c r="C90" s="11"/>
      <c r="D90" s="11"/>
      <c r="E90" s="11"/>
      <c r="F90" s="11"/>
      <c r="G90" s="11"/>
      <c r="H90" s="55"/>
      <c r="I90" s="55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</row>
    <row r="91" spans="1:42" x14ac:dyDescent="0.25">
      <c r="A91" s="11"/>
      <c r="B91" s="11"/>
      <c r="C91" s="11"/>
      <c r="D91" s="11"/>
      <c r="E91" s="11"/>
      <c r="F91" s="11"/>
      <c r="G91" s="11"/>
      <c r="H91" s="55"/>
      <c r="I91" s="55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</row>
    <row r="92" spans="1:42" x14ac:dyDescent="0.25">
      <c r="A92" s="11"/>
      <c r="B92" s="11"/>
      <c r="C92" s="11"/>
      <c r="D92" s="11"/>
      <c r="E92" s="11"/>
      <c r="F92" s="11"/>
      <c r="G92" s="11"/>
      <c r="H92" s="11"/>
      <c r="I92" s="55"/>
      <c r="J92" s="55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</row>
    <row r="93" spans="1:42" x14ac:dyDescent="0.25">
      <c r="A93" s="11"/>
      <c r="B93" s="11"/>
      <c r="C93" s="11"/>
      <c r="D93" s="11"/>
      <c r="E93" s="11"/>
      <c r="F93" s="11"/>
      <c r="G93" s="11"/>
      <c r="H93" s="11"/>
      <c r="I93" s="55"/>
      <c r="J93" s="55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</row>
    <row r="94" spans="1:42" x14ac:dyDescent="0.25">
      <c r="A94" s="11"/>
      <c r="B94" s="11"/>
      <c r="C94" s="11"/>
      <c r="D94" s="11"/>
      <c r="E94" s="11"/>
      <c r="F94" s="11"/>
      <c r="G94" s="11"/>
      <c r="H94" s="11"/>
      <c r="I94" s="55"/>
      <c r="J94" s="55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</row>
    <row r="95" spans="1:42" x14ac:dyDescent="0.25">
      <c r="A95" s="11"/>
      <c r="B95" s="11"/>
      <c r="C95" s="11"/>
      <c r="D95" s="11"/>
      <c r="E95" s="11"/>
      <c r="F95" s="11"/>
      <c r="G95" s="11"/>
      <c r="H95" s="11"/>
      <c r="I95" s="55"/>
      <c r="J95" s="55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</row>
    <row r="96" spans="1:42" x14ac:dyDescent="0.25">
      <c r="A96" s="11"/>
      <c r="B96" s="11"/>
      <c r="C96" s="11"/>
      <c r="D96" s="11"/>
      <c r="E96" s="11"/>
      <c r="F96" s="11"/>
      <c r="G96" s="11"/>
      <c r="H96" s="11"/>
      <c r="I96" s="55"/>
      <c r="J96" s="55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</row>
    <row r="97" spans="1:42" x14ac:dyDescent="0.25">
      <c r="A97" s="11"/>
      <c r="B97" s="11"/>
      <c r="C97" s="11"/>
      <c r="D97" s="11"/>
      <c r="E97" s="11"/>
      <c r="F97" s="11"/>
      <c r="G97" s="11"/>
      <c r="H97" s="11"/>
      <c r="I97" s="55"/>
      <c r="J97" s="55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</row>
    <row r="98" spans="1:42" x14ac:dyDescent="0.25">
      <c r="A98" s="11"/>
      <c r="B98" s="11"/>
      <c r="C98" s="11"/>
      <c r="D98" s="11"/>
      <c r="E98" s="11"/>
      <c r="F98" s="11"/>
      <c r="G98" s="11"/>
      <c r="H98" s="11"/>
      <c r="I98" s="55"/>
      <c r="J98" s="55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</row>
    <row r="99" spans="1:42" x14ac:dyDescent="0.25">
      <c r="A99" s="11"/>
      <c r="B99" s="11"/>
      <c r="C99" s="11"/>
      <c r="D99" s="11"/>
      <c r="E99" s="11"/>
      <c r="F99" s="11"/>
      <c r="G99" s="11"/>
      <c r="H99" s="11"/>
      <c r="I99" s="55"/>
      <c r="J99" s="55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</row>
    <row r="100" spans="1:42" x14ac:dyDescent="0.25">
      <c r="A100" s="11"/>
      <c r="B100" s="11"/>
      <c r="C100" s="11"/>
      <c r="D100" s="11"/>
      <c r="E100" s="11"/>
      <c r="F100" s="11"/>
      <c r="G100" s="11"/>
      <c r="H100" s="11"/>
      <c r="I100" s="55"/>
      <c r="J100" s="55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</row>
    <row r="101" spans="1:42" x14ac:dyDescent="0.25">
      <c r="A101" s="11"/>
      <c r="B101" s="11"/>
      <c r="C101" s="11"/>
      <c r="D101" s="11"/>
      <c r="E101" s="11"/>
      <c r="F101" s="11"/>
      <c r="G101" s="11"/>
      <c r="H101" s="11"/>
      <c r="I101" s="55"/>
      <c r="J101" s="55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</row>
    <row r="102" spans="1:42" x14ac:dyDescent="0.25">
      <c r="A102" s="11"/>
      <c r="B102" s="11"/>
      <c r="C102" s="11"/>
      <c r="D102" s="11"/>
      <c r="E102" s="11"/>
      <c r="F102" s="11"/>
      <c r="G102" s="11"/>
      <c r="H102" s="11"/>
      <c r="I102" s="55"/>
      <c r="J102" s="55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</row>
    <row r="103" spans="1:42" x14ac:dyDescent="0.25">
      <c r="A103" s="11"/>
      <c r="B103" s="11"/>
      <c r="C103" s="11"/>
      <c r="D103" s="11"/>
      <c r="E103" s="11"/>
      <c r="F103" s="11"/>
      <c r="G103" s="11"/>
      <c r="H103" s="11"/>
      <c r="I103" s="55"/>
      <c r="J103" s="55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</row>
    <row r="104" spans="1:42" x14ac:dyDescent="0.25">
      <c r="A104" s="11"/>
      <c r="B104" s="11"/>
      <c r="C104" s="11"/>
      <c r="D104" s="11"/>
      <c r="E104" s="11"/>
      <c r="F104" s="11"/>
      <c r="G104" s="11"/>
      <c r="H104" s="11"/>
      <c r="I104" s="55"/>
      <c r="J104" s="55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</row>
    <row r="105" spans="1:42" x14ac:dyDescent="0.25">
      <c r="A105" s="11"/>
      <c r="B105" s="11"/>
      <c r="C105" s="11"/>
      <c r="D105" s="11"/>
      <c r="E105" s="11"/>
      <c r="F105" s="11"/>
      <c r="G105" s="11"/>
      <c r="H105" s="11"/>
      <c r="I105" s="55"/>
      <c r="J105" s="55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</row>
    <row r="106" spans="1:42" x14ac:dyDescent="0.25">
      <c r="A106" s="11"/>
      <c r="B106" s="11"/>
      <c r="C106" s="11"/>
      <c r="D106" s="11"/>
      <c r="E106" s="11"/>
      <c r="F106" s="11"/>
      <c r="G106" s="11"/>
      <c r="H106" s="11"/>
      <c r="I106" s="55"/>
      <c r="J106" s="55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</row>
    <row r="107" spans="1:42" x14ac:dyDescent="0.25">
      <c r="A107" s="11"/>
      <c r="B107" s="11"/>
      <c r="C107" s="11"/>
      <c r="D107" s="11"/>
      <c r="E107" s="11"/>
      <c r="F107" s="11"/>
      <c r="G107" s="11"/>
      <c r="H107" s="11"/>
      <c r="I107" s="55"/>
      <c r="J107" s="55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</row>
    <row r="108" spans="1:42" x14ac:dyDescent="0.25">
      <c r="A108" s="11"/>
      <c r="B108" s="11"/>
      <c r="C108" s="11"/>
      <c r="D108" s="11"/>
      <c r="E108" s="11"/>
      <c r="F108" s="11"/>
      <c r="G108" s="11"/>
      <c r="H108" s="11"/>
      <c r="I108" s="55"/>
      <c r="J108" s="55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</row>
    <row r="109" spans="1:42" x14ac:dyDescent="0.25">
      <c r="A109" s="11"/>
      <c r="B109" s="11"/>
      <c r="C109" s="11"/>
      <c r="D109" s="11"/>
      <c r="E109" s="11"/>
      <c r="F109" s="11"/>
      <c r="G109" s="11"/>
      <c r="H109" s="11"/>
      <c r="I109" s="55"/>
      <c r="J109" s="55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</row>
    <row r="110" spans="1:42" x14ac:dyDescent="0.25">
      <c r="A110" s="11"/>
      <c r="B110" s="11"/>
      <c r="C110" s="11"/>
      <c r="D110" s="11"/>
      <c r="E110" s="11"/>
      <c r="F110" s="11"/>
      <c r="G110" s="11"/>
      <c r="H110" s="11"/>
      <c r="I110" s="55"/>
      <c r="J110" s="55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</row>
    <row r="111" spans="1:42" x14ac:dyDescent="0.25">
      <c r="A111" s="11"/>
      <c r="B111" s="11"/>
      <c r="C111" s="11"/>
      <c r="D111" s="11"/>
      <c r="E111" s="11"/>
      <c r="F111" s="11"/>
      <c r="G111" s="11"/>
      <c r="H111" s="11"/>
      <c r="I111" s="55"/>
      <c r="J111" s="55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</row>
    <row r="112" spans="1:42" x14ac:dyDescent="0.25">
      <c r="A112" s="11"/>
      <c r="B112" s="11"/>
      <c r="C112" s="11"/>
      <c r="D112" s="11"/>
      <c r="E112" s="11"/>
      <c r="F112" s="11"/>
      <c r="G112" s="11"/>
      <c r="H112" s="11"/>
      <c r="I112" s="55"/>
      <c r="J112" s="55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</row>
    <row r="113" spans="1:42" x14ac:dyDescent="0.25">
      <c r="A113" s="11"/>
      <c r="B113" s="11"/>
      <c r="C113" s="11"/>
      <c r="D113" s="11"/>
      <c r="E113" s="11"/>
      <c r="F113" s="11"/>
      <c r="G113" s="11"/>
      <c r="H113" s="11"/>
      <c r="I113" s="55"/>
      <c r="J113" s="55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</row>
    <row r="114" spans="1:42" x14ac:dyDescent="0.25">
      <c r="A114" s="11"/>
      <c r="B114" s="11"/>
      <c r="C114" s="11"/>
      <c r="D114" s="11"/>
      <c r="E114" s="11"/>
      <c r="F114" s="11"/>
      <c r="G114" s="11"/>
      <c r="H114" s="11"/>
      <c r="I114" s="55"/>
      <c r="J114" s="55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</row>
    <row r="115" spans="1:42" x14ac:dyDescent="0.25">
      <c r="A115" s="11"/>
      <c r="B115" s="11"/>
      <c r="C115" s="11"/>
      <c r="D115" s="11"/>
      <c r="E115" s="11"/>
      <c r="F115" s="11"/>
      <c r="G115" s="11"/>
      <c r="H115" s="11"/>
      <c r="I115" s="55"/>
      <c r="J115" s="55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</row>
    <row r="116" spans="1:42" x14ac:dyDescent="0.25">
      <c r="A116" s="11"/>
      <c r="B116" s="11"/>
      <c r="C116" s="11"/>
      <c r="D116" s="11"/>
      <c r="E116" s="11"/>
      <c r="F116" s="11"/>
      <c r="G116" s="11"/>
      <c r="H116" s="11"/>
      <c r="I116" s="55"/>
      <c r="J116" s="55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</row>
    <row r="117" spans="1:42" x14ac:dyDescent="0.25">
      <c r="A117" s="11"/>
      <c r="B117" s="11"/>
      <c r="C117" s="11"/>
      <c r="D117" s="11"/>
      <c r="E117" s="11"/>
      <c r="F117" s="11"/>
      <c r="G117" s="11"/>
      <c r="H117" s="11"/>
      <c r="I117" s="55"/>
      <c r="J117" s="55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</row>
    <row r="118" spans="1:42" x14ac:dyDescent="0.25">
      <c r="A118" s="11"/>
      <c r="B118" s="11"/>
      <c r="C118" s="11"/>
      <c r="D118" s="11"/>
      <c r="E118" s="11"/>
      <c r="F118" s="11"/>
      <c r="G118" s="11"/>
      <c r="H118" s="11"/>
      <c r="I118" s="55"/>
      <c r="J118" s="55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</row>
    <row r="119" spans="1:42" x14ac:dyDescent="0.25">
      <c r="A119" s="11"/>
      <c r="B119" s="11"/>
      <c r="C119" s="11"/>
      <c r="D119" s="11"/>
      <c r="E119" s="11"/>
      <c r="F119" s="11"/>
      <c r="G119" s="11"/>
      <c r="H119" s="11"/>
      <c r="I119" s="55"/>
      <c r="J119" s="55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</row>
    <row r="120" spans="1:42" x14ac:dyDescent="0.25">
      <c r="A120" s="11"/>
      <c r="B120" s="11"/>
      <c r="C120" s="11"/>
      <c r="D120" s="11"/>
      <c r="E120" s="11"/>
      <c r="F120" s="11"/>
      <c r="G120" s="11"/>
      <c r="H120" s="11"/>
      <c r="I120" s="55"/>
      <c r="J120" s="55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</row>
    <row r="121" spans="1:42" x14ac:dyDescent="0.25">
      <c r="A121" s="11"/>
      <c r="B121" s="11"/>
      <c r="C121" s="11"/>
      <c r="D121" s="11"/>
      <c r="E121" s="11"/>
      <c r="F121" s="11"/>
      <c r="G121" s="11"/>
      <c r="H121" s="11"/>
      <c r="I121" s="55"/>
      <c r="J121" s="55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</row>
    <row r="122" spans="1:42" x14ac:dyDescent="0.25">
      <c r="A122" s="11"/>
      <c r="B122" s="11"/>
      <c r="C122" s="11"/>
      <c r="D122" s="11"/>
      <c r="E122" s="11"/>
      <c r="F122" s="11"/>
      <c r="G122" s="11"/>
      <c r="H122" s="11"/>
      <c r="I122" s="55"/>
      <c r="J122" s="55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</row>
    <row r="123" spans="1:42" x14ac:dyDescent="0.25">
      <c r="A123" s="11"/>
      <c r="B123" s="11"/>
      <c r="C123" s="11"/>
      <c r="D123" s="11"/>
      <c r="E123" s="11"/>
      <c r="F123" s="11"/>
      <c r="G123" s="11"/>
      <c r="H123" s="11"/>
      <c r="I123" s="55"/>
      <c r="J123" s="55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</row>
    <row r="124" spans="1:42" x14ac:dyDescent="0.25">
      <c r="A124" s="11"/>
      <c r="B124" s="11"/>
      <c r="C124" s="11"/>
      <c r="D124" s="11"/>
      <c r="E124" s="11"/>
      <c r="F124" s="11"/>
      <c r="G124" s="11"/>
      <c r="H124" s="11"/>
      <c r="I124" s="55"/>
      <c r="J124" s="55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</row>
    <row r="125" spans="1:42" x14ac:dyDescent="0.25">
      <c r="A125" s="11"/>
      <c r="B125" s="11"/>
      <c r="C125" s="11"/>
      <c r="D125" s="11"/>
      <c r="E125" s="11"/>
      <c r="F125" s="11"/>
      <c r="G125" s="11"/>
      <c r="H125" s="11"/>
      <c r="I125" s="55"/>
      <c r="J125" s="55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</row>
    <row r="126" spans="1:42" x14ac:dyDescent="0.25">
      <c r="A126" s="11"/>
      <c r="B126" s="11"/>
      <c r="C126" s="11"/>
      <c r="D126" s="11"/>
      <c r="E126" s="11"/>
      <c r="F126" s="11"/>
      <c r="G126" s="11"/>
      <c r="H126" s="11"/>
      <c r="I126" s="55"/>
      <c r="J126" s="55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</row>
    <row r="127" spans="1:42" x14ac:dyDescent="0.25">
      <c r="A127" s="11"/>
      <c r="B127" s="11"/>
      <c r="C127" s="11"/>
      <c r="D127" s="11"/>
      <c r="E127" s="11"/>
      <c r="F127" s="11"/>
      <c r="G127" s="11"/>
      <c r="H127" s="11"/>
      <c r="I127" s="55"/>
      <c r="J127" s="55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</row>
    <row r="128" spans="1:42" x14ac:dyDescent="0.25">
      <c r="A128" s="11"/>
      <c r="B128" s="11"/>
      <c r="C128" s="11"/>
      <c r="D128" s="11"/>
      <c r="E128" s="11"/>
      <c r="F128" s="11"/>
      <c r="G128" s="11"/>
      <c r="H128" s="11"/>
      <c r="I128" s="55"/>
      <c r="J128" s="55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</row>
    <row r="129" spans="1:42" x14ac:dyDescent="0.25">
      <c r="A129" s="11"/>
      <c r="B129" s="11"/>
      <c r="C129" s="11"/>
      <c r="D129" s="11"/>
      <c r="E129" s="11"/>
      <c r="F129" s="11"/>
      <c r="G129" s="11"/>
      <c r="H129" s="11"/>
      <c r="I129" s="55"/>
      <c r="J129" s="55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</row>
    <row r="130" spans="1:42" x14ac:dyDescent="0.25">
      <c r="A130" s="11"/>
      <c r="B130" s="11"/>
      <c r="C130" s="11"/>
      <c r="D130" s="11"/>
      <c r="E130" s="11"/>
      <c r="F130" s="11"/>
      <c r="G130" s="11"/>
      <c r="H130" s="11"/>
      <c r="I130" s="55"/>
      <c r="J130" s="55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</row>
    <row r="131" spans="1:42" x14ac:dyDescent="0.25">
      <c r="A131" s="11"/>
      <c r="B131" s="11"/>
      <c r="C131" s="11"/>
      <c r="D131" s="11"/>
      <c r="E131" s="11"/>
      <c r="F131" s="11"/>
      <c r="G131" s="11"/>
      <c r="H131" s="11"/>
      <c r="I131" s="55"/>
      <c r="J131" s="55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</row>
    <row r="132" spans="1:42" x14ac:dyDescent="0.25">
      <c r="A132" s="11"/>
      <c r="B132" s="11"/>
      <c r="C132" s="11"/>
      <c r="D132" s="11"/>
      <c r="E132" s="11"/>
      <c r="F132" s="11"/>
      <c r="G132" s="11"/>
      <c r="H132" s="11"/>
      <c r="I132" s="263"/>
      <c r="J132" s="11"/>
      <c r="K132" s="263"/>
      <c r="L132" s="263"/>
      <c r="M132" s="11"/>
      <c r="N132" s="263"/>
      <c r="O132" s="263"/>
      <c r="P132" s="263"/>
      <c r="Q132" s="263"/>
      <c r="R132" s="263"/>
      <c r="S132" s="263"/>
      <c r="T132" s="263"/>
      <c r="U132" s="263"/>
      <c r="V132" s="263"/>
      <c r="W132" s="263"/>
      <c r="X132" s="263"/>
      <c r="Y132" s="263"/>
      <c r="Z132" s="263"/>
      <c r="AA132" s="11"/>
      <c r="AB132" s="11"/>
      <c r="AC132" s="263"/>
      <c r="AD132" s="11"/>
      <c r="AE132" s="263"/>
      <c r="AF132" s="11"/>
      <c r="AG132" s="263"/>
      <c r="AH132" s="11"/>
      <c r="AI132" s="11"/>
      <c r="AJ132" s="11"/>
      <c r="AK132" s="11"/>
      <c r="AL132" s="11"/>
      <c r="AM132" s="11"/>
      <c r="AN132" s="11"/>
      <c r="AO132" s="11"/>
      <c r="AP132" s="11"/>
    </row>
    <row r="133" spans="1:42" x14ac:dyDescent="0.25">
      <c r="A133" s="11"/>
      <c r="B133" s="11"/>
      <c r="C133" s="11"/>
      <c r="D133" s="11"/>
      <c r="E133" s="11"/>
      <c r="F133" s="11"/>
      <c r="G133" s="11"/>
      <c r="H133" s="11"/>
      <c r="I133" s="55"/>
      <c r="J133" s="55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</row>
    <row r="134" spans="1:42" x14ac:dyDescent="0.25">
      <c r="A134" s="11"/>
      <c r="B134" s="11"/>
      <c r="C134" s="11"/>
      <c r="D134" s="11"/>
      <c r="E134" s="11"/>
      <c r="F134" s="11"/>
      <c r="G134" s="11"/>
      <c r="H134" s="11"/>
      <c r="I134" s="55"/>
      <c r="J134" s="55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</row>
    <row r="135" spans="1:42" x14ac:dyDescent="0.25">
      <c r="A135" s="11"/>
      <c r="B135" s="11"/>
      <c r="C135" s="11"/>
      <c r="D135" s="11"/>
      <c r="E135" s="11"/>
      <c r="F135" s="11"/>
      <c r="G135" s="11"/>
      <c r="H135" s="11"/>
      <c r="I135" s="55"/>
      <c r="J135" s="55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</row>
    <row r="136" spans="1:42" x14ac:dyDescent="0.25">
      <c r="A136" s="11"/>
      <c r="B136" s="11"/>
      <c r="C136" s="11"/>
      <c r="D136" s="11"/>
      <c r="E136" s="11"/>
      <c r="F136" s="11"/>
      <c r="G136" s="11"/>
      <c r="H136" s="11"/>
      <c r="I136" s="263"/>
      <c r="J136" s="11"/>
      <c r="K136" s="263"/>
      <c r="L136" s="263"/>
      <c r="M136" s="11"/>
      <c r="N136" s="263"/>
      <c r="O136" s="263"/>
      <c r="P136" s="263"/>
      <c r="Q136" s="263"/>
      <c r="R136" s="263"/>
      <c r="S136" s="263"/>
      <c r="T136" s="263"/>
      <c r="U136" s="263"/>
      <c r="V136" s="263"/>
      <c r="W136" s="263"/>
      <c r="X136" s="263"/>
      <c r="Y136" s="263"/>
      <c r="Z136" s="263"/>
      <c r="AA136" s="11"/>
      <c r="AB136" s="11"/>
      <c r="AC136" s="263"/>
      <c r="AD136" s="11"/>
      <c r="AE136" s="263"/>
      <c r="AF136" s="11"/>
      <c r="AG136" s="263"/>
      <c r="AH136" s="11"/>
      <c r="AI136" s="11"/>
      <c r="AJ136" s="11"/>
      <c r="AK136" s="11"/>
      <c r="AL136" s="11"/>
      <c r="AM136" s="11"/>
      <c r="AN136" s="11"/>
      <c r="AO136" s="11"/>
      <c r="AP136" s="11"/>
    </row>
    <row r="137" spans="1:42" x14ac:dyDescent="0.25">
      <c r="A137" s="11"/>
      <c r="B137" s="11"/>
      <c r="C137" s="11"/>
      <c r="D137" s="11"/>
      <c r="E137" s="11"/>
      <c r="F137" s="11"/>
      <c r="G137" s="11"/>
      <c r="H137" s="11"/>
      <c r="I137" s="55"/>
      <c r="J137" s="55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</row>
    <row r="138" spans="1:42" x14ac:dyDescent="0.25">
      <c r="A138" s="11"/>
      <c r="B138" s="11"/>
      <c r="C138" s="11"/>
      <c r="D138" s="11"/>
      <c r="E138" s="11"/>
      <c r="F138" s="11"/>
      <c r="G138" s="11"/>
      <c r="H138" s="11"/>
      <c r="I138" s="55"/>
      <c r="J138" s="55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</row>
    <row r="139" spans="1:42" x14ac:dyDescent="0.25">
      <c r="A139" s="11"/>
      <c r="B139" s="11"/>
      <c r="C139" s="11"/>
      <c r="D139" s="11"/>
      <c r="E139" s="11"/>
      <c r="F139" s="11"/>
      <c r="G139" s="11"/>
      <c r="H139" s="11"/>
      <c r="I139" s="55"/>
      <c r="J139" s="55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</row>
    <row r="140" spans="1:42" x14ac:dyDescent="0.25">
      <c r="A140" s="11"/>
      <c r="B140" s="11"/>
      <c r="C140" s="11"/>
      <c r="D140" s="11"/>
      <c r="E140" s="11"/>
      <c r="F140" s="11"/>
      <c r="G140" s="11"/>
      <c r="H140" s="11"/>
      <c r="I140" s="55"/>
      <c r="J140" s="55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</row>
    <row r="141" spans="1:42" x14ac:dyDescent="0.25">
      <c r="A141" s="11"/>
      <c r="B141" s="11"/>
      <c r="C141" s="11"/>
      <c r="D141" s="11"/>
      <c r="E141" s="11"/>
      <c r="F141" s="11"/>
      <c r="G141" s="11"/>
      <c r="H141" s="11"/>
      <c r="I141" s="55"/>
      <c r="J141" s="55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</row>
    <row r="142" spans="1:42" x14ac:dyDescent="0.25">
      <c r="A142" s="11"/>
      <c r="B142" s="11"/>
      <c r="C142" s="11"/>
      <c r="D142" s="11"/>
      <c r="E142" s="11"/>
      <c r="F142" s="11"/>
      <c r="G142" s="11"/>
      <c r="H142" s="11"/>
      <c r="I142" s="55"/>
      <c r="J142" s="55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</row>
    <row r="143" spans="1:42" x14ac:dyDescent="0.25">
      <c r="A143" s="11"/>
      <c r="B143" s="11"/>
      <c r="C143" s="11"/>
      <c r="D143" s="11"/>
      <c r="E143" s="11"/>
      <c r="F143" s="11"/>
      <c r="G143" s="11"/>
      <c r="H143" s="11"/>
      <c r="I143" s="55"/>
      <c r="J143" s="55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</row>
    <row r="144" spans="1:42" x14ac:dyDescent="0.25">
      <c r="A144" s="11"/>
      <c r="B144" s="11"/>
      <c r="C144" s="11"/>
      <c r="D144" s="11"/>
      <c r="E144" s="263"/>
      <c r="F144" s="11"/>
      <c r="G144" s="11"/>
      <c r="H144" s="11"/>
      <c r="I144" s="55"/>
      <c r="J144" s="55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</row>
    <row r="145" spans="1:42" x14ac:dyDescent="0.25">
      <c r="A145" s="11"/>
      <c r="B145" s="11"/>
      <c r="C145" s="11"/>
      <c r="D145" s="11"/>
      <c r="E145" s="11"/>
      <c r="F145" s="11"/>
      <c r="G145" s="11"/>
      <c r="H145" s="11"/>
      <c r="I145" s="55"/>
      <c r="J145" s="55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</row>
    <row r="146" spans="1:42" x14ac:dyDescent="0.25">
      <c r="A146" s="11"/>
      <c r="B146" s="11"/>
      <c r="C146" s="11"/>
      <c r="D146" s="11"/>
      <c r="E146" s="11"/>
      <c r="F146" s="11"/>
      <c r="G146" s="11"/>
      <c r="H146" s="11"/>
      <c r="I146" s="55"/>
      <c r="J146" s="55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</row>
    <row r="147" spans="1:42" x14ac:dyDescent="0.25">
      <c r="A147" s="11"/>
      <c r="B147" s="11"/>
      <c r="C147" s="11"/>
      <c r="D147" s="11"/>
      <c r="E147" s="11"/>
      <c r="F147" s="11"/>
      <c r="G147" s="11"/>
      <c r="H147" s="11"/>
      <c r="I147" s="55"/>
      <c r="J147" s="55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</row>
    <row r="148" spans="1:42" x14ac:dyDescent="0.25">
      <c r="A148" s="11"/>
      <c r="B148" s="11"/>
      <c r="C148" s="11"/>
      <c r="D148" s="11"/>
      <c r="E148" s="263"/>
      <c r="F148" s="11"/>
      <c r="G148" s="11"/>
      <c r="H148" s="11"/>
      <c r="I148" s="55"/>
      <c r="J148" s="55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</row>
    <row r="149" spans="1:42" x14ac:dyDescent="0.25">
      <c r="A149" s="11"/>
      <c r="B149" s="11"/>
      <c r="C149" s="11"/>
      <c r="D149" s="11"/>
      <c r="E149" s="11"/>
      <c r="F149" s="11"/>
      <c r="G149" s="11"/>
      <c r="H149" s="11"/>
      <c r="I149" s="55"/>
      <c r="J149" s="55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</row>
    <row r="150" spans="1:42" x14ac:dyDescent="0.25">
      <c r="A150" s="11"/>
      <c r="B150" s="11"/>
      <c r="C150" s="11"/>
      <c r="D150" s="11"/>
      <c r="E150" s="11"/>
      <c r="F150" s="11"/>
      <c r="G150" s="11"/>
      <c r="H150" s="11"/>
      <c r="I150" s="55"/>
      <c r="J150" s="55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</row>
    <row r="151" spans="1:42" x14ac:dyDescent="0.25">
      <c r="A151" s="11"/>
      <c r="B151" s="11"/>
      <c r="C151" s="11"/>
      <c r="D151" s="11"/>
      <c r="E151" s="11"/>
      <c r="F151" s="11"/>
      <c r="G151" s="11"/>
      <c r="H151" s="11"/>
      <c r="I151" s="55"/>
      <c r="J151" s="55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</row>
    <row r="152" spans="1:42" x14ac:dyDescent="0.25">
      <c r="A152" s="11"/>
      <c r="B152" s="11"/>
      <c r="C152" s="11"/>
      <c r="D152" s="11"/>
      <c r="E152" s="11"/>
      <c r="F152" s="11"/>
      <c r="G152" s="11"/>
      <c r="H152" s="11"/>
      <c r="I152" s="55"/>
      <c r="J152" s="55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</row>
    <row r="153" spans="1:42" x14ac:dyDescent="0.25">
      <c r="A153" s="11"/>
      <c r="B153" s="11"/>
      <c r="C153" s="11"/>
      <c r="D153" s="11"/>
      <c r="E153" s="11"/>
      <c r="F153" s="11"/>
      <c r="G153" s="11"/>
      <c r="H153" s="11"/>
      <c r="I153" s="55"/>
      <c r="J153" s="55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</row>
    <row r="154" spans="1:42" x14ac:dyDescent="0.25">
      <c r="A154" s="11"/>
      <c r="B154" s="11"/>
      <c r="C154" s="11"/>
      <c r="D154" s="11"/>
      <c r="E154" s="11"/>
      <c r="F154" s="11"/>
      <c r="G154" s="11"/>
      <c r="H154" s="11"/>
      <c r="I154" s="55"/>
      <c r="J154" s="55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</row>
    <row r="155" spans="1:42" x14ac:dyDescent="0.25">
      <c r="A155" s="11"/>
      <c r="B155" s="11"/>
      <c r="C155" s="11"/>
      <c r="D155" s="11"/>
      <c r="E155" s="11"/>
      <c r="F155" s="11"/>
      <c r="G155" s="11"/>
      <c r="H155" s="11"/>
      <c r="I155" s="55"/>
      <c r="J155" s="55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</row>
    <row r="156" spans="1:42" x14ac:dyDescent="0.25">
      <c r="A156" s="11"/>
      <c r="B156" s="11"/>
      <c r="C156" s="11"/>
      <c r="D156" s="11"/>
      <c r="E156" s="11"/>
      <c r="F156" s="11"/>
      <c r="G156" s="263"/>
      <c r="H156" s="11"/>
      <c r="I156" s="55"/>
      <c r="J156" s="55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</row>
    <row r="157" spans="1:42" x14ac:dyDescent="0.25">
      <c r="A157" s="11"/>
      <c r="B157" s="11"/>
      <c r="C157" s="11"/>
      <c r="D157" s="11"/>
      <c r="E157" s="11"/>
      <c r="F157" s="11"/>
      <c r="G157" s="11"/>
      <c r="H157" s="11"/>
      <c r="I157" s="55"/>
      <c r="J157" s="55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</row>
    <row r="158" spans="1:42" x14ac:dyDescent="0.25">
      <c r="A158" s="11"/>
      <c r="B158" s="11"/>
      <c r="C158" s="11"/>
      <c r="D158" s="11"/>
      <c r="E158" s="11"/>
      <c r="F158" s="11"/>
      <c r="G158" s="11"/>
      <c r="H158" s="11"/>
      <c r="I158" s="55"/>
      <c r="J158" s="55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</row>
    <row r="159" spans="1:42" x14ac:dyDescent="0.25">
      <c r="A159" s="11"/>
      <c r="B159" s="11"/>
      <c r="C159" s="11"/>
      <c r="D159" s="11"/>
      <c r="E159" s="11"/>
      <c r="F159" s="11"/>
      <c r="G159" s="11"/>
      <c r="H159" s="11"/>
      <c r="I159" s="55"/>
      <c r="J159" s="55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</row>
    <row r="160" spans="1:42" x14ac:dyDescent="0.25">
      <c r="A160" s="11"/>
      <c r="B160" s="11"/>
      <c r="C160" s="11"/>
      <c r="D160" s="11"/>
      <c r="E160" s="11"/>
      <c r="F160" s="11"/>
      <c r="G160" s="263"/>
      <c r="H160" s="11"/>
      <c r="I160" s="55"/>
      <c r="J160" s="55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</row>
  </sheetData>
  <sheetProtection algorithmName="SHA-512" hashValue="AqdmylRYCjKNmpJIAmLH6nHolA2vFp4Yh3naqbzAHkNp4LRVCu1gdmvrG4kcYgdSs7DhhF497iUKT300LPaRLw==" saltValue="6Eqvya6xuJi2HKlqzh8KOg==" spinCount="100000" sheet="1" scenarios="1"/>
  <mergeCells count="2">
    <mergeCell ref="AC31:AD31"/>
    <mergeCell ref="AF31:AG31"/>
  </mergeCells>
  <dataValidations disablePrompts="1" count="2">
    <dataValidation type="list" allowBlank="1" sqref="B28:C28" xr:uid="{00000000-0002-0000-1600-000000000000}">
      <formula1>"ACCOUNT,BUSINESSUNIT,CATEGORY,DATASRC,DEPARTMENT,INTCO,MEASURES,RPTCURRENCY,TIME"</formula1>
    </dataValidation>
    <dataValidation type="list" allowBlank="1" sqref="B29:C29" xr:uid="{00000000-0002-0000-1600-000001000000}">
      <formula1>"SELF,ALL,BAS,DEP,BASMEMBERS,MEMBERS,NOEXPAND,GDEP"</formula1>
    </dataValidation>
  </dataValidations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customProperties>
    <customPr name="EpmWorksheetKeyString_GUID" r:id="rId2"/>
    <customPr name="FPMExcelClientCellBasedFunctionStatus" r:id="rId3"/>
    <customPr name="FPMExcelClientRefreshTime" r:id="rId4"/>
  </customProperties>
  <legacyDrawing r:id="rId5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5">
    <tabColor theme="9" tint="0.39997558519241921"/>
    <pageSetUpPr fitToPage="1"/>
  </sheetPr>
  <dimension ref="A1:AI192"/>
  <sheetViews>
    <sheetView topLeftCell="K25" zoomScale="85" zoomScaleNormal="85" workbookViewId="0">
      <pane xSplit="4" ySplit="8" topLeftCell="O33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3" width="9.7109375" style="1" hidden="1" customWidth="1" outlineLevel="1"/>
    <col min="14" max="14" width="36.7109375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16384" width="9.140625" style="1"/>
  </cols>
  <sheetData>
    <row r="1" spans="1:35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</row>
    <row r="2" spans="1:35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11"/>
      <c r="H4" s="11"/>
      <c r="I4" s="55"/>
      <c r="J4" s="55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11"/>
      <c r="H5" s="11"/>
      <c r="I5" s="55"/>
      <c r="J5" s="55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idden="1" outlineLevel="1" x14ac:dyDescent="0.25">
      <c r="A6" s="49" t="s">
        <v>52</v>
      </c>
      <c r="B6" s="52" t="s">
        <v>365</v>
      </c>
      <c r="C6" s="11" t="str">
        <f>IF(_epmOfflineCondition_,"Guest Communications",_xll.EVDES(B6,$B$1))</f>
        <v>Guest Communications</v>
      </c>
      <c r="D6" s="11"/>
      <c r="E6" s="54" t="str">
        <f>IF(_epmOfflineCondition_,"D1131",_xll.EVPRO($B$1,$B$6,$F$6))</f>
        <v>D1131</v>
      </c>
      <c r="F6" s="11" t="s">
        <v>278</v>
      </c>
      <c r="G6" s="11"/>
      <c r="H6" s="11"/>
      <c r="I6" s="55"/>
      <c r="J6" s="55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11"/>
      <c r="H7" s="11"/>
      <c r="I7" s="55"/>
      <c r="J7" s="55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11"/>
      <c r="H8" s="11"/>
      <c r="I8" s="55"/>
      <c r="J8" s="55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59" t="str">
        <f>IF(SetUp!$O$1=TRUE,"TRAILING12",IF(AA17="CURRENT","ROLLINGFORECAST","PERIODIC"))</f>
        <v>PERIODIC</v>
      </c>
      <c r="AB11" s="11"/>
      <c r="AC11" s="11"/>
      <c r="AD11" s="11"/>
      <c r="AE11" s="11"/>
      <c r="AF11" s="11"/>
      <c r="AG11" s="11"/>
      <c r="AH11" s="11"/>
      <c r="AI11" s="11"/>
    </row>
    <row r="12" spans="1:35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11"/>
      <c r="M12" s="11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</row>
    <row r="13" spans="1:35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11"/>
      <c r="M13" s="11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</row>
    <row r="14" spans="1:35" hidden="1" outlineLevel="1" x14ac:dyDescent="0.25">
      <c r="A14" s="56" t="str">
        <f>IF(_epmOfflineCondition_,"Evdre:Ok",_xll.EVDRE($B$1,A17:B24,A27:B33))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11"/>
      <c r="M14" s="11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</row>
    <row r="15" spans="1:35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11"/>
      <c r="M15" s="11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</row>
    <row r="16" spans="1:35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11"/>
      <c r="M16" s="11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</row>
    <row r="17" spans="1:35" hidden="1" outlineLevel="1" x14ac:dyDescent="0.25">
      <c r="A17" s="61" t="s">
        <v>2</v>
      </c>
      <c r="B17" s="62" t="str">
        <f>IF(_epmOfflineCondition_,"'Telcom_Legacy'!$B$2:$B$10",_xll.EVRNG($B$2:$B$10))</f>
        <v>'Telcom_Legacy'!$B$2:$B$10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11"/>
      <c r="M17" s="11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 t="str">
        <f>Z17</f>
        <v>ACTUAL_CON</v>
      </c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</row>
    <row r="18" spans="1:35" hidden="1" outlineLevel="1" x14ac:dyDescent="0.25">
      <c r="A18" s="61" t="s">
        <v>3</v>
      </c>
      <c r="B18" s="62" t="str">
        <f>IF(_epmOfflineCondition_,"'Telcom_Legacy'!$O$16:$AI$18",_xll.EVRNG(O16:AI18))</f>
        <v>'Telcom_Legacy'!$O$16:$AI$18</v>
      </c>
      <c r="C18" s="11"/>
      <c r="D18" s="11"/>
      <c r="E18" s="11"/>
      <c r="F18" s="11"/>
      <c r="G18" s="11"/>
      <c r="H18" s="11"/>
      <c r="I18" s="55"/>
      <c r="J18" s="55"/>
      <c r="K18" s="11"/>
      <c r="L18" s="11"/>
      <c r="M18" s="11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11"/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</row>
    <row r="19" spans="1:35" hidden="1" outlineLevel="1" x14ac:dyDescent="0.25">
      <c r="A19" s="61" t="s">
        <v>4</v>
      </c>
      <c r="B19" s="62" t="str">
        <f>IF(_epmOfflineCondition_,"'Telcom_Legacy'!$H$34:$H$39",_xll.EVRNG(H34:H39))</f>
        <v>'Telcom_Legacy'!$H$34:$H$39</v>
      </c>
      <c r="C19" s="11"/>
      <c r="D19" s="11"/>
      <c r="E19" s="11"/>
      <c r="F19" s="11"/>
      <c r="G19" s="63" t="str">
        <f>$B$6</f>
        <v>D_TELCOM</v>
      </c>
      <c r="H19" s="63">
        <v>400000</v>
      </c>
      <c r="I19" s="64"/>
      <c r="J19" s="64"/>
      <c r="K19" s="63"/>
      <c r="L19" s="63"/>
      <c r="M19" s="63"/>
      <c r="N19" s="63" t="str">
        <f>IF(_epmOfflineCondition_,"Total Revenue",_xll.EVDES(H19))</f>
        <v>Total Revenue</v>
      </c>
      <c r="O19" s="65">
        <f>IF(_epmOfflineCondition_,0,_xll.EVGTS($B$1,1,$B$3,$B$5,$B$7,$B$9,O$16,O$17,O$18,$G$19,$H$19))</f>
        <v>0</v>
      </c>
      <c r="P19" s="65">
        <f>IF(_epmOfflineCondition_,0,_xll.EVGTS($B$1,1,$B$3,$B$5,$B$7,$B$9,P$16,P$17,P$18,$G$19,$H$19))</f>
        <v>0</v>
      </c>
      <c r="Q19" s="65">
        <f>IF(_epmOfflineCondition_,0,_xll.EVGTS($B$1,1,$B$3,$B$5,$B$7,$B$9,Q$16,Q$17,Q$18,$G$19,$H$19))</f>
        <v>0</v>
      </c>
      <c r="R19" s="65">
        <f>IF(_epmOfflineCondition_,0,_xll.EVGTS($B$1,1,$B$3,$B$5,$B$7,$B$9,R$16,R$17,R$18,$G$19,$H$19))</f>
        <v>0</v>
      </c>
      <c r="S19" s="65">
        <f>IF(_epmOfflineCondition_,0,_xll.EVGTS($B$1,1,$B$3,$B$5,$B$7,$B$9,S$16,S$17,S$18,$G$19,$H$19))</f>
        <v>0</v>
      </c>
      <c r="T19" s="65">
        <f>IF(_epmOfflineCondition_,0,_xll.EVGTS($B$1,1,$B$3,$B$5,$B$7,$B$9,T$16,T$17,T$18,$G$19,$H$19))</f>
        <v>0</v>
      </c>
      <c r="U19" s="65">
        <f>IF(_epmOfflineCondition_,0,_xll.EVGTS($B$1,1,$B$3,$B$5,$B$7,$B$9,U$16,U$17,U$18,$G$19,$H$19))</f>
        <v>0</v>
      </c>
      <c r="V19" s="65">
        <f>IF(_epmOfflineCondition_,0,_xll.EVGTS($B$1,1,$B$3,$B$5,$B$7,$B$9,V$16,V$17,V$18,$G$19,$H$19))</f>
        <v>0</v>
      </c>
      <c r="W19" s="65">
        <f>IF(_epmOfflineCondition_,0,_xll.EVGTS($B$1,1,$B$3,$B$5,$B$7,$B$9,W$16,W$17,W$18,$G$19,$H$19))</f>
        <v>0</v>
      </c>
      <c r="X19" s="65">
        <f>IF(_epmOfflineCondition_,0,_xll.EVGTS($B$1,1,$B$3,$B$5,$B$7,$B$9,X$16,X$17,X$18,$G$19,$H$19))</f>
        <v>0</v>
      </c>
      <c r="Y19" s="65">
        <f>IF(_epmOfflineCondition_,0,_xll.EVGTS($B$1,1,$B$3,$B$5,$B$7,$B$9,Y$16,Y$17,Y$18,$G$19,$H$19))</f>
        <v>0</v>
      </c>
      <c r="Z19" s="65">
        <f>IF(_epmOfflineCondition_,0,_xll.EVGTS($B$1,1,$B$3,$B$5,$B$7,$B$9,Z$16,Z$17,Z$18,$G$19,$H$19))</f>
        <v>0</v>
      </c>
      <c r="AA19" s="65">
        <f>SUM(O19:Z19)</f>
        <v>0</v>
      </c>
      <c r="AB19" s="63"/>
      <c r="AC19" s="63"/>
      <c r="AD19" s="65">
        <f>IF(_epmOfflineCondition_,0,_xll.EVGTS($B$1,1,$B$3,$B$5,$B$7,$B$9,AD$16,AD$17,AD$18,$G$19,$H$19))</f>
        <v>0</v>
      </c>
      <c r="AE19" s="63"/>
      <c r="AF19" s="63"/>
      <c r="AG19" s="65">
        <f>IF(_epmOfflineCondition_,0,_xll.EVGTS($B$1,1,$B$3,$B$5,$B$7,$B$9,AG$16,AG$17,AG$18,$G$19,$H$19))</f>
        <v>0</v>
      </c>
      <c r="AH19" s="63"/>
      <c r="AI19" s="63"/>
    </row>
    <row r="20" spans="1:35" hidden="1" outlineLevel="1" x14ac:dyDescent="0.25">
      <c r="A20" s="61" t="s">
        <v>5</v>
      </c>
      <c r="B20" s="62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</row>
    <row r="21" spans="1:35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hidden="1" outlineLevel="1" x14ac:dyDescent="0.25">
      <c r="A22" s="61" t="s">
        <v>7</v>
      </c>
      <c r="B22" s="62" t="str">
        <f>IF(_epmOfflineCondition_,"'Telcom_Legacy'!$A$36:$F$40",_xll.EVRNG(A36:F40))</f>
        <v>'Telcom_Legacy'!$A$36:$F$40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idden="1" outlineLevel="1" x14ac:dyDescent="0.25">
      <c r="A23" s="61" t="s">
        <v>47</v>
      </c>
      <c r="B23" s="62" t="str">
        <f>IF(_epmOfflineCondition_,"'Telcom_Legacy'!$A$117:$B$138",_xll.EVRNG($A$117:$B$138))</f>
        <v>'Telcom_Legacy'!$A$117:$B$138</v>
      </c>
      <c r="C23" s="11"/>
      <c r="D23" s="11"/>
      <c r="E23" s="11"/>
      <c r="F23" s="11"/>
      <c r="G23" s="11"/>
      <c r="H23" s="11"/>
      <c r="I23" s="55"/>
      <c r="J23" s="55"/>
      <c r="K23" s="6"/>
      <c r="L23" s="6"/>
      <c r="M23" s="6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22.5" x14ac:dyDescent="0.3">
      <c r="A26" s="57" t="s">
        <v>9</v>
      </c>
      <c r="B26" s="58" t="s">
        <v>10</v>
      </c>
      <c r="C26" s="11"/>
      <c r="D26" s="11"/>
      <c r="E26" s="11"/>
      <c r="F26" s="11"/>
      <c r="G26" s="11"/>
      <c r="H26" s="11"/>
      <c r="I26" s="55"/>
      <c r="J26" s="55"/>
      <c r="K26" s="11"/>
      <c r="L26" s="11"/>
      <c r="M26" s="11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8" x14ac:dyDescent="0.25">
      <c r="A27" s="61" t="s">
        <v>11</v>
      </c>
      <c r="B27" s="62" t="s">
        <v>21</v>
      </c>
      <c r="C27" s="11"/>
      <c r="D27" s="11"/>
      <c r="E27" s="11"/>
      <c r="F27" s="11"/>
      <c r="G27" s="11"/>
      <c r="H27" s="11"/>
      <c r="I27" s="55"/>
      <c r="J27" s="55"/>
      <c r="K27" s="11"/>
      <c r="L27" s="11"/>
      <c r="M27" s="11"/>
      <c r="N27" s="67" t="str">
        <f>IF(_epmOfflineCondition_,"Guest Communications Department",IF(_xll.EVDES(B6,$B$1)="#NODATA","",_xll.EVDES(B6,$B$1)&amp;" Department"))</f>
        <v>Guest Communications Department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.75" x14ac:dyDescent="0.25">
      <c r="A28" s="61" t="s">
        <v>12</v>
      </c>
      <c r="B28" s="62" t="s">
        <v>22</v>
      </c>
      <c r="C28" s="11"/>
      <c r="D28" s="11"/>
      <c r="E28" s="11"/>
      <c r="F28" s="11"/>
      <c r="G28" s="11"/>
      <c r="H28" s="11"/>
      <c r="I28" s="55"/>
      <c r="J28" s="55"/>
      <c r="K28" s="11"/>
      <c r="L28" s="11"/>
      <c r="M28" s="11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ht="15" customHeight="1" x14ac:dyDescent="0.25">
      <c r="A29" s="61" t="s">
        <v>13</v>
      </c>
      <c r="B29" s="62" t="str">
        <f>"DEP(410000) AND "&amp;$E$6&amp;"=Y,400000"</f>
        <v>DEP(410000) AND D1131=Y,400000</v>
      </c>
      <c r="C29" s="11"/>
      <c r="D29" s="11"/>
      <c r="E29" s="11"/>
      <c r="F29" s="11"/>
      <c r="G29" s="11"/>
      <c r="H29" s="11"/>
      <c r="I29" s="55"/>
      <c r="J29" s="55"/>
      <c r="K29" s="11"/>
      <c r="L29" s="11"/>
      <c r="M29" s="11"/>
      <c r="N29" s="68" t="str">
        <f>IF(_epmOfflineCondition_,"Local Currency",_xll.EVDES(B9,B1))</f>
        <v>Local Currency</v>
      </c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25">
      <c r="A30" s="61" t="s">
        <v>14</v>
      </c>
      <c r="B30" s="62"/>
      <c r="C30" s="11"/>
      <c r="D30" s="11"/>
      <c r="E30" s="11"/>
      <c r="F30" s="11"/>
      <c r="G30" s="11"/>
      <c r="H30" s="11"/>
      <c r="I30" s="55"/>
      <c r="J30" s="55"/>
      <c r="K30" s="11"/>
      <c r="L30" s="11"/>
      <c r="M30" s="11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</row>
    <row r="31" spans="1:35" x14ac:dyDescent="0.25">
      <c r="A31" s="61" t="s">
        <v>15</v>
      </c>
      <c r="B31" s="62"/>
      <c r="C31" s="11"/>
      <c r="D31" s="11"/>
      <c r="E31" s="11"/>
      <c r="F31" s="11"/>
      <c r="G31" s="72"/>
      <c r="H31" s="11"/>
      <c r="I31" s="55"/>
      <c r="J31" s="55"/>
      <c r="K31" s="55"/>
      <c r="L31" s="55"/>
      <c r="M31" s="55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</row>
    <row r="32" spans="1:35" s="8" customFormat="1" ht="30" customHeight="1" x14ac:dyDescent="0.25">
      <c r="A32" s="77" t="s">
        <v>16</v>
      </c>
      <c r="B32" s="78"/>
      <c r="C32" s="79"/>
      <c r="D32" s="79"/>
      <c r="E32" s="79"/>
      <c r="F32" s="79"/>
      <c r="G32" s="359"/>
      <c r="H32" s="80"/>
      <c r="I32" s="81"/>
      <c r="J32" s="81"/>
      <c r="K32" s="174" t="s">
        <v>117</v>
      </c>
      <c r="L32" s="174"/>
      <c r="M32" s="174"/>
      <c r="N32" s="82" t="s">
        <v>120</v>
      </c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</row>
    <row r="33" spans="1:35" x14ac:dyDescent="0.25">
      <c r="A33" s="61" t="s">
        <v>17</v>
      </c>
      <c r="B33" s="62"/>
      <c r="C33" s="11"/>
      <c r="D33" s="11"/>
      <c r="E33" s="11"/>
      <c r="F33" s="11"/>
      <c r="G33" s="11"/>
      <c r="H33" s="11" t="s">
        <v>69</v>
      </c>
      <c r="I33" s="55" t="str">
        <f>IF(_epmOfflineCondition_,"B1",_xll.EVPRO($B$1,$H33,"STYLE"))</f>
        <v>B1</v>
      </c>
      <c r="J33" s="55" t="str">
        <f>IF(_epmOfflineCondition_,"Y",_xll.EVPRO($B$1,$H33,"CALC"))</f>
        <v>Y</v>
      </c>
      <c r="K33" s="11"/>
      <c r="L33" s="11"/>
      <c r="M33" s="11"/>
      <c r="N33" s="101" t="str">
        <f>IF(_epmOfflineCondition_,"Revenues",IF(_xll.EVDES(H33,$B$1)="#NODATA","",_xll.EVDES(H33,$B$1)))</f>
        <v>Revenues</v>
      </c>
      <c r="O33" s="125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7"/>
      <c r="AC33" s="11"/>
      <c r="AD33" s="125"/>
      <c r="AE33" s="126"/>
      <c r="AF33" s="127"/>
      <c r="AG33" s="125"/>
      <c r="AH33" s="126"/>
      <c r="AI33" s="127"/>
    </row>
    <row r="34" spans="1:35" x14ac:dyDescent="0.25">
      <c r="A34" s="11"/>
      <c r="B34" s="11"/>
      <c r="C34" s="11"/>
      <c r="D34" s="11"/>
      <c r="E34" s="11"/>
      <c r="F34" s="11"/>
      <c r="G34" s="11"/>
      <c r="H34" s="84" t="s">
        <v>657</v>
      </c>
      <c r="I34" s="118" t="str">
        <f>IF(_epmOfflineCondition_,"N",_xll.EVPRO($B$1,$H34,"STYLE"))</f>
        <v>N</v>
      </c>
      <c r="J34" s="118" t="str">
        <f>IF(_epmOfflineCondition_,"N",_xll.EVPRO($B$1,$H34,"CALC"))</f>
        <v>N</v>
      </c>
      <c r="K34" s="175" t="str">
        <f t="shared" ref="K34:K39" si="0">IF(AND(I34&gt;="T5"),"&gt;","")</f>
        <v/>
      </c>
      <c r="L34" s="86" t="str">
        <f>IF(_epmOfflineCondition_,"410100",_xll.EVPRO($B$1,H34,"JDEID"))</f>
        <v>410100</v>
      </c>
      <c r="M34" s="86" t="str">
        <f>IF(_epmOfflineCondition_,"204010",IF(AND(I34="N",J34="N"),_xll.EVPRO($B$1,H34,"PSFTID"),""))</f>
        <v>204010</v>
      </c>
      <c r="N34" s="86" t="str">
        <f>IF(_epmOfflineCondition_,"Local Call Revenue",IF(_xll.EVDES(H34,$B$1)="#NODATA","",_xll.EVDES(H34,$B$1)))</f>
        <v>Local Call Revenue</v>
      </c>
      <c r="O34" s="453"/>
      <c r="P34" s="223"/>
      <c r="Q34" s="223"/>
      <c r="R34" s="223"/>
      <c r="S34" s="223"/>
      <c r="T34" s="223"/>
      <c r="U34" s="223"/>
      <c r="V34" s="223"/>
      <c r="W34" s="223"/>
      <c r="X34" s="223"/>
      <c r="Y34" s="223"/>
      <c r="Z34" s="223"/>
      <c r="AA34" s="223">
        <f t="shared" ref="AA34:AA39" si="1">IF($I34="B1","",SUM(O34:Z34))</f>
        <v>0</v>
      </c>
      <c r="AB34" s="454" t="str">
        <f t="shared" ref="AB34:AB39" si="2">IF(AA34=0,"",IFERROR(AA34/AA$19,""))</f>
        <v/>
      </c>
      <c r="AC34" s="528"/>
      <c r="AD34" s="223"/>
      <c r="AE34" s="454" t="str">
        <f t="shared" ref="AE34:AE39" si="3">IF(AD34=0,"",IFERROR(AD34/AD$19,""))</f>
        <v/>
      </c>
      <c r="AF34" s="456">
        <f t="shared" ref="AF34:AF39" si="4">IF(AND($AA34="",AD34=""),"",$AA34-AD34)</f>
        <v>0</v>
      </c>
      <c r="AG34" s="223"/>
      <c r="AH34" s="454" t="str">
        <f t="shared" ref="AH34:AH39" si="5">IF(AG34=0,"",IFERROR(AG34/AG$19,""))</f>
        <v/>
      </c>
      <c r="AI34" s="457">
        <f t="shared" ref="AI34:AI39" si="6">IF(AND($AA34="",AG34=""),"",$AA34-AG34)</f>
        <v>0</v>
      </c>
    </row>
    <row r="35" spans="1:35" x14ac:dyDescent="0.25">
      <c r="A35" s="93" t="s">
        <v>92</v>
      </c>
      <c r="B35" s="94" t="s">
        <v>93</v>
      </c>
      <c r="C35" s="94" t="s">
        <v>94</v>
      </c>
      <c r="D35" s="94" t="s">
        <v>95</v>
      </c>
      <c r="E35" s="94" t="s">
        <v>96</v>
      </c>
      <c r="F35" s="95" t="s">
        <v>97</v>
      </c>
      <c r="G35" s="11"/>
      <c r="H35" s="84" t="s">
        <v>658</v>
      </c>
      <c r="I35" s="118" t="str">
        <f>IF(_epmOfflineCondition_,"N",_xll.EVPRO($B$1,$H35,"STYLE"))</f>
        <v>N</v>
      </c>
      <c r="J35" s="118" t="str">
        <f>IF(_epmOfflineCondition_,"N",_xll.EVPRO($B$1,$H35,"CALC"))</f>
        <v>N</v>
      </c>
      <c r="K35" s="175" t="str">
        <f t="shared" si="0"/>
        <v/>
      </c>
      <c r="L35" s="86" t="str">
        <f>IF(_epmOfflineCondition_,"410200",_xll.EVPRO($B$1,H35,"JDEID"))</f>
        <v>410200</v>
      </c>
      <c r="M35" s="86" t="str">
        <f>IF(_epmOfflineCondition_,"204012",IF(AND(I35="N",J35="N"),_xll.EVPRO($B$1,H35,"PSFTID"),""))</f>
        <v>204012</v>
      </c>
      <c r="N35" s="86" t="str">
        <f>IF(_epmOfflineCondition_,"Long Distance Revenue",IF(_xll.EVDES(H35,$B$1)="#NODATA","",_xll.EVDES(H35,$B$1)))</f>
        <v>Long Distance Revenue</v>
      </c>
      <c r="O35" s="453"/>
      <c r="P35" s="223"/>
      <c r="Q35" s="223"/>
      <c r="R35" s="223"/>
      <c r="S35" s="223"/>
      <c r="T35" s="223"/>
      <c r="U35" s="223"/>
      <c r="V35" s="223"/>
      <c r="W35" s="223"/>
      <c r="X35" s="223"/>
      <c r="Y35" s="223"/>
      <c r="Z35" s="223"/>
      <c r="AA35" s="223">
        <f t="shared" si="1"/>
        <v>0</v>
      </c>
      <c r="AB35" s="454" t="str">
        <f t="shared" si="2"/>
        <v/>
      </c>
      <c r="AC35" s="528"/>
      <c r="AD35" s="223"/>
      <c r="AE35" s="454" t="str">
        <f t="shared" si="3"/>
        <v/>
      </c>
      <c r="AF35" s="456">
        <f t="shared" si="4"/>
        <v>0</v>
      </c>
      <c r="AG35" s="223"/>
      <c r="AH35" s="454" t="str">
        <f t="shared" si="5"/>
        <v/>
      </c>
      <c r="AI35" s="457">
        <f t="shared" si="6"/>
        <v>0</v>
      </c>
    </row>
    <row r="36" spans="1:35" x14ac:dyDescent="0.25">
      <c r="A36" s="11"/>
      <c r="B36" s="11"/>
      <c r="C36" s="11"/>
      <c r="D36" s="11"/>
      <c r="E36" s="11"/>
      <c r="F36" s="11"/>
      <c r="G36" s="11"/>
      <c r="H36" s="84" t="s">
        <v>659</v>
      </c>
      <c r="I36" s="118" t="str">
        <f>IF(_epmOfflineCondition_,"N",_xll.EVPRO($B$1,$H36,"STYLE"))</f>
        <v>N</v>
      </c>
      <c r="J36" s="118" t="str">
        <f>IF(_epmOfflineCondition_,"N",_xll.EVPRO($B$1,$H36,"CALC"))</f>
        <v>N</v>
      </c>
      <c r="K36" s="175" t="str">
        <f t="shared" si="0"/>
        <v/>
      </c>
      <c r="L36" s="86" t="str">
        <f>IF(_epmOfflineCondition_,"410300",_xll.EVPRO($B$1,H36,"JDEID"))</f>
        <v>410300</v>
      </c>
      <c r="M36" s="86" t="str">
        <f>IF(_epmOfflineCondition_,"204019",IF(AND(I36="N",J36="N"),_xll.EVPRO($B$1,H36,"PSFTID"),""))</f>
        <v>204019</v>
      </c>
      <c r="N36" s="86" t="str">
        <f>IF(_epmOfflineCondition_,"Internet Revenue",IF(_xll.EVDES(H36,$B$1)="#NODATA","",_xll.EVDES(H36,$B$1)))</f>
        <v>Internet Revenue</v>
      </c>
      <c r="O36" s="453"/>
      <c r="P36" s="223"/>
      <c r="Q36" s="223"/>
      <c r="R36" s="223"/>
      <c r="S36" s="223"/>
      <c r="T36" s="223"/>
      <c r="U36" s="223"/>
      <c r="V36" s="223"/>
      <c r="W36" s="223"/>
      <c r="X36" s="223"/>
      <c r="Y36" s="223"/>
      <c r="Z36" s="223"/>
      <c r="AA36" s="223">
        <f t="shared" si="1"/>
        <v>0</v>
      </c>
      <c r="AB36" s="454" t="str">
        <f t="shared" si="2"/>
        <v/>
      </c>
      <c r="AC36" s="528"/>
      <c r="AD36" s="223"/>
      <c r="AE36" s="454" t="str">
        <f t="shared" si="3"/>
        <v/>
      </c>
      <c r="AF36" s="456">
        <f t="shared" si="4"/>
        <v>0</v>
      </c>
      <c r="AG36" s="223"/>
      <c r="AH36" s="454" t="str">
        <f t="shared" si="5"/>
        <v/>
      </c>
      <c r="AI36" s="457">
        <f t="shared" si="6"/>
        <v>0</v>
      </c>
    </row>
    <row r="37" spans="1:35" x14ac:dyDescent="0.25">
      <c r="A37" s="11" t="s">
        <v>209</v>
      </c>
      <c r="B37" s="11" t="s">
        <v>21</v>
      </c>
      <c r="C37" s="391"/>
      <c r="D37" s="11" t="s">
        <v>590</v>
      </c>
      <c r="E37" s="11"/>
      <c r="F37" s="11" t="s">
        <v>99</v>
      </c>
      <c r="G37" s="11"/>
      <c r="H37" s="84" t="s">
        <v>660</v>
      </c>
      <c r="I37" s="118" t="str">
        <f>IF(_epmOfflineCondition_,"N",_xll.EVPRO($B$1,$H37,"STYLE"))</f>
        <v>N</v>
      </c>
      <c r="J37" s="118" t="str">
        <f>IF(_epmOfflineCondition_,"N",_xll.EVPRO($B$1,$H37,"CALC"))</f>
        <v>N</v>
      </c>
      <c r="K37" s="175" t="str">
        <f t="shared" si="0"/>
        <v/>
      </c>
      <c r="L37" s="86" t="str">
        <f>IF(_epmOfflineCondition_,"410400",_xll.EVPRO($B$1,H37,"JDEID"))</f>
        <v>410400</v>
      </c>
      <c r="M37" s="86" t="str">
        <f>IF(_epmOfflineCondition_,"204098",IF(AND(I37="N",J37="N"),_xll.EVPRO($B$1,H37,"PSFTID"),""))</f>
        <v>204098</v>
      </c>
      <c r="N37" s="86" t="str">
        <f>IF(_epmOfflineCondition_,"Other Revenue",IF(_xll.EVDES(H37,$B$1)="#NODATA","",_xll.EVDES(H37,$B$1)))</f>
        <v>Other Revenue</v>
      </c>
      <c r="O37" s="453"/>
      <c r="P37" s="223"/>
      <c r="Q37" s="223"/>
      <c r="R37" s="223"/>
      <c r="S37" s="223"/>
      <c r="T37" s="223"/>
      <c r="U37" s="223"/>
      <c r="V37" s="223"/>
      <c r="W37" s="223"/>
      <c r="X37" s="223"/>
      <c r="Y37" s="223"/>
      <c r="Z37" s="223"/>
      <c r="AA37" s="223">
        <f t="shared" si="1"/>
        <v>0</v>
      </c>
      <c r="AB37" s="454" t="str">
        <f t="shared" si="2"/>
        <v/>
      </c>
      <c r="AC37" s="528"/>
      <c r="AD37" s="223"/>
      <c r="AE37" s="454" t="str">
        <f t="shared" si="3"/>
        <v/>
      </c>
      <c r="AF37" s="456">
        <f t="shared" si="4"/>
        <v>0</v>
      </c>
      <c r="AG37" s="223"/>
      <c r="AH37" s="454" t="str">
        <f t="shared" si="5"/>
        <v/>
      </c>
      <c r="AI37" s="457">
        <f t="shared" si="6"/>
        <v>0</v>
      </c>
    </row>
    <row r="38" spans="1:35" x14ac:dyDescent="0.25">
      <c r="A38" s="11" t="s">
        <v>105</v>
      </c>
      <c r="B38" s="11"/>
      <c r="C38" s="100" t="s">
        <v>101</v>
      </c>
      <c r="D38" s="11" t="s">
        <v>106</v>
      </c>
      <c r="E38" s="11"/>
      <c r="F38" s="11" t="s">
        <v>98</v>
      </c>
      <c r="G38" s="11"/>
      <c r="H38" s="84" t="s">
        <v>661</v>
      </c>
      <c r="I38" s="118" t="str">
        <f>IF(_epmOfflineCondition_,"N",_xll.EVPRO($B$1,$H38,"STYLE"))</f>
        <v>N</v>
      </c>
      <c r="J38" s="118" t="str">
        <f>IF(_epmOfflineCondition_,"N",_xll.EVPRO($B$1,$H38,"CALC"))</f>
        <v>N</v>
      </c>
      <c r="K38" s="175" t="str">
        <f t="shared" si="0"/>
        <v/>
      </c>
      <c r="L38" s="86" t="str">
        <f>IF(_epmOfflineCondition_,"410500",_xll.EVPRO($B$1,H38,"JDEID"))</f>
        <v>410500</v>
      </c>
      <c r="M38" s="86" t="str">
        <f>IF(_epmOfflineCondition_,"200529",IF(AND(I38="N",J38="N"),_xll.EVPRO($B$1,H38,"PSFTID"),""))</f>
        <v>200529</v>
      </c>
      <c r="N38" s="86" t="str">
        <f>IF(_epmOfflineCondition_,"Guest Comm: Allowances",IF(_xll.EVDES(H38,$B$1)="#NODATA","",_xll.EVDES(H38,$B$1)))</f>
        <v>Guest Comm: Allowances</v>
      </c>
      <c r="O38" s="463"/>
      <c r="P38" s="229"/>
      <c r="Q38" s="229"/>
      <c r="R38" s="229"/>
      <c r="S38" s="229"/>
      <c r="T38" s="229"/>
      <c r="U38" s="229"/>
      <c r="V38" s="229"/>
      <c r="W38" s="229"/>
      <c r="X38" s="229"/>
      <c r="Y38" s="229"/>
      <c r="Z38" s="229"/>
      <c r="AA38" s="229">
        <f t="shared" si="1"/>
        <v>0</v>
      </c>
      <c r="AB38" s="464" t="str">
        <f t="shared" si="2"/>
        <v/>
      </c>
      <c r="AC38" s="455"/>
      <c r="AD38" s="229"/>
      <c r="AE38" s="464" t="str">
        <f t="shared" si="3"/>
        <v/>
      </c>
      <c r="AF38" s="465">
        <f t="shared" si="4"/>
        <v>0</v>
      </c>
      <c r="AG38" s="229"/>
      <c r="AH38" s="464" t="str">
        <f t="shared" si="5"/>
        <v/>
      </c>
      <c r="AI38" s="466">
        <f t="shared" si="6"/>
        <v>0</v>
      </c>
    </row>
    <row r="39" spans="1:35" x14ac:dyDescent="0.25">
      <c r="A39" s="11" t="s">
        <v>108</v>
      </c>
      <c r="B39" s="11"/>
      <c r="C39" s="102" t="s">
        <v>101</v>
      </c>
      <c r="D39" s="11" t="s">
        <v>106</v>
      </c>
      <c r="E39" s="11"/>
      <c r="F39" s="11" t="s">
        <v>98</v>
      </c>
      <c r="G39" s="11"/>
      <c r="H39" s="84" t="s">
        <v>280</v>
      </c>
      <c r="I39" s="184" t="str">
        <f>IF(_epmOfflineCondition_,"T3",_xll.EVPRO($B$1,$H39,"STYLE"))</f>
        <v>T3</v>
      </c>
      <c r="J39" s="184" t="str">
        <f>IF(_epmOfflineCondition_,"Y",_xll.EVPRO($B$1,$H39,"CALC"))</f>
        <v>Y</v>
      </c>
      <c r="K39" s="185" t="str">
        <f t="shared" si="0"/>
        <v/>
      </c>
      <c r="L39" s="186" t="str">
        <f>IF(_epmOfflineCondition_,"400000",_xll.EVPRO($B$1,H39,"JDEID"))</f>
        <v>400000</v>
      </c>
      <c r="M39" s="186" t="str">
        <f>IF(_epmOfflineCondition_,"",IF(AND(I39="N",J39="N"),_xll.EVPRO($B$1,H39,"PSFTID"),""))</f>
        <v/>
      </c>
      <c r="N39" s="186" t="str">
        <f>IF(_epmOfflineCondition_,"Total Revenue",IF(_xll.EVDES(H39,$B$1)="#NODATA","",_xll.EVDES(H39,$B$1)))</f>
        <v>Total Revenue</v>
      </c>
      <c r="O39" s="472"/>
      <c r="P39" s="236"/>
      <c r="Q39" s="236"/>
      <c r="R39" s="236"/>
      <c r="S39" s="236"/>
      <c r="T39" s="236"/>
      <c r="U39" s="236"/>
      <c r="V39" s="236"/>
      <c r="W39" s="236"/>
      <c r="X39" s="236"/>
      <c r="Y39" s="236"/>
      <c r="Z39" s="236"/>
      <c r="AA39" s="236">
        <f t="shared" si="1"/>
        <v>0</v>
      </c>
      <c r="AB39" s="237" t="str">
        <f t="shared" si="2"/>
        <v/>
      </c>
      <c r="AC39" s="238"/>
      <c r="AD39" s="236"/>
      <c r="AE39" s="237" t="str">
        <f t="shared" si="3"/>
        <v/>
      </c>
      <c r="AF39" s="239">
        <f t="shared" si="4"/>
        <v>0</v>
      </c>
      <c r="AG39" s="236"/>
      <c r="AH39" s="237" t="str">
        <f t="shared" si="5"/>
        <v/>
      </c>
      <c r="AI39" s="473">
        <f t="shared" si="6"/>
        <v>0</v>
      </c>
    </row>
    <row r="40" spans="1:35" x14ac:dyDescent="0.25">
      <c r="A40" s="11" t="s">
        <v>108</v>
      </c>
      <c r="B40" s="11"/>
      <c r="C40" s="192" t="s">
        <v>101</v>
      </c>
      <c r="D40" s="11" t="s">
        <v>107</v>
      </c>
      <c r="E40" s="11"/>
      <c r="F40" s="11" t="s">
        <v>99</v>
      </c>
      <c r="G40" s="11"/>
      <c r="H40" s="11"/>
      <c r="I40" s="55"/>
      <c r="J40" s="55"/>
      <c r="K40" s="11"/>
      <c r="L40" s="11"/>
      <c r="M40" s="11"/>
      <c r="N40" s="11"/>
      <c r="O40" s="199"/>
      <c r="P40" s="200"/>
      <c r="Q40" s="200"/>
      <c r="R40" s="200"/>
      <c r="S40" s="200"/>
      <c r="T40" s="200"/>
      <c r="U40" s="200"/>
      <c r="V40" s="200"/>
      <c r="W40" s="200"/>
      <c r="X40" s="200"/>
      <c r="Y40" s="200"/>
      <c r="Z40" s="200"/>
      <c r="AA40" s="200"/>
      <c r="AB40" s="114"/>
      <c r="AC40" s="11"/>
      <c r="AD40" s="199"/>
      <c r="AE40" s="200"/>
      <c r="AF40" s="114"/>
      <c r="AG40" s="199"/>
      <c r="AH40" s="200"/>
      <c r="AI40" s="114"/>
    </row>
    <row r="41" spans="1:35" x14ac:dyDescent="0.25">
      <c r="A41" s="11"/>
      <c r="B41" s="11"/>
      <c r="C41" s="11"/>
      <c r="D41" s="11"/>
      <c r="E41" s="11"/>
      <c r="F41" s="11"/>
      <c r="G41" s="11"/>
      <c r="H41" s="11" t="s">
        <v>281</v>
      </c>
      <c r="I41" s="55" t="str">
        <f>IF(_epmOfflineCondition_,"B1",_xll.EVPRO($B$1,$H41,"STYLE"))</f>
        <v>B1</v>
      </c>
      <c r="J41" s="55" t="str">
        <f>IF(_epmOfflineCondition_,"Y",_xll.EVPRO($B$1,$H41,"CALC"))</f>
        <v>Y</v>
      </c>
      <c r="K41" s="11"/>
      <c r="L41" s="11"/>
      <c r="M41" s="11"/>
      <c r="N41" s="101" t="str">
        <f>IF(_epmOfflineCondition_,"Cost of Sales",IF(_xll.EVDES(H41,$B$1)="#NODATA","",_xll.EVDES(H41,$B$1)))</f>
        <v>Cost of Sales</v>
      </c>
      <c r="O41" s="199"/>
      <c r="P41" s="200"/>
      <c r="Q41" s="200"/>
      <c r="R41" s="200"/>
      <c r="S41" s="200"/>
      <c r="T41" s="200"/>
      <c r="U41" s="200"/>
      <c r="V41" s="200"/>
      <c r="W41" s="200"/>
      <c r="X41" s="200"/>
      <c r="Y41" s="200"/>
      <c r="Z41" s="200"/>
      <c r="AA41" s="200"/>
      <c r="AB41" s="114"/>
      <c r="AC41" s="11"/>
      <c r="AD41" s="199"/>
      <c r="AE41" s="200"/>
      <c r="AF41" s="114"/>
      <c r="AG41" s="199"/>
      <c r="AH41" s="200"/>
      <c r="AI41" s="114"/>
    </row>
    <row r="42" spans="1:35" x14ac:dyDescent="0.25">
      <c r="A42" s="11"/>
      <c r="B42" s="11"/>
      <c r="C42" s="11"/>
      <c r="D42" s="11"/>
      <c r="E42" s="11"/>
      <c r="F42" s="11"/>
      <c r="G42" s="11"/>
      <c r="H42" s="84" t="s">
        <v>662</v>
      </c>
      <c r="I42" s="118" t="str">
        <f>IF(_epmOfflineCondition_,"N",_xll.EVPRO($B$1,$H42,"STYLE"))</f>
        <v>N</v>
      </c>
      <c r="J42" s="118" t="str">
        <f>IF(_epmOfflineCondition_,"N",_xll.EVPRO($B$1,$H42,"CALC"))</f>
        <v>N</v>
      </c>
      <c r="K42" s="175" t="str">
        <f t="shared" ref="K42:K48" si="7">IF(AND(I42&gt;="T5"),"&gt;","")</f>
        <v/>
      </c>
      <c r="L42" s="86" t="str">
        <f>IF(_epmOfflineCondition_,"510100",_xll.EVPRO($B$1,H42,"JDEID"))</f>
        <v>510100</v>
      </c>
      <c r="M42" s="86" t="str">
        <f>IF(_epmOfflineCondition_,"304014",IF(AND(I42="N",J42="N"),_xll.EVPRO($B$1,H42,"PSFTID"),""))</f>
        <v>304014</v>
      </c>
      <c r="N42" s="86" t="str">
        <f>IF(_epmOfflineCondition_,"Cost of Local Calls",IF(_xll.EVDES(H42,$B$1)="#NODATA","",_xll.EVDES(H42,$B$1)))</f>
        <v>Cost of Local Calls</v>
      </c>
      <c r="O42" s="453"/>
      <c r="P42" s="223"/>
      <c r="Q42" s="223"/>
      <c r="R42" s="223"/>
      <c r="S42" s="223"/>
      <c r="T42" s="223"/>
      <c r="U42" s="223"/>
      <c r="V42" s="223"/>
      <c r="W42" s="223"/>
      <c r="X42" s="223"/>
      <c r="Y42" s="223"/>
      <c r="Z42" s="223"/>
      <c r="AA42" s="223">
        <f>IF($I42="B1","",SUM(O42:Z42))</f>
        <v>0</v>
      </c>
      <c r="AB42" s="454" t="str">
        <f>IF(_epmOfflineCondition_,"",IF(AA42=0,"",IFERROR(AA42/_xll.EVGTS($B$1,1,_xll.EVPRO($B$1,$H42,"COSBASIS"),$B$3,$B$5,$B$6,$B$7,$B$9,AA$16,AA$17,AA$11),"")))</f>
        <v/>
      </c>
      <c r="AC42" s="528"/>
      <c r="AD42" s="223"/>
      <c r="AE42" s="454" t="str">
        <f>IF(_epmOfflineCondition_,"",IF(AD42=0,"",IFERROR(AD42/_xll.EVGTS($B$1,1,_xll.EVPRO($B$1,$H42,"COSBASIS"),$B$3,$B$5,$B$6,$B$7,$B$9,AD$16,AD$17,AD$18),"")))</f>
        <v/>
      </c>
      <c r="AF42" s="456">
        <f t="shared" ref="AF42:AF48" si="8">IF(AND($AA42="",AD42=""),"",$AA42-AD42)</f>
        <v>0</v>
      </c>
      <c r="AG42" s="223"/>
      <c r="AH42" s="454" t="str">
        <f>IF(_epmOfflineCondition_,"",IF(AG42=0,"",IFERROR(AG42/_xll.EVGTS($B$1,1,_xll.EVPRO($B$1,$H42,"COSBASIS"),$B$3,$B$5,$B$6,$B$7,$B$9,AG$16,AG$17,AG$18),"")))</f>
        <v/>
      </c>
      <c r="AI42" s="457">
        <f t="shared" ref="AI42:AI48" si="9">IF(AND($AA42="",AG42=""),"",$AA42-AG42)</f>
        <v>0</v>
      </c>
    </row>
    <row r="43" spans="1:35" x14ac:dyDescent="0.25">
      <c r="A43" s="56" t="str">
        <f>IF(_epmOfflineCondition_,"Evdre:Ok",_xll.EVDRE($B$1,A46:B53,A56:B62))</f>
        <v>Evdre:Ok</v>
      </c>
      <c r="B43" s="11"/>
      <c r="C43" s="11"/>
      <c r="D43" s="11"/>
      <c r="E43" s="11"/>
      <c r="F43" s="11"/>
      <c r="G43" s="11"/>
      <c r="H43" s="84" t="s">
        <v>663</v>
      </c>
      <c r="I43" s="118" t="str">
        <f>IF(_epmOfflineCondition_,"N",_xll.EVPRO($B$1,$H43,"STYLE"))</f>
        <v>N</v>
      </c>
      <c r="J43" s="118" t="str">
        <f>IF(_epmOfflineCondition_,"N",_xll.EVPRO($B$1,$H43,"CALC"))</f>
        <v>N</v>
      </c>
      <c r="K43" s="175" t="str">
        <f t="shared" si="7"/>
        <v/>
      </c>
      <c r="L43" s="86" t="str">
        <f>IF(_epmOfflineCondition_,"510200",_xll.EVPRO($B$1,H43,"JDEID"))</f>
        <v>510200</v>
      </c>
      <c r="M43" s="86" t="str">
        <f>IF(_epmOfflineCondition_,"304010",IF(AND(I43="N",J43="N"),_xll.EVPRO($B$1,H43,"PSFTID"),""))</f>
        <v>304010</v>
      </c>
      <c r="N43" s="86" t="str">
        <f>IF(_epmOfflineCondition_,"Cost of Long Distance Calls",IF(_xll.EVDES(H43,$B$1)="#NODATA","",_xll.EVDES(H43,$B$1)))</f>
        <v>Cost of Long Distance Calls</v>
      </c>
      <c r="O43" s="453"/>
      <c r="P43" s="223"/>
      <c r="Q43" s="223"/>
      <c r="R43" s="223"/>
      <c r="S43" s="223"/>
      <c r="T43" s="223"/>
      <c r="U43" s="223"/>
      <c r="V43" s="223"/>
      <c r="W43" s="223"/>
      <c r="X43" s="223"/>
      <c r="Y43" s="223"/>
      <c r="Z43" s="223"/>
      <c r="AA43" s="223">
        <f>IF($I43="B1","",SUM(O43:Z43))</f>
        <v>0</v>
      </c>
      <c r="AB43" s="454" t="str">
        <f>IF(_epmOfflineCondition_,"",IF(AA43=0,"",IFERROR(AA43/_xll.EVGTS($B$1,1,_xll.EVPRO($B$1,$H43,"COSBASIS"),$B$3,$B$5,$B$6,$B$7,$B$9,AA$16,AA$17,AA$11),"")))</f>
        <v/>
      </c>
      <c r="AC43" s="528"/>
      <c r="AD43" s="223"/>
      <c r="AE43" s="454" t="str">
        <f>IF(_epmOfflineCondition_,"",IF(AD43=0,"",IFERROR(AD43/_xll.EVGTS($B$1,1,_xll.EVPRO($B$1,$H43,"COSBASIS"),$B$3,$B$5,$B$6,$B$7,$B$9,AD$16,AD$17,AD$18),"")))</f>
        <v/>
      </c>
      <c r="AF43" s="456">
        <f t="shared" si="8"/>
        <v>0</v>
      </c>
      <c r="AG43" s="223"/>
      <c r="AH43" s="454" t="str">
        <f>IF(_epmOfflineCondition_,"",IF(AG43=0,"",IFERROR(AG43/_xll.EVGTS($B$1,1,_xll.EVPRO($B$1,$H43,"COSBASIS"),$B$3,$B$5,$B$6,$B$7,$B$9,AG$16,AG$17,AG$18),"")))</f>
        <v/>
      </c>
      <c r="AI43" s="457">
        <f t="shared" si="9"/>
        <v>0</v>
      </c>
    </row>
    <row r="44" spans="1:35" x14ac:dyDescent="0.25">
      <c r="A44" s="11"/>
      <c r="B44" s="11"/>
      <c r="C44" s="11"/>
      <c r="D44" s="11"/>
      <c r="E44" s="11"/>
      <c r="F44" s="11"/>
      <c r="G44" s="11"/>
      <c r="H44" s="84" t="s">
        <v>664</v>
      </c>
      <c r="I44" s="118" t="str">
        <f>IF(_epmOfflineCondition_,"N",_xll.EVPRO($B$1,$H44,"STYLE"))</f>
        <v>N</v>
      </c>
      <c r="J44" s="118" t="str">
        <f>IF(_epmOfflineCondition_,"N",_xll.EVPRO($B$1,$H44,"CALC"))</f>
        <v>N</v>
      </c>
      <c r="K44" s="175" t="str">
        <f t="shared" si="7"/>
        <v/>
      </c>
      <c r="L44" s="86" t="str">
        <f>IF(_epmOfflineCondition_,"510300",_xll.EVPRO($B$1,H44,"JDEID"))</f>
        <v>510300</v>
      </c>
      <c r="M44" s="86" t="str">
        <f>IF(_epmOfflineCondition_,"306048",IF(AND(I44="N",J44="N"),_xll.EVPRO($B$1,H44,"PSFTID"),""))</f>
        <v>306048</v>
      </c>
      <c r="N44" s="86" t="str">
        <f>IF(_epmOfflineCondition_,"Cost of Internet Service",IF(_xll.EVDES(H44,$B$1)="#NODATA","",_xll.EVDES(H44,$B$1)))</f>
        <v>Cost of Internet Service</v>
      </c>
      <c r="O44" s="453"/>
      <c r="P44" s="223"/>
      <c r="Q44" s="223"/>
      <c r="R44" s="223"/>
      <c r="S44" s="223"/>
      <c r="T44" s="223"/>
      <c r="U44" s="223"/>
      <c r="V44" s="223"/>
      <c r="W44" s="223"/>
      <c r="X44" s="223"/>
      <c r="Y44" s="223"/>
      <c r="Z44" s="223"/>
      <c r="AA44" s="223">
        <f>IF($I44="B1","",SUM(O44:Z44))</f>
        <v>0</v>
      </c>
      <c r="AB44" s="454" t="str">
        <f>IF(_epmOfflineCondition_,"",IF(AA44=0,"",IFERROR(AA44/_xll.EVGTS($B$1,1,_xll.EVPRO($B$1,$H44,"COSBASIS"),$B$3,$B$5,$B$6,$B$7,$B$9,AA$16,AA$17,AA$11),"")))</f>
        <v/>
      </c>
      <c r="AC44" s="528"/>
      <c r="AD44" s="223"/>
      <c r="AE44" s="454" t="str">
        <f>IF(_epmOfflineCondition_,"",IF(AD44=0,"",IFERROR(AD44/_xll.EVGTS($B$1,1,_xll.EVPRO($B$1,$H44,"COSBASIS"),$B$3,$B$5,$B$6,$B$7,$B$9,AD$16,AD$17,AD$18),"")))</f>
        <v/>
      </c>
      <c r="AF44" s="456">
        <f t="shared" si="8"/>
        <v>0</v>
      </c>
      <c r="AG44" s="223"/>
      <c r="AH44" s="454" t="str">
        <f>IF(_epmOfflineCondition_,"",IF(AG44=0,"",IFERROR(AG44/_xll.EVGTS($B$1,1,_xll.EVPRO($B$1,$H44,"COSBASIS"),$B$3,$B$5,$B$6,$B$7,$B$9,AG$16,AG$17,AG$18),"")))</f>
        <v/>
      </c>
      <c r="AI44" s="457">
        <f t="shared" si="9"/>
        <v>0</v>
      </c>
    </row>
    <row r="45" spans="1:35" x14ac:dyDescent="0.25">
      <c r="A45" s="57" t="s">
        <v>0</v>
      </c>
      <c r="B45" s="58" t="s">
        <v>1</v>
      </c>
      <c r="C45" s="11"/>
      <c r="D45" s="11"/>
      <c r="E45" s="11"/>
      <c r="F45" s="11"/>
      <c r="G45" s="11"/>
      <c r="H45" s="84" t="s">
        <v>665</v>
      </c>
      <c r="I45" s="118" t="str">
        <f>IF(_epmOfflineCondition_,"N",_xll.EVPRO($B$1,$H45,"STYLE"))</f>
        <v>N</v>
      </c>
      <c r="J45" s="118" t="str">
        <f>IF(_epmOfflineCondition_,"N",_xll.EVPRO($B$1,$H45,"CALC"))</f>
        <v>N</v>
      </c>
      <c r="K45" s="175" t="str">
        <f t="shared" si="7"/>
        <v/>
      </c>
      <c r="L45" s="86" t="str">
        <f>IF(_epmOfflineCondition_,"510400",_xll.EVPRO($B$1,H45,"JDEID"))</f>
        <v>510400</v>
      </c>
      <c r="M45" s="86" t="str">
        <f>IF(_epmOfflineCondition_,"306001",IF(AND(I45="N",J45="N"),_xll.EVPRO($B$1,H45,"PSFTID"),""))</f>
        <v>306001</v>
      </c>
      <c r="N45" s="86" t="str">
        <f>IF(_epmOfflineCondition_,"Other Cost of Sales",IF(_xll.EVDES(H45,$B$1)="#NODATA","",_xll.EVDES(H45,$B$1)))</f>
        <v>Other Cost of Sales</v>
      </c>
      <c r="O45" s="463"/>
      <c r="P45" s="229"/>
      <c r="Q45" s="229"/>
      <c r="R45" s="229"/>
      <c r="S45" s="229"/>
      <c r="T45" s="229"/>
      <c r="U45" s="229"/>
      <c r="V45" s="229"/>
      <c r="W45" s="229"/>
      <c r="X45" s="229"/>
      <c r="Y45" s="229"/>
      <c r="Z45" s="229"/>
      <c r="AA45" s="229">
        <f>IF($I45="B1","",SUM(O45:Z45))</f>
        <v>0</v>
      </c>
      <c r="AB45" s="464" t="str">
        <f>IF(_epmOfflineCondition_,"",IF(AA45=0,"",IFERROR(AA45/_xll.EVGTS($B$1,1,_xll.EVPRO($B$1,$H45,"COSBASIS"),$B$3,$B$5,$B$6,$B$7,$B$9,AA$16,AA$17,AA$11),"")))</f>
        <v/>
      </c>
      <c r="AC45" s="455"/>
      <c r="AD45" s="229"/>
      <c r="AE45" s="464" t="str">
        <f>IF(_epmOfflineCondition_,"",IF(AD45=0,"",IFERROR(AD45/_xll.EVGTS($B$1,1,_xll.EVPRO($B$1,$H45,"COSBASIS"),$B$3,$B$5,$B$6,$B$7,$B$9,AD$16,AD$17,AD$18),"")))</f>
        <v/>
      </c>
      <c r="AF45" s="465">
        <f t="shared" si="8"/>
        <v>0</v>
      </c>
      <c r="AG45" s="229"/>
      <c r="AH45" s="464" t="str">
        <f>IF(_epmOfflineCondition_,"",IF(AG45=0,"",IFERROR(AG45/_xll.EVGTS($B$1,1,_xll.EVPRO($B$1,$H45,"COSBASIS"),$B$3,$B$5,$B$6,$B$7,$B$9,AG$16,AG$17,AG$18),"")))</f>
        <v/>
      </c>
      <c r="AI45" s="466">
        <f t="shared" si="9"/>
        <v>0</v>
      </c>
    </row>
    <row r="46" spans="1:35" x14ac:dyDescent="0.25">
      <c r="A46" s="61" t="s">
        <v>2</v>
      </c>
      <c r="B46" s="62" t="str">
        <f>IF(_epmOfflineCondition_,"'Telcom_Legacy'!$B$2:$B$10",_xll.EVRNG($B$2:$B$10))</f>
        <v>'Telcom_Legacy'!$B$2:$B$10</v>
      </c>
      <c r="C46" s="11"/>
      <c r="D46" s="11"/>
      <c r="E46" s="11"/>
      <c r="F46" s="11"/>
      <c r="G46" s="11"/>
      <c r="H46" s="84" t="s">
        <v>289</v>
      </c>
      <c r="I46" s="184" t="str">
        <f>IF(_epmOfflineCondition_,"T3",_xll.EVPRO($B$1,$H46,"STYLE"))</f>
        <v>T3</v>
      </c>
      <c r="J46" s="184" t="str">
        <f>IF(_epmOfflineCondition_,"Y",_xll.EVPRO($B$1,$H46,"CALC"))</f>
        <v>Y</v>
      </c>
      <c r="K46" s="185" t="str">
        <f t="shared" si="7"/>
        <v/>
      </c>
      <c r="L46" s="186" t="str">
        <f>IF(_epmOfflineCondition_,"500001",_xll.EVPRO($B$1,H46,"JDEID"))</f>
        <v>500001</v>
      </c>
      <c r="M46" s="186" t="str">
        <f>IF(_epmOfflineCondition_,"",IF(AND(I46="N",J46="N"),_xll.EVPRO($B$1,H46,"PSFTID"),""))</f>
        <v/>
      </c>
      <c r="N46" s="186" t="str">
        <f>IF(_epmOfflineCondition_,"Total Cost of Sales",IF(_xll.EVDES(H46,$B$1)="#NODATA","",_xll.EVDES(H46,$B$1)))</f>
        <v>Total Cost of Sales</v>
      </c>
      <c r="O46" s="472"/>
      <c r="P46" s="236"/>
      <c r="Q46" s="236"/>
      <c r="R46" s="236"/>
      <c r="S46" s="236"/>
      <c r="T46" s="236"/>
      <c r="U46" s="236"/>
      <c r="V46" s="236"/>
      <c r="W46" s="236"/>
      <c r="X46" s="236"/>
      <c r="Y46" s="236"/>
      <c r="Z46" s="236"/>
      <c r="AA46" s="236">
        <f>IF($I46="B1","",SUM(O46:Z46))</f>
        <v>0</v>
      </c>
      <c r="AB46" s="237" t="str">
        <f>IF(_epmOfflineCondition_,"",IF(AA46=0,"",IFERROR(AA46/_xll.EVGTS($B$1,1,_xll.EVPRO($B$1,$H46,"COSBASIS"),$B$3,$B$5,$B$6,$B$7,$B$9,AA$16,AA$17,AA$11),"")))</f>
        <v/>
      </c>
      <c r="AC46" s="238"/>
      <c r="AD46" s="236"/>
      <c r="AE46" s="237" t="str">
        <f>IF(_epmOfflineCondition_,"",IF(AD46=0,"",IFERROR(AD46/_xll.EVGTS($B$1,1,_xll.EVPRO($B$1,$H46,"COSBASIS"),$B$3,$B$5,$B$6,$B$7,$B$9,AD$16,AD$17,AD$18),"")))</f>
        <v/>
      </c>
      <c r="AF46" s="239">
        <f t="shared" si="8"/>
        <v>0</v>
      </c>
      <c r="AG46" s="236"/>
      <c r="AH46" s="237" t="str">
        <f>IF(_epmOfflineCondition_,"",IF(AG46=0,"",IFERROR(AG46/_xll.EVGTS($B$1,1,_xll.EVPRO($B$1,$H46,"COSBASIS"),$B$3,$B$5,$B$6,$B$7,$B$9,AG$16,AG$17,AG$18),"")))</f>
        <v/>
      </c>
      <c r="AI46" s="473">
        <f t="shared" si="9"/>
        <v>0</v>
      </c>
    </row>
    <row r="47" spans="1:35" x14ac:dyDescent="0.25">
      <c r="A47" s="61" t="s">
        <v>3</v>
      </c>
      <c r="B47" s="62" t="str">
        <f>IF(_epmOfflineCondition_,"'Telcom_Legacy'!$O$16:$AI$18",_xll.EVRNG(O16:AI18))</f>
        <v>'Telcom_Legacy'!$O$16:$AI$18</v>
      </c>
      <c r="C47" s="11"/>
      <c r="D47" s="11"/>
      <c r="E47" s="11"/>
      <c r="F47" s="11"/>
      <c r="G47" s="11"/>
      <c r="H47" s="181" t="s">
        <v>175</v>
      </c>
      <c r="I47" s="85" t="str">
        <f>IF(_epmOfflineCondition_,"B1",_xll.EVPRO($B$1,$H47,"STYLE"))</f>
        <v>B1</v>
      </c>
      <c r="J47" s="85" t="str">
        <f>IF(_epmOfflineCondition_,"Y",_xll.EVPRO($B$1,$H47,"CALC"))</f>
        <v>Y</v>
      </c>
      <c r="K47" s="261" t="str">
        <f t="shared" si="7"/>
        <v/>
      </c>
      <c r="L47" s="261"/>
      <c r="M47" s="261"/>
      <c r="N47" s="102" t="str">
        <f>IF(_epmOfflineCondition_,"BLANKROW",IF(_xll.EVDES(H47,$B$1)="#NODATA","",_xll.EVDES(H47,$B$1)))</f>
        <v>BLANKROW</v>
      </c>
      <c r="O47" s="201"/>
      <c r="P47" s="201"/>
      <c r="Q47" s="201"/>
      <c r="R47" s="201"/>
      <c r="S47" s="201"/>
      <c r="T47" s="201"/>
      <c r="U47" s="201"/>
      <c r="V47" s="201"/>
      <c r="W47" s="201"/>
      <c r="X47" s="201"/>
      <c r="Y47" s="201"/>
      <c r="Z47" s="201"/>
      <c r="AA47" s="201"/>
      <c r="AB47" s="202" t="str">
        <f>IF(_epmOfflineCondition_,"",IF(O47=0,"",IFERROR(O47/_xll.EVGTS($B$1,1,INDEX($C$144:$C$167,MATCH($H47,$A$144:$A$167,0)),$B$3,$B$5,$B$6,$B$7,$B$9,O$16,O$17,O$18),"")))</f>
        <v/>
      </c>
      <c r="AC47" s="11"/>
      <c r="AD47" s="201"/>
      <c r="AE47" s="202" t="str">
        <f>IF(_epmOfflineCondition_,"",IF(AD47=0,"",IFERROR(AD47/_xll.EVGTS($B$1,1,INDEX($C$144:$C$167,MATCH($H47,$A$144:$A$167,0)),$B$3,$B$5,$B$6,$B$7,$B$9,AD$16,AD$17,AD$18),"")))</f>
        <v/>
      </c>
      <c r="AF47" s="203" t="str">
        <f t="shared" si="8"/>
        <v/>
      </c>
      <c r="AG47" s="201"/>
      <c r="AH47" s="202" t="str">
        <f>IF(_epmOfflineCondition_,"",IF(AG47=0,"",IFERROR(AG47/_xll.EVGTS($B$1,1,INDEX($C$144:$C$167,MATCH($H47,$A$144:$A$167,0)),$B$3,$B$5,$B$6,$B$7,$B$9,AG$16,AG$17,AG$18),"")))</f>
        <v/>
      </c>
      <c r="AI47" s="203" t="str">
        <f t="shared" si="9"/>
        <v/>
      </c>
    </row>
    <row r="48" spans="1:35" x14ac:dyDescent="0.25">
      <c r="A48" s="61" t="s">
        <v>4</v>
      </c>
      <c r="B48" s="62" t="str">
        <f>IF(_epmOfflineCondition_,"'Telcom_Legacy'!$H$42:$H$46",_xll.EVRNG(H42:H46))</f>
        <v>'Telcom_Legacy'!$H$42:$H$46</v>
      </c>
      <c r="C48" s="11"/>
      <c r="D48" s="11"/>
      <c r="E48" s="11"/>
      <c r="F48" s="11"/>
      <c r="G48" s="11"/>
      <c r="H48" s="181" t="s">
        <v>292</v>
      </c>
      <c r="I48" s="85" t="str">
        <f>IF(_epmOfflineCondition_,"T3",_xll.EVPRO($B$1,$H48,"STYLE"))</f>
        <v>T3</v>
      </c>
      <c r="J48" s="85" t="str">
        <f>IF(_epmOfflineCondition_,"Y",_xll.EVPRO($B$1,$H48,"CALC"))</f>
        <v>Y</v>
      </c>
      <c r="K48" s="261" t="str">
        <f t="shared" si="7"/>
        <v/>
      </c>
      <c r="L48" s="261"/>
      <c r="M48" s="261"/>
      <c r="N48" s="102" t="str">
        <f>IF(_epmOfflineCondition_,"Gross Profit",IF(_xll.EVDES(H48,$B$1)="#NODATA","",_xll.EVDES(H48,$B$1)))</f>
        <v>Gross Profit</v>
      </c>
      <c r="O48" s="119">
        <f t="shared" ref="O48:Z48" si="10">SUMIF($H$34:$H$46,"400000",O34:O46)-SUMIF($H$34:$H$46,"500001",O34:O46)</f>
        <v>0</v>
      </c>
      <c r="P48" s="119">
        <f t="shared" si="10"/>
        <v>0</v>
      </c>
      <c r="Q48" s="119">
        <f t="shared" si="10"/>
        <v>0</v>
      </c>
      <c r="R48" s="119">
        <f t="shared" si="10"/>
        <v>0</v>
      </c>
      <c r="S48" s="119">
        <f t="shared" si="10"/>
        <v>0</v>
      </c>
      <c r="T48" s="119">
        <f t="shared" si="10"/>
        <v>0</v>
      </c>
      <c r="U48" s="119">
        <f t="shared" si="10"/>
        <v>0</v>
      </c>
      <c r="V48" s="119">
        <f t="shared" si="10"/>
        <v>0</v>
      </c>
      <c r="W48" s="119">
        <f t="shared" si="10"/>
        <v>0</v>
      </c>
      <c r="X48" s="119">
        <f t="shared" si="10"/>
        <v>0</v>
      </c>
      <c r="Y48" s="119">
        <f t="shared" si="10"/>
        <v>0</v>
      </c>
      <c r="Z48" s="119">
        <f t="shared" si="10"/>
        <v>0</v>
      </c>
      <c r="AA48" s="187">
        <f>IF($I48="B1","",SUM(O48:Z48))</f>
        <v>0</v>
      </c>
      <c r="AB48" s="188" t="str">
        <f>IF(AA48=0,"",IFERROR(AA48/AA$19,""))</f>
        <v/>
      </c>
      <c r="AC48" s="11"/>
      <c r="AD48" s="119">
        <f>SUMIF($H$34:$H$46,"400000",AD34:AD46)-SUMIF($H$34:$H$46,"500001",AD34:AD46)</f>
        <v>0</v>
      </c>
      <c r="AE48" s="188" t="str">
        <f>IF(AD48=0,"",IFERROR(AD48/AD$19,""))</f>
        <v/>
      </c>
      <c r="AF48" s="121">
        <f t="shared" si="8"/>
        <v>0</v>
      </c>
      <c r="AG48" s="119">
        <f>SUMIF($H$34:$H$46,"400000",AG34:AG46)-SUMIF($H$34:$H$46,"500001",AG34:AG46)</f>
        <v>0</v>
      </c>
      <c r="AH48" s="188" t="str">
        <f>IF(AG48=0,"",IFERROR(AG48/AG$19,""))</f>
        <v/>
      </c>
      <c r="AI48" s="121">
        <f t="shared" si="9"/>
        <v>0</v>
      </c>
    </row>
    <row r="49" spans="1:35" x14ac:dyDescent="0.25">
      <c r="A49" s="61" t="s">
        <v>5</v>
      </c>
      <c r="B49" s="62"/>
      <c r="C49" s="11"/>
      <c r="D49" s="11"/>
      <c r="E49" s="11"/>
      <c r="F49" s="380"/>
      <c r="G49" s="11"/>
      <c r="H49" s="11"/>
      <c r="I49" s="55"/>
      <c r="J49" s="55"/>
      <c r="K49" s="11"/>
      <c r="L49" s="11"/>
      <c r="M49" s="11"/>
      <c r="N49" s="11"/>
      <c r="O49" s="389"/>
      <c r="P49" s="390"/>
      <c r="Q49" s="390"/>
      <c r="R49" s="390"/>
      <c r="S49" s="390"/>
      <c r="T49" s="390"/>
      <c r="U49" s="390"/>
      <c r="V49" s="390"/>
      <c r="W49" s="390"/>
      <c r="X49" s="390"/>
      <c r="Y49" s="390"/>
      <c r="Z49" s="390"/>
      <c r="AA49" s="390"/>
      <c r="AB49" s="114"/>
      <c r="AC49" s="11"/>
      <c r="AD49" s="199"/>
      <c r="AE49" s="200"/>
      <c r="AF49" s="114"/>
      <c r="AG49" s="200"/>
      <c r="AH49" s="200"/>
      <c r="AI49" s="114"/>
    </row>
    <row r="50" spans="1:35" x14ac:dyDescent="0.25">
      <c r="A50" s="61" t="s">
        <v>6</v>
      </c>
      <c r="B50" s="62"/>
      <c r="C50" s="11"/>
      <c r="D50" s="11"/>
      <c r="E50" s="11"/>
      <c r="F50" s="380"/>
      <c r="G50" s="11"/>
      <c r="H50" s="11" t="s">
        <v>73</v>
      </c>
      <c r="I50" s="55" t="str">
        <f>IF(_epmOfflineCondition_,"B1",_xll.EVPRO($B$1,$H50,"STYLE"))</f>
        <v>B1</v>
      </c>
      <c r="J50" s="55" t="str">
        <f>IF(_epmOfflineCondition_,"Y",_xll.EVPRO($B$1,$H50,"CALC"))</f>
        <v>Y</v>
      </c>
      <c r="K50" s="11"/>
      <c r="L50" s="11"/>
      <c r="M50" s="11"/>
      <c r="N50" s="101" t="str">
        <f>IF(_epmOfflineCondition_,"Labor &amp; Related Expenses",IF(_xll.EVDES(H50,$B$1)="#NODATA","",_xll.EVDES(H50,$B$1)))</f>
        <v>Labor &amp; Related Expenses</v>
      </c>
      <c r="O50" s="199"/>
      <c r="P50" s="200"/>
      <c r="Q50" s="200"/>
      <c r="R50" s="200"/>
      <c r="S50" s="200"/>
      <c r="T50" s="200"/>
      <c r="U50" s="200"/>
      <c r="V50" s="200"/>
      <c r="W50" s="200"/>
      <c r="X50" s="200"/>
      <c r="Y50" s="200"/>
      <c r="Z50" s="200"/>
      <c r="AA50" s="200"/>
      <c r="AB50" s="406"/>
      <c r="AC50" s="11"/>
      <c r="AD50" s="407"/>
      <c r="AE50" s="408"/>
      <c r="AF50" s="114"/>
      <c r="AG50" s="200"/>
      <c r="AH50" s="408"/>
      <c r="AI50" s="114"/>
    </row>
    <row r="51" spans="1:35" x14ac:dyDescent="0.25">
      <c r="A51" s="61" t="s">
        <v>7</v>
      </c>
      <c r="B51" s="62" t="str">
        <f>IF(_epmOfflineCondition_,"'Telcom_Legacy'!$A$65:$F$69",_xll.EVRNG(A65:F69))</f>
        <v>'Telcom_Legacy'!$A$65:$F$69</v>
      </c>
      <c r="C51" s="11"/>
      <c r="D51" s="11"/>
      <c r="E51" s="11"/>
      <c r="F51" s="380"/>
      <c r="G51" s="11"/>
      <c r="H51" s="11" t="s">
        <v>74</v>
      </c>
      <c r="I51" s="55" t="str">
        <f>IF(_epmOfflineCondition_,"B1",_xll.EVPRO($B$1,$H51,"STYLE"))</f>
        <v>B1</v>
      </c>
      <c r="J51" s="55" t="str">
        <f>IF(_epmOfflineCondition_,"Y",_xll.EVPRO($B$1,$H51,"CALC"))</f>
        <v>Y</v>
      </c>
      <c r="K51" s="11"/>
      <c r="L51" s="11"/>
      <c r="M51" s="11"/>
      <c r="N51" s="49" t="str">
        <f>IF(_epmOfflineCondition_,"Salaries &amp; Wages",IF(_xll.EVDES(H51,$B$1)="#NODATA","",_xll.EVDES(H51,$B$1)))</f>
        <v>Salaries &amp; Wages</v>
      </c>
      <c r="O51" s="115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7"/>
      <c r="AC51" s="11"/>
      <c r="AD51" s="115"/>
      <c r="AE51" s="116"/>
      <c r="AF51" s="117"/>
      <c r="AG51" s="116"/>
      <c r="AH51" s="116"/>
      <c r="AI51" s="117"/>
    </row>
    <row r="52" spans="1:35" hidden="1" x14ac:dyDescent="0.25">
      <c r="A52" s="61" t="s">
        <v>47</v>
      </c>
      <c r="B52" s="62" t="str">
        <f>IF(_epmOfflineCondition_,"'Telcom_Legacy'!$A$117:$B$138",_xll.EVRNG($A$117:$B$138))</f>
        <v>'Telcom_Legacy'!$A$117:$B$138</v>
      </c>
      <c r="C52" s="11"/>
      <c r="D52" s="11"/>
      <c r="E52" s="11"/>
      <c r="F52" s="11"/>
      <c r="G52" s="11"/>
      <c r="H52" s="84" t="s">
        <v>668</v>
      </c>
      <c r="I52" s="118" t="str">
        <f>IF(_epmOfflineCondition_,"",_xll.EVPRO($B$1,$H52,"STYLE"))</f>
        <v/>
      </c>
      <c r="J52" s="118" t="str">
        <f>IF(_epmOfflineCondition_,"",_xll.EVPRO($B$1,$H52,"CALC"))</f>
        <v/>
      </c>
      <c r="K52" s="175" t="str">
        <f>IF(AND(I52&gt;="T3"),"&gt;","")</f>
        <v/>
      </c>
      <c r="L52" s="86" t="str">
        <f>IF(_epmOfflineCondition_,"",_xll.EVPRO($B$1,H52,"JDEID"))</f>
        <v/>
      </c>
      <c r="M52" s="86" t="str">
        <f>IF(_epmOfflineCondition_,"",IF(AND(I52="N",J52="N"),_xll.EVPRO($B$1,H52,"PSFTID"),""))</f>
        <v/>
      </c>
      <c r="N52" s="86" t="str">
        <f>IF(_epmOfflineCondition_,"",IF(_xll.EVDES(H52,$B$1)="#NODATA","",_xll.EVDES(H52,$B$1)))</f>
        <v/>
      </c>
      <c r="O52" s="248"/>
      <c r="P52" s="248"/>
      <c r="Q52" s="248"/>
      <c r="R52" s="248"/>
      <c r="S52" s="248"/>
      <c r="T52" s="248"/>
      <c r="U52" s="248"/>
      <c r="V52" s="248"/>
      <c r="W52" s="248"/>
      <c r="X52" s="248"/>
      <c r="Y52" s="248"/>
      <c r="Z52" s="248"/>
      <c r="AA52" s="229">
        <f>IF($I52="B1","",SUM(O52:Z52))</f>
        <v>0</v>
      </c>
      <c r="AB52" s="249" t="str">
        <f>IF(O52=0,"",IFERROR(O52/O$19,""))</f>
        <v/>
      </c>
      <c r="AC52" s="136"/>
      <c r="AD52" s="248"/>
      <c r="AE52" s="249" t="str">
        <f>IF(AD52=0,"",IFERROR(AD52/AD$19,""))</f>
        <v/>
      </c>
      <c r="AF52" s="250">
        <f>IF(AND($AA52="",AD52=""),"",$AA52-AD52)</f>
        <v>0</v>
      </c>
      <c r="AG52" s="248"/>
      <c r="AH52" s="249" t="str">
        <f>IF(AG52=0,"",IFERROR(AG52/AG$19,""))</f>
        <v/>
      </c>
      <c r="AI52" s="250">
        <f>IF(AND($AA52="",AG52=""),"",$AA52-AG52)</f>
        <v>0</v>
      </c>
    </row>
    <row r="53" spans="1:35" hidden="1" x14ac:dyDescent="0.25">
      <c r="A53" s="61" t="s">
        <v>8</v>
      </c>
      <c r="B53" s="62"/>
      <c r="C53" s="11"/>
      <c r="D53" s="11"/>
      <c r="E53" s="11"/>
      <c r="F53" s="11"/>
      <c r="G53" s="11"/>
      <c r="H53" s="84"/>
      <c r="I53" s="118" t="str">
        <f>IF(_epmOfflineCondition_,"",_xll.EVPRO($B$1,$H53,"STYLE"))</f>
        <v/>
      </c>
      <c r="J53" s="118" t="str">
        <f>IF(_epmOfflineCondition_,"",_xll.EVPRO($B$1,$H53,"CALC"))</f>
        <v/>
      </c>
      <c r="K53" s="175" t="str">
        <f>IF(AND(I53&gt;="T3"),"&gt;","")</f>
        <v/>
      </c>
      <c r="L53" s="86" t="str">
        <f>IF(_epmOfflineCondition_,"",_xll.EVPRO($B$1,H53,"JDEID"))</f>
        <v/>
      </c>
      <c r="M53" s="86" t="str">
        <f>IF(_epmOfflineCondition_,"",IF(AND(I53="N",J53="N"),_xll.EVPRO($B$1,H53,"PSFTID"),""))</f>
        <v/>
      </c>
      <c r="N53" s="86" t="str">
        <f>IF(_epmOfflineCondition_,"",IF(_xll.EVDES(H53,$B$1)="#NODATA","",_xll.EVDES(H53,$B$1)))</f>
        <v/>
      </c>
      <c r="O53" s="248"/>
      <c r="P53" s="248"/>
      <c r="Q53" s="248"/>
      <c r="R53" s="248"/>
      <c r="S53" s="248"/>
      <c r="T53" s="248"/>
      <c r="U53" s="248"/>
      <c r="V53" s="248"/>
      <c r="W53" s="248"/>
      <c r="X53" s="248"/>
      <c r="Y53" s="248"/>
      <c r="Z53" s="248"/>
      <c r="AA53" s="229">
        <f>IF($I53="B1","",SUM(O53:Z53))</f>
        <v>0</v>
      </c>
      <c r="AB53" s="249" t="str">
        <f>IF(O53=0,"",IFERROR(O53/O$19,""))</f>
        <v/>
      </c>
      <c r="AC53" s="136"/>
      <c r="AD53" s="248"/>
      <c r="AE53" s="249" t="str">
        <f>IF(AD53=0,"",IFERROR(AD53/AD$19,""))</f>
        <v/>
      </c>
      <c r="AF53" s="250">
        <f>IF(AND($AA53="",AD53=""),"",$AA53-AD53)</f>
        <v>0</v>
      </c>
      <c r="AG53" s="248"/>
      <c r="AH53" s="249" t="str">
        <f>IF(AG53=0,"",IFERROR(AG53/AG$19,""))</f>
        <v/>
      </c>
      <c r="AI53" s="250">
        <f>IF(AND($AA53="",AG53=""),"",$AA53-AG53)</f>
        <v>0</v>
      </c>
    </row>
    <row r="54" spans="1:35" x14ac:dyDescent="0.25">
      <c r="A54" s="11"/>
      <c r="B54" s="11"/>
      <c r="C54" s="11"/>
      <c r="D54" s="11"/>
      <c r="E54" s="11"/>
      <c r="F54" s="11"/>
      <c r="G54" s="11"/>
      <c r="H54" s="84" t="s">
        <v>75</v>
      </c>
      <c r="I54" s="85" t="str">
        <f>IF(_epmOfflineCondition_,"B1",_xll.EVPRO($B$1,$H54,"STYLE"))</f>
        <v>B1</v>
      </c>
      <c r="J54" s="85" t="str">
        <f>IF(_epmOfflineCondition_,"Y",_xll.EVPRO($B$1,$H54,"CALC"))</f>
        <v>Y</v>
      </c>
      <c r="K54" s="261" t="str">
        <f>IF(AND(I54&gt;="T3"),"&gt;","")</f>
        <v/>
      </c>
      <c r="L54" s="102" t="str">
        <f>IF(_epmOfflineCondition_,"",_xll.EVPRO($B$1,H54,"JDEID"))</f>
        <v/>
      </c>
      <c r="M54" s="86" t="str">
        <f>IF(_epmOfflineCondition_,"",IF(AND(I54="N",J54="N"),_xll.EVPRO($B$1,H54,"PSFTID"),""))</f>
        <v/>
      </c>
      <c r="N54" s="102" t="str">
        <f>IF(_epmOfflineCondition_,"Non-Management",IF(_xll.EVDES(H54,$B$1)="#NODATA","",_xll.EVDES(H54,$B$1)))</f>
        <v>Non-Management</v>
      </c>
      <c r="O54" s="193"/>
      <c r="P54" s="193"/>
      <c r="Q54" s="193"/>
      <c r="R54" s="193"/>
      <c r="S54" s="193"/>
      <c r="T54" s="193"/>
      <c r="U54" s="193"/>
      <c r="V54" s="193"/>
      <c r="W54" s="193"/>
      <c r="X54" s="193"/>
      <c r="Y54" s="193"/>
      <c r="Z54" s="193"/>
      <c r="AA54" s="176" t="str">
        <f>IF($I54="B1","",SUM(O54:Z54))</f>
        <v/>
      </c>
      <c r="AB54" s="194" t="str">
        <f>IF(O54=0,"",IFERROR(O54/O$19,""))</f>
        <v/>
      </c>
      <c r="AC54" s="11"/>
      <c r="AD54" s="193"/>
      <c r="AE54" s="194" t="str">
        <f>IF(AD54=0,"",IFERROR(AD54/AD$19,""))</f>
        <v/>
      </c>
      <c r="AF54" s="195" t="str">
        <f>IF(AND($AA54="",AD54=""),"",$AA54-AD54)</f>
        <v/>
      </c>
      <c r="AG54" s="193"/>
      <c r="AH54" s="194" t="str">
        <f>IF(AG54=0,"",IFERROR(AG54/AG$19,""))</f>
        <v/>
      </c>
      <c r="AI54" s="195" t="str">
        <f>IF(AND($AA54="",AG54=""),"",$AA54-AG54)</f>
        <v/>
      </c>
    </row>
    <row r="55" spans="1:35" hidden="1" x14ac:dyDescent="0.25">
      <c r="A55" s="57" t="s">
        <v>9</v>
      </c>
      <c r="B55" s="58" t="s">
        <v>10</v>
      </c>
      <c r="C55" s="11"/>
      <c r="D55" s="11"/>
      <c r="E55" s="11"/>
      <c r="F55" s="11"/>
      <c r="G55" s="11"/>
      <c r="H55" s="84" t="s">
        <v>668</v>
      </c>
      <c r="I55" s="118" t="str">
        <f>IF(_epmOfflineCondition_,"",_xll.EVPRO($B$1,$H55,"STYLE"))</f>
        <v/>
      </c>
      <c r="J55" s="118" t="str">
        <f>IF(_epmOfflineCondition_,"",_xll.EVPRO($B$1,$H55,"CALC"))</f>
        <v/>
      </c>
      <c r="K55" s="175" t="str">
        <f>IF(AND(I55&gt;="T3"),"&gt;","")</f>
        <v/>
      </c>
      <c r="L55" s="86" t="str">
        <f>IF(_epmOfflineCondition_,"",_xll.EVPRO($B$1,H55,"JDEID"))</f>
        <v/>
      </c>
      <c r="M55" s="86" t="str">
        <f>IF(_epmOfflineCondition_,"",IF(AND(I55="N",J55="N"),_xll.EVPRO($B$1,H55,"PSFTID"),""))</f>
        <v/>
      </c>
      <c r="N55" s="86" t="str">
        <f>IF(_epmOfflineCondition_,"",IF(_xll.EVDES(H55,$B$1)="#NODATA","",_xll.EVDES(H55,$B$1)))</f>
        <v/>
      </c>
      <c r="O55" s="248"/>
      <c r="P55" s="248"/>
      <c r="Q55" s="248"/>
      <c r="R55" s="248"/>
      <c r="S55" s="248"/>
      <c r="T55" s="248"/>
      <c r="U55" s="248"/>
      <c r="V55" s="248"/>
      <c r="W55" s="248"/>
      <c r="X55" s="248"/>
      <c r="Y55" s="248"/>
      <c r="Z55" s="248"/>
      <c r="AA55" s="229">
        <f>IF($I55="B1","",SUM(O55:Z55))</f>
        <v>0</v>
      </c>
      <c r="AB55" s="249" t="str">
        <f>IF(O55=0,"",IFERROR(O55/O$19,""))</f>
        <v/>
      </c>
      <c r="AC55" s="136"/>
      <c r="AD55" s="248"/>
      <c r="AE55" s="249" t="str">
        <f>IF(AD55=0,"",IFERROR(AD55/AD$19,""))</f>
        <v/>
      </c>
      <c r="AF55" s="250">
        <f>IF(AND($AA55="",AD55=""),"",$AA55-AD55)</f>
        <v>0</v>
      </c>
      <c r="AG55" s="248"/>
      <c r="AH55" s="249" t="str">
        <f>IF(AG55=0,"",IFERROR(AG55/AG$19,""))</f>
        <v/>
      </c>
      <c r="AI55" s="250">
        <f>IF(AND($AA55="",AG55=""),"",$AA55-AG55)</f>
        <v>0</v>
      </c>
    </row>
    <row r="56" spans="1:35" hidden="1" x14ac:dyDescent="0.25">
      <c r="A56" s="61" t="s">
        <v>11</v>
      </c>
      <c r="B56" s="62" t="s">
        <v>21</v>
      </c>
      <c r="C56" s="11"/>
      <c r="D56" s="11"/>
      <c r="E56" s="11"/>
      <c r="F56" s="11"/>
      <c r="G56" s="72"/>
      <c r="H56" s="84"/>
      <c r="I56" s="118" t="str">
        <f>IF(_epmOfflineCondition_,"",_xll.EVPRO($B$1,$H56,"STYLE"))</f>
        <v/>
      </c>
      <c r="J56" s="118" t="str">
        <f>IF(_epmOfflineCondition_,"",_xll.EVPRO($B$1,$H56,"CALC"))</f>
        <v/>
      </c>
      <c r="K56" s="175" t="str">
        <f>IF(AND(I56&gt;="T3"),"&gt;","")</f>
        <v/>
      </c>
      <c r="L56" s="86" t="str">
        <f>IF(_epmOfflineCondition_,"",_xll.EVPRO($B$1,H56,"JDEID"))</f>
        <v/>
      </c>
      <c r="M56" s="86" t="str">
        <f>IF(_epmOfflineCondition_,"",IF(AND(I56="N",J56="N"),_xll.EVPRO($B$1,H56,"PSFTID"),""))</f>
        <v/>
      </c>
      <c r="N56" s="86" t="str">
        <f>IF(_epmOfflineCondition_,"",IF(_xll.EVDES(H56,$B$1)="#NODATA","",_xll.EVDES(H56,$B$1)))</f>
        <v/>
      </c>
      <c r="O56" s="248"/>
      <c r="P56" s="248"/>
      <c r="Q56" s="248"/>
      <c r="R56" s="248"/>
      <c r="S56" s="248"/>
      <c r="T56" s="248"/>
      <c r="U56" s="248"/>
      <c r="V56" s="248"/>
      <c r="W56" s="248"/>
      <c r="X56" s="248"/>
      <c r="Y56" s="248"/>
      <c r="Z56" s="248"/>
      <c r="AA56" s="229">
        <f>IF($I56="B1","",SUM(O56:Z56))</f>
        <v>0</v>
      </c>
      <c r="AB56" s="249" t="str">
        <f>IF(O56=0,"",IFERROR(O56/O$19,""))</f>
        <v/>
      </c>
      <c r="AC56" s="136"/>
      <c r="AD56" s="248"/>
      <c r="AE56" s="249" t="str">
        <f>IF(AD56=0,"",IFERROR(AD56/AD$19,""))</f>
        <v/>
      </c>
      <c r="AF56" s="250">
        <f>IF(AND($AA56="",AD56=""),"",$AA56-AD56)</f>
        <v>0</v>
      </c>
      <c r="AG56" s="248"/>
      <c r="AH56" s="249" t="str">
        <f>IF(AG56=0,"",IFERROR(AG56/AG$19,""))</f>
        <v/>
      </c>
      <c r="AI56" s="250">
        <f>IF(AND($AA56="",AG56=""),"",$AA56-AG56)</f>
        <v>0</v>
      </c>
    </row>
    <row r="57" spans="1:35" x14ac:dyDescent="0.25">
      <c r="A57" s="61" t="s">
        <v>12</v>
      </c>
      <c r="B57" s="62" t="s">
        <v>22</v>
      </c>
      <c r="C57" s="11"/>
      <c r="D57" s="11"/>
      <c r="E57" s="11"/>
      <c r="F57" s="11"/>
      <c r="G57" s="11"/>
      <c r="H57" s="11"/>
      <c r="I57" s="55"/>
      <c r="J57" s="55"/>
      <c r="K57" s="11"/>
      <c r="L57" s="11"/>
      <c r="M57" s="11"/>
      <c r="N57" s="11"/>
      <c r="O57" s="125"/>
      <c r="P57" s="126"/>
      <c r="Q57" s="126"/>
      <c r="R57" s="126"/>
      <c r="S57" s="126"/>
      <c r="T57" s="126"/>
      <c r="U57" s="126"/>
      <c r="V57" s="126"/>
      <c r="W57" s="126"/>
      <c r="X57" s="126"/>
      <c r="Y57" s="126"/>
      <c r="Z57" s="126"/>
      <c r="AA57" s="126"/>
      <c r="AB57" s="127"/>
      <c r="AC57" s="11"/>
      <c r="AD57" s="125"/>
      <c r="AE57" s="126"/>
      <c r="AF57" s="127"/>
      <c r="AG57" s="125"/>
      <c r="AH57" s="126"/>
      <c r="AI57" s="127"/>
    </row>
    <row r="58" spans="1:35" x14ac:dyDescent="0.25">
      <c r="A58" s="61" t="s">
        <v>13</v>
      </c>
      <c r="B58" s="62" t="str">
        <f>"DEP(510000) AND "&amp;$E$6&amp;"=Y,500001"</f>
        <v>DEP(510000) AND D1131=Y,500001</v>
      </c>
      <c r="C58" s="11"/>
      <c r="D58" s="11"/>
      <c r="E58" s="11"/>
      <c r="F58" s="11"/>
      <c r="G58" s="11"/>
      <c r="H58" s="11" t="s">
        <v>82</v>
      </c>
      <c r="I58" s="55" t="str">
        <f>IF(_epmOfflineCondition_,"B1",_xll.EVPRO($B$1,$H58,"STYLE"))</f>
        <v>B1</v>
      </c>
      <c r="J58" s="55" t="str">
        <f>IF(_epmOfflineCondition_,"Y",_xll.EVPRO($B$1,$H58,"CALC"))</f>
        <v>Y</v>
      </c>
      <c r="K58" s="11"/>
      <c r="L58" s="11"/>
      <c r="M58" s="11"/>
      <c r="N58" s="101" t="str">
        <f>IF(_epmOfflineCondition_,"Other Expenses",IF(_xll.EVDES(H58,$B$1)="#NODATA","",_xll.EVDES(H58,$B$1)))</f>
        <v>Other Expenses</v>
      </c>
      <c r="O58" s="115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7"/>
      <c r="AC58" s="11"/>
      <c r="AD58" s="115"/>
      <c r="AE58" s="116"/>
      <c r="AF58" s="117"/>
      <c r="AG58" s="115"/>
      <c r="AH58" s="116"/>
      <c r="AI58" s="117"/>
    </row>
    <row r="59" spans="1:35" hidden="1" x14ac:dyDescent="0.25">
      <c r="A59" s="61" t="s">
        <v>14</v>
      </c>
      <c r="B59" s="62"/>
      <c r="C59" s="11"/>
      <c r="D59" s="11"/>
      <c r="E59" s="11"/>
      <c r="F59" s="11"/>
      <c r="G59" s="11"/>
      <c r="H59" s="84" t="s">
        <v>668</v>
      </c>
      <c r="I59" s="118" t="str">
        <f>IF(_epmOfflineCondition_,"",_xll.EVPRO($B$1,$H59,"STYLE"))</f>
        <v/>
      </c>
      <c r="J59" s="118" t="str">
        <f>IF(_epmOfflineCondition_,"",_xll.EVPRO($B$1,$H59,"CALC"))</f>
        <v/>
      </c>
      <c r="K59" s="175" t="str">
        <f>IF(AND(I59&lt;&gt;"B1",J59="Y"),"&gt;","")</f>
        <v/>
      </c>
      <c r="L59" s="86" t="str">
        <f>IF(_epmOfflineCondition_,"",_xll.EVPRO($B$1,H59,"JDEID"))</f>
        <v/>
      </c>
      <c r="M59" s="86" t="str">
        <f>IF(_epmOfflineCondition_,"",IF(AND(I59="N",J59="N"),_xll.EVPRO($B$1,H59,"PSFTID"),""))</f>
        <v/>
      </c>
      <c r="N59" s="86" t="str">
        <f>IF(_epmOfflineCondition_,"",IF(_xll.EVDES(H59,$B$1)="#NODATA","",_xll.EVDES(H59,$B$1)))</f>
        <v/>
      </c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223">
        <f>IF($I59="B1","",SUM(O59:Z59))</f>
        <v>0</v>
      </c>
      <c r="AB59" s="138" t="str">
        <f>IF(AA59=0,"",IFERROR(AA59/AA$19,""))</f>
        <v/>
      </c>
      <c r="AC59" s="136"/>
      <c r="AD59" s="134"/>
      <c r="AE59" s="138" t="str">
        <f>IF(AD59=0,"",IFERROR(AD59/AD$19,""))</f>
        <v/>
      </c>
      <c r="AF59" s="137">
        <f>IF(AND($AA59="",AD59=""),"",$AA59-AD59)</f>
        <v>0</v>
      </c>
      <c r="AG59" s="134"/>
      <c r="AH59" s="138" t="str">
        <f>IF(AG59=0,"",IFERROR(AG59/AG$19,""))</f>
        <v/>
      </c>
      <c r="AI59" s="137">
        <f>IF(AND($AA59="",AG59=""),"",$AA59-AG59)</f>
        <v>0</v>
      </c>
    </row>
    <row r="60" spans="1:35" hidden="1" x14ac:dyDescent="0.25">
      <c r="A60" s="61" t="s">
        <v>15</v>
      </c>
      <c r="B60" s="62"/>
      <c r="C60" s="11"/>
      <c r="D60" s="11"/>
      <c r="E60" s="11"/>
      <c r="F60" s="11"/>
      <c r="G60" s="11"/>
      <c r="H60" s="84"/>
      <c r="I60" s="118" t="str">
        <f>IF(_epmOfflineCondition_,"",_xll.EVPRO($B$1,$H60,"STYLE"))</f>
        <v/>
      </c>
      <c r="J60" s="118" t="str">
        <f>IF(_epmOfflineCondition_,"",_xll.EVPRO($B$1,$H60,"CALC"))</f>
        <v/>
      </c>
      <c r="K60" s="175" t="str">
        <f>IF(AND(I60&lt;&gt;"B1",J60="Y"),"&gt;","")</f>
        <v/>
      </c>
      <c r="L60" s="86" t="str">
        <f>IF(_epmOfflineCondition_,"",_xll.EVPRO($B$1,H60,"JDEID"))</f>
        <v/>
      </c>
      <c r="M60" s="86" t="str">
        <f>IF(_epmOfflineCondition_,"",IF(AND(I60="N",J60="N"),_xll.EVPRO($B$1,H60,"PSFTID"),""))</f>
        <v/>
      </c>
      <c r="N60" s="86" t="str">
        <f>IF(_epmOfflineCondition_,"",IF(_xll.EVDES(H60,$B$1)="#NODATA","",_xll.EVDES(H60,$B$1)))</f>
        <v/>
      </c>
      <c r="O60" s="134"/>
      <c r="P60" s="134"/>
      <c r="Q60" s="134"/>
      <c r="R60" s="134"/>
      <c r="S60" s="134"/>
      <c r="T60" s="134"/>
      <c r="U60" s="134"/>
      <c r="V60" s="134"/>
      <c r="W60" s="134"/>
      <c r="X60" s="134"/>
      <c r="Y60" s="134"/>
      <c r="Z60" s="134"/>
      <c r="AA60" s="223">
        <f>IF($I60="B1","",SUM(O60:Z60))</f>
        <v>0</v>
      </c>
      <c r="AB60" s="138" t="str">
        <f>IF(AA60=0,"",IFERROR(AA60/AA$19,""))</f>
        <v/>
      </c>
      <c r="AC60" s="136"/>
      <c r="AD60" s="134"/>
      <c r="AE60" s="138" t="str">
        <f>IF(AD60=0,"",IFERROR(AD60/AD$19,""))</f>
        <v/>
      </c>
      <c r="AF60" s="137">
        <f>IF(AND($AA60="",AD60=""),"",$AA60-AD60)</f>
        <v>0</v>
      </c>
      <c r="AG60" s="134"/>
      <c r="AH60" s="138" t="str">
        <f>IF(AG60=0,"",IFERROR(AG60/AG$19,""))</f>
        <v/>
      </c>
      <c r="AI60" s="137">
        <f>IF(AND($AA60="",AG60=""),"",$AA60-AG60)</f>
        <v>0</v>
      </c>
    </row>
    <row r="61" spans="1:35" x14ac:dyDescent="0.25">
      <c r="A61" s="61" t="s">
        <v>16</v>
      </c>
      <c r="B61" s="62"/>
      <c r="C61" s="11"/>
      <c r="D61" s="11"/>
      <c r="E61" s="11"/>
      <c r="F61" s="11"/>
      <c r="G61" s="11"/>
      <c r="H61" s="84" t="s">
        <v>79</v>
      </c>
      <c r="I61" s="132" t="str">
        <f>IF(_epmOfflineCondition_,"T3",_xll.EVPRO($B$1,$H61,"STYLE"))</f>
        <v>T3</v>
      </c>
      <c r="J61" s="132" t="str">
        <f>IF(_epmOfflineCondition_,"Y",_xll.EVPRO($B$1,$H61,"CALC"))</f>
        <v>Y</v>
      </c>
      <c r="K61" s="100"/>
      <c r="L61" s="100"/>
      <c r="M61" s="100"/>
      <c r="N61" s="102" t="str">
        <f>IF(_epmOfflineCondition_,"Total Operations Expense",IF(_xll.EVDES(H61,$B$1)="#NODATA","",_xll.EVDES(H61,$B$1)))</f>
        <v>Total Operations Expense</v>
      </c>
      <c r="O61" s="146"/>
      <c r="P61" s="146"/>
      <c r="Q61" s="146"/>
      <c r="R61" s="146"/>
      <c r="S61" s="146"/>
      <c r="T61" s="146"/>
      <c r="U61" s="146"/>
      <c r="V61" s="146"/>
      <c r="W61" s="146"/>
      <c r="X61" s="146"/>
      <c r="Y61" s="146"/>
      <c r="Z61" s="146"/>
      <c r="AA61" s="146">
        <f>IF($I61="B1","",SUM(O61:Z61))</f>
        <v>0</v>
      </c>
      <c r="AB61" s="147" t="str">
        <f>IF(AA61=0,"",IFERROR(AA61/AA$19,""))</f>
        <v/>
      </c>
      <c r="AC61" s="136"/>
      <c r="AD61" s="146"/>
      <c r="AE61" s="147" t="str">
        <f>IF(AD61=0,"",IFERROR(AD61/AD$19,""))</f>
        <v/>
      </c>
      <c r="AF61" s="148">
        <f>IF(AND($AA61="",AD61=""),"",$AA61-AD61)</f>
        <v>0</v>
      </c>
      <c r="AG61" s="146"/>
      <c r="AH61" s="147" t="str">
        <f>IF(AG61=0,"",IFERROR(AG61/AG$19,""))</f>
        <v/>
      </c>
      <c r="AI61" s="148">
        <f>IF(AND($AA61="",AG61=""),"",$AA61-AG61)</f>
        <v>0</v>
      </c>
    </row>
    <row r="62" spans="1:35" x14ac:dyDescent="0.25">
      <c r="A62" s="61" t="s">
        <v>17</v>
      </c>
      <c r="B62" s="62"/>
      <c r="C62" s="11"/>
      <c r="D62" s="11"/>
      <c r="E62" s="11"/>
      <c r="F62" s="11"/>
      <c r="G62" s="11"/>
      <c r="H62" s="11"/>
      <c r="I62" s="55"/>
      <c r="J62" s="55"/>
      <c r="K62" s="11"/>
      <c r="L62" s="11"/>
      <c r="M62" s="11"/>
      <c r="N62" s="11"/>
      <c r="O62" s="136"/>
      <c r="P62" s="136"/>
      <c r="Q62" s="136"/>
      <c r="R62" s="136"/>
      <c r="S62" s="136"/>
      <c r="T62" s="136"/>
      <c r="U62" s="136"/>
      <c r="V62" s="136"/>
      <c r="W62" s="136"/>
      <c r="X62" s="136"/>
      <c r="Y62" s="136"/>
      <c r="Z62" s="136"/>
      <c r="AA62" s="136"/>
      <c r="AB62" s="136"/>
      <c r="AC62" s="136"/>
      <c r="AD62" s="136"/>
      <c r="AE62" s="136"/>
      <c r="AF62" s="136"/>
      <c r="AG62" s="136"/>
      <c r="AH62" s="136"/>
      <c r="AI62" s="136"/>
    </row>
    <row r="63" spans="1:35" x14ac:dyDescent="0.25">
      <c r="A63" s="11"/>
      <c r="B63" s="11"/>
      <c r="C63" s="11"/>
      <c r="D63" s="11"/>
      <c r="E63" s="11"/>
      <c r="F63" s="11"/>
      <c r="G63" s="11"/>
      <c r="H63" s="84" t="s">
        <v>80</v>
      </c>
      <c r="I63" s="132" t="str">
        <f>IF(_epmOfflineCondition_,"T3",_xll.EVPRO($B$1,$H63,"STYLE"))</f>
        <v>T3</v>
      </c>
      <c r="J63" s="132" t="str">
        <f>IF(_epmOfflineCondition_,"Y",_xll.EVPRO($B$1,$H63,"CALC"))</f>
        <v>Y</v>
      </c>
      <c r="K63" s="102"/>
      <c r="L63" s="102"/>
      <c r="M63" s="102"/>
      <c r="N63" s="102" t="str">
        <f>IF(_epmOfflineCondition_,"Total Expenses",IF(_xll.EVDES(H63,$B$1)="#NODATA","",_xll.EVDES(H63,$B$1)))</f>
        <v>Total Expenses</v>
      </c>
      <c r="O63" s="210"/>
      <c r="P63" s="210"/>
      <c r="Q63" s="210"/>
      <c r="R63" s="210"/>
      <c r="S63" s="210"/>
      <c r="T63" s="210"/>
      <c r="U63" s="210"/>
      <c r="V63" s="210"/>
      <c r="W63" s="210"/>
      <c r="X63" s="210"/>
      <c r="Y63" s="210"/>
      <c r="Z63" s="210"/>
      <c r="AA63" s="210">
        <f>IF($I63="B1","",SUM(O63:Z63))</f>
        <v>0</v>
      </c>
      <c r="AB63" s="211" t="str">
        <f>IF(AA63=0,"",IFERROR(AA63/AA$19,""))</f>
        <v/>
      </c>
      <c r="AC63" s="136"/>
      <c r="AD63" s="210"/>
      <c r="AE63" s="211" t="str">
        <f>IF(AD63=0,"",IFERROR(AD63/AD$19,""))</f>
        <v/>
      </c>
      <c r="AF63" s="212">
        <f>IF(AND($AA63="",AD63=""),"",$AA63-AD63)</f>
        <v>0</v>
      </c>
      <c r="AG63" s="213"/>
      <c r="AH63" s="214" t="str">
        <f>IF(AG63=0,"",IFERROR(AG63/AG$19,""))</f>
        <v/>
      </c>
      <c r="AI63" s="212">
        <f>IF(AND($AA63="",AG63=""),"",$AA63-AG63)</f>
        <v>0</v>
      </c>
    </row>
    <row r="64" spans="1:35" ht="15.75" thickBot="1" x14ac:dyDescent="0.3">
      <c r="A64" s="93" t="s">
        <v>92</v>
      </c>
      <c r="B64" s="94" t="s">
        <v>93</v>
      </c>
      <c r="C64" s="94" t="s">
        <v>94</v>
      </c>
      <c r="D64" s="94" t="s">
        <v>95</v>
      </c>
      <c r="E64" s="94" t="s">
        <v>96</v>
      </c>
      <c r="F64" s="95" t="s">
        <v>97</v>
      </c>
      <c r="G64" s="11"/>
      <c r="H64" s="84" t="s">
        <v>81</v>
      </c>
      <c r="I64" s="132" t="str">
        <f>IF(_epmOfflineCondition_,"T3",_xll.EVPRO($B$1,$H64,"STYLE"))</f>
        <v>T3</v>
      </c>
      <c r="J64" s="132" t="str">
        <f>IF(_epmOfflineCondition_,"Y",_xll.EVPRO($B$1,$H64,"CALC"))</f>
        <v>Y</v>
      </c>
      <c r="K64" s="102"/>
      <c r="L64" s="102"/>
      <c r="M64" s="102"/>
      <c r="N64" s="102" t="str">
        <f>IF(_epmOfflineCondition_,"Department Profit (Loss)",IF(_xll.EVDES(H64,$B$1)="#NODATA","",_xll.EVDES(H64,$B$1)))</f>
        <v>Department Profit (Loss)</v>
      </c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Z64" s="161"/>
      <c r="AA64" s="161">
        <f>IF($I64="B1","",SUM(O64:Z64))</f>
        <v>0</v>
      </c>
      <c r="AB64" s="162" t="str">
        <f>IF(AA64=0,"",IFERROR(AA64/AA$19,""))</f>
        <v/>
      </c>
      <c r="AC64" s="136"/>
      <c r="AD64" s="161"/>
      <c r="AE64" s="162" t="str">
        <f>IF(AD64=0,"",IFERROR(AD64/AD$19,""))</f>
        <v/>
      </c>
      <c r="AF64" s="163">
        <f>IF(AND($AA64="",AD64=""),"",$AA64-AD64)</f>
        <v>0</v>
      </c>
      <c r="AG64" s="161"/>
      <c r="AH64" s="162" t="str">
        <f>IF(AG64=0,"",IFERROR(AG64/AG$19,""))</f>
        <v/>
      </c>
      <c r="AI64" s="163">
        <f>IF(AND($AA64="",AG64=""),"",$AA64-AG64)</f>
        <v>0</v>
      </c>
    </row>
    <row r="65" spans="1:35" ht="15.75" thickTop="1" x14ac:dyDescent="0.25">
      <c r="A65" s="11"/>
      <c r="B65" s="11"/>
      <c r="C65" s="11"/>
      <c r="D65" s="11"/>
      <c r="E65" s="11"/>
      <c r="F65" s="11"/>
      <c r="G65" s="11"/>
      <c r="H65" s="11"/>
      <c r="I65" s="55"/>
      <c r="J65" s="55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</row>
    <row r="66" spans="1:35" x14ac:dyDescent="0.25">
      <c r="A66" s="11" t="s">
        <v>209</v>
      </c>
      <c r="B66" s="11" t="s">
        <v>21</v>
      </c>
      <c r="C66" s="391"/>
      <c r="D66" s="11" t="s">
        <v>590</v>
      </c>
      <c r="E66" s="11"/>
      <c r="F66" s="11" t="s">
        <v>99</v>
      </c>
      <c r="G66" s="11"/>
      <c r="H66" s="11"/>
      <c r="I66" s="55"/>
      <c r="J66" s="55"/>
      <c r="K66" s="11"/>
      <c r="L66" s="11"/>
      <c r="M66" s="11"/>
      <c r="N66" s="100" t="str">
        <f>N63&amp;" - Check"</f>
        <v>Total Expenses - Check</v>
      </c>
      <c r="O66" s="205">
        <f t="shared" ref="O66:AA66" si="11">SUMIF($H$34:$H$64,"600000",O$34:O$64)+SUMIF($H$34:$H$64,"700000",O$34:O$64)-SUMIF($H$34:$H$64,"TOTDEPTEXP",O$34:O$64)</f>
        <v>0</v>
      </c>
      <c r="P66" s="205">
        <f t="shared" si="11"/>
        <v>0</v>
      </c>
      <c r="Q66" s="205">
        <f t="shared" si="11"/>
        <v>0</v>
      </c>
      <c r="R66" s="205">
        <f t="shared" si="11"/>
        <v>0</v>
      </c>
      <c r="S66" s="205">
        <f t="shared" si="11"/>
        <v>0</v>
      </c>
      <c r="T66" s="205">
        <f t="shared" si="11"/>
        <v>0</v>
      </c>
      <c r="U66" s="205">
        <f t="shared" si="11"/>
        <v>0</v>
      </c>
      <c r="V66" s="205">
        <f t="shared" si="11"/>
        <v>0</v>
      </c>
      <c r="W66" s="205">
        <f t="shared" si="11"/>
        <v>0</v>
      </c>
      <c r="X66" s="205">
        <f t="shared" si="11"/>
        <v>0</v>
      </c>
      <c r="Y66" s="205">
        <f t="shared" si="11"/>
        <v>0</v>
      </c>
      <c r="Z66" s="205">
        <f t="shared" si="11"/>
        <v>0</v>
      </c>
      <c r="AA66" s="205">
        <f t="shared" si="11"/>
        <v>0</v>
      </c>
      <c r="AB66" s="96"/>
      <c r="AC66" s="11"/>
      <c r="AD66" s="205">
        <f>SUMIF($H$34:$H$64,"600000",AD$34:AD$64)+SUMIF($H$34:$H$64,"700000",AD$34:AD$64)-SUMIF($H$34:$H$64,"TOTDEPTEXP",AD$34:AD$64)</f>
        <v>0</v>
      </c>
      <c r="AE66" s="96"/>
      <c r="AF66" s="87"/>
      <c r="AG66" s="205">
        <f>SUMIF($H$34:$H$64,"600000",AG$34:AG$64)+SUMIF($H$34:$H$64,"700000",AG$34:AG$64)-SUMIF($H$34:$H$64,"TOTDEPTEXP",AG$34:AG$64)</f>
        <v>0</v>
      </c>
      <c r="AH66" s="96"/>
      <c r="AI66" s="87"/>
    </row>
    <row r="67" spans="1:35" x14ac:dyDescent="0.25">
      <c r="A67" s="11" t="s">
        <v>105</v>
      </c>
      <c r="B67" s="11"/>
      <c r="C67" s="100" t="s">
        <v>101</v>
      </c>
      <c r="D67" s="11" t="s">
        <v>106</v>
      </c>
      <c r="E67" s="11"/>
      <c r="F67" s="11" t="s">
        <v>98</v>
      </c>
      <c r="G67" s="11"/>
      <c r="H67" s="11"/>
      <c r="I67" s="55"/>
      <c r="J67" s="55"/>
      <c r="K67" s="11"/>
      <c r="L67" s="11"/>
      <c r="M67" s="11"/>
      <c r="N67" s="100" t="str">
        <f>N64&amp;" - Check"</f>
        <v>Department Profit (Loss) - Check</v>
      </c>
      <c r="O67" s="205">
        <f t="shared" ref="O67:AA67" si="12">SUMIF($H$34:$H$64,"KPI_GP",O$34:O$64)-SUMIF($H$34:$H$64,"TOTDEPTEXP",O$34:O$64)-SUMIF($H$34:$H$64,"TOTDEPTPL",O$34:O$64)</f>
        <v>0</v>
      </c>
      <c r="P67" s="205">
        <f t="shared" si="12"/>
        <v>0</v>
      </c>
      <c r="Q67" s="205">
        <f t="shared" si="12"/>
        <v>0</v>
      </c>
      <c r="R67" s="205">
        <f t="shared" si="12"/>
        <v>0</v>
      </c>
      <c r="S67" s="205">
        <f t="shared" si="12"/>
        <v>0</v>
      </c>
      <c r="T67" s="205">
        <f t="shared" si="12"/>
        <v>0</v>
      </c>
      <c r="U67" s="205">
        <f t="shared" si="12"/>
        <v>0</v>
      </c>
      <c r="V67" s="205">
        <f t="shared" si="12"/>
        <v>0</v>
      </c>
      <c r="W67" s="205">
        <f t="shared" si="12"/>
        <v>0</v>
      </c>
      <c r="X67" s="205">
        <f t="shared" si="12"/>
        <v>0</v>
      </c>
      <c r="Y67" s="205">
        <f t="shared" si="12"/>
        <v>0</v>
      </c>
      <c r="Z67" s="205">
        <f t="shared" si="12"/>
        <v>0</v>
      </c>
      <c r="AA67" s="205">
        <f t="shared" si="12"/>
        <v>0</v>
      </c>
      <c r="AB67" s="96"/>
      <c r="AC67" s="11"/>
      <c r="AD67" s="205">
        <f>SUMIF($H$34:$H$64,"KPI_GP",AD$34:AD$64)-SUMIF($H$34:$H$64,"TOTDEPTEXP",AD$34:AD$64)-SUMIF($H$34:$H$64,"TOTDEPTPL",AD$34:AD$64)</f>
        <v>0</v>
      </c>
      <c r="AE67" s="96"/>
      <c r="AF67" s="87"/>
      <c r="AG67" s="205">
        <f>SUMIF($H$34:$H$64,"KPI_GP",AG$34:AG$64)-SUMIF($H$34:$H$64,"TOTDEPTEXP",AG$34:AG$64)-SUMIF($H$34:$H$64,"TOTDEPTPL",AG$34:AG$64)</f>
        <v>0</v>
      </c>
      <c r="AH67" s="96"/>
      <c r="AI67" s="87"/>
    </row>
    <row r="68" spans="1:35" x14ac:dyDescent="0.25">
      <c r="A68" s="11" t="s">
        <v>108</v>
      </c>
      <c r="B68" s="11"/>
      <c r="C68" s="102" t="s">
        <v>101</v>
      </c>
      <c r="D68" s="11" t="s">
        <v>106</v>
      </c>
      <c r="E68" s="11"/>
      <c r="F68" s="11" t="s">
        <v>98</v>
      </c>
      <c r="G68" s="11"/>
      <c r="H68" s="11"/>
      <c r="I68" s="55"/>
      <c r="J68" s="55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</row>
    <row r="69" spans="1:35" x14ac:dyDescent="0.25">
      <c r="A69" s="11" t="s">
        <v>108</v>
      </c>
      <c r="B69" s="11"/>
      <c r="C69" s="192" t="s">
        <v>101</v>
      </c>
      <c r="D69" s="11" t="s">
        <v>107</v>
      </c>
      <c r="E69" s="11"/>
      <c r="F69" s="11" t="s">
        <v>99</v>
      </c>
      <c r="G69" s="11"/>
      <c r="H69" s="11"/>
      <c r="I69" s="55"/>
      <c r="J69" s="55"/>
      <c r="K69" s="11"/>
      <c r="L69" s="11"/>
      <c r="M69" s="11"/>
      <c r="N69" s="11"/>
      <c r="O69" s="133"/>
      <c r="P69" s="133"/>
      <c r="Q69" s="133"/>
      <c r="R69" s="133"/>
      <c r="S69" s="133"/>
      <c r="T69" s="133"/>
      <c r="U69" s="133"/>
      <c r="V69" s="133"/>
      <c r="W69" s="133"/>
      <c r="X69" s="133"/>
      <c r="Y69" s="133"/>
      <c r="Z69" s="133"/>
      <c r="AA69" s="133"/>
      <c r="AB69" s="11"/>
      <c r="AC69" s="11"/>
      <c r="AD69" s="133"/>
      <c r="AE69" s="11"/>
      <c r="AF69" s="11"/>
      <c r="AG69" s="133"/>
      <c r="AH69" s="11"/>
      <c r="AI69" s="11"/>
    </row>
    <row r="70" spans="1:35" x14ac:dyDescent="0.25">
      <c r="A70" s="11"/>
      <c r="B70" s="11"/>
      <c r="C70" s="11"/>
      <c r="D70" s="11"/>
      <c r="E70" s="11"/>
      <c r="F70" s="11"/>
      <c r="G70" s="11"/>
      <c r="H70" s="11"/>
      <c r="I70" s="55"/>
      <c r="J70" s="55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</row>
    <row r="71" spans="1:35" x14ac:dyDescent="0.25">
      <c r="A71" s="11"/>
      <c r="B71" s="11"/>
      <c r="C71" s="204"/>
      <c r="D71" s="11"/>
      <c r="E71" s="11"/>
      <c r="F71" s="11"/>
      <c r="G71" s="11"/>
      <c r="H71" s="11"/>
      <c r="I71" s="55"/>
      <c r="J71" s="55"/>
      <c r="K71" s="11"/>
      <c r="L71" s="11"/>
      <c r="M71" s="11"/>
      <c r="N71" s="11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11"/>
      <c r="AC71" s="11"/>
      <c r="AD71" s="133"/>
      <c r="AE71" s="11"/>
      <c r="AF71" s="11"/>
      <c r="AG71" s="133"/>
      <c r="AH71" s="11"/>
      <c r="AI71" s="11"/>
    </row>
    <row r="72" spans="1:35" x14ac:dyDescent="0.25">
      <c r="A72" s="56" t="str">
        <f>IF(_epmOfflineCondition_,"Evdre:Ok",_xll.EVDRE($B$1,A75:B82,A85:B91))</f>
        <v>Evdre:Ok</v>
      </c>
      <c r="B72" s="11"/>
      <c r="C72" s="11"/>
      <c r="D72" s="11"/>
      <c r="E72" s="11"/>
      <c r="F72" s="11"/>
      <c r="G72" s="11"/>
      <c r="H72" s="11"/>
      <c r="I72" s="55"/>
      <c r="J72" s="55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</row>
    <row r="73" spans="1:35" x14ac:dyDescent="0.25">
      <c r="A73" s="11"/>
      <c r="B73" s="11"/>
      <c r="C73" s="11"/>
      <c r="D73" s="11"/>
      <c r="E73" s="11"/>
      <c r="F73" s="11"/>
      <c r="G73" s="11"/>
      <c r="H73" s="11"/>
      <c r="I73" s="55"/>
      <c r="J73" s="55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</row>
    <row r="74" spans="1:35" x14ac:dyDescent="0.25">
      <c r="A74" s="57" t="s">
        <v>0</v>
      </c>
      <c r="B74" s="58" t="s">
        <v>1</v>
      </c>
      <c r="C74" s="11"/>
      <c r="D74" s="11"/>
      <c r="E74" s="11"/>
      <c r="F74" s="11"/>
      <c r="G74" s="11"/>
      <c r="H74" s="55"/>
      <c r="I74" s="55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</row>
    <row r="75" spans="1:35" x14ac:dyDescent="0.25">
      <c r="A75" s="61" t="s">
        <v>2</v>
      </c>
      <c r="B75" s="62" t="str">
        <f>IF(_epmOfflineCondition_,"'Telcom_Legacy'!$B$2:$B$10",_xll.EVRNG($B$2:$B$10))</f>
        <v>'Telcom_Legacy'!$B$2:$B$10</v>
      </c>
      <c r="C75" s="11"/>
      <c r="D75" s="11"/>
      <c r="E75" s="11"/>
      <c r="F75" s="11"/>
      <c r="G75" s="11"/>
      <c r="H75" s="55"/>
      <c r="I75" s="55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</row>
    <row r="76" spans="1:35" x14ac:dyDescent="0.25">
      <c r="A76" s="61" t="s">
        <v>3</v>
      </c>
      <c r="B76" s="62" t="str">
        <f>IF(_epmOfflineCondition_,"'Telcom_Legacy'!$O$16:$AI$18",_xll.EVRNG(O16:AI18))</f>
        <v>'Telcom_Legacy'!$O$16:$AI$18</v>
      </c>
      <c r="C76" s="11"/>
      <c r="D76" s="11"/>
      <c r="E76" s="11"/>
      <c r="F76" s="11"/>
      <c r="G76" s="11"/>
      <c r="H76" s="55"/>
      <c r="I76" s="55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</row>
    <row r="77" spans="1:35" x14ac:dyDescent="0.25">
      <c r="A77" s="61" t="s">
        <v>4</v>
      </c>
      <c r="B77" s="62" t="str">
        <f>IF(_epmOfflineCondition_,"'Telcom_Legacy'!$H$52:$H$53,'Telcom_Legacy'!$H$55:$H$56,'Telcom_Legacy'!$H$59:$H$60",_xll.EVRNG(H52:H53,H55:H56,H59:H60))</f>
        <v>'Telcom_Legacy'!$H$52:$H$53,'Telcom_Legacy'!$H$55:$H$56,'Telcom_Legacy'!$H$59:$H$60</v>
      </c>
      <c r="C77" s="11"/>
      <c r="D77" s="11"/>
      <c r="E77" s="11"/>
      <c r="F77" s="11"/>
      <c r="G77" s="11"/>
      <c r="H77" s="55"/>
      <c r="I77" s="55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</row>
    <row r="78" spans="1:35" x14ac:dyDescent="0.25">
      <c r="A78" s="61" t="s">
        <v>5</v>
      </c>
      <c r="B78" s="62"/>
      <c r="C78" s="11"/>
      <c r="D78" s="11"/>
      <c r="E78" s="11"/>
      <c r="F78" s="11"/>
      <c r="G78" s="11"/>
      <c r="H78" s="55"/>
      <c r="I78" s="55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</row>
    <row r="79" spans="1:35" x14ac:dyDescent="0.25">
      <c r="A79" s="61" t="s">
        <v>6</v>
      </c>
      <c r="B79" s="62"/>
      <c r="C79" s="11"/>
      <c r="D79" s="11"/>
      <c r="E79" s="11"/>
      <c r="F79" s="11"/>
      <c r="G79" s="11"/>
      <c r="H79" s="55"/>
      <c r="I79" s="55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</row>
    <row r="80" spans="1:35" x14ac:dyDescent="0.25">
      <c r="A80" s="61" t="s">
        <v>7</v>
      </c>
      <c r="B80" s="62" t="str">
        <f>IF(_epmOfflineCondition_,"'Telcom_Legacy'!$A$94:$F$100",_xll.EVRNG(A94:F100))</f>
        <v>'Telcom_Legacy'!$A$94:$F$100</v>
      </c>
      <c r="C80" s="11"/>
      <c r="D80" s="11"/>
      <c r="E80" s="11"/>
      <c r="F80" s="11"/>
      <c r="G80" s="11"/>
      <c r="H80" s="55"/>
      <c r="I80" s="55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</row>
    <row r="81" spans="1:35" x14ac:dyDescent="0.25">
      <c r="A81" s="61" t="s">
        <v>47</v>
      </c>
      <c r="B81" s="62" t="str">
        <f>IF(_epmOfflineCondition_,"'Telcom_Legacy'!$A$117:$B$138",_xll.EVRNG($A$117:$B$138))</f>
        <v>'Telcom_Legacy'!$A$117:$B$138</v>
      </c>
      <c r="C81" s="11"/>
      <c r="D81" s="11"/>
      <c r="E81" s="11"/>
      <c r="F81" s="11"/>
      <c r="G81" s="11"/>
      <c r="H81" s="55"/>
      <c r="I81" s="55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</row>
    <row r="82" spans="1:35" x14ac:dyDescent="0.25">
      <c r="A82" s="61" t="s">
        <v>8</v>
      </c>
      <c r="B82" s="62"/>
      <c r="C82" s="11"/>
      <c r="D82" s="11"/>
      <c r="E82" s="11"/>
      <c r="F82" s="11"/>
      <c r="G82" s="11"/>
      <c r="H82" s="55"/>
      <c r="I82" s="55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</row>
    <row r="83" spans="1:35" x14ac:dyDescent="0.25">
      <c r="A83" s="11"/>
      <c r="B83" s="11"/>
      <c r="C83" s="11"/>
      <c r="D83" s="11"/>
      <c r="E83" s="11"/>
      <c r="F83" s="11"/>
      <c r="G83" s="11"/>
      <c r="H83" s="55"/>
      <c r="I83" s="55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</row>
    <row r="84" spans="1:35" x14ac:dyDescent="0.25">
      <c r="A84" s="57" t="s">
        <v>9</v>
      </c>
      <c r="B84" s="58" t="s">
        <v>10</v>
      </c>
      <c r="C84" s="11"/>
      <c r="D84" s="11"/>
      <c r="E84" s="11"/>
      <c r="F84" s="11"/>
      <c r="G84" s="11"/>
      <c r="H84" s="55"/>
      <c r="I84" s="55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</row>
    <row r="85" spans="1:35" x14ac:dyDescent="0.25">
      <c r="A85" s="61" t="s">
        <v>11</v>
      </c>
      <c r="B85" s="62" t="s">
        <v>21</v>
      </c>
      <c r="C85" s="11"/>
      <c r="D85" s="11"/>
      <c r="E85" s="11"/>
      <c r="F85" s="11"/>
      <c r="G85" s="11"/>
      <c r="H85" s="55"/>
      <c r="I85" s="55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</row>
    <row r="86" spans="1:35" x14ac:dyDescent="0.25">
      <c r="A86" s="61" t="s">
        <v>12</v>
      </c>
      <c r="B86" s="62" t="s">
        <v>22</v>
      </c>
      <c r="C86" s="11"/>
      <c r="D86" s="11"/>
      <c r="E86" s="11"/>
      <c r="F86" s="11"/>
      <c r="G86" s="11"/>
      <c r="H86" s="55"/>
      <c r="I86" s="55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</row>
    <row r="87" spans="1:35" x14ac:dyDescent="0.25">
      <c r="A87" s="61" t="s">
        <v>13</v>
      </c>
      <c r="B87" s="62" t="s">
        <v>738</v>
      </c>
      <c r="C87" s="11"/>
      <c r="D87" s="11"/>
      <c r="E87" s="11"/>
      <c r="F87" s="11"/>
      <c r="G87" s="11"/>
      <c r="H87" s="55"/>
      <c r="I87" s="55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</row>
    <row r="88" spans="1:35" x14ac:dyDescent="0.25">
      <c r="A88" s="61" t="s">
        <v>14</v>
      </c>
      <c r="B88" s="62"/>
      <c r="C88" s="11"/>
      <c r="D88" s="11"/>
      <c r="E88" s="11"/>
      <c r="F88" s="11"/>
      <c r="G88" s="11"/>
      <c r="H88" s="55"/>
      <c r="I88" s="55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</row>
    <row r="89" spans="1:35" x14ac:dyDescent="0.25">
      <c r="A89" s="61" t="s">
        <v>15</v>
      </c>
      <c r="B89" s="62"/>
      <c r="C89" s="11"/>
      <c r="D89" s="11"/>
      <c r="E89" s="11"/>
      <c r="F89" s="11"/>
      <c r="G89" s="72"/>
      <c r="H89" s="55"/>
      <c r="I89" s="55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</row>
    <row r="90" spans="1:35" x14ac:dyDescent="0.25">
      <c r="A90" s="61" t="s">
        <v>16</v>
      </c>
      <c r="B90" s="62" t="s">
        <v>78</v>
      </c>
      <c r="C90" s="11"/>
      <c r="D90" s="11"/>
      <c r="E90" s="11"/>
      <c r="F90" s="11"/>
      <c r="G90" s="11"/>
      <c r="H90" s="55"/>
      <c r="I90" s="55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</row>
    <row r="91" spans="1:35" x14ac:dyDescent="0.25">
      <c r="A91" s="61" t="s">
        <v>17</v>
      </c>
      <c r="B91" s="62"/>
      <c r="C91" s="11"/>
      <c r="D91" s="11"/>
      <c r="E91" s="11"/>
      <c r="F91" s="11"/>
      <c r="G91" s="11"/>
      <c r="H91" s="55"/>
      <c r="I91" s="55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</row>
    <row r="92" spans="1:35" x14ac:dyDescent="0.25">
      <c r="A92" s="11"/>
      <c r="B92" s="11"/>
      <c r="C92" s="11"/>
      <c r="D92" s="11"/>
      <c r="E92" s="11"/>
      <c r="F92" s="11"/>
      <c r="G92" s="11"/>
      <c r="H92" s="55"/>
      <c r="I92" s="55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</row>
    <row r="93" spans="1:35" x14ac:dyDescent="0.25">
      <c r="A93" s="93" t="s">
        <v>92</v>
      </c>
      <c r="B93" s="94" t="s">
        <v>93</v>
      </c>
      <c r="C93" s="94" t="s">
        <v>94</v>
      </c>
      <c r="D93" s="94" t="s">
        <v>95</v>
      </c>
      <c r="E93" s="94" t="s">
        <v>96</v>
      </c>
      <c r="F93" s="95" t="s">
        <v>97</v>
      </c>
      <c r="G93" s="11"/>
      <c r="H93" s="55"/>
      <c r="I93" s="55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</row>
    <row r="94" spans="1:35" x14ac:dyDescent="0.25">
      <c r="A94" s="11"/>
      <c r="B94" s="11"/>
      <c r="C94" s="11"/>
      <c r="D94" s="11"/>
      <c r="E94" s="11"/>
      <c r="F94" s="11"/>
      <c r="G94" s="11"/>
      <c r="H94" s="55"/>
      <c r="I94" s="55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</row>
    <row r="95" spans="1:35" x14ac:dyDescent="0.25">
      <c r="A95" s="11" t="s">
        <v>108</v>
      </c>
      <c r="B95" s="11"/>
      <c r="C95" s="100" t="s">
        <v>101</v>
      </c>
      <c r="D95" s="11" t="s">
        <v>106</v>
      </c>
      <c r="E95" s="11"/>
      <c r="F95" s="11" t="s">
        <v>98</v>
      </c>
      <c r="G95" s="11"/>
      <c r="H95" s="55"/>
      <c r="I95" s="55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</row>
    <row r="96" spans="1:35" x14ac:dyDescent="0.25">
      <c r="A96" s="11" t="s">
        <v>100</v>
      </c>
      <c r="B96" s="11"/>
      <c r="C96" s="49" t="s">
        <v>101</v>
      </c>
      <c r="D96" s="11" t="s">
        <v>106</v>
      </c>
      <c r="E96" s="11"/>
      <c r="F96" s="11" t="s">
        <v>98</v>
      </c>
      <c r="G96" s="11"/>
      <c r="H96" s="55"/>
      <c r="I96" s="55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</row>
    <row r="97" spans="1:35" x14ac:dyDescent="0.25">
      <c r="A97" s="11" t="s">
        <v>109</v>
      </c>
      <c r="B97" s="11"/>
      <c r="C97" s="102" t="s">
        <v>101</v>
      </c>
      <c r="D97" s="11" t="s">
        <v>106</v>
      </c>
      <c r="E97" s="11"/>
      <c r="F97" s="11" t="s">
        <v>98</v>
      </c>
      <c r="G97" s="11"/>
      <c r="H97" s="11"/>
      <c r="I97" s="55"/>
      <c r="J97" s="55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</row>
    <row r="98" spans="1:35" x14ac:dyDescent="0.25">
      <c r="A98" s="11" t="s">
        <v>109</v>
      </c>
      <c r="B98" s="11"/>
      <c r="C98" s="192" t="s">
        <v>101</v>
      </c>
      <c r="D98" s="11" t="s">
        <v>107</v>
      </c>
      <c r="E98" s="11"/>
      <c r="F98" s="11" t="s">
        <v>99</v>
      </c>
      <c r="G98" s="11"/>
      <c r="H98" s="11"/>
      <c r="I98" s="55"/>
      <c r="J98" s="55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</row>
    <row r="99" spans="1:35" x14ac:dyDescent="0.25">
      <c r="A99" s="11" t="s">
        <v>110</v>
      </c>
      <c r="B99" s="11"/>
      <c r="C99" s="102" t="s">
        <v>101</v>
      </c>
      <c r="D99" s="11" t="s">
        <v>106</v>
      </c>
      <c r="E99" s="11"/>
      <c r="F99" s="11" t="s">
        <v>98</v>
      </c>
      <c r="G99" s="11"/>
      <c r="H99" s="11"/>
      <c r="I99" s="55"/>
      <c r="J99" s="55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</row>
    <row r="100" spans="1:35" x14ac:dyDescent="0.25">
      <c r="A100" s="11" t="s">
        <v>110</v>
      </c>
      <c r="B100" s="11"/>
      <c r="C100" s="105" t="s">
        <v>101</v>
      </c>
      <c r="D100" s="11" t="s">
        <v>107</v>
      </c>
      <c r="E100" s="11"/>
      <c r="F100" s="11" t="s">
        <v>99</v>
      </c>
      <c r="G100" s="11"/>
      <c r="H100" s="11"/>
      <c r="I100" s="55"/>
      <c r="J100" s="55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</row>
    <row r="101" spans="1:35" x14ac:dyDescent="0.25">
      <c r="A101" s="11"/>
      <c r="B101" s="11"/>
      <c r="C101" s="204"/>
      <c r="D101" s="11"/>
      <c r="E101" s="11"/>
      <c r="F101" s="11"/>
      <c r="G101" s="11"/>
      <c r="H101" s="11"/>
      <c r="I101" s="55"/>
      <c r="J101" s="55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</row>
    <row r="102" spans="1:35" x14ac:dyDescent="0.25">
      <c r="A102" s="11"/>
      <c r="B102" s="11"/>
      <c r="C102" s="11"/>
      <c r="D102" s="11"/>
      <c r="E102" s="11"/>
      <c r="F102" s="11"/>
      <c r="G102" s="11"/>
      <c r="H102" s="11"/>
      <c r="I102" s="55"/>
      <c r="J102" s="55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</row>
    <row r="103" spans="1:35" x14ac:dyDescent="0.25">
      <c r="A103" s="56" t="str">
        <f>IF(_epmOfflineCondition_,"Evdre:Ok",_xll.EVDRE($B$1,A106:B113))</f>
        <v>Evdre:Ok</v>
      </c>
      <c r="B103" s="11" t="s">
        <v>737</v>
      </c>
      <c r="C103" s="11"/>
      <c r="D103" s="11"/>
      <c r="E103" s="11"/>
      <c r="F103" s="11"/>
      <c r="G103" s="72"/>
      <c r="H103" s="11"/>
      <c r="I103" s="55"/>
      <c r="J103" s="55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</row>
    <row r="104" spans="1:35" x14ac:dyDescent="0.25">
      <c r="A104" s="11"/>
      <c r="B104" s="11"/>
      <c r="C104" s="11"/>
      <c r="D104" s="11"/>
      <c r="E104" s="11"/>
      <c r="F104" s="11"/>
      <c r="G104" s="11"/>
      <c r="H104" s="11"/>
      <c r="I104" s="55"/>
      <c r="J104" s="55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</row>
    <row r="105" spans="1:35" x14ac:dyDescent="0.25">
      <c r="A105" s="57" t="s">
        <v>0</v>
      </c>
      <c r="B105" s="58" t="s">
        <v>1</v>
      </c>
      <c r="C105" s="11"/>
      <c r="D105" s="11"/>
      <c r="E105" s="11"/>
      <c r="F105" s="11"/>
      <c r="G105" s="11"/>
      <c r="H105" s="11"/>
      <c r="I105" s="55"/>
      <c r="J105" s="55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</row>
    <row r="106" spans="1:35" x14ac:dyDescent="0.25">
      <c r="A106" s="61" t="s">
        <v>2</v>
      </c>
      <c r="B106" s="62" t="str">
        <f>IF(_epmOfflineCondition_,"'Telcom_Legacy'!$B$2:$B$10",_xll.EVRNG($B$2:$B$10))</f>
        <v>'Telcom_Legacy'!$B$2:$B$10</v>
      </c>
      <c r="C106" s="11"/>
      <c r="D106" s="11"/>
      <c r="E106" s="11"/>
      <c r="F106" s="11"/>
      <c r="G106" s="11"/>
      <c r="H106" s="11"/>
      <c r="I106" s="55"/>
      <c r="J106" s="55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</row>
    <row r="107" spans="1:35" x14ac:dyDescent="0.25">
      <c r="A107" s="61" t="s">
        <v>3</v>
      </c>
      <c r="B107" s="62" t="str">
        <f>IF(_epmOfflineCondition_,"'Telcom_Legacy'!$O$16:$AI$18",_xll.EVRNG(O16:AI18))</f>
        <v>'Telcom_Legacy'!$O$16:$AI$18</v>
      </c>
      <c r="C107" s="11"/>
      <c r="D107" s="11"/>
      <c r="E107" s="11"/>
      <c r="F107" s="11"/>
      <c r="G107" s="11"/>
      <c r="H107" s="11"/>
      <c r="I107" s="55"/>
      <c r="J107" s="55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</row>
    <row r="108" spans="1:35" x14ac:dyDescent="0.25">
      <c r="A108" s="61" t="s">
        <v>4</v>
      </c>
      <c r="B108" s="62" t="str">
        <f>IF(_epmOfflineCondition_,"'Telcom_Legacy'!$H$61:$H$64",_xll.EVRNG(H61:H64))</f>
        <v>'Telcom_Legacy'!$H$61:$H$64</v>
      </c>
      <c r="C108" s="11"/>
      <c r="D108" s="11"/>
      <c r="E108" s="11"/>
      <c r="F108" s="11"/>
      <c r="G108" s="11"/>
      <c r="H108" s="11"/>
      <c r="I108" s="55"/>
      <c r="J108" s="55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</row>
    <row r="109" spans="1:35" x14ac:dyDescent="0.25">
      <c r="A109" s="61" t="s">
        <v>5</v>
      </c>
      <c r="B109" s="62"/>
      <c r="C109" s="11"/>
      <c r="D109" s="11"/>
      <c r="E109" s="11"/>
      <c r="F109" s="11"/>
      <c r="G109" s="72"/>
      <c r="H109" s="11"/>
      <c r="I109" s="55"/>
      <c r="J109" s="55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</row>
    <row r="110" spans="1:35" x14ac:dyDescent="0.25">
      <c r="A110" s="61" t="s">
        <v>6</v>
      </c>
      <c r="B110" s="62"/>
      <c r="C110" s="11"/>
      <c r="D110" s="11"/>
      <c r="E110" s="11"/>
      <c r="F110" s="11"/>
      <c r="G110" s="11"/>
      <c r="H110" s="11"/>
      <c r="I110" s="55"/>
      <c r="J110" s="55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</row>
    <row r="111" spans="1:35" x14ac:dyDescent="0.25">
      <c r="A111" s="61" t="s">
        <v>7</v>
      </c>
      <c r="B111" s="62"/>
      <c r="C111" s="11"/>
      <c r="D111" s="11"/>
      <c r="E111" s="11"/>
      <c r="F111" s="11"/>
      <c r="G111" s="11"/>
      <c r="H111" s="11"/>
      <c r="I111" s="55"/>
      <c r="J111" s="55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</row>
    <row r="112" spans="1:35" x14ac:dyDescent="0.25">
      <c r="A112" s="61" t="s">
        <v>47</v>
      </c>
      <c r="B112" s="62" t="str">
        <f>IF(_epmOfflineCondition_,"'Telcom_Legacy'!$A$117:$B$138",_xll.EVRNG($A$117:$B$138))</f>
        <v>'Telcom_Legacy'!$A$117:$B$138</v>
      </c>
      <c r="C112" s="11"/>
      <c r="D112" s="11"/>
      <c r="E112" s="11"/>
      <c r="F112" s="11"/>
      <c r="G112" s="11"/>
      <c r="H112" s="11"/>
      <c r="I112" s="55"/>
      <c r="J112" s="55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</row>
    <row r="113" spans="1:35" x14ac:dyDescent="0.25">
      <c r="A113" s="61" t="s">
        <v>8</v>
      </c>
      <c r="B113" s="62"/>
      <c r="C113" s="11"/>
      <c r="D113" s="11"/>
      <c r="E113" s="11"/>
      <c r="F113" s="11"/>
      <c r="G113" s="11"/>
      <c r="H113" s="11"/>
      <c r="I113" s="55"/>
      <c r="J113" s="55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</row>
    <row r="114" spans="1:35" x14ac:dyDescent="0.25">
      <c r="A114" s="11"/>
      <c r="B114" s="11"/>
      <c r="C114" s="11"/>
      <c r="D114" s="11"/>
      <c r="E114" s="11"/>
      <c r="F114" s="11"/>
      <c r="G114" s="11"/>
      <c r="H114" s="11"/>
      <c r="I114" s="55"/>
      <c r="J114" s="55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</row>
    <row r="115" spans="1:35" x14ac:dyDescent="0.25">
      <c r="A115" s="11"/>
      <c r="B115" s="11"/>
      <c r="C115" s="11"/>
      <c r="D115" s="11"/>
      <c r="E115" s="11"/>
      <c r="F115" s="11"/>
      <c r="G115" s="11"/>
      <c r="H115" s="11"/>
      <c r="I115" s="55"/>
      <c r="J115" s="55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</row>
    <row r="116" spans="1:35" x14ac:dyDescent="0.25">
      <c r="A116" s="57" t="s">
        <v>23</v>
      </c>
      <c r="B116" s="58" t="s">
        <v>24</v>
      </c>
      <c r="C116" s="11"/>
      <c r="D116" s="11"/>
      <c r="E116" s="11"/>
      <c r="F116" s="11"/>
      <c r="G116" s="11"/>
      <c r="H116" s="11"/>
      <c r="I116" s="55"/>
      <c r="J116" s="55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</row>
    <row r="117" spans="1:35" x14ac:dyDescent="0.25">
      <c r="A117" s="61" t="s">
        <v>25</v>
      </c>
      <c r="B117" s="62"/>
      <c r="C117" s="11"/>
      <c r="D117" s="11"/>
      <c r="E117" s="11"/>
      <c r="F117" s="11"/>
      <c r="G117" s="11"/>
      <c r="H117" s="11"/>
      <c r="I117" s="55"/>
      <c r="J117" s="55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</row>
    <row r="118" spans="1:35" x14ac:dyDescent="0.25">
      <c r="A118" s="61" t="s">
        <v>26</v>
      </c>
      <c r="B118" s="62"/>
      <c r="C118" s="11"/>
      <c r="D118" s="11"/>
      <c r="E118" s="11"/>
      <c r="F118" s="11"/>
      <c r="G118" s="11"/>
      <c r="H118" s="11"/>
      <c r="I118" s="55"/>
      <c r="J118" s="55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</row>
    <row r="119" spans="1:35" x14ac:dyDescent="0.25">
      <c r="A119" s="61" t="s">
        <v>27</v>
      </c>
      <c r="B119" s="62"/>
      <c r="C119" s="11"/>
      <c r="D119" s="11"/>
      <c r="E119" s="11"/>
      <c r="F119" s="11"/>
      <c r="G119" s="11"/>
      <c r="H119" s="11"/>
      <c r="I119" s="55"/>
      <c r="J119" s="55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</row>
    <row r="120" spans="1:35" x14ac:dyDescent="0.25">
      <c r="A120" s="61" t="s">
        <v>28</v>
      </c>
      <c r="B120" s="62"/>
      <c r="C120" s="11"/>
      <c r="D120" s="11"/>
      <c r="E120" s="11"/>
      <c r="F120" s="11"/>
      <c r="G120" s="11"/>
      <c r="H120" s="11"/>
      <c r="I120" s="55"/>
      <c r="J120" s="55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</row>
    <row r="121" spans="1:35" x14ac:dyDescent="0.25">
      <c r="A121" s="61" t="s">
        <v>29</v>
      </c>
      <c r="B121" s="62"/>
      <c r="C121" s="11"/>
      <c r="D121" s="11"/>
      <c r="E121" s="11"/>
      <c r="F121" s="11"/>
      <c r="G121" s="11"/>
      <c r="H121" s="11"/>
      <c r="I121" s="55"/>
      <c r="J121" s="55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</row>
    <row r="122" spans="1:35" x14ac:dyDescent="0.25">
      <c r="A122" s="61" t="s">
        <v>30</v>
      </c>
      <c r="B122" s="62" t="s">
        <v>78</v>
      </c>
      <c r="C122" s="11"/>
      <c r="D122" s="11"/>
      <c r="E122" s="11"/>
      <c r="F122" s="11"/>
      <c r="G122" s="11"/>
      <c r="H122" s="11"/>
      <c r="I122" s="55"/>
      <c r="J122" s="55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</row>
    <row r="123" spans="1:35" x14ac:dyDescent="0.25">
      <c r="A123" s="61" t="s">
        <v>31</v>
      </c>
      <c r="B123" s="62" t="s">
        <v>78</v>
      </c>
      <c r="C123" s="11"/>
      <c r="D123" s="11"/>
      <c r="E123" s="11"/>
      <c r="F123" s="11"/>
      <c r="G123" s="11"/>
      <c r="H123" s="11"/>
      <c r="I123" s="55"/>
      <c r="J123" s="55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</row>
    <row r="124" spans="1:35" x14ac:dyDescent="0.25">
      <c r="A124" s="61" t="s">
        <v>32</v>
      </c>
      <c r="B124" s="62"/>
      <c r="C124" s="11"/>
      <c r="D124" s="11"/>
      <c r="E124" s="11"/>
      <c r="F124" s="11"/>
      <c r="G124" s="11"/>
      <c r="H124" s="11"/>
      <c r="I124" s="55"/>
      <c r="J124" s="55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</row>
    <row r="125" spans="1:35" x14ac:dyDescent="0.25">
      <c r="A125" s="61" t="s">
        <v>33</v>
      </c>
      <c r="B125" s="62"/>
      <c r="C125" s="11"/>
      <c r="D125" s="11"/>
      <c r="E125" s="11"/>
      <c r="F125" s="11"/>
      <c r="G125" s="11"/>
      <c r="H125" s="11"/>
      <c r="I125" s="55"/>
      <c r="J125" s="55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</row>
    <row r="126" spans="1:35" x14ac:dyDescent="0.25">
      <c r="A126" s="61" t="s">
        <v>34</v>
      </c>
      <c r="B126" s="62"/>
      <c r="C126" s="11"/>
      <c r="D126" s="11"/>
      <c r="E126" s="11"/>
      <c r="F126" s="11"/>
      <c r="G126" s="11"/>
      <c r="H126" s="11"/>
      <c r="I126" s="55"/>
      <c r="J126" s="55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</row>
    <row r="127" spans="1:35" x14ac:dyDescent="0.25">
      <c r="A127" s="61" t="s">
        <v>35</v>
      </c>
      <c r="B127" s="62"/>
      <c r="C127" s="11"/>
      <c r="D127" s="11"/>
      <c r="E127" s="11"/>
      <c r="F127" s="11"/>
      <c r="G127" s="11"/>
      <c r="H127" s="11"/>
      <c r="I127" s="55"/>
      <c r="J127" s="55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</row>
    <row r="128" spans="1:35" x14ac:dyDescent="0.25">
      <c r="A128" s="61" t="s">
        <v>36</v>
      </c>
      <c r="B128" s="62"/>
      <c r="C128" s="11"/>
      <c r="D128" s="11"/>
      <c r="E128" s="11"/>
      <c r="F128" s="11"/>
      <c r="G128" s="11"/>
      <c r="H128" s="11"/>
      <c r="I128" s="55"/>
      <c r="J128" s="55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</row>
    <row r="129" spans="1:35" x14ac:dyDescent="0.25">
      <c r="A129" s="61" t="s">
        <v>37</v>
      </c>
      <c r="B129" s="62"/>
      <c r="C129" s="11"/>
      <c r="D129" s="11"/>
      <c r="E129" s="11"/>
      <c r="F129" s="11"/>
      <c r="G129" s="11"/>
      <c r="H129" s="11"/>
      <c r="I129" s="55"/>
      <c r="J129" s="55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</row>
    <row r="130" spans="1:35" x14ac:dyDescent="0.25">
      <c r="A130" s="61" t="s">
        <v>38</v>
      </c>
      <c r="B130" s="62"/>
      <c r="C130" s="11"/>
      <c r="D130" s="11"/>
      <c r="E130" s="11"/>
      <c r="F130" s="11"/>
      <c r="G130" s="11"/>
      <c r="H130" s="11"/>
      <c r="I130" s="55"/>
      <c r="J130" s="55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</row>
    <row r="131" spans="1:35" x14ac:dyDescent="0.25">
      <c r="A131" s="61" t="s">
        <v>39</v>
      </c>
      <c r="B131" s="62"/>
      <c r="C131" s="11"/>
      <c r="D131" s="11"/>
      <c r="E131" s="11"/>
      <c r="F131" s="11"/>
      <c r="G131" s="11"/>
      <c r="H131" s="11"/>
      <c r="I131" s="55"/>
      <c r="J131" s="55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</row>
    <row r="132" spans="1:35" x14ac:dyDescent="0.25">
      <c r="A132" s="61" t="s">
        <v>40</v>
      </c>
      <c r="B132" s="62"/>
      <c r="C132" s="11"/>
      <c r="D132" s="11"/>
      <c r="E132" s="11"/>
      <c r="F132" s="11"/>
      <c r="G132" s="11"/>
      <c r="H132" s="11"/>
      <c r="I132" s="55"/>
      <c r="J132" s="55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</row>
    <row r="133" spans="1:35" x14ac:dyDescent="0.25">
      <c r="A133" s="61" t="s">
        <v>41</v>
      </c>
      <c r="B133" s="62"/>
      <c r="C133" s="11"/>
      <c r="D133" s="11"/>
      <c r="E133" s="11"/>
      <c r="F133" s="11"/>
      <c r="G133" s="11"/>
      <c r="H133" s="11"/>
      <c r="I133" s="55"/>
      <c r="J133" s="55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</row>
    <row r="134" spans="1:35" x14ac:dyDescent="0.25">
      <c r="A134" s="61" t="s">
        <v>42</v>
      </c>
      <c r="B134" s="62"/>
      <c r="C134" s="11"/>
      <c r="D134" s="11"/>
      <c r="E134" s="11"/>
      <c r="F134" s="11"/>
      <c r="G134" s="11"/>
      <c r="H134" s="11"/>
      <c r="I134" s="55"/>
      <c r="J134" s="55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</row>
    <row r="135" spans="1:35" x14ac:dyDescent="0.25">
      <c r="A135" s="61" t="s">
        <v>43</v>
      </c>
      <c r="B135" s="62"/>
      <c r="C135" s="11"/>
      <c r="D135" s="11"/>
      <c r="E135" s="11"/>
      <c r="F135" s="11"/>
      <c r="G135" s="11"/>
      <c r="H135" s="11"/>
      <c r="I135" s="55"/>
      <c r="J135" s="55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</row>
    <row r="136" spans="1:35" x14ac:dyDescent="0.25">
      <c r="A136" s="61" t="s">
        <v>44</v>
      </c>
      <c r="B136" s="62"/>
      <c r="C136" s="11"/>
      <c r="D136" s="11"/>
      <c r="E136" s="11"/>
      <c r="F136" s="11"/>
      <c r="G136" s="11"/>
      <c r="H136" s="11"/>
      <c r="I136" s="55"/>
      <c r="J136" s="55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</row>
    <row r="137" spans="1:35" x14ac:dyDescent="0.25">
      <c r="A137" s="61" t="s">
        <v>45</v>
      </c>
      <c r="B137" s="62"/>
      <c r="C137" s="11"/>
      <c r="D137" s="11"/>
      <c r="E137" s="11"/>
      <c r="F137" s="11"/>
      <c r="G137" s="11"/>
      <c r="H137" s="11"/>
      <c r="I137" s="263"/>
      <c r="J137" s="11"/>
      <c r="K137" s="263"/>
      <c r="L137" s="263"/>
      <c r="M137" s="263"/>
      <c r="N137" s="11"/>
      <c r="O137" s="263"/>
      <c r="P137" s="263"/>
      <c r="Q137" s="263"/>
      <c r="R137" s="263"/>
      <c r="S137" s="263"/>
      <c r="T137" s="263"/>
      <c r="U137" s="263"/>
      <c r="V137" s="263"/>
      <c r="W137" s="263"/>
      <c r="X137" s="263"/>
      <c r="Y137" s="263"/>
      <c r="Z137" s="263"/>
      <c r="AA137" s="263"/>
      <c r="AB137" s="11"/>
      <c r="AC137" s="11"/>
      <c r="AD137" s="263"/>
      <c r="AE137" s="11"/>
      <c r="AF137" s="263"/>
      <c r="AG137" s="11"/>
      <c r="AH137" s="263"/>
      <c r="AI137" s="11"/>
    </row>
    <row r="138" spans="1:35" x14ac:dyDescent="0.25">
      <c r="A138" s="61" t="s">
        <v>46</v>
      </c>
      <c r="B138" s="62"/>
      <c r="C138" s="11"/>
      <c r="D138" s="11"/>
      <c r="E138" s="11"/>
      <c r="F138" s="11"/>
      <c r="G138" s="11"/>
      <c r="H138" s="11"/>
      <c r="I138" s="55"/>
      <c r="J138" s="55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</row>
    <row r="139" spans="1:35" x14ac:dyDescent="0.25">
      <c r="A139" s="11"/>
      <c r="B139" s="11"/>
      <c r="C139" s="11"/>
      <c r="D139" s="11"/>
      <c r="E139" s="11"/>
      <c r="F139" s="11"/>
      <c r="G139" s="11"/>
      <c r="H139" s="11"/>
      <c r="I139" s="55"/>
      <c r="J139" s="55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</row>
    <row r="140" spans="1:35" x14ac:dyDescent="0.25">
      <c r="A140" s="11"/>
      <c r="B140" s="11"/>
      <c r="C140" s="11"/>
      <c r="D140" s="11"/>
      <c r="E140" s="11"/>
      <c r="F140" s="11"/>
      <c r="G140" s="11"/>
      <c r="H140" s="11"/>
      <c r="I140" s="55"/>
      <c r="J140" s="55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</row>
    <row r="141" spans="1:35" x14ac:dyDescent="0.25">
      <c r="A141" s="11"/>
      <c r="B141" s="11"/>
      <c r="C141" s="11"/>
      <c r="D141" s="11"/>
      <c r="E141" s="11"/>
      <c r="F141" s="11"/>
      <c r="G141" s="11"/>
      <c r="H141" s="11"/>
      <c r="I141" s="263"/>
      <c r="J141" s="11"/>
      <c r="K141" s="263"/>
      <c r="L141" s="263"/>
      <c r="M141" s="263"/>
      <c r="N141" s="11"/>
      <c r="O141" s="263"/>
      <c r="P141" s="263"/>
      <c r="Q141" s="263"/>
      <c r="R141" s="263"/>
      <c r="S141" s="263"/>
      <c r="T141" s="263"/>
      <c r="U141" s="263"/>
      <c r="V141" s="263"/>
      <c r="W141" s="263"/>
      <c r="X141" s="263"/>
      <c r="Y141" s="263"/>
      <c r="Z141" s="263"/>
      <c r="AA141" s="263"/>
      <c r="AB141" s="11"/>
      <c r="AC141" s="11"/>
      <c r="AD141" s="263"/>
      <c r="AE141" s="11"/>
      <c r="AF141" s="263"/>
      <c r="AG141" s="11"/>
      <c r="AH141" s="263"/>
      <c r="AI141" s="11"/>
    </row>
    <row r="142" spans="1:35" x14ac:dyDescent="0.25">
      <c r="A142" s="11"/>
      <c r="B142" s="11"/>
      <c r="C142" s="11"/>
      <c r="D142" s="11"/>
      <c r="E142" s="11"/>
      <c r="F142" s="11"/>
      <c r="G142" s="11"/>
      <c r="H142" s="11"/>
      <c r="I142" s="55"/>
      <c r="J142" s="55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</row>
    <row r="143" spans="1:35" x14ac:dyDescent="0.25">
      <c r="A143" s="11"/>
      <c r="B143" s="11"/>
      <c r="C143" s="11"/>
      <c r="D143" s="11"/>
      <c r="E143" s="11"/>
      <c r="F143" s="11"/>
      <c r="G143" s="11"/>
      <c r="H143" s="11"/>
      <c r="I143" s="55"/>
      <c r="J143" s="55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</row>
    <row r="144" spans="1:35" x14ac:dyDescent="0.25">
      <c r="A144" s="11"/>
      <c r="B144" s="11"/>
      <c r="C144" s="11"/>
      <c r="D144" s="11"/>
      <c r="E144" s="11"/>
      <c r="F144" s="11"/>
      <c r="G144" s="11"/>
      <c r="H144" s="11"/>
      <c r="I144" s="55"/>
      <c r="J144" s="55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</row>
    <row r="145" spans="1:35" x14ac:dyDescent="0.25">
      <c r="A145" s="11"/>
      <c r="B145" s="11"/>
      <c r="C145" s="11"/>
      <c r="D145" s="11"/>
      <c r="E145" s="11"/>
      <c r="F145" s="11"/>
      <c r="G145" s="11"/>
      <c r="H145" s="11"/>
      <c r="I145" s="55"/>
      <c r="J145" s="55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</row>
    <row r="146" spans="1:35" x14ac:dyDescent="0.25">
      <c r="A146" s="11"/>
      <c r="B146" s="11"/>
      <c r="C146" s="11"/>
      <c r="D146" s="11"/>
      <c r="E146" s="11"/>
      <c r="F146" s="11"/>
      <c r="G146" s="11"/>
      <c r="H146" s="11"/>
      <c r="I146" s="55"/>
      <c r="J146" s="55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</row>
    <row r="147" spans="1:35" x14ac:dyDescent="0.25">
      <c r="A147" s="11"/>
      <c r="B147" s="11"/>
      <c r="C147" s="11"/>
      <c r="D147" s="11"/>
      <c r="E147" s="11"/>
      <c r="F147" s="11"/>
      <c r="G147" s="11"/>
      <c r="H147" s="11"/>
      <c r="I147" s="55"/>
      <c r="J147" s="55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</row>
    <row r="148" spans="1:35" x14ac:dyDescent="0.25">
      <c r="A148" s="11"/>
      <c r="B148" s="11"/>
      <c r="C148" s="11"/>
      <c r="D148" s="11"/>
      <c r="E148" s="11"/>
      <c r="F148" s="11"/>
      <c r="G148" s="11"/>
      <c r="H148" s="11"/>
      <c r="I148" s="55"/>
      <c r="J148" s="55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</row>
    <row r="149" spans="1:35" x14ac:dyDescent="0.25">
      <c r="A149" s="11"/>
      <c r="B149" s="11"/>
      <c r="C149" s="11"/>
      <c r="D149" s="11"/>
      <c r="E149" s="11"/>
      <c r="F149" s="11"/>
      <c r="G149" s="11"/>
      <c r="H149" s="11"/>
      <c r="I149" s="55"/>
      <c r="J149" s="55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</row>
    <row r="150" spans="1:35" x14ac:dyDescent="0.25">
      <c r="A150" s="11"/>
      <c r="B150" s="11"/>
      <c r="C150" s="11"/>
      <c r="D150" s="11"/>
      <c r="E150" s="11"/>
      <c r="F150" s="11"/>
      <c r="G150" s="11"/>
      <c r="H150" s="11"/>
      <c r="I150" s="55"/>
      <c r="J150" s="55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</row>
    <row r="151" spans="1:35" x14ac:dyDescent="0.25">
      <c r="A151" s="11"/>
      <c r="B151" s="11"/>
      <c r="C151" s="11"/>
      <c r="D151" s="11"/>
      <c r="E151" s="11"/>
      <c r="F151" s="11"/>
      <c r="G151" s="11"/>
      <c r="H151" s="11"/>
      <c r="I151" s="55"/>
      <c r="J151" s="55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</row>
    <row r="152" spans="1:35" x14ac:dyDescent="0.25">
      <c r="A152" s="11"/>
      <c r="B152" s="11"/>
      <c r="C152" s="11"/>
      <c r="D152" s="11"/>
      <c r="E152" s="11"/>
      <c r="F152" s="11"/>
      <c r="G152" s="11"/>
      <c r="H152" s="11"/>
      <c r="I152" s="55"/>
      <c r="J152" s="55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</row>
    <row r="153" spans="1:35" x14ac:dyDescent="0.25">
      <c r="A153" s="11"/>
      <c r="B153" s="11"/>
      <c r="C153" s="11"/>
      <c r="D153" s="11"/>
      <c r="E153" s="11"/>
      <c r="F153" s="11"/>
      <c r="G153" s="11"/>
      <c r="H153" s="11"/>
      <c r="I153" s="55"/>
      <c r="J153" s="55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</row>
    <row r="154" spans="1:35" x14ac:dyDescent="0.25">
      <c r="A154" s="11"/>
      <c r="B154" s="11"/>
      <c r="C154" s="11"/>
      <c r="D154" s="11"/>
      <c r="E154" s="11"/>
      <c r="F154" s="11"/>
      <c r="G154" s="11"/>
      <c r="H154" s="11"/>
      <c r="I154" s="55"/>
      <c r="J154" s="55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</row>
    <row r="155" spans="1:35" x14ac:dyDescent="0.25">
      <c r="A155" s="11"/>
      <c r="B155" s="11"/>
      <c r="C155" s="11"/>
      <c r="D155" s="11"/>
      <c r="E155" s="263"/>
      <c r="F155" s="11"/>
      <c r="G155" s="11"/>
      <c r="H155" s="11"/>
      <c r="I155" s="55"/>
      <c r="J155" s="55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</row>
    <row r="156" spans="1:35" x14ac:dyDescent="0.25">
      <c r="A156" s="11"/>
      <c r="B156" s="11"/>
      <c r="C156" s="11"/>
      <c r="D156" s="11"/>
      <c r="E156" s="11"/>
      <c r="F156" s="11"/>
      <c r="G156" s="11"/>
      <c r="H156" s="11"/>
      <c r="I156" s="55"/>
      <c r="J156" s="55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</row>
    <row r="157" spans="1:35" x14ac:dyDescent="0.25">
      <c r="A157" s="11"/>
      <c r="B157" s="11"/>
      <c r="C157" s="11"/>
      <c r="D157" s="11"/>
      <c r="E157" s="11"/>
      <c r="F157" s="11"/>
      <c r="G157" s="11"/>
      <c r="H157" s="11"/>
      <c r="I157" s="55"/>
      <c r="J157" s="55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</row>
    <row r="158" spans="1:35" x14ac:dyDescent="0.25">
      <c r="A158" s="11"/>
      <c r="B158" s="11"/>
      <c r="C158" s="11"/>
      <c r="D158" s="11"/>
      <c r="E158" s="11"/>
      <c r="F158" s="11"/>
      <c r="G158" s="11"/>
      <c r="H158" s="11"/>
      <c r="I158" s="55"/>
      <c r="J158" s="55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</row>
    <row r="159" spans="1:35" x14ac:dyDescent="0.25">
      <c r="A159" s="11"/>
      <c r="B159" s="11"/>
      <c r="C159" s="11"/>
      <c r="D159" s="11"/>
      <c r="E159" s="263"/>
      <c r="F159" s="11"/>
      <c r="G159" s="11"/>
      <c r="H159" s="11"/>
      <c r="I159" s="55"/>
      <c r="J159" s="55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</row>
    <row r="160" spans="1:35" x14ac:dyDescent="0.25">
      <c r="A160" s="11"/>
      <c r="B160" s="11"/>
      <c r="C160" s="11"/>
      <c r="D160" s="11"/>
      <c r="E160" s="11"/>
      <c r="F160" s="11"/>
      <c r="G160" s="11"/>
      <c r="H160" s="11"/>
      <c r="I160" s="55"/>
      <c r="J160" s="55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</row>
    <row r="161" spans="1:35" x14ac:dyDescent="0.25">
      <c r="A161" s="11"/>
      <c r="B161" s="11"/>
      <c r="C161" s="11"/>
      <c r="D161" s="11"/>
      <c r="E161" s="11"/>
      <c r="F161" s="11"/>
      <c r="G161" s="11"/>
      <c r="H161" s="11"/>
      <c r="I161" s="55"/>
      <c r="J161" s="55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</row>
    <row r="162" spans="1:35" x14ac:dyDescent="0.25">
      <c r="A162" s="11"/>
      <c r="B162" s="11"/>
      <c r="C162" s="11"/>
      <c r="D162" s="11"/>
      <c r="E162" s="11"/>
      <c r="F162" s="11"/>
      <c r="G162" s="11"/>
      <c r="H162" s="11"/>
      <c r="I162" s="55"/>
      <c r="J162" s="55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</row>
    <row r="163" spans="1:35" x14ac:dyDescent="0.25">
      <c r="A163" s="11"/>
      <c r="B163" s="11"/>
      <c r="C163" s="11"/>
      <c r="D163" s="11"/>
      <c r="E163" s="11"/>
      <c r="F163" s="11"/>
      <c r="G163" s="11"/>
      <c r="H163" s="11"/>
      <c r="I163" s="55"/>
      <c r="J163" s="55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</row>
    <row r="164" spans="1:35" x14ac:dyDescent="0.25">
      <c r="A164" s="11"/>
      <c r="B164" s="11"/>
      <c r="C164" s="11"/>
      <c r="D164" s="11"/>
      <c r="E164" s="11"/>
      <c r="F164" s="11"/>
      <c r="G164" s="11"/>
      <c r="H164" s="11"/>
      <c r="I164" s="55"/>
      <c r="J164" s="55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</row>
    <row r="165" spans="1:35" x14ac:dyDescent="0.25">
      <c r="A165" s="11"/>
      <c r="B165" s="11"/>
      <c r="C165" s="11"/>
      <c r="D165" s="11"/>
      <c r="E165" s="11"/>
      <c r="F165" s="11"/>
      <c r="G165" s="11"/>
      <c r="H165" s="11"/>
      <c r="I165" s="55"/>
      <c r="J165" s="55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</row>
    <row r="166" spans="1:35" x14ac:dyDescent="0.25">
      <c r="A166" s="11"/>
      <c r="B166" s="11"/>
      <c r="C166" s="11"/>
      <c r="D166" s="11"/>
      <c r="E166" s="11"/>
      <c r="F166" s="11"/>
      <c r="G166" s="11"/>
      <c r="H166" s="11"/>
      <c r="I166" s="55"/>
      <c r="J166" s="55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</row>
    <row r="167" spans="1:35" x14ac:dyDescent="0.25">
      <c r="A167" s="11"/>
      <c r="B167" s="11"/>
      <c r="C167" s="11"/>
      <c r="D167" s="11"/>
      <c r="E167" s="11"/>
      <c r="F167" s="11"/>
      <c r="G167" s="11"/>
      <c r="H167" s="11"/>
      <c r="I167" s="55"/>
      <c r="J167" s="55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</row>
    <row r="168" spans="1:35" x14ac:dyDescent="0.25">
      <c r="A168" s="11"/>
      <c r="B168" s="11"/>
      <c r="C168" s="11"/>
      <c r="D168" s="11"/>
      <c r="E168" s="11"/>
      <c r="F168" s="11"/>
      <c r="G168" s="11"/>
      <c r="H168" s="11"/>
      <c r="I168" s="55"/>
      <c r="J168" s="55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</row>
    <row r="169" spans="1:35" x14ac:dyDescent="0.25">
      <c r="A169" s="11"/>
      <c r="B169" s="11"/>
      <c r="C169" s="11"/>
      <c r="D169" s="11"/>
      <c r="E169" s="11"/>
      <c r="F169" s="11"/>
      <c r="G169" s="11"/>
      <c r="H169" s="11"/>
      <c r="I169" s="55"/>
      <c r="J169" s="55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</row>
    <row r="170" spans="1:35" x14ac:dyDescent="0.25">
      <c r="A170" s="11"/>
      <c r="B170" s="11"/>
      <c r="C170" s="11"/>
      <c r="D170" s="11"/>
      <c r="E170" s="11"/>
      <c r="F170" s="11"/>
      <c r="G170" s="11"/>
      <c r="H170" s="11"/>
      <c r="I170" s="55"/>
      <c r="J170" s="55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</row>
    <row r="171" spans="1:35" x14ac:dyDescent="0.25">
      <c r="A171" s="11"/>
      <c r="B171" s="11"/>
      <c r="C171" s="11"/>
      <c r="D171" s="11"/>
      <c r="E171" s="11"/>
      <c r="F171" s="11"/>
      <c r="G171" s="11"/>
      <c r="H171" s="11"/>
      <c r="I171" s="55"/>
      <c r="J171" s="55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</row>
    <row r="172" spans="1:35" x14ac:dyDescent="0.25">
      <c r="A172" s="11"/>
      <c r="B172" s="11"/>
      <c r="C172" s="11"/>
      <c r="D172" s="11"/>
      <c r="E172" s="11"/>
      <c r="F172" s="11"/>
      <c r="G172" s="11"/>
      <c r="H172" s="11"/>
      <c r="I172" s="55"/>
      <c r="J172" s="55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</row>
    <row r="173" spans="1:35" x14ac:dyDescent="0.25">
      <c r="A173" s="11"/>
      <c r="B173" s="11"/>
      <c r="C173" s="11"/>
      <c r="D173" s="11"/>
      <c r="E173" s="11"/>
      <c r="F173" s="11"/>
      <c r="G173" s="11"/>
      <c r="H173" s="11"/>
      <c r="I173" s="55"/>
      <c r="J173" s="55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</row>
    <row r="174" spans="1:35" x14ac:dyDescent="0.25">
      <c r="A174" s="11"/>
      <c r="B174" s="11"/>
      <c r="C174" s="11"/>
      <c r="D174" s="11"/>
      <c r="E174" s="11"/>
      <c r="F174" s="11"/>
      <c r="G174" s="11"/>
      <c r="H174" s="11"/>
      <c r="I174" s="55"/>
      <c r="J174" s="55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</row>
    <row r="175" spans="1:35" x14ac:dyDescent="0.25">
      <c r="A175" s="11"/>
      <c r="B175" s="11"/>
      <c r="C175" s="11"/>
      <c r="D175" s="11"/>
      <c r="E175" s="11"/>
      <c r="F175" s="11"/>
      <c r="G175" s="11"/>
      <c r="H175" s="11"/>
      <c r="I175" s="55"/>
      <c r="J175" s="55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</row>
    <row r="176" spans="1:35" x14ac:dyDescent="0.25">
      <c r="A176" s="11"/>
      <c r="B176" s="11"/>
      <c r="C176" s="11"/>
      <c r="D176" s="11"/>
      <c r="E176" s="11"/>
      <c r="F176" s="11"/>
      <c r="G176" s="11"/>
      <c r="H176" s="11"/>
      <c r="I176" s="55"/>
      <c r="J176" s="55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</row>
    <row r="177" spans="1:35" x14ac:dyDescent="0.25">
      <c r="A177" s="11"/>
      <c r="B177" s="11"/>
      <c r="C177" s="11"/>
      <c r="D177" s="11"/>
      <c r="E177" s="11"/>
      <c r="F177" s="11"/>
      <c r="G177" s="11"/>
      <c r="H177" s="11"/>
      <c r="I177" s="55"/>
      <c r="J177" s="55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</row>
    <row r="178" spans="1:35" x14ac:dyDescent="0.25">
      <c r="A178" s="11"/>
      <c r="B178" s="11"/>
      <c r="C178" s="11"/>
      <c r="D178" s="11"/>
      <c r="E178" s="11"/>
      <c r="F178" s="11"/>
      <c r="G178" s="11"/>
      <c r="H178" s="11"/>
      <c r="I178" s="55"/>
      <c r="J178" s="55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</row>
    <row r="179" spans="1:35" x14ac:dyDescent="0.25">
      <c r="A179" s="11"/>
      <c r="B179" s="11"/>
      <c r="C179" s="11"/>
      <c r="D179" s="11"/>
      <c r="E179" s="11"/>
      <c r="F179" s="11"/>
      <c r="G179" s="11"/>
      <c r="H179" s="11"/>
      <c r="I179" s="55"/>
      <c r="J179" s="55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</row>
    <row r="180" spans="1:35" x14ac:dyDescent="0.25">
      <c r="A180" s="11"/>
      <c r="B180" s="11"/>
      <c r="C180" s="11"/>
      <c r="D180" s="11"/>
      <c r="E180" s="11"/>
      <c r="F180" s="11"/>
      <c r="G180" s="11"/>
      <c r="H180" s="11"/>
      <c r="I180" s="55"/>
      <c r="J180" s="55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</row>
    <row r="181" spans="1:35" x14ac:dyDescent="0.25">
      <c r="A181" s="11"/>
      <c r="B181" s="11"/>
      <c r="C181" s="11"/>
      <c r="D181" s="11"/>
      <c r="E181" s="11"/>
      <c r="F181" s="11"/>
      <c r="G181" s="11"/>
      <c r="H181" s="11"/>
      <c r="I181" s="55"/>
      <c r="J181" s="55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</row>
    <row r="182" spans="1:35" x14ac:dyDescent="0.25">
      <c r="A182" s="11"/>
      <c r="B182" s="11"/>
      <c r="C182" s="11"/>
      <c r="D182" s="11"/>
      <c r="E182" s="11"/>
      <c r="F182" s="11"/>
      <c r="G182" s="11"/>
      <c r="H182" s="11"/>
      <c r="I182" s="55"/>
      <c r="J182" s="55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</row>
    <row r="183" spans="1:35" x14ac:dyDescent="0.25">
      <c r="A183" s="11"/>
      <c r="B183" s="11"/>
      <c r="C183" s="11"/>
      <c r="D183" s="11"/>
      <c r="E183" s="11"/>
      <c r="F183" s="11"/>
      <c r="G183" s="11"/>
      <c r="H183" s="11"/>
      <c r="I183" s="55"/>
      <c r="J183" s="55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</row>
    <row r="184" spans="1:35" x14ac:dyDescent="0.25">
      <c r="A184" s="11"/>
      <c r="B184" s="11"/>
      <c r="C184" s="11"/>
      <c r="D184" s="11"/>
      <c r="E184" s="11"/>
      <c r="F184" s="11"/>
      <c r="G184" s="11"/>
      <c r="H184" s="11"/>
      <c r="I184" s="55"/>
      <c r="J184" s="55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</row>
    <row r="185" spans="1:35" x14ac:dyDescent="0.25">
      <c r="A185" s="11"/>
      <c r="B185" s="11"/>
      <c r="C185" s="11"/>
      <c r="D185" s="11"/>
      <c r="E185" s="11"/>
      <c r="F185" s="11"/>
      <c r="G185" s="11"/>
      <c r="H185" s="11"/>
      <c r="I185" s="55"/>
      <c r="J185" s="55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</row>
    <row r="186" spans="1:35" x14ac:dyDescent="0.25">
      <c r="A186" s="11"/>
      <c r="B186" s="11"/>
      <c r="C186" s="11"/>
      <c r="D186" s="11"/>
      <c r="E186" s="11"/>
      <c r="F186" s="11"/>
      <c r="G186" s="11"/>
      <c r="H186" s="11"/>
      <c r="I186" s="55"/>
      <c r="J186" s="55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</row>
    <row r="187" spans="1:35" x14ac:dyDescent="0.25">
      <c r="A187" s="11"/>
      <c r="B187" s="11"/>
      <c r="C187" s="11"/>
      <c r="D187" s="11"/>
      <c r="E187" s="11"/>
      <c r="F187" s="11"/>
      <c r="G187" s="11"/>
      <c r="H187" s="11"/>
      <c r="I187" s="55"/>
      <c r="J187" s="55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</row>
    <row r="188" spans="1:35" x14ac:dyDescent="0.25">
      <c r="A188" s="11"/>
      <c r="B188" s="11"/>
      <c r="C188" s="11"/>
      <c r="D188" s="11"/>
      <c r="E188" s="11"/>
      <c r="F188" s="11"/>
      <c r="G188" s="263"/>
      <c r="H188" s="11"/>
      <c r="I188" s="55"/>
      <c r="J188" s="55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</row>
    <row r="189" spans="1:35" x14ac:dyDescent="0.25">
      <c r="A189" s="11"/>
      <c r="B189" s="11"/>
      <c r="C189" s="11"/>
      <c r="D189" s="11"/>
      <c r="E189" s="11"/>
      <c r="F189" s="11"/>
      <c r="G189" s="11"/>
      <c r="H189" s="11"/>
      <c r="I189" s="55"/>
      <c r="J189" s="55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</row>
    <row r="190" spans="1:35" x14ac:dyDescent="0.25">
      <c r="A190" s="11"/>
      <c r="B190" s="11"/>
      <c r="C190" s="11"/>
      <c r="D190" s="11"/>
      <c r="E190" s="11"/>
      <c r="F190" s="11"/>
      <c r="G190" s="11"/>
      <c r="H190" s="11"/>
      <c r="I190" s="55"/>
      <c r="J190" s="55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</row>
    <row r="191" spans="1:35" x14ac:dyDescent="0.25">
      <c r="A191" s="11"/>
      <c r="B191" s="11"/>
      <c r="C191" s="11"/>
      <c r="D191" s="11"/>
      <c r="E191" s="11"/>
      <c r="F191" s="11"/>
      <c r="G191" s="11"/>
      <c r="H191" s="11"/>
      <c r="I191" s="55"/>
      <c r="J191" s="55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</row>
    <row r="192" spans="1:35" x14ac:dyDescent="0.25">
      <c r="A192" s="11"/>
      <c r="B192" s="11"/>
      <c r="C192" s="11"/>
      <c r="D192" s="11"/>
      <c r="E192" s="11"/>
      <c r="F192" s="11"/>
      <c r="G192" s="263"/>
      <c r="H192" s="11"/>
      <c r="I192" s="55"/>
      <c r="J192" s="55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</row>
  </sheetData>
  <sheetProtection algorithmName="SHA-512" hashValue="etpOktIfnq9YyEXHQShnHIhmJlP/Ex/67NlVGix/dAcNE/pOluYph/Xp+gLX0Z/OpS54QkQWjXaGBhKFpZnRfw==" saltValue="DWvBpc9cXSJWYe6Pw5BQmQ==" spinCount="100000" sheet="1" scenarios="1"/>
  <mergeCells count="2">
    <mergeCell ref="AD31:AE31"/>
    <mergeCell ref="AG31:AH31"/>
  </mergeCells>
  <dataValidations disablePrompts="1" count="2">
    <dataValidation type="list" allowBlank="1" sqref="B87 B58 B29" xr:uid="{00000000-0002-0000-1700-000000000000}">
      <formula1>"SELF,ALL,BAS,DEP,BASMEMBERS,MEMBERS,NOEXPAND,GDEP"</formula1>
    </dataValidation>
    <dataValidation type="list" allowBlank="1" sqref="B57 B86 B28" xr:uid="{00000000-0002-0000-1700-000001000000}">
      <formula1>"ACCOUNT,BUSINESSUNIT,CATEGORY,DATASRC,DEPARTMENT,INTCO,MEASURES,RPTCURRENCY,TIME"</formula1>
    </dataValidation>
  </dataValidations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customProperties>
    <customPr name="EpmWorksheetKeyString_GUID" r:id="rId2"/>
    <customPr name="FPMExcelClientCellBasedFunctionStatus" r:id="rId3"/>
    <customPr name="FPMExcelClientRefreshTime" r:id="rId4"/>
  </customProperties>
  <legacyDrawing r:id="rId5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6">
    <tabColor theme="9" tint="0.39997558519241921"/>
    <pageSetUpPr fitToPage="1"/>
  </sheetPr>
  <dimension ref="A1:AO192"/>
  <sheetViews>
    <sheetView topLeftCell="K25" zoomScale="85" zoomScaleNormal="85" workbookViewId="0">
      <pane xSplit="4" ySplit="8" topLeftCell="O33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3" width="9.7109375" style="1" hidden="1" customWidth="1" outlineLevel="1"/>
    <col min="14" max="14" width="36.7109375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40" width="0" style="1" hidden="1" customWidth="1" outlineLevel="1"/>
    <col min="41" max="41" width="9.140625" style="1" collapsed="1"/>
    <col min="42" max="16384" width="9.140625" style="1"/>
  </cols>
  <sheetData>
    <row r="1" spans="1:41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</row>
    <row r="2" spans="1:41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</row>
    <row r="3" spans="1:41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11"/>
      <c r="H4" s="11"/>
      <c r="I4" s="55"/>
      <c r="J4" s="55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11"/>
      <c r="H5" s="11"/>
      <c r="I5" s="55"/>
      <c r="J5" s="55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idden="1" outlineLevel="1" x14ac:dyDescent="0.25">
      <c r="A6" s="49" t="s">
        <v>52</v>
      </c>
      <c r="B6" s="52" t="s">
        <v>366</v>
      </c>
      <c r="C6" s="11" t="str">
        <f>IF(_epmOfflineCondition_,"Health Club/Spa",_xll.EVDES(B6,$B$1))</f>
        <v>Health Club/Spa</v>
      </c>
      <c r="D6" s="11"/>
      <c r="E6" s="54" t="str">
        <f>IF(_epmOfflineCondition_,"D1132",_xll.EVPRO($B$1,$B$6,$F$6))</f>
        <v>D1132</v>
      </c>
      <c r="F6" s="11" t="s">
        <v>278</v>
      </c>
      <c r="G6" s="11"/>
      <c r="H6" s="11"/>
      <c r="I6" s="55"/>
      <c r="J6" s="55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11"/>
      <c r="H7" s="11"/>
      <c r="I7" s="55"/>
      <c r="J7" s="55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11"/>
      <c r="H8" s="11"/>
      <c r="I8" s="55"/>
      <c r="J8" s="55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59" t="str">
        <f>IF(SetUp!$O$1=TRUE,"TRAILING12",IF(AA17="CURRENT","ROLLINGFORECAST","PERIODIC"))</f>
        <v>PERIODIC</v>
      </c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11"/>
      <c r="M12" s="11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  <c r="AJ12" s="11"/>
      <c r="AK12" s="11"/>
      <c r="AL12" s="11"/>
      <c r="AM12" s="11"/>
      <c r="AN12" s="11"/>
      <c r="AO12" s="11"/>
    </row>
    <row r="13" spans="1:41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11"/>
      <c r="M13" s="11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  <c r="AJ13" s="11"/>
      <c r="AK13" s="11"/>
      <c r="AL13" s="11"/>
      <c r="AM13" s="11"/>
      <c r="AN13" s="11"/>
      <c r="AO13" s="11"/>
    </row>
    <row r="14" spans="1:41" hidden="1" outlineLevel="1" x14ac:dyDescent="0.25">
      <c r="A14" s="56" t="str">
        <f>IF(_epmOfflineCondition_,"Evdre:Ok",_xll.EVDRE($B$1,A17:B24,A27:B33))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11"/>
      <c r="M14" s="11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  <c r="AJ14" s="11"/>
      <c r="AK14" s="11"/>
      <c r="AL14" s="11"/>
      <c r="AM14" s="11"/>
      <c r="AN14" s="11"/>
      <c r="AO14" s="11"/>
    </row>
    <row r="15" spans="1:41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11"/>
      <c r="M15" s="11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  <c r="AJ15" s="11"/>
      <c r="AK15" s="11"/>
      <c r="AL15" s="11"/>
      <c r="AM15" s="11"/>
      <c r="AN15" s="11"/>
      <c r="AO15" s="11"/>
    </row>
    <row r="16" spans="1:41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11"/>
      <c r="M16" s="11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  <c r="AJ16" s="11"/>
      <c r="AK16" s="11"/>
      <c r="AL16" s="11"/>
      <c r="AM16" s="11"/>
      <c r="AN16" s="11"/>
      <c r="AO16" s="11"/>
    </row>
    <row r="17" spans="1:41" hidden="1" outlineLevel="1" x14ac:dyDescent="0.25">
      <c r="A17" s="61" t="s">
        <v>2</v>
      </c>
      <c r="B17" s="62" t="str">
        <f>IF(_epmOfflineCondition_,"'HC_SPA'!$B$2:$B$10",_xll.EVRNG($B$2:$B$10))</f>
        <v>'HC_SPA'!$B$2:$B$10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11"/>
      <c r="M17" s="11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 t="str">
        <f>Z17</f>
        <v>ACTUAL_CON</v>
      </c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  <c r="AJ17" s="11"/>
      <c r="AK17" s="11"/>
      <c r="AL17" s="11"/>
      <c r="AM17" s="11"/>
      <c r="AN17" s="11"/>
      <c r="AO17" s="11"/>
    </row>
    <row r="18" spans="1:41" hidden="1" outlineLevel="1" x14ac:dyDescent="0.25">
      <c r="A18" s="61" t="s">
        <v>3</v>
      </c>
      <c r="B18" s="62" t="str">
        <f>IF(_epmOfflineCondition_,"'HC_SPA'!$O$16:$AN$18",_xll.EVRNG($O$16:$AN$18))</f>
        <v>'HC_SPA'!$O$16:$AN$18</v>
      </c>
      <c r="C18" s="11"/>
      <c r="D18" s="11"/>
      <c r="E18" s="11"/>
      <c r="F18" s="11"/>
      <c r="G18" s="11"/>
      <c r="H18" s="11"/>
      <c r="I18" s="55"/>
      <c r="J18" s="55"/>
      <c r="K18" s="11"/>
      <c r="L18" s="11"/>
      <c r="M18" s="11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11"/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  <c r="AJ18" s="11"/>
      <c r="AK18" s="11"/>
      <c r="AL18" s="11"/>
      <c r="AM18" s="11"/>
      <c r="AN18" s="11"/>
      <c r="AO18" s="11"/>
    </row>
    <row r="19" spans="1:41" hidden="1" outlineLevel="1" x14ac:dyDescent="0.25">
      <c r="A19" s="61" t="s">
        <v>4</v>
      </c>
      <c r="B19" s="62" t="str">
        <f>IF(_epmOfflineCondition_,"'HC_SPA'!$H$34:$H$44",_xll.EVRNG(H34:H44))</f>
        <v>'HC_SPA'!$H$34:$H$44</v>
      </c>
      <c r="C19" s="11"/>
      <c r="D19" s="11"/>
      <c r="E19" s="11"/>
      <c r="F19" s="11"/>
      <c r="G19" s="63" t="str">
        <f>$B$6</f>
        <v>D1132</v>
      </c>
      <c r="H19" s="63">
        <v>400000</v>
      </c>
      <c r="I19" s="64"/>
      <c r="J19" s="64"/>
      <c r="K19" s="63"/>
      <c r="L19" s="63"/>
      <c r="M19" s="63"/>
      <c r="N19" s="63" t="str">
        <f>IF(_epmOfflineCondition_,"Total Revenue",_xll.EVDES(H19))</f>
        <v>Total Revenue</v>
      </c>
      <c r="O19" s="65">
        <f>IF(_epmOfflineCondition_,0,_xll.EVGTS($B$1,1,$B$3,$B$5,$B$7,$B$9,O$16,O$17,O$18,$G$19,$H$19))</f>
        <v>0</v>
      </c>
      <c r="P19" s="65">
        <f>IF(_epmOfflineCondition_,0,_xll.EVGTS($B$1,1,$B$3,$B$5,$B$7,$B$9,P$16,P$17,P$18,$G$19,$H$19))</f>
        <v>0</v>
      </c>
      <c r="Q19" s="65">
        <f>IF(_epmOfflineCondition_,0,_xll.EVGTS($B$1,1,$B$3,$B$5,$B$7,$B$9,Q$16,Q$17,Q$18,$G$19,$H$19))</f>
        <v>0</v>
      </c>
      <c r="R19" s="65">
        <f>IF(_epmOfflineCondition_,372,_xll.EVGTS($B$1,1,$B$3,$B$5,$B$7,$B$9,R$16,R$17,R$18,$G$19,$H$19))</f>
        <v>372</v>
      </c>
      <c r="S19" s="65">
        <f>IF(_epmOfflineCondition_,-372,_xll.EVGTS($B$1,1,$B$3,$B$5,$B$7,$B$9,S$16,S$17,S$18,$G$19,$H$19))</f>
        <v>-372</v>
      </c>
      <c r="T19" s="65">
        <f>IF(_epmOfflineCondition_,0,_xll.EVGTS($B$1,1,$B$3,$B$5,$B$7,$B$9,T$16,T$17,T$18,$G$19,$H$19))</f>
        <v>0</v>
      </c>
      <c r="U19" s="65">
        <f>IF(_epmOfflineCondition_,0,_xll.EVGTS($B$1,1,$B$3,$B$5,$B$7,$B$9,U$16,U$17,U$18,$G$19,$H$19))</f>
        <v>0</v>
      </c>
      <c r="V19" s="65">
        <f>IF(_epmOfflineCondition_,0,_xll.EVGTS($B$1,1,$B$3,$B$5,$B$7,$B$9,V$16,V$17,V$18,$G$19,$H$19))</f>
        <v>0</v>
      </c>
      <c r="W19" s="65">
        <f>IF(_epmOfflineCondition_,0,_xll.EVGTS($B$1,1,$B$3,$B$5,$B$7,$B$9,W$16,W$17,W$18,$G$19,$H$19))</f>
        <v>0</v>
      </c>
      <c r="X19" s="65">
        <f>IF(_epmOfflineCondition_,0,_xll.EVGTS($B$1,1,$B$3,$B$5,$B$7,$B$9,X$16,X$17,X$18,$G$19,$H$19))</f>
        <v>0</v>
      </c>
      <c r="Y19" s="65">
        <f>IF(_epmOfflineCondition_,0,_xll.EVGTS($B$1,1,$B$3,$B$5,$B$7,$B$9,Y$16,Y$17,Y$18,$G$19,$H$19))</f>
        <v>0</v>
      </c>
      <c r="Z19" s="65">
        <f>IF(_epmOfflineCondition_,0,_xll.EVGTS($B$1,1,$B$3,$B$5,$B$7,$B$9,Z$16,Z$17,Z$18,$G$19,$H$19))</f>
        <v>0</v>
      </c>
      <c r="AA19" s="65">
        <f>SUM(O19:Z19)</f>
        <v>0</v>
      </c>
      <c r="AB19" s="63"/>
      <c r="AC19" s="63"/>
      <c r="AD19" s="65">
        <f>IF(_epmOfflineCondition_,0,_xll.EVGTS($B$1,1,$B$3,$B$5,$B$7,$B$9,AD$16,AD$17,AD$18,$G$19,$H$19))</f>
        <v>0</v>
      </c>
      <c r="AE19" s="63"/>
      <c r="AF19" s="63"/>
      <c r="AG19" s="65">
        <f>IF(_epmOfflineCondition_,0,_xll.EVGTS($B$1,1,$B$3,$B$5,$B$7,$B$9,AG$16,AG$17,AG$18,$G$19,$H$19))</f>
        <v>0</v>
      </c>
      <c r="AH19" s="63"/>
      <c r="AI19" s="63"/>
      <c r="AJ19" s="11"/>
      <c r="AK19" s="11"/>
      <c r="AL19" s="11"/>
      <c r="AM19" s="11"/>
      <c r="AN19" s="11"/>
      <c r="AO19" s="11"/>
    </row>
    <row r="20" spans="1:41" hidden="1" outlineLevel="1" x14ac:dyDescent="0.25">
      <c r="A20" s="61" t="s">
        <v>5</v>
      </c>
      <c r="B20" s="62"/>
      <c r="C20" s="11"/>
      <c r="D20" s="11"/>
      <c r="E20" s="11"/>
      <c r="F20" s="11"/>
      <c r="G20" s="63" t="s">
        <v>750</v>
      </c>
      <c r="H20" s="63">
        <v>900200</v>
      </c>
      <c r="I20" s="64"/>
      <c r="J20" s="64"/>
      <c r="K20" s="63"/>
      <c r="L20" s="64"/>
      <c r="M20" s="64"/>
      <c r="N20" s="63" t="str">
        <f>IF(_epmOfflineCondition_,"Total Rooms Occupied",_xll.EVDES(H20))</f>
        <v>Total Rooms Occupied</v>
      </c>
      <c r="O20" s="65">
        <f>IF(_epmOfflineCondition_,2885,_xll.EVGTS($B$1,1,$B$3,$B$5,$B$7,$B$9,O$16,O$17,O$18,$G$20,$H$20))</f>
        <v>2885</v>
      </c>
      <c r="P20" s="65">
        <f>IF(_epmOfflineCondition_,2648,_xll.EVGTS($B$1,1,$B$3,$B$5,$B$7,$B$9,P$16,P$17,P$18,$G$20,$H$20))</f>
        <v>2648</v>
      </c>
      <c r="Q20" s="65">
        <f>IF(_epmOfflineCondition_,3038,_xll.EVGTS($B$1,1,$B$3,$B$5,$B$7,$B$9,Q$16,Q$17,Q$18,$G$20,$H$20))</f>
        <v>3038</v>
      </c>
      <c r="R20" s="65">
        <f>IF(_epmOfflineCondition_,2737,_xll.EVGTS($B$1,1,$B$3,$B$5,$B$7,$B$9,R$16,R$17,R$18,$G$20,$H$20))</f>
        <v>2737</v>
      </c>
      <c r="S20" s="65">
        <f>IF(_epmOfflineCondition_,2600,_xll.EVGTS($B$1,1,$B$3,$B$5,$B$7,$B$9,S$16,S$17,S$18,$G$20,$H$20))</f>
        <v>2600</v>
      </c>
      <c r="T20" s="65">
        <f>IF(_epmOfflineCondition_,2202,_xll.EVGTS($B$1,1,$B$3,$B$5,$B$7,$B$9,T$16,T$17,T$18,$G$20,$H$20))</f>
        <v>2202</v>
      </c>
      <c r="U20" s="65">
        <f>IF(_epmOfflineCondition_,2516,_xll.EVGTS($B$1,1,$B$3,$B$5,$B$7,$B$9,U$16,U$17,U$18,$G$20,$H$20))</f>
        <v>2516</v>
      </c>
      <c r="V20" s="65">
        <f>IF(_epmOfflineCondition_,2830,_xll.EVGTS($B$1,1,$B$3,$B$5,$B$7,$B$9,V$16,V$17,V$18,$G$20,$H$20))</f>
        <v>2830</v>
      </c>
      <c r="W20" s="65">
        <f>IF(_epmOfflineCondition_,2120,_xll.EVGTS($B$1,1,$B$3,$B$5,$B$7,$B$9,W$16,W$17,W$18,$G$20,$H$20))</f>
        <v>2120</v>
      </c>
      <c r="X20" s="65">
        <f>IF(_epmOfflineCondition_,2772,_xll.EVGTS($B$1,1,$B$3,$B$5,$B$7,$B$9,X$16,X$17,X$18,$G$20,$H$20))</f>
        <v>2772</v>
      </c>
      <c r="Y20" s="65">
        <f>IF(_epmOfflineCondition_,2993,_xll.EVGTS($B$1,1,$B$3,$B$5,$B$7,$B$9,Y$16,Y$17,Y$18,$G$20,$H$20))</f>
        <v>2993</v>
      </c>
      <c r="Z20" s="65">
        <f>IF(_epmOfflineCondition_,3541,_xll.EVGTS($B$1,1,$B$3,$B$5,$B$7,$B$9,Z$16,Z$17,Z$18,$G$20,$H$20))</f>
        <v>3541</v>
      </c>
      <c r="AA20" s="65">
        <f>SUM(O20:Z20)</f>
        <v>32882</v>
      </c>
      <c r="AB20" s="63"/>
      <c r="AC20" s="63"/>
      <c r="AD20" s="65">
        <f>IF(_epmOfflineCondition_,36386,_xll.EVGTS($B$1,1,$B$3,$B$5,$B$7,$B$9,AD$16,AD$17,AD$18,$G$20,$H$20))</f>
        <v>36386</v>
      </c>
      <c r="AE20" s="63"/>
      <c r="AF20" s="63"/>
      <c r="AG20" s="65">
        <f>IF(_epmOfflineCondition_,15180,_xll.EVGTS($B$1,1,$B$3,$B$5,$B$7,$B$9,AG$16,AG$17,AG$18,$G$20,$H$20))</f>
        <v>15180</v>
      </c>
      <c r="AH20" s="63"/>
      <c r="AI20" s="63"/>
      <c r="AJ20" s="11"/>
      <c r="AK20" s="11"/>
      <c r="AL20" s="11"/>
      <c r="AM20" s="11"/>
      <c r="AN20" s="11"/>
      <c r="AO20" s="11"/>
    </row>
    <row r="21" spans="1:41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idden="1" outlineLevel="1" x14ac:dyDescent="0.25">
      <c r="A22" s="61" t="s">
        <v>7</v>
      </c>
      <c r="B22" s="62" t="str">
        <f>IF(_epmOfflineCondition_,"'HC_SPA'!$A$36:$F$40",_xll.EVRNG(A36:F40))</f>
        <v>'HC_SPA'!$A$36:$F$40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idden="1" outlineLevel="1" x14ac:dyDescent="0.25">
      <c r="A23" s="61" t="s">
        <v>47</v>
      </c>
      <c r="B23" s="62" t="str">
        <f>IF(_epmOfflineCondition_,"'HC_SPA'!$A$116:$B$137",_xll.EVRNG($A$116:$B$137))</f>
        <v>'HC_SPA'!$A$116:$B$137</v>
      </c>
      <c r="C23" s="11"/>
      <c r="D23" s="11"/>
      <c r="E23" s="11"/>
      <c r="F23" s="11"/>
      <c r="G23" s="11"/>
      <c r="H23" s="11"/>
      <c r="I23" s="55"/>
      <c r="J23" s="55"/>
      <c r="K23" s="6"/>
      <c r="L23" s="6"/>
      <c r="M23" s="6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380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22.5" x14ac:dyDescent="0.3">
      <c r="A26" s="57" t="s">
        <v>9</v>
      </c>
      <c r="B26" s="58" t="s">
        <v>10</v>
      </c>
      <c r="C26" s="11"/>
      <c r="D26" s="11"/>
      <c r="E26" s="11"/>
      <c r="F26" s="11"/>
      <c r="G26" s="11"/>
      <c r="H26" s="11"/>
      <c r="I26" s="55"/>
      <c r="J26" s="55"/>
      <c r="K26" s="11"/>
      <c r="L26" s="11"/>
      <c r="M26" s="11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8" x14ac:dyDescent="0.25">
      <c r="A27" s="61" t="s">
        <v>11</v>
      </c>
      <c r="B27" s="62" t="s">
        <v>21</v>
      </c>
      <c r="C27" s="11"/>
      <c r="D27" s="11"/>
      <c r="E27" s="11"/>
      <c r="F27" s="11"/>
      <c r="G27" s="11"/>
      <c r="H27" s="11"/>
      <c r="I27" s="55"/>
      <c r="J27" s="55"/>
      <c r="K27" s="11"/>
      <c r="L27" s="11"/>
      <c r="M27" s="11"/>
      <c r="N27" s="67" t="str">
        <f>IF(_epmOfflineCondition_,"Health Club/Spa Department",IF(_xll.EVDES(B6,$B$1)="#NODATA","",_xll.EVDES(B6,$B$1)&amp;" Department"))</f>
        <v>Health Club/Spa Department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x14ac:dyDescent="0.25">
      <c r="A28" s="61" t="s">
        <v>12</v>
      </c>
      <c r="B28" s="62" t="s">
        <v>22</v>
      </c>
      <c r="C28" s="11"/>
      <c r="D28" s="11"/>
      <c r="E28" s="11"/>
      <c r="F28" s="11"/>
      <c r="G28" s="11"/>
      <c r="H28" s="11"/>
      <c r="I28" s="55"/>
      <c r="J28" s="55"/>
      <c r="K28" s="11"/>
      <c r="L28" s="11"/>
      <c r="M28" s="11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" customHeight="1" x14ac:dyDescent="0.25">
      <c r="A29" s="61" t="s">
        <v>13</v>
      </c>
      <c r="B29" s="62" t="str">
        <f>"DEP(420100) AND "&amp;$E$6&amp;"=Y,400000"</f>
        <v>DEP(420100) AND D1132=Y,400000</v>
      </c>
      <c r="C29" s="11"/>
      <c r="D29" s="11"/>
      <c r="E29" s="11"/>
      <c r="F29" s="11"/>
      <c r="G29" s="11"/>
      <c r="H29" s="11"/>
      <c r="I29" s="55"/>
      <c r="J29" s="55"/>
      <c r="K29" s="11"/>
      <c r="L29" s="11"/>
      <c r="M29" s="11"/>
      <c r="N29" s="68" t="str">
        <f>IF(_epmOfflineCondition_,"Local Currency",_xll.EVDES(B9,B1))</f>
        <v>Local Currency</v>
      </c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x14ac:dyDescent="0.25">
      <c r="A30" s="61" t="s">
        <v>14</v>
      </c>
      <c r="B30" s="62"/>
      <c r="C30" s="11"/>
      <c r="D30" s="11"/>
      <c r="E30" s="11"/>
      <c r="F30" s="11"/>
      <c r="G30" s="11"/>
      <c r="H30" s="11"/>
      <c r="I30" s="55"/>
      <c r="J30" s="55"/>
      <c r="K30" s="11"/>
      <c r="L30" s="11"/>
      <c r="M30" s="11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  <c r="AJ30" s="69" t="s">
        <v>749</v>
      </c>
      <c r="AK30" s="70"/>
      <c r="AL30" s="71"/>
      <c r="AM30" s="70" t="s">
        <v>751</v>
      </c>
      <c r="AN30" s="70"/>
      <c r="AO30" s="11"/>
    </row>
    <row r="31" spans="1:41" x14ac:dyDescent="0.25">
      <c r="A31" s="61" t="s">
        <v>15</v>
      </c>
      <c r="B31" s="62"/>
      <c r="C31" s="11"/>
      <c r="D31" s="11"/>
      <c r="E31" s="11"/>
      <c r="F31" s="11"/>
      <c r="G31" s="72"/>
      <c r="H31" s="11"/>
      <c r="I31" s="55"/>
      <c r="J31" s="55"/>
      <c r="K31" s="55"/>
      <c r="L31" s="55"/>
      <c r="M31" s="55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  <c r="AJ31" s="73" t="str">
        <f>IF(_epmOfflineCondition_,"2019",_xll.EVPRO($B$1,AA$16,"YEAR"))</f>
        <v>2019</v>
      </c>
      <c r="AK31" s="76" t="str">
        <f>IF(_epmOfflineCondition_,"2019",_xll.EVPRO($B$1,AD$16,"YEAR"))</f>
        <v>2019</v>
      </c>
      <c r="AL31" s="76" t="str">
        <f>IF(_epmOfflineCondition_,"2018",_xll.EVPRO($B$1,AG$16,"YEAR"))</f>
        <v>2018</v>
      </c>
      <c r="AM31" s="73" t="str">
        <f>"vs "&amp;AK31</f>
        <v>vs 2019</v>
      </c>
      <c r="AN31" s="73" t="str">
        <f>"vs "&amp;AL31</f>
        <v>vs 2018</v>
      </c>
      <c r="AO31" s="11"/>
    </row>
    <row r="32" spans="1:41" s="8" customFormat="1" ht="30" customHeight="1" x14ac:dyDescent="0.25">
      <c r="A32" s="77" t="s">
        <v>16</v>
      </c>
      <c r="B32" s="78"/>
      <c r="C32" s="79"/>
      <c r="D32" s="79"/>
      <c r="E32" s="79"/>
      <c r="F32" s="79"/>
      <c r="G32" s="359"/>
      <c r="H32" s="80"/>
      <c r="I32" s="81"/>
      <c r="J32" s="81"/>
      <c r="K32" s="174" t="s">
        <v>117</v>
      </c>
      <c r="L32" s="174"/>
      <c r="M32" s="174"/>
      <c r="N32" s="82" t="s">
        <v>120</v>
      </c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  <c r="AJ32" s="83" t="str">
        <f>Z32</f>
        <v>Actual</v>
      </c>
      <c r="AK32" s="76" t="str">
        <f>AD32</f>
        <v>Budget</v>
      </c>
      <c r="AL32" s="83" t="str">
        <f>AG32</f>
        <v>Actual</v>
      </c>
      <c r="AM32" s="73" t="s">
        <v>748</v>
      </c>
      <c r="AN32" s="73" t="s">
        <v>748</v>
      </c>
      <c r="AO32" s="79"/>
    </row>
    <row r="33" spans="1:41" x14ac:dyDescent="0.25">
      <c r="A33" s="61" t="s">
        <v>17</v>
      </c>
      <c r="B33" s="62"/>
      <c r="C33" s="11"/>
      <c r="D33" s="11"/>
      <c r="E33" s="11"/>
      <c r="F33" s="11"/>
      <c r="G33" s="11"/>
      <c r="H33" s="11" t="s">
        <v>69</v>
      </c>
      <c r="I33" s="55" t="str">
        <f>IF(_epmOfflineCondition_,"B1",_xll.EVPRO($B$1,$H33,"STYLE"))</f>
        <v>B1</v>
      </c>
      <c r="J33" s="55" t="str">
        <f>IF(_epmOfflineCondition_,"Y",_xll.EVPRO($B$1,$H33,"CALC"))</f>
        <v>Y</v>
      </c>
      <c r="K33" s="11"/>
      <c r="L33" s="11"/>
      <c r="M33" s="11"/>
      <c r="N33" s="101" t="str">
        <f>IF(_epmOfflineCondition_,"Revenues",IF(_xll.EVDES(H33,$B$1)="#NODATA","",_xll.EVDES(H33,$B$1)))</f>
        <v>Revenues</v>
      </c>
      <c r="O33" s="125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7"/>
      <c r="AC33" s="11"/>
      <c r="AD33" s="125"/>
      <c r="AE33" s="126"/>
      <c r="AF33" s="127"/>
      <c r="AG33" s="125"/>
      <c r="AH33" s="126"/>
      <c r="AI33" s="127"/>
      <c r="AJ33" s="11"/>
      <c r="AK33" s="11"/>
      <c r="AL33" s="11"/>
      <c r="AM33" s="11"/>
      <c r="AN33" s="11"/>
      <c r="AO33" s="11"/>
    </row>
    <row r="34" spans="1:41" x14ac:dyDescent="0.25">
      <c r="A34" s="11"/>
      <c r="B34" s="11"/>
      <c r="C34" s="11"/>
      <c r="D34" s="11"/>
      <c r="E34" s="11"/>
      <c r="F34" s="11"/>
      <c r="G34" s="11"/>
      <c r="H34" s="84" t="s">
        <v>367</v>
      </c>
      <c r="I34" s="118" t="str">
        <f>IF(_epmOfflineCondition_,"N",_xll.EVPRO($B$1,$H34,"STYLE"))</f>
        <v>N</v>
      </c>
      <c r="J34" s="118" t="str">
        <f>IF(_epmOfflineCondition_,"N",_xll.EVPRO($B$1,$H34,"CALC"))</f>
        <v>N</v>
      </c>
      <c r="K34" s="175" t="str">
        <f t="shared" ref="K34:K44" si="0">IF(AND(I34&gt;="T5"),"&gt;","")</f>
        <v/>
      </c>
      <c r="L34" s="86" t="str">
        <f>IF(_epmOfflineCondition_,"420300",_xll.EVPRO($B$1,H34,"JDEID"))</f>
        <v>420300</v>
      </c>
      <c r="M34" s="86" t="str">
        <f>IF(_epmOfflineCondition_,"205020",IF(AND(I34="N",J34="N"),_xll.EVPRO($B$1,H34,"PSFTID"),""))</f>
        <v>205020</v>
      </c>
      <c r="N34" s="86" t="str">
        <f>IF(_epmOfflineCondition_,"Massage &amp; Body Treatment Rev",IF(_xll.EVDES(H34,$B$1)="#NODATA","",_xll.EVDES(H34,$B$1)))</f>
        <v>Massage &amp; Body Treatment Rev</v>
      </c>
      <c r="O34" s="134"/>
      <c r="P34" s="134"/>
      <c r="Q34" s="134"/>
      <c r="R34" s="134"/>
      <c r="S34" s="134"/>
      <c r="T34" s="134"/>
      <c r="U34" s="134"/>
      <c r="V34" s="134"/>
      <c r="W34" s="134"/>
      <c r="X34" s="134"/>
      <c r="Y34" s="134"/>
      <c r="Z34" s="134"/>
      <c r="AA34" s="223">
        <f t="shared" ref="AA34:AA44" si="1">IF($I34="B1","",SUM(O34:Z34))</f>
        <v>0</v>
      </c>
      <c r="AB34" s="138" t="str">
        <f t="shared" ref="AB34:AB44" si="2">IF(AA34=0,"",IFERROR(AA34/AA$19,""))</f>
        <v/>
      </c>
      <c r="AC34" s="136"/>
      <c r="AD34" s="134"/>
      <c r="AE34" s="138" t="str">
        <f t="shared" ref="AE34:AE44" si="3">IF(AD34=0,"",IFERROR(AD34/AD$19,""))</f>
        <v/>
      </c>
      <c r="AF34" s="137">
        <f t="shared" ref="AF34:AF44" si="4">IF(AND($AA34="",AD34=""),"",$AA34-AD34)</f>
        <v>0</v>
      </c>
      <c r="AG34" s="134"/>
      <c r="AH34" s="138" t="str">
        <f t="shared" ref="AH34:AH44" si="5">IF(AG34=0,"",IFERROR(AG34/AG$19,""))</f>
        <v/>
      </c>
      <c r="AI34" s="137">
        <f t="shared" ref="AI34:AI44" si="6">IF(AND($AA34="",AG34=""),"",$AA34-AG34)</f>
        <v>0</v>
      </c>
      <c r="AJ34" s="458">
        <f t="shared" ref="AJ34:AJ44" si="7">IFERROR(AA34/AA$20,0)</f>
        <v>0</v>
      </c>
      <c r="AK34" s="459">
        <f t="shared" ref="AK34:AK44" si="8">IFERROR(AD34/AD$20,0)</f>
        <v>0</v>
      </c>
      <c r="AL34" s="460">
        <f t="shared" ref="AL34:AL44" si="9">IFERROR(AG34/AG$20,0)</f>
        <v>0</v>
      </c>
      <c r="AM34" s="461">
        <f t="shared" ref="AM34:AM44" si="10">+IFERROR(ROUND(($AB34-AE34)*100,2)&amp;" pts.",0)</f>
        <v>0</v>
      </c>
      <c r="AN34" s="462">
        <f t="shared" ref="AN34:AN44" si="11">+IFERROR(ROUND(($AB34-AH34)*100,2)&amp;" pts.",0)</f>
        <v>0</v>
      </c>
      <c r="AO34" s="11"/>
    </row>
    <row r="35" spans="1:41" x14ac:dyDescent="0.25">
      <c r="A35" s="93" t="s">
        <v>92</v>
      </c>
      <c r="B35" s="94" t="s">
        <v>93</v>
      </c>
      <c r="C35" s="94" t="s">
        <v>94</v>
      </c>
      <c r="D35" s="94" t="s">
        <v>95</v>
      </c>
      <c r="E35" s="94" t="s">
        <v>96</v>
      </c>
      <c r="F35" s="95" t="s">
        <v>97</v>
      </c>
      <c r="G35" s="11"/>
      <c r="H35" s="84" t="s">
        <v>368</v>
      </c>
      <c r="I35" s="118" t="str">
        <f>IF(_epmOfflineCondition_,"T5",_xll.EVPRO($B$1,$H35,"STYLE"))</f>
        <v>T5</v>
      </c>
      <c r="J35" s="118" t="str">
        <f>IF(_epmOfflineCondition_,"Y",_xll.EVPRO($B$1,$H35,"CALC"))</f>
        <v>Y</v>
      </c>
      <c r="K35" s="175" t="str">
        <f t="shared" si="0"/>
        <v>&gt;</v>
      </c>
      <c r="L35" s="86" t="str">
        <f>IF(_epmOfflineCondition_,"",_xll.EVPRO($B$1,H35,"JDEID"))</f>
        <v/>
      </c>
      <c r="M35" s="86" t="str">
        <f>IF(_epmOfflineCondition_,"",IF(AND(I35="N",J35="N"),_xll.EVPRO($B$1,H35,"PSFTID"),""))</f>
        <v/>
      </c>
      <c r="N35" s="86" t="str">
        <f>IF(_epmOfflineCondition_,"Skin Care Revenue",IF(_xll.EVDES(H35,$B$1)="#NODATA","",_xll.EVDES(H35,$B$1)))</f>
        <v>Skin Care Revenue</v>
      </c>
      <c r="O35" s="134"/>
      <c r="P35" s="134"/>
      <c r="Q35" s="134"/>
      <c r="R35" s="134"/>
      <c r="S35" s="134"/>
      <c r="T35" s="134"/>
      <c r="U35" s="134"/>
      <c r="V35" s="134"/>
      <c r="W35" s="134"/>
      <c r="X35" s="134"/>
      <c r="Y35" s="134"/>
      <c r="Z35" s="134"/>
      <c r="AA35" s="223">
        <f t="shared" si="1"/>
        <v>0</v>
      </c>
      <c r="AB35" s="138" t="str">
        <f t="shared" si="2"/>
        <v/>
      </c>
      <c r="AC35" s="136"/>
      <c r="AD35" s="134"/>
      <c r="AE35" s="138" t="str">
        <f t="shared" si="3"/>
        <v/>
      </c>
      <c r="AF35" s="137">
        <f t="shared" si="4"/>
        <v>0</v>
      </c>
      <c r="AG35" s="134"/>
      <c r="AH35" s="138" t="str">
        <f t="shared" si="5"/>
        <v/>
      </c>
      <c r="AI35" s="137">
        <f t="shared" si="6"/>
        <v>0</v>
      </c>
      <c r="AJ35" s="458">
        <f t="shared" si="7"/>
        <v>0</v>
      </c>
      <c r="AK35" s="459">
        <f t="shared" si="8"/>
        <v>0</v>
      </c>
      <c r="AL35" s="460">
        <f t="shared" si="9"/>
        <v>0</v>
      </c>
      <c r="AM35" s="461">
        <f t="shared" si="10"/>
        <v>0</v>
      </c>
      <c r="AN35" s="462">
        <f t="shared" si="11"/>
        <v>0</v>
      </c>
      <c r="AO35" s="11"/>
    </row>
    <row r="36" spans="1:41" x14ac:dyDescent="0.25">
      <c r="A36" s="11"/>
      <c r="B36" s="11"/>
      <c r="C36" s="11"/>
      <c r="D36" s="11"/>
      <c r="E36" s="11"/>
      <c r="F36" s="11"/>
      <c r="G36" s="11"/>
      <c r="H36" s="84" t="s">
        <v>369</v>
      </c>
      <c r="I36" s="118" t="str">
        <f>IF(_epmOfflineCondition_,"T5",_xll.EVPRO($B$1,$H36,"STYLE"))</f>
        <v>T5</v>
      </c>
      <c r="J36" s="118" t="str">
        <f>IF(_epmOfflineCondition_,"Y",_xll.EVPRO($B$1,$H36,"CALC"))</f>
        <v>Y</v>
      </c>
      <c r="K36" s="175" t="str">
        <f t="shared" si="0"/>
        <v>&gt;</v>
      </c>
      <c r="L36" s="86" t="str">
        <f>IF(_epmOfflineCondition_,"",_xll.EVPRO($B$1,H36,"JDEID"))</f>
        <v/>
      </c>
      <c r="M36" s="86" t="str">
        <f>IF(_epmOfflineCondition_,"",IF(AND(I36="N",J36="N"),_xll.EVPRO($B$1,H36,"PSFTID"),""))</f>
        <v/>
      </c>
      <c r="N36" s="86" t="str">
        <f>IF(_epmOfflineCondition_,"Hair Care Revenue",IF(_xll.EVDES(H36,$B$1)="#NODATA","",_xll.EVDES(H36,$B$1)))</f>
        <v>Hair Care Revenue</v>
      </c>
      <c r="O36" s="134"/>
      <c r="P36" s="134"/>
      <c r="Q36" s="134"/>
      <c r="R36" s="134"/>
      <c r="S36" s="134"/>
      <c r="T36" s="134"/>
      <c r="U36" s="134"/>
      <c r="V36" s="134"/>
      <c r="W36" s="134"/>
      <c r="X36" s="134"/>
      <c r="Y36" s="134"/>
      <c r="Z36" s="134"/>
      <c r="AA36" s="223">
        <f t="shared" si="1"/>
        <v>0</v>
      </c>
      <c r="AB36" s="138" t="str">
        <f t="shared" si="2"/>
        <v/>
      </c>
      <c r="AC36" s="136"/>
      <c r="AD36" s="134"/>
      <c r="AE36" s="138" t="str">
        <f t="shared" si="3"/>
        <v/>
      </c>
      <c r="AF36" s="137">
        <f t="shared" si="4"/>
        <v>0</v>
      </c>
      <c r="AG36" s="134"/>
      <c r="AH36" s="138" t="str">
        <f t="shared" si="5"/>
        <v/>
      </c>
      <c r="AI36" s="137">
        <f t="shared" si="6"/>
        <v>0</v>
      </c>
      <c r="AJ36" s="458">
        <f t="shared" si="7"/>
        <v>0</v>
      </c>
      <c r="AK36" s="459">
        <f t="shared" si="8"/>
        <v>0</v>
      </c>
      <c r="AL36" s="460">
        <f t="shared" si="9"/>
        <v>0</v>
      </c>
      <c r="AM36" s="461">
        <f t="shared" si="10"/>
        <v>0</v>
      </c>
      <c r="AN36" s="462">
        <f t="shared" si="11"/>
        <v>0</v>
      </c>
      <c r="AO36" s="11"/>
    </row>
    <row r="37" spans="1:41" x14ac:dyDescent="0.25">
      <c r="A37" s="11" t="s">
        <v>105</v>
      </c>
      <c r="B37" s="11"/>
      <c r="C37" s="100" t="s">
        <v>101</v>
      </c>
      <c r="D37" s="11" t="s">
        <v>106</v>
      </c>
      <c r="E37" s="11"/>
      <c r="F37" s="11" t="s">
        <v>98</v>
      </c>
      <c r="G37" s="11"/>
      <c r="H37" s="84" t="s">
        <v>370</v>
      </c>
      <c r="I37" s="118" t="str">
        <f>IF(_epmOfflineCondition_,"T5",_xll.EVPRO($B$1,$H37,"STYLE"))</f>
        <v>T5</v>
      </c>
      <c r="J37" s="118" t="str">
        <f>IF(_epmOfflineCondition_,"Y",_xll.EVPRO($B$1,$H37,"CALC"))</f>
        <v>Y</v>
      </c>
      <c r="K37" s="175" t="str">
        <f t="shared" si="0"/>
        <v>&gt;</v>
      </c>
      <c r="L37" s="86" t="str">
        <f>IF(_epmOfflineCondition_,"",_xll.EVPRO($B$1,H37,"JDEID"))</f>
        <v/>
      </c>
      <c r="M37" s="86" t="str">
        <f>IF(_epmOfflineCondition_,"",IF(AND(I37="N",J37="N"),_xll.EVPRO($B$1,H37,"PSFTID"),""))</f>
        <v/>
      </c>
      <c r="N37" s="86" t="str">
        <f>IF(_epmOfflineCondition_,"Nail Care Revenue",IF(_xll.EVDES(H37,$B$1)="#NODATA","",_xll.EVDES(H37,$B$1)))</f>
        <v>Nail Care Revenue</v>
      </c>
      <c r="O37" s="134"/>
      <c r="P37" s="134"/>
      <c r="Q37" s="134"/>
      <c r="R37" s="134"/>
      <c r="S37" s="134"/>
      <c r="T37" s="134"/>
      <c r="U37" s="134"/>
      <c r="V37" s="134"/>
      <c r="W37" s="134"/>
      <c r="X37" s="134"/>
      <c r="Y37" s="134"/>
      <c r="Z37" s="134"/>
      <c r="AA37" s="223">
        <f t="shared" si="1"/>
        <v>0</v>
      </c>
      <c r="AB37" s="138" t="str">
        <f t="shared" si="2"/>
        <v/>
      </c>
      <c r="AC37" s="136"/>
      <c r="AD37" s="134"/>
      <c r="AE37" s="138" t="str">
        <f t="shared" si="3"/>
        <v/>
      </c>
      <c r="AF37" s="137">
        <f t="shared" si="4"/>
        <v>0</v>
      </c>
      <c r="AG37" s="134"/>
      <c r="AH37" s="138" t="str">
        <f t="shared" si="5"/>
        <v/>
      </c>
      <c r="AI37" s="137">
        <f t="shared" si="6"/>
        <v>0</v>
      </c>
      <c r="AJ37" s="458">
        <f t="shared" si="7"/>
        <v>0</v>
      </c>
      <c r="AK37" s="459">
        <f t="shared" si="8"/>
        <v>0</v>
      </c>
      <c r="AL37" s="460">
        <f t="shared" si="9"/>
        <v>0</v>
      </c>
      <c r="AM37" s="461">
        <f t="shared" si="10"/>
        <v>0</v>
      </c>
      <c r="AN37" s="462">
        <f t="shared" si="11"/>
        <v>0</v>
      </c>
      <c r="AO37" s="11"/>
    </row>
    <row r="38" spans="1:41" x14ac:dyDescent="0.25">
      <c r="A38" s="11" t="s">
        <v>104</v>
      </c>
      <c r="B38" s="11"/>
      <c r="C38" s="100" t="s">
        <v>101</v>
      </c>
      <c r="D38" s="11" t="s">
        <v>106</v>
      </c>
      <c r="E38" s="11"/>
      <c r="F38" s="11" t="s">
        <v>98</v>
      </c>
      <c r="G38" s="11"/>
      <c r="H38" s="84" t="s">
        <v>371</v>
      </c>
      <c r="I38" s="118" t="str">
        <f>IF(_epmOfflineCondition_,"T5",_xll.EVPRO($B$1,$H38,"STYLE"))</f>
        <v>T5</v>
      </c>
      <c r="J38" s="118" t="str">
        <f>IF(_epmOfflineCondition_,"Y",_xll.EVPRO($B$1,$H38,"CALC"))</f>
        <v>Y</v>
      </c>
      <c r="K38" s="175" t="str">
        <f t="shared" si="0"/>
        <v>&gt;</v>
      </c>
      <c r="L38" s="86" t="str">
        <f>IF(_epmOfflineCondition_,"",_xll.EVPRO($B$1,H38,"JDEID"))</f>
        <v/>
      </c>
      <c r="M38" s="86" t="str">
        <f>IF(_epmOfflineCondition_,"",IF(AND(I38="N",J38="N"),_xll.EVPRO($B$1,H38,"PSFTID"),""))</f>
        <v/>
      </c>
      <c r="N38" s="86" t="str">
        <f>IF(_epmOfflineCondition_,"Fitness Revenue",IF(_xll.EVDES(H38,$B$1)="#NODATA","",_xll.EVDES(H38,$B$1)))</f>
        <v>Fitness Revenue</v>
      </c>
      <c r="O38" s="134"/>
      <c r="P38" s="134"/>
      <c r="Q38" s="134"/>
      <c r="R38" s="134"/>
      <c r="S38" s="134"/>
      <c r="T38" s="134"/>
      <c r="U38" s="134"/>
      <c r="V38" s="134"/>
      <c r="W38" s="134"/>
      <c r="X38" s="134"/>
      <c r="Y38" s="134"/>
      <c r="Z38" s="134"/>
      <c r="AA38" s="223">
        <f t="shared" si="1"/>
        <v>0</v>
      </c>
      <c r="AB38" s="138" t="str">
        <f t="shared" si="2"/>
        <v/>
      </c>
      <c r="AC38" s="136"/>
      <c r="AD38" s="134"/>
      <c r="AE38" s="138" t="str">
        <f t="shared" si="3"/>
        <v/>
      </c>
      <c r="AF38" s="137">
        <f t="shared" si="4"/>
        <v>0</v>
      </c>
      <c r="AG38" s="134"/>
      <c r="AH38" s="138" t="str">
        <f t="shared" si="5"/>
        <v/>
      </c>
      <c r="AI38" s="137">
        <f t="shared" si="6"/>
        <v>0</v>
      </c>
      <c r="AJ38" s="458">
        <f t="shared" si="7"/>
        <v>0</v>
      </c>
      <c r="AK38" s="459">
        <f t="shared" si="8"/>
        <v>0</v>
      </c>
      <c r="AL38" s="460">
        <f t="shared" si="9"/>
        <v>0</v>
      </c>
      <c r="AM38" s="461">
        <f t="shared" si="10"/>
        <v>0</v>
      </c>
      <c r="AN38" s="462">
        <f t="shared" si="11"/>
        <v>0</v>
      </c>
      <c r="AO38" s="11"/>
    </row>
    <row r="39" spans="1:41" x14ac:dyDescent="0.25">
      <c r="A39" s="11" t="s">
        <v>108</v>
      </c>
      <c r="B39" s="11"/>
      <c r="C39" s="102" t="s">
        <v>101</v>
      </c>
      <c r="D39" s="11" t="s">
        <v>106</v>
      </c>
      <c r="E39" s="11"/>
      <c r="F39" s="11" t="s">
        <v>98</v>
      </c>
      <c r="G39" s="11"/>
      <c r="H39" s="84" t="s">
        <v>372</v>
      </c>
      <c r="I39" s="118" t="str">
        <f>IF(_epmOfflineCondition_,"N",_xll.EVPRO($B$1,$H39,"STYLE"))</f>
        <v>N</v>
      </c>
      <c r="J39" s="118" t="str">
        <f>IF(_epmOfflineCondition_,"N",_xll.EVPRO($B$1,$H39,"CALC"))</f>
        <v>N</v>
      </c>
      <c r="K39" s="175" t="str">
        <f t="shared" si="0"/>
        <v/>
      </c>
      <c r="L39" s="86" t="str">
        <f>IF(_epmOfflineCondition_,"420350",_xll.EVPRO($B$1,H39,"JDEID"))</f>
        <v>420350</v>
      </c>
      <c r="M39" s="86" t="str">
        <f>IF(_epmOfflineCondition_,"205018",IF(AND(I39="N",J39="N"),_xll.EVPRO($B$1,H39,"PSFTID"),""))</f>
        <v>205018</v>
      </c>
      <c r="N39" s="86" t="str">
        <f>IF(_epmOfflineCondition_,"Health &amp; Wellness Revenue",IF(_xll.EVDES(H39,$B$1)="#NODATA","",_xll.EVDES(H39,$B$1)))</f>
        <v>Health &amp; Wellness Revenue</v>
      </c>
      <c r="O39" s="134"/>
      <c r="P39" s="134"/>
      <c r="Q39" s="134"/>
      <c r="R39" s="134"/>
      <c r="S39" s="134"/>
      <c r="T39" s="134"/>
      <c r="U39" s="134"/>
      <c r="V39" s="134"/>
      <c r="W39" s="134"/>
      <c r="X39" s="134"/>
      <c r="Y39" s="134"/>
      <c r="Z39" s="134"/>
      <c r="AA39" s="223">
        <f t="shared" si="1"/>
        <v>0</v>
      </c>
      <c r="AB39" s="138" t="str">
        <f t="shared" si="2"/>
        <v/>
      </c>
      <c r="AC39" s="136"/>
      <c r="AD39" s="134"/>
      <c r="AE39" s="138" t="str">
        <f t="shared" si="3"/>
        <v/>
      </c>
      <c r="AF39" s="137">
        <f t="shared" si="4"/>
        <v>0</v>
      </c>
      <c r="AG39" s="134"/>
      <c r="AH39" s="138" t="str">
        <f t="shared" si="5"/>
        <v/>
      </c>
      <c r="AI39" s="137">
        <f t="shared" si="6"/>
        <v>0</v>
      </c>
      <c r="AJ39" s="458">
        <f t="shared" si="7"/>
        <v>0</v>
      </c>
      <c r="AK39" s="459">
        <f t="shared" si="8"/>
        <v>0</v>
      </c>
      <c r="AL39" s="460">
        <f t="shared" si="9"/>
        <v>0</v>
      </c>
      <c r="AM39" s="461">
        <f t="shared" si="10"/>
        <v>0</v>
      </c>
      <c r="AN39" s="462">
        <f t="shared" si="11"/>
        <v>0</v>
      </c>
      <c r="AO39" s="11"/>
    </row>
    <row r="40" spans="1:41" x14ac:dyDescent="0.25">
      <c r="A40" s="11" t="s">
        <v>108</v>
      </c>
      <c r="B40" s="11"/>
      <c r="C40" s="192" t="s">
        <v>101</v>
      </c>
      <c r="D40" s="11" t="s">
        <v>107</v>
      </c>
      <c r="E40" s="11"/>
      <c r="F40" s="11" t="s">
        <v>99</v>
      </c>
      <c r="G40" s="11"/>
      <c r="H40" s="84" t="s">
        <v>373</v>
      </c>
      <c r="I40" s="118" t="str">
        <f>IF(_epmOfflineCondition_,"T5",_xll.EVPRO($B$1,$H40,"STYLE"))</f>
        <v>T5</v>
      </c>
      <c r="J40" s="118" t="str">
        <f>IF(_epmOfflineCondition_,"Y",_xll.EVPRO($B$1,$H40,"CALC"))</f>
        <v>Y</v>
      </c>
      <c r="K40" s="175" t="str">
        <f t="shared" si="0"/>
        <v>&gt;</v>
      </c>
      <c r="L40" s="86" t="str">
        <f>IF(_epmOfflineCondition_,"",_xll.EVPRO($B$1,H40,"JDEID"))</f>
        <v/>
      </c>
      <c r="M40" s="86" t="str">
        <f>IF(_epmOfflineCondition_,"",IF(AND(I40="N",J40="N"),_xll.EVPRO($B$1,H40,"PSFTID"),""))</f>
        <v/>
      </c>
      <c r="N40" s="86" t="str">
        <f>IF(_epmOfflineCondition_,"Membership Fee Revenue",IF(_xll.EVDES(H40,$B$1)="#NODATA","",_xll.EVDES(H40,$B$1)))</f>
        <v>Membership Fee Revenue</v>
      </c>
      <c r="O40" s="134"/>
      <c r="P40" s="134"/>
      <c r="Q40" s="134"/>
      <c r="R40" s="134"/>
      <c r="S40" s="134"/>
      <c r="T40" s="134"/>
      <c r="U40" s="134"/>
      <c r="V40" s="134"/>
      <c r="W40" s="134"/>
      <c r="X40" s="134"/>
      <c r="Y40" s="134"/>
      <c r="Z40" s="134"/>
      <c r="AA40" s="223">
        <f t="shared" si="1"/>
        <v>0</v>
      </c>
      <c r="AB40" s="138" t="str">
        <f t="shared" si="2"/>
        <v/>
      </c>
      <c r="AC40" s="136"/>
      <c r="AD40" s="134"/>
      <c r="AE40" s="138" t="str">
        <f t="shared" si="3"/>
        <v/>
      </c>
      <c r="AF40" s="137">
        <f t="shared" si="4"/>
        <v>0</v>
      </c>
      <c r="AG40" s="134"/>
      <c r="AH40" s="138" t="str">
        <f t="shared" si="5"/>
        <v/>
      </c>
      <c r="AI40" s="137">
        <f t="shared" si="6"/>
        <v>0</v>
      </c>
      <c r="AJ40" s="458">
        <f t="shared" si="7"/>
        <v>0</v>
      </c>
      <c r="AK40" s="459">
        <f t="shared" si="8"/>
        <v>0</v>
      </c>
      <c r="AL40" s="460">
        <f t="shared" si="9"/>
        <v>0</v>
      </c>
      <c r="AM40" s="461">
        <f t="shared" si="10"/>
        <v>0</v>
      </c>
      <c r="AN40" s="462">
        <f t="shared" si="11"/>
        <v>0</v>
      </c>
      <c r="AO40" s="11"/>
    </row>
    <row r="41" spans="1:41" x14ac:dyDescent="0.25">
      <c r="A41" s="11"/>
      <c r="B41" s="11"/>
      <c r="C41" s="11"/>
      <c r="D41" s="11"/>
      <c r="E41" s="11"/>
      <c r="F41" s="11"/>
      <c r="G41" s="11"/>
      <c r="H41" s="84" t="s">
        <v>374</v>
      </c>
      <c r="I41" s="118" t="str">
        <f>IF(_epmOfflineCondition_,"T5",_xll.EVPRO($B$1,$H41,"STYLE"))</f>
        <v>T5</v>
      </c>
      <c r="J41" s="118" t="str">
        <f>IF(_epmOfflineCondition_,"Y",_xll.EVPRO($B$1,$H41,"CALC"))</f>
        <v>Y</v>
      </c>
      <c r="K41" s="175" t="str">
        <f t="shared" si="0"/>
        <v>&gt;</v>
      </c>
      <c r="L41" s="86" t="str">
        <f>IF(_epmOfflineCondition_,"",_xll.EVPRO($B$1,H41,"JDEID"))</f>
        <v/>
      </c>
      <c r="M41" s="86" t="str">
        <f>IF(_epmOfflineCondition_,"",IF(AND(I41="N",J41="N"),_xll.EVPRO($B$1,H41,"PSFTID"),""))</f>
        <v/>
      </c>
      <c r="N41" s="86" t="str">
        <f>IF(_epmOfflineCondition_,"Retail Revenue",IF(_xll.EVDES(H41,$B$1)="#NODATA","",_xll.EVDES(H41,$B$1)))</f>
        <v>Retail Revenue</v>
      </c>
      <c r="O41" s="134"/>
      <c r="P41" s="134"/>
      <c r="Q41" s="134"/>
      <c r="R41" s="134"/>
      <c r="S41" s="134"/>
      <c r="T41" s="134"/>
      <c r="U41" s="134"/>
      <c r="V41" s="134"/>
      <c r="W41" s="134"/>
      <c r="X41" s="134"/>
      <c r="Y41" s="134"/>
      <c r="Z41" s="134"/>
      <c r="AA41" s="223">
        <f t="shared" si="1"/>
        <v>0</v>
      </c>
      <c r="AB41" s="138" t="str">
        <f t="shared" si="2"/>
        <v/>
      </c>
      <c r="AC41" s="136"/>
      <c r="AD41" s="134"/>
      <c r="AE41" s="138" t="str">
        <f t="shared" si="3"/>
        <v/>
      </c>
      <c r="AF41" s="137">
        <f t="shared" si="4"/>
        <v>0</v>
      </c>
      <c r="AG41" s="134"/>
      <c r="AH41" s="138" t="str">
        <f t="shared" si="5"/>
        <v/>
      </c>
      <c r="AI41" s="137">
        <f t="shared" si="6"/>
        <v>0</v>
      </c>
      <c r="AJ41" s="458">
        <f t="shared" si="7"/>
        <v>0</v>
      </c>
      <c r="AK41" s="459">
        <f t="shared" si="8"/>
        <v>0</v>
      </c>
      <c r="AL41" s="460">
        <f t="shared" si="9"/>
        <v>0</v>
      </c>
      <c r="AM41" s="461">
        <f t="shared" si="10"/>
        <v>0</v>
      </c>
      <c r="AN41" s="462">
        <f t="shared" si="11"/>
        <v>0</v>
      </c>
      <c r="AO41" s="11"/>
    </row>
    <row r="42" spans="1:41" x14ac:dyDescent="0.25">
      <c r="A42" s="11"/>
      <c r="B42" s="11"/>
      <c r="C42" s="11"/>
      <c r="D42" s="11"/>
      <c r="E42" s="11"/>
      <c r="F42" s="11"/>
      <c r="G42" s="11"/>
      <c r="H42" s="181" t="s">
        <v>375</v>
      </c>
      <c r="I42" s="118" t="str">
        <f>IF(_epmOfflineCondition_,"N",_xll.EVPRO($B$1,$H42,"STYLE"))</f>
        <v>N</v>
      </c>
      <c r="J42" s="118" t="str">
        <f>IF(_epmOfflineCondition_,"N",_xll.EVPRO($B$1,$H42,"CALC"))</f>
        <v>N</v>
      </c>
      <c r="K42" s="175" t="str">
        <f t="shared" si="0"/>
        <v/>
      </c>
      <c r="L42" s="86" t="str">
        <f>IF(_epmOfflineCondition_,"420700",_xll.EVPRO($B$1,H42,"JDEID"))</f>
        <v>420700</v>
      </c>
      <c r="M42" s="86" t="str">
        <f>IF(_epmOfflineCondition_,"205035",IF(AND(I42="N",J42="N"),_xll.EVPRO($B$1,H42,"PSFTID"),""))</f>
        <v>205035</v>
      </c>
      <c r="N42" s="86" t="str">
        <f>IF(_epmOfflineCondition_,"Other Revenue",IF(_xll.EVDES(H42,$B$1)="#NODATA","",_xll.EVDES(H42,$B$1)))</f>
        <v>Other Revenue</v>
      </c>
      <c r="O42" s="134"/>
      <c r="P42" s="134"/>
      <c r="Q42" s="134"/>
      <c r="R42" s="134">
        <v>372</v>
      </c>
      <c r="S42" s="134">
        <v>-372</v>
      </c>
      <c r="T42" s="134"/>
      <c r="U42" s="134"/>
      <c r="V42" s="134"/>
      <c r="W42" s="134"/>
      <c r="X42" s="134"/>
      <c r="Y42" s="134"/>
      <c r="Z42" s="134"/>
      <c r="AA42" s="223">
        <f t="shared" si="1"/>
        <v>0</v>
      </c>
      <c r="AB42" s="138" t="str">
        <f t="shared" si="2"/>
        <v/>
      </c>
      <c r="AC42" s="136"/>
      <c r="AD42" s="134"/>
      <c r="AE42" s="138" t="str">
        <f t="shared" si="3"/>
        <v/>
      </c>
      <c r="AF42" s="137">
        <f t="shared" si="4"/>
        <v>0</v>
      </c>
      <c r="AG42" s="134"/>
      <c r="AH42" s="138" t="str">
        <f t="shared" si="5"/>
        <v/>
      </c>
      <c r="AI42" s="137">
        <f t="shared" si="6"/>
        <v>0</v>
      </c>
      <c r="AJ42" s="458">
        <f t="shared" si="7"/>
        <v>0</v>
      </c>
      <c r="AK42" s="459">
        <f t="shared" si="8"/>
        <v>0</v>
      </c>
      <c r="AL42" s="460">
        <f t="shared" si="9"/>
        <v>0</v>
      </c>
      <c r="AM42" s="461">
        <f t="shared" si="10"/>
        <v>0</v>
      </c>
      <c r="AN42" s="462">
        <f t="shared" si="11"/>
        <v>0</v>
      </c>
      <c r="AO42" s="11"/>
    </row>
    <row r="43" spans="1:41" x14ac:dyDescent="0.25">
      <c r="A43" s="56" t="str">
        <f>IF(_epmOfflineCondition_,"Evdre:Ok",_xll.EVDRE($B$1,A46:B53,A56:B62))</f>
        <v>Evdre:Ok</v>
      </c>
      <c r="B43" s="11"/>
      <c r="C43" s="11"/>
      <c r="D43" s="11"/>
      <c r="E43" s="11"/>
      <c r="F43" s="11"/>
      <c r="G43" s="11"/>
      <c r="H43" s="181" t="s">
        <v>376</v>
      </c>
      <c r="I43" s="118" t="str">
        <f>IF(_epmOfflineCondition_,"N",_xll.EVPRO($B$1,$H43,"STYLE"))</f>
        <v>N</v>
      </c>
      <c r="J43" s="118" t="str">
        <f>IF(_epmOfflineCondition_,"N",_xll.EVPRO($B$1,$H43,"CALC"))</f>
        <v>N</v>
      </c>
      <c r="K43" s="175" t="str">
        <f t="shared" si="0"/>
        <v/>
      </c>
      <c r="L43" s="86" t="str">
        <f>IF(_epmOfflineCondition_,"420990",_xll.EVPRO($B$1,H43,"JDEID"))</f>
        <v>420990</v>
      </c>
      <c r="M43" s="86" t="str">
        <f>IF(_epmOfflineCondition_,"200529",IF(AND(I43="N",J43="N"),_xll.EVPRO($B$1,H43,"PSFTID"),""))</f>
        <v>200529</v>
      </c>
      <c r="N43" s="86" t="str">
        <f>IF(_epmOfflineCondition_,"Spa: Allowances",IF(_xll.EVDES(H43,$B$1)="#NODATA","",_xll.EVDES(H43,$B$1)))</f>
        <v>Spa: Allowances</v>
      </c>
      <c r="O43" s="228"/>
      <c r="P43" s="228"/>
      <c r="Q43" s="228"/>
      <c r="R43" s="228"/>
      <c r="S43" s="228"/>
      <c r="T43" s="228"/>
      <c r="U43" s="228"/>
      <c r="V43" s="228"/>
      <c r="W43" s="228"/>
      <c r="X43" s="228"/>
      <c r="Y43" s="228"/>
      <c r="Z43" s="228"/>
      <c r="AA43" s="229">
        <f t="shared" si="1"/>
        <v>0</v>
      </c>
      <c r="AB43" s="230" t="str">
        <f t="shared" si="2"/>
        <v/>
      </c>
      <c r="AC43" s="136"/>
      <c r="AD43" s="228"/>
      <c r="AE43" s="230" t="str">
        <f t="shared" si="3"/>
        <v/>
      </c>
      <c r="AF43" s="231">
        <f t="shared" si="4"/>
        <v>0</v>
      </c>
      <c r="AG43" s="228"/>
      <c r="AH43" s="230" t="str">
        <f t="shared" si="5"/>
        <v/>
      </c>
      <c r="AI43" s="231">
        <f t="shared" si="6"/>
        <v>0</v>
      </c>
      <c r="AJ43" s="467">
        <f t="shared" si="7"/>
        <v>0</v>
      </c>
      <c r="AK43" s="468">
        <f t="shared" si="8"/>
        <v>0</v>
      </c>
      <c r="AL43" s="469">
        <f t="shared" si="9"/>
        <v>0</v>
      </c>
      <c r="AM43" s="470">
        <f t="shared" si="10"/>
        <v>0</v>
      </c>
      <c r="AN43" s="471">
        <f t="shared" si="11"/>
        <v>0</v>
      </c>
      <c r="AO43" s="11"/>
    </row>
    <row r="44" spans="1:41" x14ac:dyDescent="0.25">
      <c r="A44" s="11"/>
      <c r="B44" s="11"/>
      <c r="C44" s="11"/>
      <c r="D44" s="11"/>
      <c r="E44" s="11"/>
      <c r="F44" s="11"/>
      <c r="G44" s="11"/>
      <c r="H44" s="84" t="s">
        <v>280</v>
      </c>
      <c r="I44" s="184" t="str">
        <f>IF(_epmOfflineCondition_,"T3",_xll.EVPRO($B$1,$H44,"STYLE"))</f>
        <v>T3</v>
      </c>
      <c r="J44" s="184" t="str">
        <f>IF(_epmOfflineCondition_,"Y",_xll.EVPRO($B$1,$H44,"CALC"))</f>
        <v>Y</v>
      </c>
      <c r="K44" s="185" t="str">
        <f t="shared" si="0"/>
        <v/>
      </c>
      <c r="L44" s="186" t="str">
        <f>IF(_epmOfflineCondition_,"400000",_xll.EVPRO($B$1,H44,"JDEID"))</f>
        <v>400000</v>
      </c>
      <c r="M44" s="186" t="str">
        <f>IF(_epmOfflineCondition_,"",IF(AND(I44="N",J44="N"),_xll.EVPRO($B$1,H44,"PSFTID"),""))</f>
        <v/>
      </c>
      <c r="N44" s="186" t="str">
        <f>IF(_epmOfflineCondition_,"Total Revenue",IF(_xll.EVDES(H44,$B$1)="#NODATA","",_xll.EVDES(H44,$B$1)))</f>
        <v>Total Revenue</v>
      </c>
      <c r="O44" s="236"/>
      <c r="P44" s="236"/>
      <c r="Q44" s="236"/>
      <c r="R44" s="236">
        <v>372</v>
      </c>
      <c r="S44" s="236">
        <v>-372</v>
      </c>
      <c r="T44" s="236"/>
      <c r="U44" s="236"/>
      <c r="V44" s="236"/>
      <c r="W44" s="236"/>
      <c r="X44" s="236"/>
      <c r="Y44" s="236"/>
      <c r="Z44" s="236"/>
      <c r="AA44" s="236">
        <f t="shared" si="1"/>
        <v>0</v>
      </c>
      <c r="AB44" s="237" t="str">
        <f t="shared" si="2"/>
        <v/>
      </c>
      <c r="AC44" s="238"/>
      <c r="AD44" s="236"/>
      <c r="AE44" s="237" t="str">
        <f t="shared" si="3"/>
        <v/>
      </c>
      <c r="AF44" s="239">
        <f t="shared" si="4"/>
        <v>0</v>
      </c>
      <c r="AG44" s="236"/>
      <c r="AH44" s="237" t="str">
        <f t="shared" si="5"/>
        <v/>
      </c>
      <c r="AI44" s="239">
        <f t="shared" si="6"/>
        <v>0</v>
      </c>
      <c r="AJ44" s="215">
        <f t="shared" si="7"/>
        <v>0</v>
      </c>
      <c r="AK44" s="216">
        <f t="shared" si="8"/>
        <v>0</v>
      </c>
      <c r="AL44" s="218">
        <f t="shared" si="9"/>
        <v>0</v>
      </c>
      <c r="AM44" s="423">
        <f t="shared" si="10"/>
        <v>0</v>
      </c>
      <c r="AN44" s="474">
        <f t="shared" si="11"/>
        <v>0</v>
      </c>
      <c r="AO44" s="11"/>
    </row>
    <row r="45" spans="1:41" x14ac:dyDescent="0.25">
      <c r="A45" s="57" t="s">
        <v>0</v>
      </c>
      <c r="B45" s="58" t="s">
        <v>1</v>
      </c>
      <c r="C45" s="11"/>
      <c r="D45" s="11"/>
      <c r="E45" s="11"/>
      <c r="F45" s="11"/>
      <c r="G45" s="11"/>
      <c r="H45" s="11"/>
      <c r="I45" s="55"/>
      <c r="J45" s="55"/>
      <c r="K45" s="11"/>
      <c r="L45" s="11"/>
      <c r="M45" s="11"/>
      <c r="N45" s="11"/>
      <c r="O45" s="199"/>
      <c r="P45" s="200"/>
      <c r="Q45" s="200"/>
      <c r="R45" s="200"/>
      <c r="S45" s="200"/>
      <c r="T45" s="200"/>
      <c r="U45" s="200"/>
      <c r="V45" s="200"/>
      <c r="W45" s="200"/>
      <c r="X45" s="200"/>
      <c r="Y45" s="200"/>
      <c r="Z45" s="200"/>
      <c r="AA45" s="200"/>
      <c r="AB45" s="114"/>
      <c r="AC45" s="11"/>
      <c r="AD45" s="199"/>
      <c r="AE45" s="200"/>
      <c r="AF45" s="114"/>
      <c r="AG45" s="199"/>
      <c r="AH45" s="200"/>
      <c r="AI45" s="114"/>
      <c r="AJ45" s="11"/>
      <c r="AK45" s="11"/>
      <c r="AL45" s="11"/>
      <c r="AM45" s="11"/>
      <c r="AN45" s="11"/>
      <c r="AO45" s="11"/>
    </row>
    <row r="46" spans="1:41" x14ac:dyDescent="0.25">
      <c r="A46" s="61" t="s">
        <v>2</v>
      </c>
      <c r="B46" s="62" t="str">
        <f>IF(_epmOfflineCondition_,"'HC_SPA'!$B$2:$B$10",_xll.EVRNG($B$2:$B$10))</f>
        <v>'HC_SPA'!$B$2:$B$10</v>
      </c>
      <c r="C46" s="11"/>
      <c r="D46" s="11"/>
      <c r="E46" s="11"/>
      <c r="F46" s="11"/>
      <c r="G46" s="11"/>
      <c r="H46" s="11" t="s">
        <v>281</v>
      </c>
      <c r="I46" s="55" t="str">
        <f>IF(_epmOfflineCondition_,"B1",_xll.EVPRO($B$1,$H46,"STYLE"))</f>
        <v>B1</v>
      </c>
      <c r="J46" s="55" t="str">
        <f>IF(_epmOfflineCondition_,"Y",_xll.EVPRO($B$1,$H46,"CALC"))</f>
        <v>Y</v>
      </c>
      <c r="K46" s="11"/>
      <c r="L46" s="11"/>
      <c r="M46" s="11"/>
      <c r="N46" s="101" t="str">
        <f>IF(_epmOfflineCondition_,"Cost of Sales",IF(_xll.EVDES(H46,$B$1)="#NODATA","",_xll.EVDES(H46,$B$1)))</f>
        <v>Cost of Sales</v>
      </c>
      <c r="O46" s="199"/>
      <c r="P46" s="200"/>
      <c r="Q46" s="200"/>
      <c r="R46" s="200"/>
      <c r="S46" s="200"/>
      <c r="T46" s="200"/>
      <c r="U46" s="200"/>
      <c r="V46" s="200"/>
      <c r="W46" s="200"/>
      <c r="X46" s="200"/>
      <c r="Y46" s="200"/>
      <c r="Z46" s="200"/>
      <c r="AA46" s="200"/>
      <c r="AB46" s="114"/>
      <c r="AC46" s="11"/>
      <c r="AD46" s="199"/>
      <c r="AE46" s="200"/>
      <c r="AF46" s="114"/>
      <c r="AG46" s="199"/>
      <c r="AH46" s="200"/>
      <c r="AI46" s="114"/>
      <c r="AJ46" s="11"/>
      <c r="AK46" s="11"/>
      <c r="AL46" s="11"/>
      <c r="AM46" s="11"/>
      <c r="AN46" s="11"/>
      <c r="AO46" s="11"/>
    </row>
    <row r="47" spans="1:41" x14ac:dyDescent="0.25">
      <c r="A47" s="61" t="s">
        <v>3</v>
      </c>
      <c r="B47" s="62" t="str">
        <f>IF(_epmOfflineCondition_,"'HC_SPA'!$O$16:$AN$18",_xll.EVRNG($O$16:$AN$18))</f>
        <v>'HC_SPA'!$O$16:$AN$18</v>
      </c>
      <c r="C47" s="11"/>
      <c r="D47" s="11"/>
      <c r="E47" s="11"/>
      <c r="F47" s="11"/>
      <c r="G47" s="11"/>
      <c r="H47" s="84" t="s">
        <v>377</v>
      </c>
      <c r="I47" s="118" t="str">
        <f>IF(_epmOfflineCondition_,"N",_xll.EVPRO($B$1,$H47,"STYLE"))</f>
        <v>N</v>
      </c>
      <c r="J47" s="118" t="str">
        <f>IF(_epmOfflineCondition_,"N",_xll.EVPRO($B$1,$H47,"CALC"))</f>
        <v>N</v>
      </c>
      <c r="K47" s="175" t="str">
        <f>IF(AND(I47&gt;="T5"),"&gt;","")</f>
        <v/>
      </c>
      <c r="L47" s="86" t="str">
        <f>IF(_epmOfflineCondition_,"520600",_xll.EVPRO($B$1,H47,"JDEID"))</f>
        <v>520600</v>
      </c>
      <c r="M47" s="86" t="str">
        <f>IF(_epmOfflineCondition_,"300030",IF(AND(I47="N",J47="N"),_xll.EVPRO($B$1,H47,"PSFTID"),""))</f>
        <v>300030</v>
      </c>
      <c r="N47" s="86" t="str">
        <f>IF(_epmOfflineCondition_,"Merchandise Cost Of Sales",IF(_xll.EVDES(H47,$B$1)="#NODATA","",_xll.EVDES(H47,$B$1)))</f>
        <v>Merchandise Cost Of Sales</v>
      </c>
      <c r="O47" s="134"/>
      <c r="P47" s="134"/>
      <c r="Q47" s="134"/>
      <c r="R47" s="134"/>
      <c r="S47" s="134"/>
      <c r="T47" s="134"/>
      <c r="U47" s="134"/>
      <c r="V47" s="134"/>
      <c r="W47" s="134"/>
      <c r="X47" s="134"/>
      <c r="Y47" s="134"/>
      <c r="Z47" s="134"/>
      <c r="AA47" s="134">
        <f>IF($I47="B1","",SUM(O47:Z47))</f>
        <v>0</v>
      </c>
      <c r="AB47" s="138" t="str">
        <f>IF(_epmOfflineCondition_,"",IF(AA47=0,"",IFERROR(AA47/_xll.EVGTS($B$1,1,_xll.EVPRO($B$1,$H47,"COSBASIS"),$B$3,$B$5,$B$6,$B$7,$B$9,AA$16,AA$17,AA$11),"")))</f>
        <v/>
      </c>
      <c r="AC47" s="136"/>
      <c r="AD47" s="134"/>
      <c r="AE47" s="138" t="str">
        <f>IF(_epmOfflineCondition_,"",IF(AD47=0,"",IFERROR(AD47/_xll.EVGTS($B$1,1,_xll.EVPRO($B$1,$H47,"COSBASIS"),$B$3,$B$5,$B$6,$B$7,$B$9,AD$16,AD$17,AD$18),"")))</f>
        <v/>
      </c>
      <c r="AF47" s="137">
        <f>IF(AND($AA47="",AD47=""),"",$AA47-AD47)</f>
        <v>0</v>
      </c>
      <c r="AG47" s="134"/>
      <c r="AH47" s="138" t="str">
        <f>IF(_epmOfflineCondition_,"",IF(AG47=0,"",IFERROR(AG47/_xll.EVGTS($B$1,1,_xll.EVPRO($B$1,$H47,"COSBASIS"),$B$3,$B$5,$B$6,$B$7,$B$9,AG$16,AG$17,AG$18),"")))</f>
        <v/>
      </c>
      <c r="AI47" s="137">
        <f>IF(AND($AA47="",AG47=""),"",$AA47-AG47)</f>
        <v>0</v>
      </c>
      <c r="AJ47" s="458">
        <f>IFERROR(AA47/AA$20,0)</f>
        <v>0</v>
      </c>
      <c r="AK47" s="459">
        <f>IFERROR(AD47/AD$20,0)</f>
        <v>0</v>
      </c>
      <c r="AL47" s="460">
        <f>IFERROR(AG47/AG$20,0)</f>
        <v>0</v>
      </c>
      <c r="AM47" s="461">
        <f>+IFERROR(ROUND(($AB47-AE47)*100,2)&amp;" pts.",0)</f>
        <v>0</v>
      </c>
      <c r="AN47" s="462">
        <f>+IFERROR(ROUND(($AB47-AH47)*100,2)&amp;" pts.",0)</f>
        <v>0</v>
      </c>
      <c r="AO47" s="11"/>
    </row>
    <row r="48" spans="1:41" x14ac:dyDescent="0.25">
      <c r="A48" s="61" t="s">
        <v>4</v>
      </c>
      <c r="B48" s="62" t="str">
        <f>IF(_epmOfflineCondition_,"'HC_SPA'!$H$47:$H$49",_xll.EVRNG(H47:H49))</f>
        <v>'HC_SPA'!$H$47:$H$49</v>
      </c>
      <c r="C48" s="11"/>
      <c r="D48" s="11"/>
      <c r="E48" s="11"/>
      <c r="F48" s="11"/>
      <c r="G48" s="11"/>
      <c r="H48" s="181" t="s">
        <v>378</v>
      </c>
      <c r="I48" s="118" t="str">
        <f>IF(_epmOfflineCondition_,"N",_xll.EVPRO($B$1,$H48,"STYLE"))</f>
        <v>N</v>
      </c>
      <c r="J48" s="118" t="str">
        <f>IF(_epmOfflineCondition_,"N",_xll.EVPRO($B$1,$H48,"CALC"))</f>
        <v>N</v>
      </c>
      <c r="K48" s="175" t="str">
        <f>IF(AND(I48&gt;="T5"),"&gt;","")</f>
        <v/>
      </c>
      <c r="L48" s="86" t="str">
        <f>IF(_epmOfflineCondition_,"520650",_xll.EVPRO($B$1,H48,"JDEID"))</f>
        <v>520650</v>
      </c>
      <c r="M48" s="86" t="str">
        <f>IF(_epmOfflineCondition_,"305023",IF(AND(I48="N",J48="N"),_xll.EVPRO($B$1,H48,"PSFTID"),""))</f>
        <v>305023</v>
      </c>
      <c r="N48" s="86" t="str">
        <f>IF(_epmOfflineCondition_,"Clothing Cost Of Sales",IF(_xll.EVDES(H48,$B$1)="#NODATA","",_xll.EVDES(H48,$B$1)))</f>
        <v>Clothing Cost Of Sales</v>
      </c>
      <c r="O48" s="228"/>
      <c r="P48" s="228"/>
      <c r="Q48" s="228"/>
      <c r="R48" s="228"/>
      <c r="S48" s="228"/>
      <c r="T48" s="228"/>
      <c r="U48" s="228"/>
      <c r="V48" s="228"/>
      <c r="W48" s="228"/>
      <c r="X48" s="228"/>
      <c r="Y48" s="228"/>
      <c r="Z48" s="228"/>
      <c r="AA48" s="228">
        <f>IF($I48="B1","",SUM(O48:Z48))</f>
        <v>0</v>
      </c>
      <c r="AB48" s="230" t="str">
        <f>IF(_epmOfflineCondition_,"",IF(AA48=0,"",IFERROR(AA48/_xll.EVGTS($B$1,1,_xll.EVPRO($B$1,$H48,"COSBASIS"),$B$3,$B$5,$B$6,$B$7,$B$9,AA$16,AA$17,AA$11),"")))</f>
        <v/>
      </c>
      <c r="AC48" s="136"/>
      <c r="AD48" s="228"/>
      <c r="AE48" s="230" t="str">
        <f>IF(_epmOfflineCondition_,"",IF(AD48=0,"",IFERROR(AD48/_xll.EVGTS($B$1,1,_xll.EVPRO($B$1,$H48,"COSBASIS"),$B$3,$B$5,$B$6,$B$7,$B$9,AD$16,AD$17,AD$18),"")))</f>
        <v/>
      </c>
      <c r="AF48" s="231">
        <f>IF(AND($AA48="",AD48=""),"",$AA48-AD48)</f>
        <v>0</v>
      </c>
      <c r="AG48" s="228"/>
      <c r="AH48" s="230" t="str">
        <f>IF(_epmOfflineCondition_,"",IF(AG48=0,"",IFERROR(AG48/_xll.EVGTS($B$1,1,_xll.EVPRO($B$1,$H48,"COSBASIS"),$B$3,$B$5,$B$6,$B$7,$B$9,AG$16,AG$17,AG$18),"")))</f>
        <v/>
      </c>
      <c r="AI48" s="231">
        <f>IF(AND($AA48="",AG48=""),"",$AA48-AG48)</f>
        <v>0</v>
      </c>
      <c r="AJ48" s="467">
        <f>IFERROR(AA48/AA$20,0)</f>
        <v>0</v>
      </c>
      <c r="AK48" s="468">
        <f>IFERROR(AD48/AD$20,0)</f>
        <v>0</v>
      </c>
      <c r="AL48" s="469">
        <f>IFERROR(AG48/AG$20,0)</f>
        <v>0</v>
      </c>
      <c r="AM48" s="470">
        <f>+IFERROR(ROUND(($AB48-AE48)*100,2)&amp;" pts.",0)</f>
        <v>0</v>
      </c>
      <c r="AN48" s="471">
        <f>+IFERROR(ROUND(($AB48-AH48)*100,2)&amp;" pts.",0)</f>
        <v>0</v>
      </c>
      <c r="AO48" s="11"/>
    </row>
    <row r="49" spans="1:41" x14ac:dyDescent="0.25">
      <c r="A49" s="61" t="s">
        <v>5</v>
      </c>
      <c r="B49" s="62"/>
      <c r="C49" s="11"/>
      <c r="D49" s="11"/>
      <c r="E49" s="11"/>
      <c r="F49" s="380"/>
      <c r="G49" s="11"/>
      <c r="H49" s="181" t="s">
        <v>379</v>
      </c>
      <c r="I49" s="184" t="str">
        <f>IF(_epmOfflineCondition_,"T4",_xll.EVPRO($B$1,$H49,"STYLE"))</f>
        <v>T4</v>
      </c>
      <c r="J49" s="184" t="str">
        <f>IF(_epmOfflineCondition_,"Y",_xll.EVPRO($B$1,$H49,"CALC"))</f>
        <v>Y</v>
      </c>
      <c r="K49" s="185" t="str">
        <f>IF(AND(I49&gt;="T5"),"&gt;","")</f>
        <v/>
      </c>
      <c r="L49" s="186" t="str">
        <f>IF(_epmOfflineCondition_,"",_xll.EVPRO($B$1,H49,"JDEID"))</f>
        <v/>
      </c>
      <c r="M49" s="186" t="str">
        <f>IF(_epmOfflineCondition_,"",IF(AND(I49="N",J49="N"),_xll.EVPRO($B$1,H49,"PSFTID"),""))</f>
        <v/>
      </c>
      <c r="N49" s="186" t="str">
        <f>IF(_epmOfflineCondition_,"Total Retail HC/ Spa Cost of Sales",IF(_xll.EVDES(H49,$B$1)="#NODATA","",_xll.EVDES(H49,$B$1)))</f>
        <v>Total Retail HC/ Spa Cost of Sales</v>
      </c>
      <c r="O49" s="236"/>
      <c r="P49" s="236"/>
      <c r="Q49" s="236"/>
      <c r="R49" s="236"/>
      <c r="S49" s="236"/>
      <c r="T49" s="236"/>
      <c r="U49" s="236"/>
      <c r="V49" s="236"/>
      <c r="W49" s="236"/>
      <c r="X49" s="236"/>
      <c r="Y49" s="236"/>
      <c r="Z49" s="236"/>
      <c r="AA49" s="236">
        <f>IF($I49="B1","",SUM(O49:Z49))</f>
        <v>0</v>
      </c>
      <c r="AB49" s="237" t="str">
        <f>IF(_epmOfflineCondition_,"",IF(AA49=0,"",IFERROR(AA49/_xll.EVGTS($B$1,1,_xll.EVPRO($B$1,$H49,"COSBASIS"),$B$3,$B$5,$B$6,$B$7,$B$9,AA$16,AA$17,AA$11),"")))</f>
        <v/>
      </c>
      <c r="AC49" s="238"/>
      <c r="AD49" s="236"/>
      <c r="AE49" s="237" t="str">
        <f>IF(_epmOfflineCondition_,"",IF(AD49=0,"",IFERROR(AD49/_xll.EVGTS($B$1,1,_xll.EVPRO($B$1,$H49,"COSBASIS"),$B$3,$B$5,$B$6,$B$7,$B$9,AD$16,AD$17,AD$18),"")))</f>
        <v/>
      </c>
      <c r="AF49" s="239">
        <f>IF(AND($AA49="",AD49=""),"",$AA49-AD49)</f>
        <v>0</v>
      </c>
      <c r="AG49" s="236"/>
      <c r="AH49" s="237" t="str">
        <f>IF(_epmOfflineCondition_,"",IF(AG49=0,"",IFERROR(AG49/_xll.EVGTS($B$1,1,_xll.EVPRO($B$1,$H49,"COSBASIS"),$B$3,$B$5,$B$6,$B$7,$B$9,AG$16,AG$17,AG$18),"")))</f>
        <v/>
      </c>
      <c r="AI49" s="239">
        <f>IF(AND($AA49="",AG49=""),"",$AA49-AG49)</f>
        <v>0</v>
      </c>
      <c r="AJ49" s="215">
        <f>IFERROR(AA49/AA$20,0)</f>
        <v>0</v>
      </c>
      <c r="AK49" s="216">
        <f>IFERROR(AD49/AD$20,0)</f>
        <v>0</v>
      </c>
      <c r="AL49" s="218">
        <f>IFERROR(AG49/AG$20,0)</f>
        <v>0</v>
      </c>
      <c r="AM49" s="423">
        <f>+IFERROR(ROUND(($AB49-AE49)*100,2)&amp;" pts.",0)</f>
        <v>0</v>
      </c>
      <c r="AN49" s="474">
        <f>+IFERROR(ROUND(($AB49-AH49)*100,2)&amp;" pts.",0)</f>
        <v>0</v>
      </c>
      <c r="AO49" s="11"/>
    </row>
    <row r="50" spans="1:41" x14ac:dyDescent="0.25">
      <c r="A50" s="61" t="s">
        <v>6</v>
      </c>
      <c r="B50" s="62"/>
      <c r="C50" s="11"/>
      <c r="D50" s="11"/>
      <c r="E50" s="11"/>
      <c r="F50" s="380"/>
      <c r="G50" s="11"/>
      <c r="H50" s="181" t="s">
        <v>175</v>
      </c>
      <c r="I50" s="85" t="str">
        <f>IF(_epmOfflineCondition_,"B1",_xll.EVPRO($B$1,$H50,"STYLE"))</f>
        <v>B1</v>
      </c>
      <c r="J50" s="85" t="str">
        <f>IF(_epmOfflineCondition_,"Y",_xll.EVPRO($B$1,$H50,"CALC"))</f>
        <v>Y</v>
      </c>
      <c r="K50" s="261" t="str">
        <f>IF(AND(I50&gt;="T5"),"&gt;","")</f>
        <v/>
      </c>
      <c r="L50" s="261"/>
      <c r="M50" s="261"/>
      <c r="N50" s="102" t="str">
        <f>IF(_epmOfflineCondition_,"BLANKROW",IF(_xll.EVDES(H50,$B$1)="#NODATA","",_xll.EVDES(H50,$B$1)))</f>
        <v>BLANKROW</v>
      </c>
      <c r="O50" s="201"/>
      <c r="P50" s="201"/>
      <c r="Q50" s="201"/>
      <c r="R50" s="201"/>
      <c r="S50" s="201"/>
      <c r="T50" s="201"/>
      <c r="U50" s="201"/>
      <c r="V50" s="201"/>
      <c r="W50" s="201"/>
      <c r="X50" s="201"/>
      <c r="Y50" s="201"/>
      <c r="Z50" s="201"/>
      <c r="AA50" s="201" t="str">
        <f>IF($I50="B1","",SUM(O50:Z50))</f>
        <v/>
      </c>
      <c r="AB50" s="202" t="str">
        <f>IF(_epmOfflineCondition_,"",IF(O50=0,"",IFERROR(O50/_xll.EVGTS($B$1,1,INDEX($C$143:$C$166,MATCH($H50,$A$143:$A$166,0)),$B$3,$B$5,$B$6,$B$7,$B$9,O$16,O$17,O$18),"")))</f>
        <v/>
      </c>
      <c r="AC50" s="11"/>
      <c r="AD50" s="201"/>
      <c r="AE50" s="202" t="str">
        <f>IF(_epmOfflineCondition_,"",IF(AD50=0,"",IFERROR(AD50/_xll.EVGTS($B$1,1,INDEX($C$143:$C$166,MATCH($H50,$A$143:$A$166,0)),$B$3,$B$5,$B$6,$B$7,$B$9,AD$16,AD$17,AD$18),"")))</f>
        <v/>
      </c>
      <c r="AF50" s="203" t="str">
        <f>IF(AND($AA50="",AD50=""),"",$AA50-AD50)</f>
        <v/>
      </c>
      <c r="AG50" s="201"/>
      <c r="AH50" s="202" t="str">
        <f>IF(_epmOfflineCondition_,"",IF(AG50=0,"",IFERROR(AG50/_xll.EVGTS($B$1,1,INDEX($C$143:$C$166,MATCH($H50,$A$143:$A$166,0)),$B$3,$B$5,$B$6,$B$7,$B$9,AG$16,AG$17,AG$18),"")))</f>
        <v/>
      </c>
      <c r="AI50" s="203" t="str">
        <f>IF(AND($AA50="",AG50=""),"",$AA50-AG50)</f>
        <v/>
      </c>
      <c r="AJ50" s="196">
        <f>IFERROR(AA50/AA$20,0)</f>
        <v>0</v>
      </c>
      <c r="AK50" s="197">
        <f>IFERROR(AD50/AD$20,0)</f>
        <v>0</v>
      </c>
      <c r="AL50" s="198">
        <f>IFERROR(AG50/AG$20,0)</f>
        <v>0</v>
      </c>
      <c r="AM50" s="388">
        <f>+IFERROR(ROUND(($AB50-AE50)*100,2)&amp;" pts.",0)</f>
        <v>0</v>
      </c>
      <c r="AN50" s="405">
        <f>+IFERROR(ROUND(($AB50-AH50)*100,2)&amp;" pts.",0)</f>
        <v>0</v>
      </c>
      <c r="AO50" s="11"/>
    </row>
    <row r="51" spans="1:41" x14ac:dyDescent="0.25">
      <c r="A51" s="61" t="s">
        <v>7</v>
      </c>
      <c r="B51" s="62" t="str">
        <f>IF(_epmOfflineCondition_,"'HC_SPA'!$A$65:$F$68",_xll.EVRNG(A65:F68))</f>
        <v>'HC_SPA'!$A$65:$F$68</v>
      </c>
      <c r="C51" s="11"/>
      <c r="D51" s="11"/>
      <c r="E51" s="11"/>
      <c r="F51" s="380"/>
      <c r="G51" s="11"/>
      <c r="H51" s="181" t="s">
        <v>292</v>
      </c>
      <c r="I51" s="85" t="str">
        <f>IF(_epmOfflineCondition_,"T3",_xll.EVPRO($B$1,$H51,"STYLE"))</f>
        <v>T3</v>
      </c>
      <c r="J51" s="85" t="str">
        <f>IF(_epmOfflineCondition_,"Y",_xll.EVPRO($B$1,$H51,"CALC"))</f>
        <v>Y</v>
      </c>
      <c r="K51" s="261" t="str">
        <f>IF(AND(I51&gt;="T5"),"&gt;","")</f>
        <v/>
      </c>
      <c r="L51" s="261"/>
      <c r="M51" s="261"/>
      <c r="N51" s="102" t="str">
        <f>IF(_epmOfflineCondition_,"Gross Profit",IF(_xll.EVDES(H51,$B$1)="#NODATA","",_xll.EVDES(H51,$B$1)))</f>
        <v>Gross Profit</v>
      </c>
      <c r="O51" s="119">
        <f t="shared" ref="O51:Z51" si="12">SUMIF($H$34:$H$49,"400000",O34:O49)-SUMIF($H$34:$H$49,"COS_SPARET",O34:O49)</f>
        <v>0</v>
      </c>
      <c r="P51" s="119">
        <f t="shared" si="12"/>
        <v>0</v>
      </c>
      <c r="Q51" s="119">
        <f t="shared" si="12"/>
        <v>0</v>
      </c>
      <c r="R51" s="119">
        <f t="shared" si="12"/>
        <v>372</v>
      </c>
      <c r="S51" s="119">
        <f t="shared" si="12"/>
        <v>-372</v>
      </c>
      <c r="T51" s="119">
        <f t="shared" si="12"/>
        <v>0</v>
      </c>
      <c r="U51" s="119">
        <f t="shared" si="12"/>
        <v>0</v>
      </c>
      <c r="V51" s="119">
        <f t="shared" si="12"/>
        <v>0</v>
      </c>
      <c r="W51" s="119">
        <f t="shared" si="12"/>
        <v>0</v>
      </c>
      <c r="X51" s="119">
        <f t="shared" si="12"/>
        <v>0</v>
      </c>
      <c r="Y51" s="119">
        <f t="shared" si="12"/>
        <v>0</v>
      </c>
      <c r="Z51" s="119">
        <f t="shared" si="12"/>
        <v>0</v>
      </c>
      <c r="AA51" s="187">
        <f>IF($I51="B1","",SUM(O51:Z51))</f>
        <v>0</v>
      </c>
      <c r="AB51" s="188" t="str">
        <f>IF(AA51=0,"",IFERROR(AA51/AA$19,""))</f>
        <v/>
      </c>
      <c r="AC51" s="11"/>
      <c r="AD51" s="119">
        <f>SUMIF($H$34:$H$49,"400000",AD34:AD49)-SUMIF($H$34:$H$49,"COS_SPARET",AD34:AD49)</f>
        <v>0</v>
      </c>
      <c r="AE51" s="188" t="str">
        <f>IF(AD51=0,"",IFERROR(AD51/AD$19,""))</f>
        <v/>
      </c>
      <c r="AF51" s="121">
        <f>IF(AND($AA51="",AD51=""),"",$AA51-AD51)</f>
        <v>0</v>
      </c>
      <c r="AG51" s="119">
        <f>SUMIF($H$34:$H$49,"400000",AG34:AG49)-SUMIF($H$34:$H$49,"COS_SPARET",AG34:AG49)</f>
        <v>0</v>
      </c>
      <c r="AH51" s="188" t="str">
        <f>IF(AG51=0,"",IFERROR(AG51/AG$19,""))</f>
        <v/>
      </c>
      <c r="AI51" s="121">
        <f>IF(AND($AA51="",AG51=""),"",$AA51-AG51)</f>
        <v>0</v>
      </c>
      <c r="AJ51" s="189">
        <f>IFERROR(AA51/AA$20,0)</f>
        <v>0</v>
      </c>
      <c r="AK51" s="190">
        <f>IFERROR(AD51/AD$20,0)</f>
        <v>0</v>
      </c>
      <c r="AL51" s="191">
        <f>IFERROR(AG51/AG$20,0)</f>
        <v>0</v>
      </c>
      <c r="AM51" s="403">
        <f>+IFERROR(ROUND(($AB51-AE51)*100,2)&amp;" pts.",0)</f>
        <v>0</v>
      </c>
      <c r="AN51" s="404">
        <f>+IFERROR(ROUND(($AB51-AH51)*100,2)&amp;" pts.",0)</f>
        <v>0</v>
      </c>
      <c r="AO51" s="11"/>
    </row>
    <row r="52" spans="1:41" x14ac:dyDescent="0.25">
      <c r="A52" s="61" t="s">
        <v>47</v>
      </c>
      <c r="B52" s="62" t="str">
        <f>IF(_epmOfflineCondition_,"'HC_SPA'!$A$116:$B$137",_xll.EVRNG($A$116:$B$137))</f>
        <v>'HC_SPA'!$A$116:$B$137</v>
      </c>
      <c r="C52" s="11"/>
      <c r="D52" s="11"/>
      <c r="E52" s="11"/>
      <c r="F52" s="11"/>
      <c r="G52" s="11"/>
      <c r="H52" s="11"/>
      <c r="I52" s="55"/>
      <c r="J52" s="55"/>
      <c r="K52" s="11"/>
      <c r="L52" s="11"/>
      <c r="M52" s="11"/>
      <c r="N52" s="11"/>
      <c r="O52" s="389"/>
      <c r="P52" s="390"/>
      <c r="Q52" s="390"/>
      <c r="R52" s="390"/>
      <c r="S52" s="390"/>
      <c r="T52" s="390"/>
      <c r="U52" s="390"/>
      <c r="V52" s="390"/>
      <c r="W52" s="390"/>
      <c r="X52" s="390"/>
      <c r="Y52" s="390"/>
      <c r="Z52" s="390"/>
      <c r="AA52" s="390"/>
      <c r="AB52" s="114"/>
      <c r="AC52" s="11"/>
      <c r="AD52" s="199"/>
      <c r="AE52" s="200"/>
      <c r="AF52" s="114"/>
      <c r="AG52" s="200"/>
      <c r="AH52" s="200"/>
      <c r="AI52" s="114"/>
      <c r="AJ52" s="11"/>
      <c r="AK52" s="11"/>
      <c r="AL52" s="11"/>
      <c r="AM52" s="11"/>
      <c r="AN52" s="11"/>
      <c r="AO52" s="11"/>
    </row>
    <row r="53" spans="1:41" x14ac:dyDescent="0.25">
      <c r="A53" s="61" t="s">
        <v>8</v>
      </c>
      <c r="B53" s="62"/>
      <c r="C53" s="11"/>
      <c r="D53" s="11"/>
      <c r="E53" s="11"/>
      <c r="F53" s="11"/>
      <c r="G53" s="11"/>
      <c r="H53" s="11" t="s">
        <v>73</v>
      </c>
      <c r="I53" s="55" t="str">
        <f>IF(_epmOfflineCondition_,"B1",_xll.EVPRO($B$1,$H53,"STYLE"))</f>
        <v>B1</v>
      </c>
      <c r="J53" s="55" t="str">
        <f>IF(_epmOfflineCondition_,"Y",_xll.EVPRO($B$1,$H53,"CALC"))</f>
        <v>Y</v>
      </c>
      <c r="K53" s="11"/>
      <c r="L53" s="11"/>
      <c r="M53" s="11"/>
      <c r="N53" s="101" t="str">
        <f>IF(_epmOfflineCondition_,"Labor &amp; Related Expenses",IF(_xll.EVDES(H53,$B$1)="#NODATA","",_xll.EVDES(H53,$B$1)))</f>
        <v>Labor &amp; Related Expenses</v>
      </c>
      <c r="O53" s="199"/>
      <c r="P53" s="200"/>
      <c r="Q53" s="200"/>
      <c r="R53" s="200"/>
      <c r="S53" s="200"/>
      <c r="T53" s="200"/>
      <c r="U53" s="200"/>
      <c r="V53" s="200"/>
      <c r="W53" s="200"/>
      <c r="X53" s="200"/>
      <c r="Y53" s="200"/>
      <c r="Z53" s="200"/>
      <c r="AA53" s="200"/>
      <c r="AB53" s="406"/>
      <c r="AC53" s="11"/>
      <c r="AD53" s="407"/>
      <c r="AE53" s="408"/>
      <c r="AF53" s="114"/>
      <c r="AG53" s="200"/>
      <c r="AH53" s="408"/>
      <c r="AI53" s="114"/>
      <c r="AJ53" s="11"/>
      <c r="AK53" s="11"/>
      <c r="AL53" s="11"/>
      <c r="AM53" s="11"/>
      <c r="AN53" s="11"/>
      <c r="AO53" s="11"/>
    </row>
    <row r="54" spans="1:41" x14ac:dyDescent="0.25">
      <c r="A54" s="11"/>
      <c r="B54" s="11"/>
      <c r="C54" s="11"/>
      <c r="D54" s="11"/>
      <c r="E54" s="11"/>
      <c r="F54" s="11"/>
      <c r="G54" s="11"/>
      <c r="H54" s="11" t="s">
        <v>74</v>
      </c>
      <c r="I54" s="55" t="str">
        <f>IF(_epmOfflineCondition_,"B1",_xll.EVPRO($B$1,$H54,"STYLE"))</f>
        <v>B1</v>
      </c>
      <c r="J54" s="55" t="str">
        <f>IF(_epmOfflineCondition_,"Y",_xll.EVPRO($B$1,$H54,"CALC"))</f>
        <v>Y</v>
      </c>
      <c r="K54" s="11"/>
      <c r="L54" s="11"/>
      <c r="M54" s="11"/>
      <c r="N54" s="49" t="str">
        <f>IF(_epmOfflineCondition_,"Salaries &amp; Wages",IF(_xll.EVDES(H54,$B$1)="#NODATA","",_xll.EVDES(H54,$B$1)))</f>
        <v>Salaries &amp; Wages</v>
      </c>
      <c r="O54" s="115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7"/>
      <c r="AC54" s="11"/>
      <c r="AD54" s="115"/>
      <c r="AE54" s="116"/>
      <c r="AF54" s="117"/>
      <c r="AG54" s="116"/>
      <c r="AH54" s="116"/>
      <c r="AI54" s="117"/>
      <c r="AJ54" s="11"/>
      <c r="AK54" s="11"/>
      <c r="AL54" s="11"/>
      <c r="AM54" s="11"/>
      <c r="AN54" s="11"/>
      <c r="AO54" s="11"/>
    </row>
    <row r="55" spans="1:41" hidden="1" x14ac:dyDescent="0.25">
      <c r="A55" s="57" t="s">
        <v>9</v>
      </c>
      <c r="B55" s="58" t="s">
        <v>10</v>
      </c>
      <c r="C55" s="11"/>
      <c r="D55" s="11"/>
      <c r="E55" s="11"/>
      <c r="F55" s="11"/>
      <c r="G55" s="11"/>
      <c r="H55" s="84" t="s">
        <v>668</v>
      </c>
      <c r="I55" s="118" t="str">
        <f>IF(_epmOfflineCondition_,"",_xll.EVPRO($B$1,$H55,"STYLE"))</f>
        <v/>
      </c>
      <c r="J55" s="118" t="str">
        <f>IF(_epmOfflineCondition_,"",_xll.EVPRO($B$1,$H55,"CALC"))</f>
        <v/>
      </c>
      <c r="K55" s="175" t="str">
        <f>IF(AND(I55&gt;="T3"),"&gt;","")</f>
        <v/>
      </c>
      <c r="L55" s="86" t="str">
        <f>IF(_epmOfflineCondition_,"",_xll.EVPRO($B$1,H55,"JDEID"))</f>
        <v/>
      </c>
      <c r="M55" s="86" t="str">
        <f>IF(_epmOfflineCondition_,"",IF(AND(I55="N",J55="N"),_xll.EVPRO($B$1,H55,"PSFTID"),""))</f>
        <v/>
      </c>
      <c r="N55" s="86" t="str">
        <f>IF(_epmOfflineCondition_,"",IF(_xll.EVDES(H55,$B$1)="#NODATA","",_xll.EVDES(H55,$B$1)))</f>
        <v/>
      </c>
      <c r="O55" s="240"/>
      <c r="P55" s="240"/>
      <c r="Q55" s="240"/>
      <c r="R55" s="240"/>
      <c r="S55" s="240"/>
      <c r="T55" s="240"/>
      <c r="U55" s="240"/>
      <c r="V55" s="240"/>
      <c r="W55" s="240"/>
      <c r="X55" s="240"/>
      <c r="Y55" s="240"/>
      <c r="Z55" s="240"/>
      <c r="AA55" s="240">
        <f>IF($I55="B1","",SUM(O55:Z55))</f>
        <v>0</v>
      </c>
      <c r="AB55" s="242" t="str">
        <f>IF(AA55=0,"",IFERROR(AA55/AA$19,""))</f>
        <v/>
      </c>
      <c r="AC55" s="136"/>
      <c r="AD55" s="240"/>
      <c r="AE55" s="242" t="str">
        <f>IF(AD55=0,"",IFERROR(AD55/AD$19,""))</f>
        <v/>
      </c>
      <c r="AF55" s="243">
        <f>IF(AND($AA55="",AD55=""),"",$AA55-AD55)</f>
        <v>0</v>
      </c>
      <c r="AG55" s="240"/>
      <c r="AH55" s="242" t="str">
        <f>IF(AG55=0,"",IFERROR(AG55/AG$19,""))</f>
        <v/>
      </c>
      <c r="AI55" s="243">
        <f>IF(AND($AA55="",AG55=""),"",$AA55-AG55)</f>
        <v>0</v>
      </c>
      <c r="AJ55" s="458">
        <f>IFERROR(AA55/AA$20,0)</f>
        <v>0</v>
      </c>
      <c r="AK55" s="459">
        <f>IFERROR(AD55/AD$20,0)</f>
        <v>0</v>
      </c>
      <c r="AL55" s="460">
        <f>IFERROR(AG55/AG$20,0)</f>
        <v>0</v>
      </c>
      <c r="AM55" s="461">
        <f>+IFERROR(ROUND(($AB55-AE55)*100,2)&amp;" pts.",0)</f>
        <v>0</v>
      </c>
      <c r="AN55" s="462">
        <f>+IFERROR(ROUND(($AB55-AH55)*100,2)&amp;" pts.",0)</f>
        <v>0</v>
      </c>
      <c r="AO55" s="11"/>
    </row>
    <row r="56" spans="1:41" hidden="1" x14ac:dyDescent="0.25">
      <c r="A56" s="61" t="s">
        <v>11</v>
      </c>
      <c r="B56" s="62" t="s">
        <v>21</v>
      </c>
      <c r="C56" s="11"/>
      <c r="D56" s="11"/>
      <c r="E56" s="11"/>
      <c r="F56" s="11"/>
      <c r="G56" s="72"/>
      <c r="H56" s="84"/>
      <c r="I56" s="118" t="str">
        <f>IF(_epmOfflineCondition_,"",_xll.EVPRO($B$1,$H56,"STYLE"))</f>
        <v/>
      </c>
      <c r="J56" s="118" t="str">
        <f>IF(_epmOfflineCondition_,"",_xll.EVPRO($B$1,$H56,"CALC"))</f>
        <v/>
      </c>
      <c r="K56" s="175" t="str">
        <f>IF(AND(I56&gt;="T3"),"&gt;","")</f>
        <v/>
      </c>
      <c r="L56" s="86" t="str">
        <f>IF(_epmOfflineCondition_,"",_xll.EVPRO($B$1,H56,"JDEID"))</f>
        <v/>
      </c>
      <c r="M56" s="86" t="str">
        <f>IF(_epmOfflineCondition_,"",IF(AND(I56="N",J56="N"),_xll.EVPRO($B$1,H56,"PSFTID"),""))</f>
        <v/>
      </c>
      <c r="N56" s="86" t="str">
        <f>IF(_epmOfflineCondition_,"",IF(_xll.EVDES(H56,$B$1)="#NODATA","",_xll.EVDES(H56,$B$1)))</f>
        <v/>
      </c>
      <c r="O56" s="240"/>
      <c r="P56" s="240"/>
      <c r="Q56" s="240"/>
      <c r="R56" s="240"/>
      <c r="S56" s="240"/>
      <c r="T56" s="240"/>
      <c r="U56" s="240"/>
      <c r="V56" s="240"/>
      <c r="W56" s="240"/>
      <c r="X56" s="240"/>
      <c r="Y56" s="240"/>
      <c r="Z56" s="240"/>
      <c r="AA56" s="240">
        <f>IF($I56="B1","",SUM(O56:Z56))</f>
        <v>0</v>
      </c>
      <c r="AB56" s="242" t="str">
        <f>IF(AA56=0,"",IFERROR(AA56/AA$19,""))</f>
        <v/>
      </c>
      <c r="AC56" s="136"/>
      <c r="AD56" s="240"/>
      <c r="AE56" s="242" t="str">
        <f>IF(AD56=0,"",IFERROR(AD56/AD$19,""))</f>
        <v/>
      </c>
      <c r="AF56" s="243">
        <f>IF(AND($AA56="",AD56=""),"",$AA56-AD56)</f>
        <v>0</v>
      </c>
      <c r="AG56" s="240"/>
      <c r="AH56" s="242" t="str">
        <f>IF(AG56=0,"",IFERROR(AG56/AG$19,""))</f>
        <v/>
      </c>
      <c r="AI56" s="243">
        <f>IF(AND($AA56="",AG56=""),"",$AA56-AG56)</f>
        <v>0</v>
      </c>
      <c r="AJ56" s="458">
        <f>IFERROR(AA56/AA$20,0)</f>
        <v>0</v>
      </c>
      <c r="AK56" s="459">
        <f>IFERROR(AD56/AD$20,0)</f>
        <v>0</v>
      </c>
      <c r="AL56" s="460">
        <f>IFERROR(AG56/AG$20,0)</f>
        <v>0</v>
      </c>
      <c r="AM56" s="461">
        <f>+IFERROR(ROUND(($AB56-AE56)*100,2)&amp;" pts.",0)</f>
        <v>0</v>
      </c>
      <c r="AN56" s="462">
        <f>+IFERROR(ROUND(($AB56-AH56)*100,2)&amp;" pts.",0)</f>
        <v>0</v>
      </c>
      <c r="AO56" s="11"/>
    </row>
    <row r="57" spans="1:41" x14ac:dyDescent="0.25">
      <c r="A57" s="61" t="s">
        <v>12</v>
      </c>
      <c r="B57" s="62" t="s">
        <v>22</v>
      </c>
      <c r="C57" s="11"/>
      <c r="D57" s="11"/>
      <c r="E57" s="11"/>
      <c r="F57" s="11"/>
      <c r="G57" s="11"/>
      <c r="H57" s="84" t="s">
        <v>75</v>
      </c>
      <c r="I57" s="85" t="str">
        <f>IF(_epmOfflineCondition_,"B1",_xll.EVPRO($B$1,$H57,"STYLE"))</f>
        <v>B1</v>
      </c>
      <c r="J57" s="85" t="str">
        <f>IF(_epmOfflineCondition_,"Y",_xll.EVPRO($B$1,$H57,"CALC"))</f>
        <v>Y</v>
      </c>
      <c r="K57" s="261" t="str">
        <f>IF(AND(I57&gt;="T3"),"&gt;","")</f>
        <v/>
      </c>
      <c r="L57" s="102" t="str">
        <f>IF(_epmOfflineCondition_,"",_xll.EVPRO($B$1,H57,"JDEID"))</f>
        <v/>
      </c>
      <c r="M57" s="86" t="str">
        <f>IF(_epmOfflineCondition_,"",IF(AND(I57="N",J57="N"),_xll.EVPRO($B$1,H57,"PSFTID"),""))</f>
        <v/>
      </c>
      <c r="N57" s="102" t="str">
        <f>IF(_epmOfflineCondition_,"Non-Management",IF(_xll.EVDES(H57,$B$1)="#NODATA","",_xll.EVDES(H57,$B$1)))</f>
        <v>Non-Management</v>
      </c>
      <c r="O57" s="193"/>
      <c r="P57" s="193"/>
      <c r="Q57" s="193"/>
      <c r="R57" s="193"/>
      <c r="S57" s="193"/>
      <c r="T57" s="193"/>
      <c r="U57" s="193"/>
      <c r="V57" s="193"/>
      <c r="W57" s="193"/>
      <c r="X57" s="193"/>
      <c r="Y57" s="193"/>
      <c r="Z57" s="193"/>
      <c r="AA57" s="193" t="str">
        <f>IF($I57="B1","",SUM(O57:Z57))</f>
        <v/>
      </c>
      <c r="AB57" s="194" t="str">
        <f>IF(AA57=0,"",IFERROR(AA57/AA$19,""))</f>
        <v/>
      </c>
      <c r="AC57" s="11"/>
      <c r="AD57" s="193"/>
      <c r="AE57" s="194" t="str">
        <f>IF(AD57=0,"",IFERROR(AD57/AD$19,""))</f>
        <v/>
      </c>
      <c r="AF57" s="195" t="str">
        <f>IF(AND($AA57="",AD57=""),"",$AA57-AD57)</f>
        <v/>
      </c>
      <c r="AG57" s="193"/>
      <c r="AH57" s="194" t="str">
        <f>IF(AG57=0,"",IFERROR(AG57/AG$19,""))</f>
        <v/>
      </c>
      <c r="AI57" s="195" t="str">
        <f>IF(AND($AA57="",AG57=""),"",$AA57-AG57)</f>
        <v/>
      </c>
      <c r="AJ57" s="393">
        <f>IFERROR(AA57/AA$20,0)</f>
        <v>0</v>
      </c>
      <c r="AK57" s="394">
        <f>IFERROR(AD57/AD$20,0)</f>
        <v>0</v>
      </c>
      <c r="AL57" s="395">
        <f>IFERROR(AG57/AG$20,0)</f>
        <v>0</v>
      </c>
      <c r="AM57" s="396">
        <f>+IFERROR(ROUND(($AB57-AE57)*100,2)&amp;" pts.",0)</f>
        <v>0</v>
      </c>
      <c r="AN57" s="397">
        <f>+IFERROR(ROUND(($AB57-AH57)*100,2)&amp;" pts.",0)</f>
        <v>0</v>
      </c>
      <c r="AO57" s="11"/>
    </row>
    <row r="58" spans="1:41" hidden="1" x14ac:dyDescent="0.25">
      <c r="A58" s="61" t="s">
        <v>13</v>
      </c>
      <c r="B58" s="62" t="str">
        <f>"DEP(COS_SPARET) AND "&amp;$E$6&amp;"=Y,COS_SPARET"</f>
        <v>DEP(COS_SPARET) AND D1132=Y,COS_SPARET</v>
      </c>
      <c r="C58" s="11"/>
      <c r="D58" s="11"/>
      <c r="E58" s="11"/>
      <c r="F58" s="11"/>
      <c r="G58" s="11"/>
      <c r="H58" s="84" t="s">
        <v>668</v>
      </c>
      <c r="I58" s="118" t="str">
        <f>IF(_epmOfflineCondition_,"",_xll.EVPRO($B$1,$H58,"STYLE"))</f>
        <v/>
      </c>
      <c r="J58" s="118" t="str">
        <f>IF(_epmOfflineCondition_,"",_xll.EVPRO($B$1,$H58,"CALC"))</f>
        <v/>
      </c>
      <c r="K58" s="175" t="str">
        <f>IF(AND(I58&gt;="T3"),"&gt;","")</f>
        <v/>
      </c>
      <c r="L58" s="86" t="str">
        <f>IF(_epmOfflineCondition_,"",_xll.EVPRO($B$1,H58,"JDEID"))</f>
        <v/>
      </c>
      <c r="M58" s="86" t="str">
        <f>IF(_epmOfflineCondition_,"",IF(AND(I58="N",J58="N"),_xll.EVPRO($B$1,H58,"PSFTID"),""))</f>
        <v/>
      </c>
      <c r="N58" s="86" t="str">
        <f>IF(_epmOfflineCondition_,"",IF(_xll.EVDES(H58,$B$1)="#NODATA","",_xll.EVDES(H58,$B$1)))</f>
        <v/>
      </c>
      <c r="O58" s="248"/>
      <c r="P58" s="248"/>
      <c r="Q58" s="248"/>
      <c r="R58" s="248"/>
      <c r="S58" s="248"/>
      <c r="T58" s="248"/>
      <c r="U58" s="248"/>
      <c r="V58" s="248"/>
      <c r="W58" s="248"/>
      <c r="X58" s="248"/>
      <c r="Y58" s="248"/>
      <c r="Z58" s="248"/>
      <c r="AA58" s="248">
        <f>IF($I58="B1","",SUM(O58:Z58))</f>
        <v>0</v>
      </c>
      <c r="AB58" s="249" t="str">
        <f>IF(AA58=0,"",IFERROR(AA58/AA$19,""))</f>
        <v/>
      </c>
      <c r="AC58" s="136"/>
      <c r="AD58" s="248"/>
      <c r="AE58" s="249" t="str">
        <f>IF(AD58=0,"",IFERROR(AD58/AD$19,""))</f>
        <v/>
      </c>
      <c r="AF58" s="250">
        <f>IF(AND($AA58="",AD58=""),"",$AA58-AD58)</f>
        <v>0</v>
      </c>
      <c r="AG58" s="248"/>
      <c r="AH58" s="249" t="str">
        <f>IF(AG58=0,"",IFERROR(AG58/AG$19,""))</f>
        <v/>
      </c>
      <c r="AI58" s="250">
        <f>IF(AND($AA58="",AG58=""),"",$AA58-AG58)</f>
        <v>0</v>
      </c>
      <c r="AJ58" s="458">
        <f>IFERROR(AA58/AA$20,0)</f>
        <v>0</v>
      </c>
      <c r="AK58" s="459">
        <f>IFERROR(AD58/AD$20,0)</f>
        <v>0</v>
      </c>
      <c r="AL58" s="460">
        <f>IFERROR(AG58/AG$20,0)</f>
        <v>0</v>
      </c>
      <c r="AM58" s="461">
        <f>+IFERROR(ROUND(($AB58-AE58)*100,2)&amp;" pts.",0)</f>
        <v>0</v>
      </c>
      <c r="AN58" s="462">
        <f>+IFERROR(ROUND(($AB58-AH58)*100,2)&amp;" pts.",0)</f>
        <v>0</v>
      </c>
      <c r="AO58" s="11"/>
    </row>
    <row r="59" spans="1:41" hidden="1" x14ac:dyDescent="0.25">
      <c r="A59" s="61" t="s">
        <v>14</v>
      </c>
      <c r="B59" s="62"/>
      <c r="C59" s="11"/>
      <c r="D59" s="11"/>
      <c r="E59" s="11"/>
      <c r="F59" s="11"/>
      <c r="G59" s="11"/>
      <c r="H59" s="84"/>
      <c r="I59" s="118" t="str">
        <f>IF(_epmOfflineCondition_,"",_xll.EVPRO($B$1,$H59,"STYLE"))</f>
        <v/>
      </c>
      <c r="J59" s="118" t="str">
        <f>IF(_epmOfflineCondition_,"",_xll.EVPRO($B$1,$H59,"CALC"))</f>
        <v/>
      </c>
      <c r="K59" s="175" t="str">
        <f>IF(AND(I59&gt;="T3"),"&gt;","")</f>
        <v/>
      </c>
      <c r="L59" s="86" t="str">
        <f>IF(_epmOfflineCondition_,"",_xll.EVPRO($B$1,H59,"JDEID"))</f>
        <v/>
      </c>
      <c r="M59" s="86" t="str">
        <f>IF(_epmOfflineCondition_,"",IF(AND(I59="N",J59="N"),_xll.EVPRO($B$1,H59,"PSFTID"),""))</f>
        <v/>
      </c>
      <c r="N59" s="86" t="str">
        <f>IF(_epmOfflineCondition_,"",IF(_xll.EVDES(H59,$B$1)="#NODATA","",_xll.EVDES(H59,$B$1)))</f>
        <v/>
      </c>
      <c r="O59" s="248"/>
      <c r="P59" s="248"/>
      <c r="Q59" s="248"/>
      <c r="R59" s="248"/>
      <c r="S59" s="248"/>
      <c r="T59" s="248"/>
      <c r="U59" s="248"/>
      <c r="V59" s="248"/>
      <c r="W59" s="248"/>
      <c r="X59" s="248"/>
      <c r="Y59" s="248"/>
      <c r="Z59" s="248"/>
      <c r="AA59" s="248">
        <f>IF($I59="B1","",SUM(O59:Z59))</f>
        <v>0</v>
      </c>
      <c r="AB59" s="249" t="str">
        <f>IF(AA59=0,"",IFERROR(AA59/AA$19,""))</f>
        <v/>
      </c>
      <c r="AC59" s="136"/>
      <c r="AD59" s="248"/>
      <c r="AE59" s="249" t="str">
        <f>IF(AD59=0,"",IFERROR(AD59/AD$19,""))</f>
        <v/>
      </c>
      <c r="AF59" s="250">
        <f>IF(AND($AA59="",AD59=""),"",$AA59-AD59)</f>
        <v>0</v>
      </c>
      <c r="AG59" s="248"/>
      <c r="AH59" s="249" t="str">
        <f>IF(AG59=0,"",IFERROR(AG59/AG$19,""))</f>
        <v/>
      </c>
      <c r="AI59" s="250">
        <f>IF(AND($AA59="",AG59=""),"",$AA59-AG59)</f>
        <v>0</v>
      </c>
      <c r="AJ59" s="458">
        <f>IFERROR(AA59/AA$20,0)</f>
        <v>0</v>
      </c>
      <c r="AK59" s="459">
        <f>IFERROR(AD59/AD$20,0)</f>
        <v>0</v>
      </c>
      <c r="AL59" s="460">
        <f>IFERROR(AG59/AG$20,0)</f>
        <v>0</v>
      </c>
      <c r="AM59" s="461">
        <f>+IFERROR(ROUND(($AB59-AE59)*100,2)&amp;" pts.",0)</f>
        <v>0</v>
      </c>
      <c r="AN59" s="462">
        <f>+IFERROR(ROUND(($AB59-AH59)*100,2)&amp;" pts.",0)</f>
        <v>0</v>
      </c>
      <c r="AO59" s="11"/>
    </row>
    <row r="60" spans="1:41" x14ac:dyDescent="0.25">
      <c r="A60" s="61" t="s">
        <v>15</v>
      </c>
      <c r="B60" s="62"/>
      <c r="C60" s="11"/>
      <c r="D60" s="11"/>
      <c r="E60" s="11"/>
      <c r="F60" s="11"/>
      <c r="G60" s="11"/>
      <c r="H60" s="11"/>
      <c r="I60" s="55"/>
      <c r="J60" s="55"/>
      <c r="K60" s="11"/>
      <c r="L60" s="11"/>
      <c r="M60" s="11"/>
      <c r="N60" s="11"/>
      <c r="O60" s="125"/>
      <c r="P60" s="126"/>
      <c r="Q60" s="126"/>
      <c r="R60" s="126"/>
      <c r="S60" s="126"/>
      <c r="T60" s="126"/>
      <c r="U60" s="126"/>
      <c r="V60" s="126"/>
      <c r="W60" s="126"/>
      <c r="X60" s="126"/>
      <c r="Y60" s="126"/>
      <c r="Z60" s="126"/>
      <c r="AA60" s="126"/>
      <c r="AB60" s="127"/>
      <c r="AC60" s="11"/>
      <c r="AD60" s="125"/>
      <c r="AE60" s="126"/>
      <c r="AF60" s="127"/>
      <c r="AG60" s="125"/>
      <c r="AH60" s="126"/>
      <c r="AI60" s="127"/>
      <c r="AJ60" s="11"/>
      <c r="AK60" s="11"/>
      <c r="AL60" s="11"/>
      <c r="AM60" s="11"/>
      <c r="AN60" s="11"/>
      <c r="AO60" s="11"/>
    </row>
    <row r="61" spans="1:41" x14ac:dyDescent="0.25">
      <c r="A61" s="61" t="s">
        <v>16</v>
      </c>
      <c r="B61" s="62"/>
      <c r="C61" s="11"/>
      <c r="D61" s="11"/>
      <c r="E61" s="11"/>
      <c r="F61" s="11"/>
      <c r="G61" s="11"/>
      <c r="H61" s="11" t="s">
        <v>82</v>
      </c>
      <c r="I61" s="55" t="str">
        <f>IF(_epmOfflineCondition_,"B1",_xll.EVPRO($B$1,$H61,"STYLE"))</f>
        <v>B1</v>
      </c>
      <c r="J61" s="55" t="str">
        <f>IF(_epmOfflineCondition_,"Y",_xll.EVPRO($B$1,$H61,"CALC"))</f>
        <v>Y</v>
      </c>
      <c r="K61" s="11"/>
      <c r="L61" s="11"/>
      <c r="M61" s="11"/>
      <c r="N61" s="101" t="str">
        <f>IF(_epmOfflineCondition_,"Other Expenses",IF(_xll.EVDES(H61,$B$1)="#NODATA","",_xll.EVDES(H61,$B$1)))</f>
        <v>Other Expenses</v>
      </c>
      <c r="O61" s="115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7"/>
      <c r="AC61" s="11"/>
      <c r="AD61" s="115"/>
      <c r="AE61" s="116"/>
      <c r="AF61" s="117"/>
      <c r="AG61" s="115"/>
      <c r="AH61" s="116"/>
      <c r="AI61" s="117"/>
      <c r="AJ61" s="11"/>
      <c r="AK61" s="11"/>
      <c r="AL61" s="11"/>
      <c r="AM61" s="11"/>
      <c r="AN61" s="11"/>
      <c r="AO61" s="11"/>
    </row>
    <row r="62" spans="1:41" hidden="1" x14ac:dyDescent="0.25">
      <c r="A62" s="61" t="s">
        <v>17</v>
      </c>
      <c r="B62" s="62"/>
      <c r="C62" s="11"/>
      <c r="D62" s="11"/>
      <c r="E62" s="11"/>
      <c r="F62" s="11"/>
      <c r="G62" s="11"/>
      <c r="H62" s="84" t="s">
        <v>668</v>
      </c>
      <c r="I62" s="118" t="str">
        <f>IF(_epmOfflineCondition_,"",_xll.EVPRO($B$1,$H62,"STYLE"))</f>
        <v/>
      </c>
      <c r="J62" s="118" t="str">
        <f>IF(_epmOfflineCondition_,"",_xll.EVPRO($B$1,$H62,"CALC"))</f>
        <v/>
      </c>
      <c r="K62" s="175" t="str">
        <f>IF(AND(I62&lt;&gt;"B1",J62="Y"),"&gt;","")</f>
        <v/>
      </c>
      <c r="L62" s="86" t="str">
        <f>IF(_epmOfflineCondition_,"",_xll.EVPRO($B$1,H62,"JDEID"))</f>
        <v/>
      </c>
      <c r="M62" s="86" t="str">
        <f>IF(_epmOfflineCondition_,"",IF(AND(I62="N",J62="N"),_xll.EVPRO($B$1,H62,"PSFTID"),""))</f>
        <v/>
      </c>
      <c r="N62" s="86" t="str">
        <f>IF(_epmOfflineCondition_,"",IF(_xll.EVDES(H62,$B$1)="#NODATA","",_xll.EVDES(H62,$B$1)))</f>
        <v/>
      </c>
      <c r="O62" s="134"/>
      <c r="P62" s="134"/>
      <c r="Q62" s="134"/>
      <c r="R62" s="134"/>
      <c r="S62" s="134"/>
      <c r="T62" s="134"/>
      <c r="U62" s="134"/>
      <c r="V62" s="134"/>
      <c r="W62" s="134"/>
      <c r="X62" s="134"/>
      <c r="Y62" s="134"/>
      <c r="Z62" s="134"/>
      <c r="AA62" s="134">
        <f>IF($I62="B1","",SUM(O62:Z62))</f>
        <v>0</v>
      </c>
      <c r="AB62" s="138" t="str">
        <f>IF(AA62=0,"",IFERROR(AA62/AA$19,""))</f>
        <v/>
      </c>
      <c r="AC62" s="136"/>
      <c r="AD62" s="134"/>
      <c r="AE62" s="138" t="str">
        <f>IF(AD62=0,"",IFERROR(AD62/AD$19,""))</f>
        <v/>
      </c>
      <c r="AF62" s="137">
        <f>IF(AND($AA62="",AD62=""),"",$AA62-AD62)</f>
        <v>0</v>
      </c>
      <c r="AG62" s="134"/>
      <c r="AH62" s="138" t="str">
        <f>IF(AG62=0,"",IFERROR(AG62/AG$19,""))</f>
        <v/>
      </c>
      <c r="AI62" s="137">
        <f>IF(AND($AA62="",AG62=""),"",$AA62-AG62)</f>
        <v>0</v>
      </c>
      <c r="AJ62" s="458">
        <f>IFERROR(AA62/AA$20,0)</f>
        <v>0</v>
      </c>
      <c r="AK62" s="459">
        <f>IFERROR(AD62/AD$20,0)</f>
        <v>0</v>
      </c>
      <c r="AL62" s="460">
        <f>IFERROR(AG62/AG$20,0)</f>
        <v>0</v>
      </c>
      <c r="AM62" s="461">
        <f>+IFERROR(ROUND(($AB62-AE62)*100,2)&amp;" pts.",0)</f>
        <v>0</v>
      </c>
      <c r="AN62" s="462">
        <f>+IFERROR(ROUND(($AB62-AH62)*100,2)&amp;" pts.",0)</f>
        <v>0</v>
      </c>
      <c r="AO62" s="11"/>
    </row>
    <row r="63" spans="1:41" hidden="1" x14ac:dyDescent="0.25">
      <c r="A63" s="11"/>
      <c r="B63" s="11"/>
      <c r="C63" s="11"/>
      <c r="D63" s="11"/>
      <c r="E63" s="11"/>
      <c r="F63" s="11"/>
      <c r="G63" s="11"/>
      <c r="H63" s="84"/>
      <c r="I63" s="118" t="str">
        <f>IF(_epmOfflineCondition_,"",_xll.EVPRO($B$1,$H63,"STYLE"))</f>
        <v/>
      </c>
      <c r="J63" s="118" t="str">
        <f>IF(_epmOfflineCondition_,"",_xll.EVPRO($B$1,$H63,"CALC"))</f>
        <v/>
      </c>
      <c r="K63" s="175" t="str">
        <f>IF(AND(I63&lt;&gt;"B1",J63="Y"),"&gt;","")</f>
        <v/>
      </c>
      <c r="L63" s="86" t="str">
        <f>IF(_epmOfflineCondition_,"",_xll.EVPRO($B$1,H63,"JDEID"))</f>
        <v/>
      </c>
      <c r="M63" s="86" t="str">
        <f>IF(_epmOfflineCondition_,"",IF(AND(I63="N",J63="N"),_xll.EVPRO($B$1,H63,"PSFTID"),""))</f>
        <v/>
      </c>
      <c r="N63" s="86" t="str">
        <f>IF(_epmOfflineCondition_,"",IF(_xll.EVDES(H63,$B$1)="#NODATA","",_xll.EVDES(H63,$B$1)))</f>
        <v/>
      </c>
      <c r="O63" s="134"/>
      <c r="P63" s="134"/>
      <c r="Q63" s="134"/>
      <c r="R63" s="134"/>
      <c r="S63" s="134"/>
      <c r="T63" s="134"/>
      <c r="U63" s="134"/>
      <c r="V63" s="134"/>
      <c r="W63" s="134"/>
      <c r="X63" s="134"/>
      <c r="Y63" s="134"/>
      <c r="Z63" s="134"/>
      <c r="AA63" s="134">
        <f>IF($I63="B1","",SUM(O63:Z63))</f>
        <v>0</v>
      </c>
      <c r="AB63" s="138" t="str">
        <f>IF(AA63=0,"",IFERROR(AA63/AA$19,""))</f>
        <v/>
      </c>
      <c r="AC63" s="136"/>
      <c r="AD63" s="134"/>
      <c r="AE63" s="138" t="str">
        <f>IF(AD63=0,"",IFERROR(AD63/AD$19,""))</f>
        <v/>
      </c>
      <c r="AF63" s="137">
        <f>IF(AND($AA63="",AD63=""),"",$AA63-AD63)</f>
        <v>0</v>
      </c>
      <c r="AG63" s="134"/>
      <c r="AH63" s="138" t="str">
        <f>IF(AG63=0,"",IFERROR(AG63/AG$19,""))</f>
        <v/>
      </c>
      <c r="AI63" s="137">
        <f>IF(AND($AA63="",AG63=""),"",$AA63-AG63)</f>
        <v>0</v>
      </c>
      <c r="AJ63" s="458">
        <f>IFERROR(AA63/AA$20,0)</f>
        <v>0</v>
      </c>
      <c r="AK63" s="459">
        <f>IFERROR(AD63/AD$20,0)</f>
        <v>0</v>
      </c>
      <c r="AL63" s="460">
        <f>IFERROR(AG63/AG$20,0)</f>
        <v>0</v>
      </c>
      <c r="AM63" s="461">
        <f>+IFERROR(ROUND(($AB63-AE63)*100,2)&amp;" pts.",0)</f>
        <v>0</v>
      </c>
      <c r="AN63" s="462">
        <f>+IFERROR(ROUND(($AB63-AH63)*100,2)&amp;" pts.",0)</f>
        <v>0</v>
      </c>
      <c r="AO63" s="11"/>
    </row>
    <row r="64" spans="1:41" x14ac:dyDescent="0.25">
      <c r="A64" s="93" t="s">
        <v>92</v>
      </c>
      <c r="B64" s="94" t="s">
        <v>93</v>
      </c>
      <c r="C64" s="94" t="s">
        <v>94</v>
      </c>
      <c r="D64" s="94" t="s">
        <v>95</v>
      </c>
      <c r="E64" s="94" t="s">
        <v>96</v>
      </c>
      <c r="F64" s="95" t="s">
        <v>97</v>
      </c>
      <c r="G64" s="11"/>
      <c r="H64" s="84" t="s">
        <v>79</v>
      </c>
      <c r="I64" s="132" t="str">
        <f>IF(_epmOfflineCondition_,"T3",_xll.EVPRO($B$1,$H64,"STYLE"))</f>
        <v>T3</v>
      </c>
      <c r="J64" s="132" t="str">
        <f>IF(_epmOfflineCondition_,"Y",_xll.EVPRO($B$1,$H64,"CALC"))</f>
        <v>Y</v>
      </c>
      <c r="K64" s="100"/>
      <c r="L64" s="100"/>
      <c r="M64" s="100"/>
      <c r="N64" s="102" t="str">
        <f>IF(_epmOfflineCondition_,"Total Operations Expense",IF(_xll.EVDES(H64,$B$1)="#NODATA","",_xll.EVDES(H64,$B$1)))</f>
        <v>Total Operations Expense</v>
      </c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>
        <f>IF($I64="B1","",SUM(O64:Z64))</f>
        <v>0</v>
      </c>
      <c r="AB64" s="147" t="str">
        <f>IF(AA64=0,"",IFERROR(AA64/AA$19,""))</f>
        <v/>
      </c>
      <c r="AC64" s="136"/>
      <c r="AD64" s="146"/>
      <c r="AE64" s="147" t="str">
        <f>IF(AD64=0,"",IFERROR(AD64/AD$19,""))</f>
        <v/>
      </c>
      <c r="AF64" s="148">
        <f>IF(AND($AA64="",AD64=""),"",$AA64-AD64)</f>
        <v>0</v>
      </c>
      <c r="AG64" s="146"/>
      <c r="AH64" s="147" t="str">
        <f>IF(AG64=0,"",IFERROR(AG64/AG$19,""))</f>
        <v/>
      </c>
      <c r="AI64" s="148">
        <f>IF(AND($AA64="",AG64=""),"",$AA64-AG64)</f>
        <v>0</v>
      </c>
      <c r="AJ64" s="431">
        <f>IFERROR(AA64/AA$20,0)</f>
        <v>0</v>
      </c>
      <c r="AK64" s="432">
        <f>IFERROR(AD64/AD$20,0)</f>
        <v>0</v>
      </c>
      <c r="AL64" s="433">
        <f>IFERROR(AG64/AG$20,0)</f>
        <v>0</v>
      </c>
      <c r="AM64" s="434">
        <f>+IFERROR(ROUND(($AB64-AE64)*100,2)&amp;" pts.",0)</f>
        <v>0</v>
      </c>
      <c r="AN64" s="550">
        <f>+IFERROR(ROUND(($AB64-AH64)*100,2)&amp;" pts.",0)</f>
        <v>0</v>
      </c>
      <c r="AO64" s="11"/>
    </row>
    <row r="65" spans="1:41" x14ac:dyDescent="0.25">
      <c r="A65" s="11"/>
      <c r="B65" s="11"/>
      <c r="C65" s="11"/>
      <c r="D65" s="11"/>
      <c r="E65" s="11"/>
      <c r="F65" s="11"/>
      <c r="G65" s="11"/>
      <c r="H65" s="11"/>
      <c r="I65" s="55"/>
      <c r="J65" s="55"/>
      <c r="K65" s="11"/>
      <c r="L65" s="11"/>
      <c r="M65" s="11"/>
      <c r="N65" s="11"/>
      <c r="O65" s="136"/>
      <c r="P65" s="136"/>
      <c r="Q65" s="136"/>
      <c r="R65" s="136"/>
      <c r="S65" s="136"/>
      <c r="T65" s="136"/>
      <c r="U65" s="136"/>
      <c r="V65" s="136"/>
      <c r="W65" s="136"/>
      <c r="X65" s="136"/>
      <c r="Y65" s="136"/>
      <c r="Z65" s="136"/>
      <c r="AA65" s="136"/>
      <c r="AB65" s="136"/>
      <c r="AC65" s="136"/>
      <c r="AD65" s="136"/>
      <c r="AE65" s="136"/>
      <c r="AF65" s="136"/>
      <c r="AG65" s="136"/>
      <c r="AH65" s="136"/>
      <c r="AI65" s="136"/>
      <c r="AJ65" s="136"/>
      <c r="AK65" s="136"/>
      <c r="AL65" s="136"/>
      <c r="AM65" s="136"/>
      <c r="AN65" s="136"/>
      <c r="AO65" s="11"/>
    </row>
    <row r="66" spans="1:41" x14ac:dyDescent="0.25">
      <c r="A66" s="11" t="s">
        <v>105</v>
      </c>
      <c r="B66" s="11"/>
      <c r="C66" s="100" t="s">
        <v>101</v>
      </c>
      <c r="D66" s="11" t="s">
        <v>106</v>
      </c>
      <c r="E66" s="11"/>
      <c r="F66" s="11" t="s">
        <v>98</v>
      </c>
      <c r="G66" s="11"/>
      <c r="H66" s="84" t="s">
        <v>80</v>
      </c>
      <c r="I66" s="132" t="str">
        <f>IF(_epmOfflineCondition_,"T3",_xll.EVPRO($B$1,$H66,"STYLE"))</f>
        <v>T3</v>
      </c>
      <c r="J66" s="132" t="str">
        <f>IF(_epmOfflineCondition_,"Y",_xll.EVPRO($B$1,$H66,"CALC"))</f>
        <v>Y</v>
      </c>
      <c r="K66" s="102"/>
      <c r="L66" s="102"/>
      <c r="M66" s="102"/>
      <c r="N66" s="102" t="str">
        <f>IF(_epmOfflineCondition_,"Total Expenses",IF(_xll.EVDES(H66,$B$1)="#NODATA","",_xll.EVDES(H66,$B$1)))</f>
        <v>Total Expenses</v>
      </c>
      <c r="O66" s="210"/>
      <c r="P66" s="210"/>
      <c r="Q66" s="210"/>
      <c r="R66" s="210"/>
      <c r="S66" s="210"/>
      <c r="T66" s="210"/>
      <c r="U66" s="210"/>
      <c r="V66" s="210"/>
      <c r="W66" s="210"/>
      <c r="X66" s="210"/>
      <c r="Y66" s="210"/>
      <c r="Z66" s="210"/>
      <c r="AA66" s="210">
        <f>IF($I66="B1","",SUM(O66:Z66))</f>
        <v>0</v>
      </c>
      <c r="AB66" s="211" t="str">
        <f>IF(AA66=0,"",IFERROR(AA66/AA$19,""))</f>
        <v/>
      </c>
      <c r="AC66" s="136"/>
      <c r="AD66" s="210"/>
      <c r="AE66" s="211" t="str">
        <f>IF(AD66=0,"",IFERROR(AD66/AD$19,""))</f>
        <v/>
      </c>
      <c r="AF66" s="212">
        <f>IF(AND($AA66="",AD66=""),"",$AA66-AD66)</f>
        <v>0</v>
      </c>
      <c r="AG66" s="213"/>
      <c r="AH66" s="214" t="str">
        <f>IF(AG66=0,"",IFERROR(AG66/AG$19,""))</f>
        <v/>
      </c>
      <c r="AI66" s="212">
        <f>IF(AND($AA66="",AG66=""),"",$AA66-AG66)</f>
        <v>0</v>
      </c>
      <c r="AJ66" s="437">
        <f>IFERROR(AA66/AA$20,0)</f>
        <v>0</v>
      </c>
      <c r="AK66" s="438">
        <f>IFERROR(AD66/AD$20,0)</f>
        <v>0</v>
      </c>
      <c r="AL66" s="439">
        <f>IFERROR(AG66/AG$20,0)</f>
        <v>0</v>
      </c>
      <c r="AM66" s="440">
        <f>+IFERROR(ROUND(($AB66-AE66)*100,2)&amp;" pts.",0)</f>
        <v>0</v>
      </c>
      <c r="AN66" s="551">
        <f>+IFERROR(ROUND(($AB66-AH66)*100,2)&amp;" pts.",0)</f>
        <v>0</v>
      </c>
      <c r="AO66" s="11"/>
    </row>
    <row r="67" spans="1:41" ht="15.75" thickBot="1" x14ac:dyDescent="0.3">
      <c r="A67" s="11" t="s">
        <v>102</v>
      </c>
      <c r="B67" s="11"/>
      <c r="C67" s="102" t="s">
        <v>101</v>
      </c>
      <c r="D67" s="11" t="s">
        <v>106</v>
      </c>
      <c r="E67" s="11"/>
      <c r="F67" s="11" t="s">
        <v>98</v>
      </c>
      <c r="G67" s="11"/>
      <c r="H67" s="84" t="s">
        <v>81</v>
      </c>
      <c r="I67" s="132" t="str">
        <f>IF(_epmOfflineCondition_,"T3",_xll.EVPRO($B$1,$H67,"STYLE"))</f>
        <v>T3</v>
      </c>
      <c r="J67" s="132" t="str">
        <f>IF(_epmOfflineCondition_,"Y",_xll.EVPRO($B$1,$H67,"CALC"))</f>
        <v>Y</v>
      </c>
      <c r="K67" s="102"/>
      <c r="L67" s="102"/>
      <c r="M67" s="102"/>
      <c r="N67" s="102" t="str">
        <f>IF(_epmOfflineCondition_,"Department Profit (Loss)",IF(_xll.EVDES(H67,$B$1)="#NODATA","",_xll.EVDES(H67,$B$1)))</f>
        <v>Department Profit (Loss)</v>
      </c>
      <c r="O67" s="161"/>
      <c r="P67" s="161"/>
      <c r="Q67" s="161"/>
      <c r="R67" s="161">
        <v>372</v>
      </c>
      <c r="S67" s="161">
        <v>-372</v>
      </c>
      <c r="T67" s="161"/>
      <c r="U67" s="161"/>
      <c r="V67" s="161"/>
      <c r="W67" s="161"/>
      <c r="X67" s="161"/>
      <c r="Y67" s="161"/>
      <c r="Z67" s="161"/>
      <c r="AA67" s="161">
        <f>IF($I67="B1","",SUM(O67:Z67))</f>
        <v>0</v>
      </c>
      <c r="AB67" s="162" t="str">
        <f>IF(AA67=0,"",IFERROR(AA67/AA$19,""))</f>
        <v/>
      </c>
      <c r="AC67" s="136"/>
      <c r="AD67" s="161"/>
      <c r="AE67" s="162" t="str">
        <f>IF(AD67=0,"",IFERROR(AD67/AD$19,""))</f>
        <v/>
      </c>
      <c r="AF67" s="163">
        <f>IF(AND($AA67="",AD67=""),"",$AA67-AD67)</f>
        <v>0</v>
      </c>
      <c r="AG67" s="161"/>
      <c r="AH67" s="162" t="str">
        <f>IF(AG67=0,"",IFERROR(AG67/AG$19,""))</f>
        <v/>
      </c>
      <c r="AI67" s="163">
        <f>IF(AND($AA67="",AG67=""),"",$AA67-AG67)</f>
        <v>0</v>
      </c>
      <c r="AJ67" s="442">
        <f>IFERROR(AA67/AA$20,0)</f>
        <v>0</v>
      </c>
      <c r="AK67" s="443">
        <f>IFERROR(AD67/AD$20,0)</f>
        <v>0</v>
      </c>
      <c r="AL67" s="444">
        <f>IFERROR(AG67/AG$20,0)</f>
        <v>0</v>
      </c>
      <c r="AM67" s="445">
        <f>+IFERROR(ROUND(($AB67-AE67)*100,2)&amp;" pts.",0)</f>
        <v>0</v>
      </c>
      <c r="AN67" s="552">
        <f>+IFERROR(ROUND(($AB67-AH67)*100,2)&amp;" pts.",0)</f>
        <v>0</v>
      </c>
      <c r="AO67" s="11"/>
    </row>
    <row r="68" spans="1:41" ht="15.75" thickTop="1" x14ac:dyDescent="0.25">
      <c r="A68" s="11" t="s">
        <v>102</v>
      </c>
      <c r="B68" s="11"/>
      <c r="C68" s="192" t="s">
        <v>101</v>
      </c>
      <c r="D68" s="11" t="s">
        <v>107</v>
      </c>
      <c r="E68" s="11"/>
      <c r="F68" s="11" t="s">
        <v>99</v>
      </c>
      <c r="G68" s="11"/>
      <c r="H68" s="11"/>
      <c r="I68" s="55"/>
      <c r="J68" s="55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</row>
    <row r="69" spans="1:41" x14ac:dyDescent="0.25">
      <c r="A69" s="11"/>
      <c r="B69" s="11"/>
      <c r="C69" s="11"/>
      <c r="D69" s="11"/>
      <c r="E69" s="11"/>
      <c r="F69" s="11"/>
      <c r="G69" s="11"/>
      <c r="H69" s="11"/>
      <c r="I69" s="55"/>
      <c r="J69" s="55"/>
      <c r="K69" s="11"/>
      <c r="L69" s="11"/>
      <c r="M69" s="11"/>
      <c r="N69" s="100" t="str">
        <f>N66&amp;" - Check"</f>
        <v>Total Expenses - Check</v>
      </c>
      <c r="O69" s="205">
        <f t="shared" ref="O69:AA69" si="13">SUMIF($H$34:$H$67,"600000",O$34:O$67)+SUMIF($H$34:$H$67,"700000",O$34:O$67)-SUMIF($H$34:$H$67,"TOTDEPTEXP",O$34:O$67)</f>
        <v>0</v>
      </c>
      <c r="P69" s="205">
        <f t="shared" si="13"/>
        <v>0</v>
      </c>
      <c r="Q69" s="205">
        <f t="shared" si="13"/>
        <v>0</v>
      </c>
      <c r="R69" s="205">
        <f t="shared" si="13"/>
        <v>0</v>
      </c>
      <c r="S69" s="205">
        <f t="shared" si="13"/>
        <v>0</v>
      </c>
      <c r="T69" s="205">
        <f t="shared" si="13"/>
        <v>0</v>
      </c>
      <c r="U69" s="205">
        <f t="shared" si="13"/>
        <v>0</v>
      </c>
      <c r="V69" s="205">
        <f t="shared" si="13"/>
        <v>0</v>
      </c>
      <c r="W69" s="205">
        <f t="shared" si="13"/>
        <v>0</v>
      </c>
      <c r="X69" s="205">
        <f t="shared" si="13"/>
        <v>0</v>
      </c>
      <c r="Y69" s="205">
        <f t="shared" si="13"/>
        <v>0</v>
      </c>
      <c r="Z69" s="205">
        <f t="shared" si="13"/>
        <v>0</v>
      </c>
      <c r="AA69" s="205">
        <f t="shared" si="13"/>
        <v>0</v>
      </c>
      <c r="AB69" s="96"/>
      <c r="AC69" s="11"/>
      <c r="AD69" s="205">
        <f>SUMIF($H$34:$H$67,"600000",AD$34:AD$67)+SUMIF($H$34:$H$67,"700000",AD$34:AD$67)-SUMIF($H$34:$H$67,"TOTDEPTEXP",AD$34:AD$67)</f>
        <v>0</v>
      </c>
      <c r="AE69" s="96"/>
      <c r="AF69" s="87"/>
      <c r="AG69" s="205">
        <f>SUMIF($H$34:$H$67,"600000",AG$34:AG$67)+SUMIF($H$34:$H$67,"700000",AG$34:AG$67)-SUMIF($H$34:$H$67,"TOTDEPTEXP",AG$34:AG$67)</f>
        <v>0</v>
      </c>
      <c r="AH69" s="96"/>
      <c r="AI69" s="87"/>
      <c r="AJ69" s="11"/>
      <c r="AK69" s="11"/>
      <c r="AL69" s="11"/>
      <c r="AM69" s="11"/>
      <c r="AN69" s="11"/>
      <c r="AO69" s="11"/>
    </row>
    <row r="70" spans="1:41" x14ac:dyDescent="0.25">
      <c r="A70" s="11"/>
      <c r="B70" s="11"/>
      <c r="C70" s="204"/>
      <c r="D70" s="11"/>
      <c r="E70" s="11"/>
      <c r="F70" s="11"/>
      <c r="G70" s="11"/>
      <c r="H70" s="11"/>
      <c r="I70" s="55"/>
      <c r="J70" s="55"/>
      <c r="K70" s="11"/>
      <c r="L70" s="11"/>
      <c r="M70" s="11"/>
      <c r="N70" s="100" t="str">
        <f>N67&amp;" - Check"</f>
        <v>Department Profit (Loss) - Check</v>
      </c>
      <c r="O70" s="205">
        <f t="shared" ref="O70:AA70" si="14">SUMIF($H$34:$H$67,"KPI_GP",O$34:O$67)-SUMIF($H$34:$H$67,"TOTDEPTEXP",O$34:O$67)-SUMIF($H$34:$H$67,"TOTDEPTPL",O$34:O$67)</f>
        <v>0</v>
      </c>
      <c r="P70" s="205">
        <f t="shared" si="14"/>
        <v>0</v>
      </c>
      <c r="Q70" s="205">
        <f t="shared" si="14"/>
        <v>0</v>
      </c>
      <c r="R70" s="205">
        <f t="shared" si="14"/>
        <v>0</v>
      </c>
      <c r="S70" s="205">
        <f t="shared" si="14"/>
        <v>0</v>
      </c>
      <c r="T70" s="205">
        <f t="shared" si="14"/>
        <v>0</v>
      </c>
      <c r="U70" s="205">
        <f t="shared" si="14"/>
        <v>0</v>
      </c>
      <c r="V70" s="205">
        <f t="shared" si="14"/>
        <v>0</v>
      </c>
      <c r="W70" s="205">
        <f t="shared" si="14"/>
        <v>0</v>
      </c>
      <c r="X70" s="205">
        <f t="shared" si="14"/>
        <v>0</v>
      </c>
      <c r="Y70" s="205">
        <f t="shared" si="14"/>
        <v>0</v>
      </c>
      <c r="Z70" s="205">
        <f t="shared" si="14"/>
        <v>0</v>
      </c>
      <c r="AA70" s="205">
        <f t="shared" si="14"/>
        <v>0</v>
      </c>
      <c r="AB70" s="96"/>
      <c r="AC70" s="11"/>
      <c r="AD70" s="205">
        <f>SUMIF($H$34:$H$67,"KPI_GP",AD$34:AD$67)-SUMIF($H$34:$H$67,"TOTDEPTEXP",AD$34:AD$67)-SUMIF($H$34:$H$67,"TOTDEPTPL",AD$34:AD$67)</f>
        <v>0</v>
      </c>
      <c r="AE70" s="96"/>
      <c r="AF70" s="87"/>
      <c r="AG70" s="205">
        <f>SUMIF($H$34:$H$67,"KPI_GP",AG$34:AG$67)-SUMIF($H$34:$H$67,"TOTDEPTEXP",AG$34:AG$67)-SUMIF($H$34:$H$67,"TOTDEPTPL",AG$34:AG$67)</f>
        <v>0</v>
      </c>
      <c r="AH70" s="96"/>
      <c r="AI70" s="87"/>
      <c r="AJ70" s="11"/>
      <c r="AK70" s="11"/>
      <c r="AL70" s="11"/>
      <c r="AM70" s="11"/>
      <c r="AN70" s="11"/>
      <c r="AO70" s="11"/>
    </row>
    <row r="71" spans="1:41" x14ac:dyDescent="0.25">
      <c r="A71" s="56" t="str">
        <f>IF(_epmOfflineCondition_,"Evdre:Ok",_xll.EVDRE($B$1,A74:B81,A84:B90))</f>
        <v>Evdre:Ok</v>
      </c>
      <c r="B71" s="11"/>
      <c r="C71" s="11"/>
      <c r="D71" s="11"/>
      <c r="E71" s="11"/>
      <c r="F71" s="11"/>
      <c r="G71" s="11"/>
      <c r="H71" s="11"/>
      <c r="I71" s="55"/>
      <c r="J71" s="55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</row>
    <row r="72" spans="1:41" x14ac:dyDescent="0.25">
      <c r="A72" s="11"/>
      <c r="B72" s="11"/>
      <c r="C72" s="11"/>
      <c r="D72" s="11"/>
      <c r="E72" s="11"/>
      <c r="F72" s="11"/>
      <c r="G72" s="11"/>
      <c r="H72" s="11"/>
      <c r="I72" s="55"/>
      <c r="J72" s="55"/>
      <c r="K72" s="11"/>
      <c r="L72" s="11"/>
      <c r="M72" s="11"/>
      <c r="N72" s="11"/>
      <c r="O72" s="133"/>
      <c r="P72" s="133"/>
      <c r="Q72" s="133"/>
      <c r="R72" s="133"/>
      <c r="S72" s="133"/>
      <c r="T72" s="133"/>
      <c r="U72" s="133"/>
      <c r="V72" s="133"/>
      <c r="W72" s="133"/>
      <c r="X72" s="133"/>
      <c r="Y72" s="133"/>
      <c r="Z72" s="133"/>
      <c r="AA72" s="133"/>
      <c r="AB72" s="11"/>
      <c r="AC72" s="11"/>
      <c r="AD72" s="133"/>
      <c r="AE72" s="11"/>
      <c r="AF72" s="11"/>
      <c r="AG72" s="133"/>
      <c r="AH72" s="11"/>
      <c r="AI72" s="11"/>
      <c r="AJ72" s="11"/>
      <c r="AK72" s="11"/>
      <c r="AL72" s="11"/>
      <c r="AM72" s="11"/>
      <c r="AN72" s="11"/>
      <c r="AO72" s="11"/>
    </row>
    <row r="73" spans="1:41" x14ac:dyDescent="0.25">
      <c r="A73" s="57" t="s">
        <v>0</v>
      </c>
      <c r="B73" s="58" t="s">
        <v>1</v>
      </c>
      <c r="C73" s="11"/>
      <c r="D73" s="11"/>
      <c r="E73" s="11"/>
      <c r="F73" s="11"/>
      <c r="G73" s="11"/>
      <c r="H73" s="11"/>
      <c r="I73" s="55"/>
      <c r="J73" s="55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</row>
    <row r="74" spans="1:41" x14ac:dyDescent="0.25">
      <c r="A74" s="61" t="s">
        <v>2</v>
      </c>
      <c r="B74" s="62" t="str">
        <f>IF(_epmOfflineCondition_,"'HC_SPA'!$B$2:$B$10",_xll.EVRNG($B$2:$B$10))</f>
        <v>'HC_SPA'!$B$2:$B$10</v>
      </c>
      <c r="C74" s="11"/>
      <c r="D74" s="11"/>
      <c r="E74" s="11"/>
      <c r="F74" s="11"/>
      <c r="G74" s="11"/>
      <c r="H74" s="11"/>
      <c r="I74" s="55"/>
      <c r="J74" s="55"/>
      <c r="K74" s="11"/>
      <c r="L74" s="11"/>
      <c r="M74" s="11"/>
      <c r="N74" s="11"/>
      <c r="O74" s="133"/>
      <c r="P74" s="133"/>
      <c r="Q74" s="133"/>
      <c r="R74" s="133"/>
      <c r="S74" s="133"/>
      <c r="T74" s="133"/>
      <c r="U74" s="133"/>
      <c r="V74" s="133"/>
      <c r="W74" s="133"/>
      <c r="X74" s="133"/>
      <c r="Y74" s="133"/>
      <c r="Z74" s="133"/>
      <c r="AA74" s="133"/>
      <c r="AB74" s="11"/>
      <c r="AC74" s="11"/>
      <c r="AD74" s="133"/>
      <c r="AE74" s="11"/>
      <c r="AF74" s="11"/>
      <c r="AG74" s="133"/>
      <c r="AH74" s="11"/>
      <c r="AI74" s="11"/>
      <c r="AJ74" s="11"/>
      <c r="AK74" s="11"/>
      <c r="AL74" s="11"/>
      <c r="AM74" s="11"/>
      <c r="AN74" s="11"/>
      <c r="AO74" s="11"/>
    </row>
    <row r="75" spans="1:41" x14ac:dyDescent="0.25">
      <c r="A75" s="61" t="s">
        <v>3</v>
      </c>
      <c r="B75" s="62" t="str">
        <f>IF(_epmOfflineCondition_,"'HC_SPA'!$O$16:$AN$18",_xll.EVRNG($O$16:$AN$18))</f>
        <v>'HC_SPA'!$O$16:$AN$18</v>
      </c>
      <c r="C75" s="11"/>
      <c r="D75" s="11"/>
      <c r="E75" s="11"/>
      <c r="F75" s="11"/>
      <c r="G75" s="11"/>
      <c r="H75" s="11"/>
      <c r="I75" s="55"/>
      <c r="J75" s="55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</row>
    <row r="76" spans="1:41" x14ac:dyDescent="0.25">
      <c r="A76" s="61" t="s">
        <v>4</v>
      </c>
      <c r="B76" s="62" t="str">
        <f>IF(_epmOfflineCondition_,"'HC_SPA'!$H$55:$H$56,'HC_SPA'!$H$58:$H$59,'HC_SPA'!$H$62:$H$63",_xll.EVRNG(H55:H56,H58:H59,H62:H63))</f>
        <v>'HC_SPA'!$H$55:$H$56,'HC_SPA'!$H$58:$H$59,'HC_SPA'!$H$62:$H$63</v>
      </c>
      <c r="C76" s="11"/>
      <c r="D76" s="11"/>
      <c r="E76" s="11"/>
      <c r="F76" s="11"/>
      <c r="G76" s="11"/>
      <c r="H76" s="11"/>
      <c r="I76" s="55"/>
      <c r="J76" s="55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</row>
    <row r="77" spans="1:41" x14ac:dyDescent="0.25">
      <c r="A77" s="61" t="s">
        <v>5</v>
      </c>
      <c r="B77" s="62"/>
      <c r="C77" s="11"/>
      <c r="D77" s="11"/>
      <c r="E77" s="11"/>
      <c r="F77" s="11"/>
      <c r="G77" s="11"/>
      <c r="H77" s="55"/>
      <c r="I77" s="55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</row>
    <row r="78" spans="1:41" x14ac:dyDescent="0.25">
      <c r="A78" s="61" t="s">
        <v>6</v>
      </c>
      <c r="B78" s="62"/>
      <c r="C78" s="11"/>
      <c r="D78" s="11"/>
      <c r="E78" s="11"/>
      <c r="F78" s="11"/>
      <c r="G78" s="11"/>
      <c r="H78" s="55"/>
      <c r="I78" s="55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  <row r="79" spans="1:41" x14ac:dyDescent="0.25">
      <c r="A79" s="61" t="s">
        <v>7</v>
      </c>
      <c r="B79" s="62" t="str">
        <f>IF(_epmOfflineCondition_,"'HC_SPA'!$A$93:$F$99",_xll.EVRNG(A93:F99))</f>
        <v>'HC_SPA'!$A$93:$F$99</v>
      </c>
      <c r="C79" s="11"/>
      <c r="D79" s="11"/>
      <c r="E79" s="11"/>
      <c r="F79" s="11"/>
      <c r="G79" s="11"/>
      <c r="H79" s="55"/>
      <c r="I79" s="55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</row>
    <row r="80" spans="1:41" x14ac:dyDescent="0.25">
      <c r="A80" s="61" t="s">
        <v>47</v>
      </c>
      <c r="B80" s="62" t="str">
        <f>IF(_epmOfflineCondition_,"'HC_SPA'!$A$116:$B$137",_xll.EVRNG($A$116:$B$137))</f>
        <v>'HC_SPA'!$A$116:$B$137</v>
      </c>
      <c r="C80" s="11"/>
      <c r="D80" s="11"/>
      <c r="E80" s="11"/>
      <c r="F80" s="11"/>
      <c r="G80" s="11"/>
      <c r="H80" s="55"/>
      <c r="I80" s="55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x14ac:dyDescent="0.25">
      <c r="A81" s="61" t="s">
        <v>8</v>
      </c>
      <c r="B81" s="62"/>
      <c r="C81" s="11"/>
      <c r="D81" s="11"/>
      <c r="E81" s="11"/>
      <c r="F81" s="11"/>
      <c r="G81" s="11"/>
      <c r="H81" s="55"/>
      <c r="I81" s="55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</row>
    <row r="82" spans="1:41" x14ac:dyDescent="0.25">
      <c r="A82" s="11"/>
      <c r="B82" s="11"/>
      <c r="C82" s="11"/>
      <c r="D82" s="11"/>
      <c r="E82" s="11"/>
      <c r="F82" s="11"/>
      <c r="G82" s="11"/>
      <c r="H82" s="55"/>
      <c r="I82" s="55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x14ac:dyDescent="0.25">
      <c r="A83" s="57" t="s">
        <v>9</v>
      </c>
      <c r="B83" s="58" t="s">
        <v>10</v>
      </c>
      <c r="C83" s="11"/>
      <c r="D83" s="11"/>
      <c r="E83" s="11"/>
      <c r="F83" s="11"/>
      <c r="G83" s="11"/>
      <c r="H83" s="55"/>
      <c r="I83" s="55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x14ac:dyDescent="0.25">
      <c r="A84" s="61" t="s">
        <v>11</v>
      </c>
      <c r="B84" s="62" t="s">
        <v>21</v>
      </c>
      <c r="C84" s="11"/>
      <c r="D84" s="11"/>
      <c r="E84" s="11"/>
      <c r="F84" s="11"/>
      <c r="G84" s="11"/>
      <c r="H84" s="55"/>
      <c r="I84" s="55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x14ac:dyDescent="0.25">
      <c r="A85" s="61" t="s">
        <v>12</v>
      </c>
      <c r="B85" s="62" t="s">
        <v>22</v>
      </c>
      <c r="C85" s="11"/>
      <c r="D85" s="11"/>
      <c r="E85" s="11"/>
      <c r="F85" s="11"/>
      <c r="G85" s="11"/>
      <c r="H85" s="55"/>
      <c r="I85" s="55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x14ac:dyDescent="0.25">
      <c r="A86" s="61" t="s">
        <v>13</v>
      </c>
      <c r="B86" s="62" t="s">
        <v>738</v>
      </c>
      <c r="C86" s="11"/>
      <c r="D86" s="11"/>
      <c r="E86" s="11"/>
      <c r="F86" s="11"/>
      <c r="G86" s="11"/>
      <c r="H86" s="55"/>
      <c r="I86" s="55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x14ac:dyDescent="0.25">
      <c r="A87" s="61" t="s">
        <v>14</v>
      </c>
      <c r="B87" s="62"/>
      <c r="C87" s="11"/>
      <c r="D87" s="11"/>
      <c r="E87" s="11"/>
      <c r="F87" s="11"/>
      <c r="G87" s="11"/>
      <c r="H87" s="55"/>
      <c r="I87" s="55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x14ac:dyDescent="0.25">
      <c r="A88" s="61" t="s">
        <v>15</v>
      </c>
      <c r="B88" s="62"/>
      <c r="C88" s="11"/>
      <c r="D88" s="11"/>
      <c r="E88" s="11"/>
      <c r="F88" s="11"/>
      <c r="G88" s="11"/>
      <c r="H88" s="55"/>
      <c r="I88" s="55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x14ac:dyDescent="0.25">
      <c r="A89" s="61" t="s">
        <v>16</v>
      </c>
      <c r="B89" s="62" t="s">
        <v>78</v>
      </c>
      <c r="C89" s="11"/>
      <c r="D89" s="11"/>
      <c r="E89" s="11"/>
      <c r="F89" s="11"/>
      <c r="G89" s="72"/>
      <c r="H89" s="55"/>
      <c r="I89" s="55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x14ac:dyDescent="0.25">
      <c r="A90" s="61" t="s">
        <v>17</v>
      </c>
      <c r="B90" s="62"/>
      <c r="C90" s="11"/>
      <c r="D90" s="11"/>
      <c r="E90" s="11"/>
      <c r="F90" s="11"/>
      <c r="G90" s="11"/>
      <c r="H90" s="55"/>
      <c r="I90" s="55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x14ac:dyDescent="0.25">
      <c r="A91" s="11"/>
      <c r="B91" s="11"/>
      <c r="C91" s="11"/>
      <c r="D91" s="11"/>
      <c r="E91" s="11"/>
      <c r="F91" s="11"/>
      <c r="G91" s="11"/>
      <c r="H91" s="55"/>
      <c r="I91" s="55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x14ac:dyDescent="0.25">
      <c r="A92" s="93" t="s">
        <v>92</v>
      </c>
      <c r="B92" s="94" t="s">
        <v>93</v>
      </c>
      <c r="C92" s="94" t="s">
        <v>94</v>
      </c>
      <c r="D92" s="94" t="s">
        <v>95</v>
      </c>
      <c r="E92" s="94" t="s">
        <v>96</v>
      </c>
      <c r="F92" s="95" t="s">
        <v>97</v>
      </c>
      <c r="G92" s="11"/>
      <c r="H92" s="55"/>
      <c r="I92" s="55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x14ac:dyDescent="0.25">
      <c r="A93" s="11"/>
      <c r="B93" s="11"/>
      <c r="C93" s="11"/>
      <c r="D93" s="11"/>
      <c r="E93" s="11"/>
      <c r="F93" s="11"/>
      <c r="G93" s="11"/>
      <c r="H93" s="55"/>
      <c r="I93" s="55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x14ac:dyDescent="0.25">
      <c r="A94" s="11" t="s">
        <v>108</v>
      </c>
      <c r="B94" s="11"/>
      <c r="C94" s="100" t="s">
        <v>101</v>
      </c>
      <c r="D94" s="11" t="s">
        <v>106</v>
      </c>
      <c r="E94" s="11"/>
      <c r="F94" s="11" t="s">
        <v>98</v>
      </c>
      <c r="G94" s="11"/>
      <c r="H94" s="55"/>
      <c r="I94" s="55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x14ac:dyDescent="0.25">
      <c r="A95" s="11" t="s">
        <v>100</v>
      </c>
      <c r="B95" s="11"/>
      <c r="C95" s="49" t="s">
        <v>101</v>
      </c>
      <c r="D95" s="11" t="s">
        <v>106</v>
      </c>
      <c r="E95" s="11"/>
      <c r="F95" s="11" t="s">
        <v>98</v>
      </c>
      <c r="G95" s="11"/>
      <c r="H95" s="55"/>
      <c r="I95" s="55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x14ac:dyDescent="0.25">
      <c r="A96" s="11" t="s">
        <v>109</v>
      </c>
      <c r="B96" s="11"/>
      <c r="C96" s="102" t="s">
        <v>101</v>
      </c>
      <c r="D96" s="11" t="s">
        <v>106</v>
      </c>
      <c r="E96" s="11"/>
      <c r="F96" s="11" t="s">
        <v>98</v>
      </c>
      <c r="G96" s="11"/>
      <c r="H96" s="55"/>
      <c r="I96" s="55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x14ac:dyDescent="0.25">
      <c r="A97" s="11" t="s">
        <v>109</v>
      </c>
      <c r="B97" s="11"/>
      <c r="C97" s="192" t="s">
        <v>101</v>
      </c>
      <c r="D97" s="11" t="s">
        <v>107</v>
      </c>
      <c r="E97" s="11"/>
      <c r="F97" s="11" t="s">
        <v>99</v>
      </c>
      <c r="G97" s="11"/>
      <c r="H97" s="55"/>
      <c r="I97" s="55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x14ac:dyDescent="0.25">
      <c r="A98" s="11" t="s">
        <v>110</v>
      </c>
      <c r="B98" s="11"/>
      <c r="C98" s="102" t="s">
        <v>101</v>
      </c>
      <c r="D98" s="11" t="s">
        <v>106</v>
      </c>
      <c r="E98" s="11"/>
      <c r="F98" s="11" t="s">
        <v>98</v>
      </c>
      <c r="G98" s="11"/>
      <c r="H98" s="55"/>
      <c r="I98" s="55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x14ac:dyDescent="0.25">
      <c r="A99" s="11" t="s">
        <v>110</v>
      </c>
      <c r="B99" s="11"/>
      <c r="C99" s="105" t="s">
        <v>101</v>
      </c>
      <c r="D99" s="11" t="s">
        <v>107</v>
      </c>
      <c r="E99" s="11"/>
      <c r="F99" s="11" t="s">
        <v>99</v>
      </c>
      <c r="G99" s="11"/>
      <c r="H99" s="55"/>
      <c r="I99" s="55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x14ac:dyDescent="0.25">
      <c r="A100" s="11"/>
      <c r="B100" s="11"/>
      <c r="C100" s="204"/>
      <c r="D100" s="11"/>
      <c r="E100" s="11"/>
      <c r="F100" s="11"/>
      <c r="G100" s="11"/>
      <c r="H100" s="11"/>
      <c r="I100" s="55"/>
      <c r="J100" s="55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x14ac:dyDescent="0.25">
      <c r="A101" s="11"/>
      <c r="B101" s="11"/>
      <c r="C101" s="11"/>
      <c r="D101" s="11"/>
      <c r="E101" s="11"/>
      <c r="F101" s="11"/>
      <c r="G101" s="11"/>
      <c r="H101" s="11"/>
      <c r="I101" s="55"/>
      <c r="J101" s="55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x14ac:dyDescent="0.25">
      <c r="A102" s="56" t="str">
        <f>IF(_epmOfflineCondition_,"Evdre:Ok",_xll.EVDRE($B$1,A105:B112))</f>
        <v>Evdre:Ok</v>
      </c>
      <c r="B102" s="11" t="s">
        <v>737</v>
      </c>
      <c r="C102" s="11"/>
      <c r="D102" s="11"/>
      <c r="E102" s="11"/>
      <c r="F102" s="11"/>
      <c r="G102" s="11"/>
      <c r="H102" s="11"/>
      <c r="I102" s="55"/>
      <c r="J102" s="55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x14ac:dyDescent="0.25">
      <c r="A103" s="11"/>
      <c r="B103" s="11"/>
      <c r="C103" s="11"/>
      <c r="D103" s="11"/>
      <c r="E103" s="11"/>
      <c r="F103" s="11"/>
      <c r="G103" s="72"/>
      <c r="H103" s="11"/>
      <c r="I103" s="55"/>
      <c r="J103" s="55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x14ac:dyDescent="0.25">
      <c r="A104" s="57" t="s">
        <v>0</v>
      </c>
      <c r="B104" s="58" t="s">
        <v>1</v>
      </c>
      <c r="C104" s="11"/>
      <c r="D104" s="11"/>
      <c r="E104" s="11"/>
      <c r="F104" s="11"/>
      <c r="G104" s="11"/>
      <c r="H104" s="11"/>
      <c r="I104" s="55"/>
      <c r="J104" s="55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x14ac:dyDescent="0.25">
      <c r="A105" s="61" t="s">
        <v>2</v>
      </c>
      <c r="B105" s="62" t="str">
        <f>IF(_epmOfflineCondition_,"'HC_SPA'!$B$2:$B$10",_xll.EVRNG($B$2:$B$10))</f>
        <v>'HC_SPA'!$B$2:$B$10</v>
      </c>
      <c r="C105" s="11"/>
      <c r="D105" s="11"/>
      <c r="E105" s="11"/>
      <c r="F105" s="11"/>
      <c r="G105" s="11"/>
      <c r="H105" s="11"/>
      <c r="I105" s="55"/>
      <c r="J105" s="55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x14ac:dyDescent="0.25">
      <c r="A106" s="61" t="s">
        <v>3</v>
      </c>
      <c r="B106" s="62" t="str">
        <f>IF(_epmOfflineCondition_,"'HC_SPA'!$O$16:$AN$18",_xll.EVRNG($O$16:$AN$18))</f>
        <v>'HC_SPA'!$O$16:$AN$18</v>
      </c>
      <c r="C106" s="11"/>
      <c r="D106" s="11"/>
      <c r="E106" s="11"/>
      <c r="F106" s="11"/>
      <c r="G106" s="11"/>
      <c r="H106" s="11"/>
      <c r="I106" s="55"/>
      <c r="J106" s="55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x14ac:dyDescent="0.25">
      <c r="A107" s="61" t="s">
        <v>4</v>
      </c>
      <c r="B107" s="62" t="str">
        <f>IF(_epmOfflineCondition_,"'HC_SPA'!$H$64:$H$67",_xll.EVRNG(H64:H67))</f>
        <v>'HC_SPA'!$H$64:$H$67</v>
      </c>
      <c r="C107" s="11"/>
      <c r="D107" s="11"/>
      <c r="E107" s="11"/>
      <c r="F107" s="11"/>
      <c r="G107" s="11"/>
      <c r="H107" s="11"/>
      <c r="I107" s="55"/>
      <c r="J107" s="55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x14ac:dyDescent="0.25">
      <c r="A108" s="61" t="s">
        <v>5</v>
      </c>
      <c r="B108" s="62"/>
      <c r="C108" s="11"/>
      <c r="D108" s="11"/>
      <c r="E108" s="11"/>
      <c r="F108" s="11"/>
      <c r="G108" s="11"/>
      <c r="H108" s="11"/>
      <c r="I108" s="55"/>
      <c r="J108" s="55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x14ac:dyDescent="0.25">
      <c r="A109" s="61" t="s">
        <v>6</v>
      </c>
      <c r="B109" s="62"/>
      <c r="C109" s="11"/>
      <c r="D109" s="11"/>
      <c r="E109" s="11"/>
      <c r="F109" s="11"/>
      <c r="G109" s="72"/>
      <c r="H109" s="11"/>
      <c r="I109" s="55"/>
      <c r="J109" s="55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x14ac:dyDescent="0.25">
      <c r="A110" s="61" t="s">
        <v>7</v>
      </c>
      <c r="B110" s="62"/>
      <c r="C110" s="11"/>
      <c r="D110" s="11"/>
      <c r="E110" s="11"/>
      <c r="F110" s="11"/>
      <c r="G110" s="11"/>
      <c r="H110" s="11"/>
      <c r="I110" s="55"/>
      <c r="J110" s="55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x14ac:dyDescent="0.25">
      <c r="A111" s="61" t="s">
        <v>47</v>
      </c>
      <c r="B111" s="62" t="str">
        <f>IF(_epmOfflineCondition_,"'HC_SPA'!$A$116:$B$137",_xll.EVRNG($A$116:$B$137))</f>
        <v>'HC_SPA'!$A$116:$B$137</v>
      </c>
      <c r="C111" s="11"/>
      <c r="D111" s="11"/>
      <c r="E111" s="11"/>
      <c r="F111" s="11"/>
      <c r="G111" s="11"/>
      <c r="H111" s="11"/>
      <c r="I111" s="55"/>
      <c r="J111" s="55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x14ac:dyDescent="0.25">
      <c r="A112" s="61" t="s">
        <v>8</v>
      </c>
      <c r="B112" s="62"/>
      <c r="C112" s="11"/>
      <c r="D112" s="11"/>
      <c r="E112" s="11"/>
      <c r="F112" s="11"/>
      <c r="G112" s="11"/>
      <c r="H112" s="11"/>
      <c r="I112" s="55"/>
      <c r="J112" s="55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x14ac:dyDescent="0.25">
      <c r="A113" s="11"/>
      <c r="B113" s="11"/>
      <c r="C113" s="11"/>
      <c r="D113" s="11"/>
      <c r="E113" s="11"/>
      <c r="F113" s="11"/>
      <c r="G113" s="11"/>
      <c r="H113" s="11"/>
      <c r="I113" s="55"/>
      <c r="J113" s="55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  <row r="114" spans="1:41" x14ac:dyDescent="0.25">
      <c r="A114" s="11"/>
      <c r="B114" s="11"/>
      <c r="C114" s="11"/>
      <c r="D114" s="11"/>
      <c r="E114" s="11"/>
      <c r="F114" s="11"/>
      <c r="G114" s="11"/>
      <c r="H114" s="11"/>
      <c r="I114" s="55"/>
      <c r="J114" s="55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x14ac:dyDescent="0.25">
      <c r="A115" s="57" t="s">
        <v>23</v>
      </c>
      <c r="B115" s="58" t="s">
        <v>24</v>
      </c>
      <c r="C115" s="11"/>
      <c r="D115" s="11"/>
      <c r="E115" s="11"/>
      <c r="F115" s="11"/>
      <c r="G115" s="11"/>
      <c r="H115" s="11"/>
      <c r="I115" s="55"/>
      <c r="J115" s="55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x14ac:dyDescent="0.25">
      <c r="A116" s="61" t="s">
        <v>25</v>
      </c>
      <c r="B116" s="62"/>
      <c r="C116" s="11"/>
      <c r="D116" s="11"/>
      <c r="E116" s="11"/>
      <c r="F116" s="11"/>
      <c r="G116" s="11"/>
      <c r="H116" s="11"/>
      <c r="I116" s="55"/>
      <c r="J116" s="55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x14ac:dyDescent="0.25">
      <c r="A117" s="61" t="s">
        <v>26</v>
      </c>
      <c r="B117" s="62"/>
      <c r="C117" s="11"/>
      <c r="D117" s="11"/>
      <c r="E117" s="11"/>
      <c r="F117" s="11"/>
      <c r="G117" s="11"/>
      <c r="H117" s="11"/>
      <c r="I117" s="55"/>
      <c r="J117" s="55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x14ac:dyDescent="0.25">
      <c r="A118" s="61" t="s">
        <v>27</v>
      </c>
      <c r="B118" s="62"/>
      <c r="C118" s="11"/>
      <c r="D118" s="11"/>
      <c r="E118" s="11"/>
      <c r="F118" s="11"/>
      <c r="G118" s="11"/>
      <c r="H118" s="11"/>
      <c r="I118" s="55"/>
      <c r="J118" s="55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x14ac:dyDescent="0.25">
      <c r="A119" s="61" t="s">
        <v>28</v>
      </c>
      <c r="B119" s="62"/>
      <c r="C119" s="11"/>
      <c r="D119" s="11"/>
      <c r="E119" s="11"/>
      <c r="F119" s="11"/>
      <c r="G119" s="11"/>
      <c r="H119" s="11"/>
      <c r="I119" s="55"/>
      <c r="J119" s="55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x14ac:dyDescent="0.25">
      <c r="A120" s="61" t="s">
        <v>29</v>
      </c>
      <c r="B120" s="62"/>
      <c r="C120" s="11"/>
      <c r="D120" s="11"/>
      <c r="E120" s="11"/>
      <c r="F120" s="11"/>
      <c r="G120" s="11"/>
      <c r="H120" s="11"/>
      <c r="I120" s="55"/>
      <c r="J120" s="55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x14ac:dyDescent="0.25">
      <c r="A121" s="61" t="s">
        <v>30</v>
      </c>
      <c r="B121" s="62" t="s">
        <v>78</v>
      </c>
      <c r="C121" s="11"/>
      <c r="D121" s="11"/>
      <c r="E121" s="11"/>
      <c r="F121" s="11"/>
      <c r="G121" s="11"/>
      <c r="H121" s="11"/>
      <c r="I121" s="55"/>
      <c r="J121" s="55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x14ac:dyDescent="0.25">
      <c r="A122" s="61" t="s">
        <v>31</v>
      </c>
      <c r="B122" s="62" t="s">
        <v>78</v>
      </c>
      <c r="C122" s="11"/>
      <c r="D122" s="11"/>
      <c r="E122" s="11"/>
      <c r="F122" s="11"/>
      <c r="G122" s="11"/>
      <c r="H122" s="11"/>
      <c r="I122" s="55"/>
      <c r="J122" s="55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x14ac:dyDescent="0.25">
      <c r="A123" s="61" t="s">
        <v>32</v>
      </c>
      <c r="B123" s="62"/>
      <c r="C123" s="11"/>
      <c r="D123" s="11"/>
      <c r="E123" s="11"/>
      <c r="F123" s="11"/>
      <c r="G123" s="11"/>
      <c r="H123" s="11"/>
      <c r="I123" s="55"/>
      <c r="J123" s="55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x14ac:dyDescent="0.25">
      <c r="A124" s="61" t="s">
        <v>33</v>
      </c>
      <c r="B124" s="62"/>
      <c r="C124" s="11"/>
      <c r="D124" s="11"/>
      <c r="E124" s="11"/>
      <c r="F124" s="11"/>
      <c r="G124" s="11"/>
      <c r="H124" s="11"/>
      <c r="I124" s="55"/>
      <c r="J124" s="55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x14ac:dyDescent="0.25">
      <c r="A125" s="61" t="s">
        <v>34</v>
      </c>
      <c r="B125" s="62"/>
      <c r="C125" s="11"/>
      <c r="D125" s="11"/>
      <c r="E125" s="11"/>
      <c r="F125" s="11"/>
      <c r="G125" s="11"/>
      <c r="H125" s="11"/>
      <c r="I125" s="55"/>
      <c r="J125" s="55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x14ac:dyDescent="0.25">
      <c r="A126" s="61" t="s">
        <v>35</v>
      </c>
      <c r="B126" s="62"/>
      <c r="C126" s="11"/>
      <c r="D126" s="11"/>
      <c r="E126" s="11"/>
      <c r="F126" s="11"/>
      <c r="G126" s="11"/>
      <c r="H126" s="11"/>
      <c r="I126" s="55"/>
      <c r="J126" s="55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x14ac:dyDescent="0.25">
      <c r="A127" s="61" t="s">
        <v>36</v>
      </c>
      <c r="B127" s="62"/>
      <c r="C127" s="11"/>
      <c r="D127" s="11"/>
      <c r="E127" s="11"/>
      <c r="F127" s="11"/>
      <c r="G127" s="11"/>
      <c r="H127" s="11"/>
      <c r="I127" s="55"/>
      <c r="J127" s="55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x14ac:dyDescent="0.25">
      <c r="A128" s="61" t="s">
        <v>37</v>
      </c>
      <c r="B128" s="62"/>
      <c r="C128" s="11"/>
      <c r="D128" s="11"/>
      <c r="E128" s="11"/>
      <c r="F128" s="11"/>
      <c r="G128" s="11"/>
      <c r="H128" s="11"/>
      <c r="I128" s="55"/>
      <c r="J128" s="55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</row>
    <row r="129" spans="1:41" x14ac:dyDescent="0.25">
      <c r="A129" s="61" t="s">
        <v>38</v>
      </c>
      <c r="B129" s="62"/>
      <c r="C129" s="11"/>
      <c r="D129" s="11"/>
      <c r="E129" s="11"/>
      <c r="F129" s="11"/>
      <c r="G129" s="11"/>
      <c r="H129" s="11"/>
      <c r="I129" s="55"/>
      <c r="J129" s="55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x14ac:dyDescent="0.25">
      <c r="A130" s="61" t="s">
        <v>39</v>
      </c>
      <c r="B130" s="62"/>
      <c r="C130" s="11"/>
      <c r="D130" s="11"/>
      <c r="E130" s="11"/>
      <c r="F130" s="11"/>
      <c r="G130" s="11"/>
      <c r="H130" s="11"/>
      <c r="I130" s="55"/>
      <c r="J130" s="55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x14ac:dyDescent="0.25">
      <c r="A131" s="61" t="s">
        <v>40</v>
      </c>
      <c r="B131" s="62"/>
      <c r="C131" s="11"/>
      <c r="D131" s="11"/>
      <c r="E131" s="11"/>
      <c r="F131" s="11"/>
      <c r="G131" s="11"/>
      <c r="H131" s="11"/>
      <c r="I131" s="55"/>
      <c r="J131" s="55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x14ac:dyDescent="0.25">
      <c r="A132" s="61" t="s">
        <v>41</v>
      </c>
      <c r="B132" s="62"/>
      <c r="C132" s="11"/>
      <c r="D132" s="11"/>
      <c r="E132" s="11"/>
      <c r="F132" s="11"/>
      <c r="G132" s="11"/>
      <c r="H132" s="11"/>
      <c r="I132" s="55"/>
      <c r="J132" s="55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x14ac:dyDescent="0.25">
      <c r="A133" s="61" t="s">
        <v>42</v>
      </c>
      <c r="B133" s="62"/>
      <c r="C133" s="11"/>
      <c r="D133" s="11"/>
      <c r="E133" s="11"/>
      <c r="F133" s="11"/>
      <c r="G133" s="11"/>
      <c r="H133" s="11"/>
      <c r="I133" s="55"/>
      <c r="J133" s="55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x14ac:dyDescent="0.25">
      <c r="A134" s="61" t="s">
        <v>43</v>
      </c>
      <c r="B134" s="62"/>
      <c r="C134" s="11"/>
      <c r="D134" s="11"/>
      <c r="E134" s="11"/>
      <c r="F134" s="11"/>
      <c r="G134" s="11"/>
      <c r="H134" s="11"/>
      <c r="I134" s="55"/>
      <c r="J134" s="55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x14ac:dyDescent="0.25">
      <c r="A135" s="61" t="s">
        <v>44</v>
      </c>
      <c r="B135" s="62"/>
      <c r="C135" s="11"/>
      <c r="D135" s="11"/>
      <c r="E135" s="11"/>
      <c r="F135" s="11"/>
      <c r="G135" s="11"/>
      <c r="H135" s="11"/>
      <c r="I135" s="55"/>
      <c r="J135" s="55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x14ac:dyDescent="0.25">
      <c r="A136" s="61" t="s">
        <v>45</v>
      </c>
      <c r="B136" s="62"/>
      <c r="C136" s="11"/>
      <c r="D136" s="11"/>
      <c r="E136" s="11"/>
      <c r="F136" s="11"/>
      <c r="G136" s="11"/>
      <c r="H136" s="11"/>
      <c r="I136" s="55"/>
      <c r="J136" s="55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x14ac:dyDescent="0.25">
      <c r="A137" s="61" t="s">
        <v>46</v>
      </c>
      <c r="B137" s="62"/>
      <c r="C137" s="11"/>
      <c r="D137" s="11"/>
      <c r="E137" s="11"/>
      <c r="F137" s="11"/>
      <c r="G137" s="11"/>
      <c r="H137" s="11"/>
      <c r="I137" s="55"/>
      <c r="J137" s="55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x14ac:dyDescent="0.25">
      <c r="A138" s="11"/>
      <c r="B138" s="11"/>
      <c r="C138" s="11"/>
      <c r="D138" s="11"/>
      <c r="E138" s="11"/>
      <c r="F138" s="11"/>
      <c r="G138" s="11"/>
      <c r="H138" s="11"/>
      <c r="I138" s="55"/>
      <c r="J138" s="55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x14ac:dyDescent="0.25">
      <c r="A139" s="11"/>
      <c r="B139" s="11"/>
      <c r="C139" s="11"/>
      <c r="D139" s="11"/>
      <c r="E139" s="11"/>
      <c r="F139" s="11"/>
      <c r="G139" s="11"/>
      <c r="H139" s="11"/>
      <c r="I139" s="55"/>
      <c r="J139" s="55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x14ac:dyDescent="0.25">
      <c r="A140" s="11"/>
      <c r="B140" s="11"/>
      <c r="C140" s="11"/>
      <c r="D140" s="11"/>
      <c r="E140" s="11"/>
      <c r="F140" s="11"/>
      <c r="G140" s="11"/>
      <c r="H140" s="11"/>
      <c r="I140" s="263"/>
      <c r="J140" s="11"/>
      <c r="K140" s="263"/>
      <c r="L140" s="263"/>
      <c r="M140" s="263"/>
      <c r="N140" s="11"/>
      <c r="O140" s="263"/>
      <c r="P140" s="263"/>
      <c r="Q140" s="263"/>
      <c r="R140" s="263"/>
      <c r="S140" s="263"/>
      <c r="T140" s="263"/>
      <c r="U140" s="263"/>
      <c r="V140" s="263"/>
      <c r="W140" s="263"/>
      <c r="X140" s="263"/>
      <c r="Y140" s="263"/>
      <c r="Z140" s="263"/>
      <c r="AA140" s="263"/>
      <c r="AB140" s="11"/>
      <c r="AC140" s="11"/>
      <c r="AD140" s="263"/>
      <c r="AE140" s="11"/>
      <c r="AF140" s="263"/>
      <c r="AG140" s="11"/>
      <c r="AH140" s="263"/>
      <c r="AI140" s="11"/>
      <c r="AJ140" s="11"/>
      <c r="AK140" s="11"/>
      <c r="AL140" s="11"/>
      <c r="AM140" s="11"/>
      <c r="AN140" s="11"/>
      <c r="AO140" s="11"/>
    </row>
    <row r="141" spans="1:41" x14ac:dyDescent="0.25">
      <c r="A141" s="11"/>
      <c r="B141" s="11"/>
      <c r="C141" s="11"/>
      <c r="D141" s="11"/>
      <c r="E141" s="11"/>
      <c r="F141" s="11"/>
      <c r="G141" s="11"/>
      <c r="H141" s="11"/>
      <c r="I141" s="55"/>
      <c r="J141" s="55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x14ac:dyDescent="0.25">
      <c r="A142" s="11"/>
      <c r="B142" s="11"/>
      <c r="C142" s="11"/>
      <c r="D142" s="11"/>
      <c r="E142" s="11"/>
      <c r="F142" s="11"/>
      <c r="G142" s="11"/>
      <c r="H142" s="11"/>
      <c r="I142" s="55"/>
      <c r="J142" s="55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</row>
    <row r="143" spans="1:41" x14ac:dyDescent="0.25">
      <c r="A143" s="11"/>
      <c r="B143" s="11"/>
      <c r="C143" s="11"/>
      <c r="D143" s="11"/>
      <c r="E143" s="11"/>
      <c r="F143" s="11"/>
      <c r="G143" s="11"/>
      <c r="H143" s="11"/>
      <c r="I143" s="55"/>
      <c r="J143" s="55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x14ac:dyDescent="0.25">
      <c r="A144" s="11"/>
      <c r="B144" s="11"/>
      <c r="C144" s="11"/>
      <c r="D144" s="11"/>
      <c r="E144" s="11"/>
      <c r="F144" s="11"/>
      <c r="G144" s="11"/>
      <c r="H144" s="11"/>
      <c r="I144" s="263"/>
      <c r="J144" s="11"/>
      <c r="K144" s="263"/>
      <c r="L144" s="263"/>
      <c r="M144" s="263"/>
      <c r="N144" s="11"/>
      <c r="O144" s="263"/>
      <c r="P144" s="263"/>
      <c r="Q144" s="263"/>
      <c r="R144" s="263"/>
      <c r="S144" s="263"/>
      <c r="T144" s="263"/>
      <c r="U144" s="263"/>
      <c r="V144" s="263"/>
      <c r="W144" s="263"/>
      <c r="X144" s="263"/>
      <c r="Y144" s="263"/>
      <c r="Z144" s="263"/>
      <c r="AA144" s="263"/>
      <c r="AB144" s="11"/>
      <c r="AC144" s="11"/>
      <c r="AD144" s="263"/>
      <c r="AE144" s="11"/>
      <c r="AF144" s="263"/>
      <c r="AG144" s="11"/>
      <c r="AH144" s="263"/>
      <c r="AI144" s="11"/>
      <c r="AJ144" s="11"/>
      <c r="AK144" s="11"/>
      <c r="AL144" s="11"/>
      <c r="AM144" s="11"/>
      <c r="AN144" s="11"/>
      <c r="AO144" s="11"/>
    </row>
    <row r="145" spans="1:41" x14ac:dyDescent="0.25">
      <c r="A145" s="11"/>
      <c r="B145" s="11"/>
      <c r="C145" s="11"/>
      <c r="D145" s="11"/>
      <c r="E145" s="11"/>
      <c r="F145" s="11"/>
      <c r="G145" s="11"/>
      <c r="H145" s="11"/>
      <c r="I145" s="55"/>
      <c r="J145" s="55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</row>
    <row r="146" spans="1:41" x14ac:dyDescent="0.25">
      <c r="A146" s="11"/>
      <c r="B146" s="11"/>
      <c r="C146" s="11"/>
      <c r="D146" s="11"/>
      <c r="E146" s="11"/>
      <c r="F146" s="11"/>
      <c r="G146" s="11"/>
      <c r="H146" s="11"/>
      <c r="I146" s="55"/>
      <c r="J146" s="55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</row>
    <row r="147" spans="1:41" x14ac:dyDescent="0.25">
      <c r="A147" s="11"/>
      <c r="B147" s="11"/>
      <c r="C147" s="11"/>
      <c r="D147" s="11"/>
      <c r="E147" s="11"/>
      <c r="F147" s="11"/>
      <c r="G147" s="11"/>
      <c r="H147" s="11"/>
      <c r="I147" s="55"/>
      <c r="J147" s="55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</row>
    <row r="148" spans="1:41" x14ac:dyDescent="0.25">
      <c r="A148" s="11"/>
      <c r="B148" s="11"/>
      <c r="C148" s="11"/>
      <c r="D148" s="11"/>
      <c r="E148" s="11"/>
      <c r="F148" s="11"/>
      <c r="G148" s="11"/>
      <c r="H148" s="11"/>
      <c r="I148" s="55"/>
      <c r="J148" s="55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x14ac:dyDescent="0.25">
      <c r="A149" s="11"/>
      <c r="B149" s="11"/>
      <c r="C149" s="11"/>
      <c r="D149" s="11"/>
      <c r="E149" s="11"/>
      <c r="F149" s="11"/>
      <c r="G149" s="11"/>
      <c r="H149" s="11"/>
      <c r="I149" s="55"/>
      <c r="J149" s="55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</row>
    <row r="150" spans="1:41" x14ac:dyDescent="0.25">
      <c r="A150" s="11"/>
      <c r="B150" s="11"/>
      <c r="C150" s="11"/>
      <c r="D150" s="11"/>
      <c r="E150" s="11"/>
      <c r="F150" s="11"/>
      <c r="G150" s="11"/>
      <c r="H150" s="11"/>
      <c r="I150" s="55"/>
      <c r="J150" s="55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x14ac:dyDescent="0.25">
      <c r="A151" s="11"/>
      <c r="B151" s="11"/>
      <c r="C151" s="11"/>
      <c r="D151" s="11"/>
      <c r="E151" s="11"/>
      <c r="F151" s="11"/>
      <c r="G151" s="11"/>
      <c r="H151" s="11"/>
      <c r="I151" s="55"/>
      <c r="J151" s="55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</row>
    <row r="152" spans="1:41" x14ac:dyDescent="0.25">
      <c r="A152" s="11"/>
      <c r="B152" s="11"/>
      <c r="C152" s="11"/>
      <c r="D152" s="11"/>
      <c r="E152" s="11"/>
      <c r="F152" s="11"/>
      <c r="G152" s="11"/>
      <c r="H152" s="11"/>
      <c r="I152" s="55"/>
      <c r="J152" s="55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x14ac:dyDescent="0.25">
      <c r="A153" s="11"/>
      <c r="B153" s="11"/>
      <c r="C153" s="11"/>
      <c r="D153" s="11"/>
      <c r="E153" s="11"/>
      <c r="F153" s="11"/>
      <c r="G153" s="11"/>
      <c r="H153" s="11"/>
      <c r="I153" s="55"/>
      <c r="J153" s="55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x14ac:dyDescent="0.25">
      <c r="A154" s="11"/>
      <c r="B154" s="11"/>
      <c r="C154" s="11"/>
      <c r="D154" s="11"/>
      <c r="E154" s="263"/>
      <c r="F154" s="11"/>
      <c r="G154" s="11"/>
      <c r="H154" s="11"/>
      <c r="I154" s="55"/>
      <c r="J154" s="55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x14ac:dyDescent="0.25">
      <c r="A155" s="11"/>
      <c r="B155" s="11"/>
      <c r="C155" s="11"/>
      <c r="D155" s="11"/>
      <c r="E155" s="11"/>
      <c r="F155" s="11"/>
      <c r="G155" s="11"/>
      <c r="H155" s="11"/>
      <c r="I155" s="55"/>
      <c r="J155" s="55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x14ac:dyDescent="0.25">
      <c r="A156" s="11"/>
      <c r="B156" s="11"/>
      <c r="C156" s="11"/>
      <c r="D156" s="11"/>
      <c r="E156" s="11"/>
      <c r="F156" s="11"/>
      <c r="G156" s="11"/>
      <c r="H156" s="11"/>
      <c r="I156" s="55"/>
      <c r="J156" s="55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x14ac:dyDescent="0.25">
      <c r="A157" s="11"/>
      <c r="B157" s="11"/>
      <c r="C157" s="11"/>
      <c r="D157" s="11"/>
      <c r="E157" s="11"/>
      <c r="F157" s="11"/>
      <c r="G157" s="11"/>
      <c r="H157" s="11"/>
      <c r="I157" s="55"/>
      <c r="J157" s="55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</row>
    <row r="158" spans="1:41" x14ac:dyDescent="0.25">
      <c r="A158" s="11"/>
      <c r="B158" s="11"/>
      <c r="C158" s="11"/>
      <c r="D158" s="11"/>
      <c r="E158" s="263"/>
      <c r="F158" s="11"/>
      <c r="G158" s="11"/>
      <c r="H158" s="11"/>
      <c r="I158" s="55"/>
      <c r="J158" s="55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</row>
    <row r="159" spans="1:41" x14ac:dyDescent="0.25">
      <c r="A159" s="11"/>
      <c r="B159" s="11"/>
      <c r="C159" s="11"/>
      <c r="D159" s="11"/>
      <c r="E159" s="11"/>
      <c r="F159" s="11"/>
      <c r="G159" s="11"/>
      <c r="H159" s="11"/>
      <c r="I159" s="55"/>
      <c r="J159" s="55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</row>
    <row r="160" spans="1:41" x14ac:dyDescent="0.25">
      <c r="A160" s="11"/>
      <c r="B160" s="11"/>
      <c r="C160" s="11"/>
      <c r="D160" s="11"/>
      <c r="E160" s="11"/>
      <c r="F160" s="11"/>
      <c r="G160" s="11"/>
      <c r="H160" s="11"/>
      <c r="I160" s="55"/>
      <c r="J160" s="55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</row>
    <row r="161" spans="1:41" x14ac:dyDescent="0.25">
      <c r="A161" s="11"/>
      <c r="B161" s="11"/>
      <c r="C161" s="11"/>
      <c r="D161" s="11"/>
      <c r="E161" s="11"/>
      <c r="F161" s="11"/>
      <c r="G161" s="11"/>
      <c r="H161" s="11"/>
      <c r="I161" s="55"/>
      <c r="J161" s="55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</row>
    <row r="162" spans="1:41" x14ac:dyDescent="0.25">
      <c r="A162" s="11"/>
      <c r="B162" s="11"/>
      <c r="C162" s="11"/>
      <c r="D162" s="11"/>
      <c r="E162" s="11"/>
      <c r="F162" s="11"/>
      <c r="G162" s="11"/>
      <c r="H162" s="11"/>
      <c r="I162" s="55"/>
      <c r="J162" s="55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</row>
    <row r="163" spans="1:41" x14ac:dyDescent="0.25">
      <c r="A163" s="11"/>
      <c r="B163" s="11"/>
      <c r="C163" s="11"/>
      <c r="D163" s="11"/>
      <c r="E163" s="11"/>
      <c r="F163" s="11"/>
      <c r="G163" s="11"/>
      <c r="H163" s="11"/>
      <c r="I163" s="55"/>
      <c r="J163" s="55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</row>
    <row r="164" spans="1:41" x14ac:dyDescent="0.25">
      <c r="A164" s="11"/>
      <c r="B164" s="11"/>
      <c r="C164" s="11"/>
      <c r="D164" s="11"/>
      <c r="E164" s="11"/>
      <c r="F164" s="11"/>
      <c r="G164" s="11"/>
      <c r="H164" s="11"/>
      <c r="I164" s="55"/>
      <c r="J164" s="55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</row>
    <row r="165" spans="1:41" x14ac:dyDescent="0.25">
      <c r="A165" s="11"/>
      <c r="B165" s="11"/>
      <c r="C165" s="11"/>
      <c r="D165" s="11"/>
      <c r="E165" s="11"/>
      <c r="F165" s="11"/>
      <c r="G165" s="11"/>
      <c r="H165" s="11"/>
      <c r="I165" s="55"/>
      <c r="J165" s="55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</row>
    <row r="166" spans="1:41" x14ac:dyDescent="0.25">
      <c r="A166" s="11"/>
      <c r="B166" s="11"/>
      <c r="C166" s="11"/>
      <c r="D166" s="11"/>
      <c r="E166" s="11"/>
      <c r="F166" s="11"/>
      <c r="G166" s="11"/>
      <c r="H166" s="11"/>
      <c r="I166" s="55"/>
      <c r="J166" s="55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</row>
    <row r="167" spans="1:41" x14ac:dyDescent="0.25">
      <c r="A167" s="11"/>
      <c r="B167" s="11"/>
      <c r="C167" s="11"/>
      <c r="D167" s="11"/>
      <c r="E167" s="11"/>
      <c r="F167" s="11"/>
      <c r="G167" s="11"/>
      <c r="H167" s="11"/>
      <c r="I167" s="55"/>
      <c r="J167" s="55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</row>
    <row r="168" spans="1:41" x14ac:dyDescent="0.25">
      <c r="A168" s="11"/>
      <c r="B168" s="11"/>
      <c r="C168" s="11"/>
      <c r="D168" s="11"/>
      <c r="E168" s="11"/>
      <c r="F168" s="11"/>
      <c r="G168" s="11"/>
      <c r="H168" s="11"/>
      <c r="I168" s="55"/>
      <c r="J168" s="55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</row>
    <row r="169" spans="1:41" x14ac:dyDescent="0.25">
      <c r="A169" s="11"/>
      <c r="B169" s="11"/>
      <c r="C169" s="11"/>
      <c r="D169" s="11"/>
      <c r="E169" s="11"/>
      <c r="F169" s="11"/>
      <c r="G169" s="11"/>
      <c r="H169" s="11"/>
      <c r="I169" s="55"/>
      <c r="J169" s="55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</row>
    <row r="170" spans="1:41" x14ac:dyDescent="0.25">
      <c r="A170" s="11"/>
      <c r="B170" s="11"/>
      <c r="C170" s="11"/>
      <c r="D170" s="11"/>
      <c r="E170" s="11"/>
      <c r="F170" s="11"/>
      <c r="G170" s="11"/>
      <c r="H170" s="11"/>
      <c r="I170" s="55"/>
      <c r="J170" s="55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</row>
    <row r="171" spans="1:41" x14ac:dyDescent="0.25">
      <c r="A171" s="11"/>
      <c r="B171" s="11"/>
      <c r="C171" s="11"/>
      <c r="D171" s="11"/>
      <c r="E171" s="11"/>
      <c r="F171" s="11"/>
      <c r="G171" s="11"/>
      <c r="H171" s="11"/>
      <c r="I171" s="55"/>
      <c r="J171" s="55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</row>
    <row r="172" spans="1:41" x14ac:dyDescent="0.25">
      <c r="A172" s="11"/>
      <c r="B172" s="11"/>
      <c r="C172" s="11"/>
      <c r="D172" s="11"/>
      <c r="E172" s="11"/>
      <c r="F172" s="11"/>
      <c r="G172" s="11"/>
      <c r="H172" s="11"/>
      <c r="I172" s="55"/>
      <c r="J172" s="55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</row>
    <row r="173" spans="1:41" x14ac:dyDescent="0.25">
      <c r="A173" s="11"/>
      <c r="B173" s="11"/>
      <c r="C173" s="11"/>
      <c r="D173" s="11"/>
      <c r="E173" s="11"/>
      <c r="F173" s="11"/>
      <c r="G173" s="11"/>
      <c r="H173" s="11"/>
      <c r="I173" s="55"/>
      <c r="J173" s="55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</row>
    <row r="174" spans="1:41" x14ac:dyDescent="0.25">
      <c r="A174" s="11"/>
      <c r="B174" s="11"/>
      <c r="C174" s="11"/>
      <c r="D174" s="11"/>
      <c r="E174" s="11"/>
      <c r="F174" s="11"/>
      <c r="G174" s="11"/>
      <c r="H174" s="11"/>
      <c r="I174" s="55"/>
      <c r="J174" s="55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</row>
    <row r="175" spans="1:41" x14ac:dyDescent="0.25">
      <c r="A175" s="11"/>
      <c r="B175" s="11"/>
      <c r="C175" s="11"/>
      <c r="D175" s="11"/>
      <c r="E175" s="11"/>
      <c r="F175" s="11"/>
      <c r="G175" s="11"/>
      <c r="H175" s="11"/>
      <c r="I175" s="55"/>
      <c r="J175" s="55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</row>
    <row r="176" spans="1:41" x14ac:dyDescent="0.25">
      <c r="A176" s="11"/>
      <c r="B176" s="11"/>
      <c r="C176" s="11"/>
      <c r="D176" s="11"/>
      <c r="E176" s="11"/>
      <c r="F176" s="11"/>
      <c r="G176" s="11"/>
      <c r="H176" s="11"/>
      <c r="I176" s="55"/>
      <c r="J176" s="55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</row>
    <row r="177" spans="1:41" x14ac:dyDescent="0.25">
      <c r="A177" s="11"/>
      <c r="B177" s="11"/>
      <c r="C177" s="11"/>
      <c r="D177" s="11"/>
      <c r="E177" s="11"/>
      <c r="F177" s="11"/>
      <c r="G177" s="11"/>
      <c r="H177" s="11"/>
      <c r="I177" s="55"/>
      <c r="J177" s="55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</row>
    <row r="178" spans="1:41" x14ac:dyDescent="0.25">
      <c r="A178" s="11"/>
      <c r="B178" s="11"/>
      <c r="C178" s="11"/>
      <c r="D178" s="11"/>
      <c r="E178" s="11"/>
      <c r="F178" s="11"/>
      <c r="G178" s="11"/>
      <c r="H178" s="11"/>
      <c r="I178" s="55"/>
      <c r="J178" s="55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</row>
    <row r="179" spans="1:41" x14ac:dyDescent="0.25">
      <c r="A179" s="11"/>
      <c r="B179" s="11"/>
      <c r="C179" s="11"/>
      <c r="D179" s="11"/>
      <c r="E179" s="11"/>
      <c r="F179" s="11"/>
      <c r="G179" s="11"/>
      <c r="H179" s="11"/>
      <c r="I179" s="55"/>
      <c r="J179" s="55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</row>
    <row r="180" spans="1:41" x14ac:dyDescent="0.25">
      <c r="A180" s="11"/>
      <c r="B180" s="11"/>
      <c r="C180" s="11"/>
      <c r="D180" s="11"/>
      <c r="E180" s="11"/>
      <c r="F180" s="11"/>
      <c r="G180" s="11"/>
      <c r="H180" s="11"/>
      <c r="I180" s="55"/>
      <c r="J180" s="55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</row>
    <row r="181" spans="1:41" x14ac:dyDescent="0.25">
      <c r="A181" s="11"/>
      <c r="B181" s="11"/>
      <c r="C181" s="11"/>
      <c r="D181" s="11"/>
      <c r="E181" s="11"/>
      <c r="F181" s="11"/>
      <c r="G181" s="11"/>
      <c r="H181" s="11"/>
      <c r="I181" s="55"/>
      <c r="J181" s="55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</row>
    <row r="182" spans="1:41" x14ac:dyDescent="0.25">
      <c r="A182" s="11"/>
      <c r="B182" s="11"/>
      <c r="C182" s="11"/>
      <c r="D182" s="11"/>
      <c r="E182" s="11"/>
      <c r="F182" s="11"/>
      <c r="G182" s="11"/>
      <c r="H182" s="11"/>
      <c r="I182" s="55"/>
      <c r="J182" s="55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</row>
    <row r="183" spans="1:41" x14ac:dyDescent="0.25">
      <c r="A183" s="11"/>
      <c r="B183" s="11"/>
      <c r="C183" s="11"/>
      <c r="D183" s="11"/>
      <c r="E183" s="11"/>
      <c r="F183" s="11"/>
      <c r="G183" s="11"/>
      <c r="H183" s="11"/>
      <c r="I183" s="55"/>
      <c r="J183" s="55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</row>
    <row r="184" spans="1:41" x14ac:dyDescent="0.25">
      <c r="A184" s="11"/>
      <c r="B184" s="11"/>
      <c r="C184" s="11"/>
      <c r="D184" s="11"/>
      <c r="E184" s="11"/>
      <c r="F184" s="11"/>
      <c r="G184" s="11"/>
      <c r="H184" s="11"/>
      <c r="I184" s="55"/>
      <c r="J184" s="55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</row>
    <row r="185" spans="1:41" x14ac:dyDescent="0.25">
      <c r="A185" s="11"/>
      <c r="B185" s="11"/>
      <c r="C185" s="11"/>
      <c r="D185" s="11"/>
      <c r="E185" s="11"/>
      <c r="F185" s="11"/>
      <c r="G185" s="11"/>
      <c r="H185" s="11"/>
      <c r="I185" s="55"/>
      <c r="J185" s="55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</row>
    <row r="186" spans="1:41" x14ac:dyDescent="0.25">
      <c r="A186" s="11"/>
      <c r="B186" s="11"/>
      <c r="C186" s="11"/>
      <c r="D186" s="11"/>
      <c r="E186" s="11"/>
      <c r="F186" s="11"/>
      <c r="G186" s="11"/>
      <c r="H186" s="11"/>
      <c r="I186" s="55"/>
      <c r="J186" s="55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</row>
    <row r="187" spans="1:41" x14ac:dyDescent="0.25">
      <c r="A187" s="11"/>
      <c r="B187" s="11"/>
      <c r="C187" s="11"/>
      <c r="D187" s="11"/>
      <c r="E187" s="11"/>
      <c r="F187" s="11"/>
      <c r="G187" s="11"/>
      <c r="H187" s="11"/>
      <c r="I187" s="55"/>
      <c r="J187" s="55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</row>
    <row r="188" spans="1:41" x14ac:dyDescent="0.25">
      <c r="A188" s="11"/>
      <c r="B188" s="11"/>
      <c r="C188" s="11"/>
      <c r="D188" s="11"/>
      <c r="E188" s="11"/>
      <c r="F188" s="11"/>
      <c r="G188" s="263"/>
      <c r="H188" s="11"/>
      <c r="I188" s="55"/>
      <c r="J188" s="55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</row>
    <row r="189" spans="1:41" x14ac:dyDescent="0.25">
      <c r="A189" s="11"/>
      <c r="B189" s="11"/>
      <c r="C189" s="11"/>
      <c r="D189" s="11"/>
      <c r="E189" s="11"/>
      <c r="F189" s="11"/>
      <c r="G189" s="11"/>
      <c r="H189" s="11"/>
      <c r="I189" s="55"/>
      <c r="J189" s="55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</row>
    <row r="190" spans="1:41" x14ac:dyDescent="0.25">
      <c r="A190" s="11"/>
      <c r="B190" s="11"/>
      <c r="C190" s="11"/>
      <c r="D190" s="11"/>
      <c r="E190" s="11"/>
      <c r="F190" s="11"/>
      <c r="G190" s="11"/>
      <c r="H190" s="11"/>
      <c r="I190" s="55"/>
      <c r="J190" s="55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</row>
    <row r="191" spans="1:41" x14ac:dyDescent="0.25">
      <c r="A191" s="11"/>
      <c r="B191" s="11"/>
      <c r="C191" s="11"/>
      <c r="D191" s="11"/>
      <c r="E191" s="11"/>
      <c r="F191" s="11"/>
      <c r="G191" s="11"/>
      <c r="H191" s="11"/>
      <c r="I191" s="55"/>
      <c r="J191" s="55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</row>
    <row r="192" spans="1:41" x14ac:dyDescent="0.25">
      <c r="A192" s="11"/>
      <c r="B192" s="11"/>
      <c r="C192" s="11"/>
      <c r="D192" s="11"/>
      <c r="E192" s="11"/>
      <c r="F192" s="11"/>
      <c r="G192" s="263"/>
      <c r="H192" s="11"/>
      <c r="I192" s="55"/>
      <c r="J192" s="55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</row>
  </sheetData>
  <sheetProtection algorithmName="SHA-512" hashValue="yRS5KNgr4KQ+Kiq2iO8KNQNNqYScP/mzux0VEql6uNhS2acwWC3+TzpLcGmCUdNpPPMiFHmI0M3K2QHQsCUCCw==" saltValue="Xy8a2DhJQBCMvNnoJ8Qg1w==" spinCount="100000" sheet="1" scenarios="1"/>
  <mergeCells count="2">
    <mergeCell ref="AD31:AE31"/>
    <mergeCell ref="AG31:AH31"/>
  </mergeCells>
  <dataValidations disablePrompts="1" count="2">
    <dataValidation type="list" allowBlank="1" sqref="B28 B57 B85" xr:uid="{00000000-0002-0000-1800-000000000000}">
      <formula1>"ACCOUNT,BUSINESSUNIT,CATEGORY,DATASRC,DEPARTMENT,INTCO,MEASURES,RPTCURRENCY,TIME"</formula1>
    </dataValidation>
    <dataValidation type="list" allowBlank="1" sqref="B86 B58 B29" xr:uid="{00000000-0002-0000-1800-000001000000}">
      <formula1>"SELF,ALL,BAS,DEP,BASMEMBERS,MEMBERS,NOEXPAND,GDEP"</formula1>
    </dataValidation>
  </dataValidations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customProperties>
    <customPr name="EpmWorksheetKeyString_GUID" r:id="rId2"/>
    <customPr name="FPMExcelClientCellBasedFunctionStatus" r:id="rId3"/>
    <customPr name="FPMExcelClientRefreshTime" r:id="rId4"/>
  </customProperties>
  <legacyDrawing r:id="rId5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7">
    <tabColor theme="9" tint="0.39997558519241921"/>
    <pageSetUpPr fitToPage="1"/>
  </sheetPr>
  <dimension ref="A1:AO169"/>
  <sheetViews>
    <sheetView topLeftCell="K25" zoomScale="85" zoomScaleNormal="85" workbookViewId="0">
      <pane xSplit="4" ySplit="8" topLeftCell="O33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3" width="9.7109375" style="1" hidden="1" customWidth="1" outlineLevel="1"/>
    <col min="14" max="14" width="36.7109375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40" width="0" style="1" hidden="1" customWidth="1" outlineLevel="1"/>
    <col min="41" max="41" width="9.140625" style="1" collapsed="1"/>
    <col min="42" max="16384" width="9.140625" style="1"/>
  </cols>
  <sheetData>
    <row r="1" spans="1:41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</row>
    <row r="2" spans="1:41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</row>
    <row r="3" spans="1:41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11"/>
      <c r="H4" s="11"/>
      <c r="I4" s="55"/>
      <c r="J4" s="55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11"/>
      <c r="H5" s="11"/>
      <c r="I5" s="55"/>
      <c r="J5" s="55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idden="1" outlineLevel="1" x14ac:dyDescent="0.25">
      <c r="A6" s="49" t="s">
        <v>52</v>
      </c>
      <c r="B6" s="52" t="s">
        <v>380</v>
      </c>
      <c r="C6" s="11" t="str">
        <f>IF(_epmOfflineCondition_,"Parking",_xll.EVDES(B6,$B$1))</f>
        <v>Parking</v>
      </c>
      <c r="D6" s="11"/>
      <c r="E6" s="54" t="str">
        <f>IF(_epmOfflineCondition_,"D1133",_xll.EVPRO($B$1,$B$6,$F$6))</f>
        <v>D1133</v>
      </c>
      <c r="F6" s="11" t="s">
        <v>278</v>
      </c>
      <c r="G6" s="11"/>
      <c r="H6" s="11"/>
      <c r="I6" s="55"/>
      <c r="J6" s="55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11"/>
      <c r="H7" s="11"/>
      <c r="I7" s="55"/>
      <c r="J7" s="55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11"/>
      <c r="H8" s="11"/>
      <c r="I8" s="55"/>
      <c r="J8" s="55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59" t="str">
        <f>IF(SetUp!$O$1=TRUE,"TRAILING12",IF(AA17="CURRENT","ROLLINGFORECAST","PERIODIC"))</f>
        <v>PERIODIC</v>
      </c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11"/>
      <c r="M12" s="11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  <c r="AJ12" s="11"/>
      <c r="AK12" s="11"/>
      <c r="AL12" s="11"/>
      <c r="AM12" s="11"/>
      <c r="AN12" s="11"/>
      <c r="AO12" s="11"/>
    </row>
    <row r="13" spans="1:41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11"/>
      <c r="M13" s="11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  <c r="AJ13" s="11"/>
      <c r="AK13" s="11"/>
      <c r="AL13" s="11"/>
      <c r="AM13" s="11"/>
      <c r="AN13" s="11"/>
      <c r="AO13" s="11"/>
    </row>
    <row r="14" spans="1:41" hidden="1" outlineLevel="1" x14ac:dyDescent="0.25">
      <c r="A14" s="56" t="str">
        <f>IF(_epmOfflineCondition_,"Evdre:Ok",_xll.EVDRE($B$1,A17:B24,A27:B33))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11"/>
      <c r="M14" s="11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  <c r="AJ14" s="11"/>
      <c r="AK14" s="11"/>
      <c r="AL14" s="11"/>
      <c r="AM14" s="11"/>
      <c r="AN14" s="11"/>
      <c r="AO14" s="11"/>
    </row>
    <row r="15" spans="1:41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11"/>
      <c r="M15" s="11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  <c r="AJ15" s="11"/>
      <c r="AK15" s="11"/>
      <c r="AL15" s="11"/>
      <c r="AM15" s="11"/>
      <c r="AN15" s="11"/>
      <c r="AO15" s="11"/>
    </row>
    <row r="16" spans="1:41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11"/>
      <c r="M16" s="11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  <c r="AJ16" s="11"/>
      <c r="AK16" s="11"/>
      <c r="AL16" s="11"/>
      <c r="AM16" s="11"/>
      <c r="AN16" s="11"/>
      <c r="AO16" s="11"/>
    </row>
    <row r="17" spans="1:41" hidden="1" outlineLevel="1" x14ac:dyDescent="0.25">
      <c r="A17" s="61" t="s">
        <v>2</v>
      </c>
      <c r="B17" s="62" t="str">
        <f>IF(_epmOfflineCondition_,"'Parking'!$B$2:$B$10",_xll.EVRNG($B$2:$B$10))</f>
        <v>'Parking'!$B$2:$B$10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11"/>
      <c r="M17" s="11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 t="str">
        <f>Z17</f>
        <v>ACTUAL_CON</v>
      </c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  <c r="AJ17" s="11"/>
      <c r="AK17" s="11"/>
      <c r="AL17" s="11"/>
      <c r="AM17" s="11"/>
      <c r="AN17" s="11"/>
      <c r="AO17" s="11"/>
    </row>
    <row r="18" spans="1:41" hidden="1" outlineLevel="1" x14ac:dyDescent="0.25">
      <c r="A18" s="61" t="s">
        <v>3</v>
      </c>
      <c r="B18" s="62" t="str">
        <f>IF(_epmOfflineCondition_,"'Parking'!$O$16:$AN$18",_xll.EVRNG($O$16:$AN$18))</f>
        <v>'Parking'!$O$16:$AN$18</v>
      </c>
      <c r="C18" s="11"/>
      <c r="D18" s="11"/>
      <c r="E18" s="11"/>
      <c r="F18" s="11"/>
      <c r="G18" s="11"/>
      <c r="H18" s="11"/>
      <c r="I18" s="55"/>
      <c r="J18" s="55"/>
      <c r="K18" s="11"/>
      <c r="L18" s="11"/>
      <c r="M18" s="11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11"/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  <c r="AJ18" s="11"/>
      <c r="AK18" s="11"/>
      <c r="AL18" s="11"/>
      <c r="AM18" s="11"/>
      <c r="AN18" s="11"/>
      <c r="AO18" s="11"/>
    </row>
    <row r="19" spans="1:41" hidden="1" outlineLevel="1" x14ac:dyDescent="0.25">
      <c r="A19" s="61" t="s">
        <v>4</v>
      </c>
      <c r="B19" s="62" t="str">
        <f>IF(_epmOfflineCondition_,"'Parking'!$H$34:$H$38",_xll.EVRNG(H34:H38))</f>
        <v>'Parking'!$H$34:$H$38</v>
      </c>
      <c r="C19" s="11"/>
      <c r="D19" s="11"/>
      <c r="E19" s="11"/>
      <c r="F19" s="11"/>
      <c r="G19" s="63" t="str">
        <f>$B$6</f>
        <v>D1133</v>
      </c>
      <c r="H19" s="63">
        <v>400000</v>
      </c>
      <c r="I19" s="64"/>
      <c r="J19" s="64"/>
      <c r="K19" s="63"/>
      <c r="L19" s="63"/>
      <c r="M19" s="63"/>
      <c r="N19" s="63" t="str">
        <f>IF(_epmOfflineCondition_,"Total Revenue",_xll.EVDES(H19))</f>
        <v>Total Revenue</v>
      </c>
      <c r="O19" s="65">
        <f>IF(_epmOfflineCondition_,21370.84,_xll.EVGTS($B$1,1,$B$3,$B$5,$B$7,$B$9,O$16,O$17,O$18,$G$19,$H$19))</f>
        <v>21370.84</v>
      </c>
      <c r="P19" s="65">
        <f>IF(_epmOfflineCondition_,15574.57,_xll.EVGTS($B$1,1,$B$3,$B$5,$B$7,$B$9,P$16,P$17,P$18,$G$19,$H$19))</f>
        <v>15574.57</v>
      </c>
      <c r="Q19" s="65">
        <f>IF(_epmOfflineCondition_,18684.31,_xll.EVGTS($B$1,1,$B$3,$B$5,$B$7,$B$9,Q$16,Q$17,Q$18,$G$19,$H$19))</f>
        <v>18684.310000000001</v>
      </c>
      <c r="R19" s="65">
        <f>IF(_epmOfflineCondition_,21913.9,_xll.EVGTS($B$1,1,$B$3,$B$5,$B$7,$B$9,R$16,R$17,R$18,$G$19,$H$19))</f>
        <v>21913.9</v>
      </c>
      <c r="S19" s="65">
        <f>IF(_epmOfflineCondition_,19513.12,_xll.EVGTS($B$1,1,$B$3,$B$5,$B$7,$B$9,S$16,S$17,S$18,$G$19,$H$19))</f>
        <v>19513.12</v>
      </c>
      <c r="T19" s="65">
        <f>IF(_epmOfflineCondition_,16080.43,_xll.EVGTS($B$1,1,$B$3,$B$5,$B$7,$B$9,T$16,T$17,T$18,$G$19,$H$19))</f>
        <v>16080.43</v>
      </c>
      <c r="U19" s="65">
        <f>IF(_epmOfflineCondition_,19743.93,_xll.EVGTS($B$1,1,$B$3,$B$5,$B$7,$B$9,U$16,U$17,U$18,$G$19,$H$19))</f>
        <v>19743.93</v>
      </c>
      <c r="V19" s="65">
        <f>IF(_epmOfflineCondition_,21454.81,_xll.EVGTS($B$1,1,$B$3,$B$5,$B$7,$B$9,V$16,V$17,V$18,$G$19,$H$19))</f>
        <v>21454.81</v>
      </c>
      <c r="W19" s="65">
        <f>IF(_epmOfflineCondition_,12863.6,_xll.EVGTS($B$1,1,$B$3,$B$5,$B$7,$B$9,W$16,W$17,W$18,$G$19,$H$19))</f>
        <v>12863.6</v>
      </c>
      <c r="X19" s="65">
        <f>IF(_epmOfflineCondition_,18801.93,_xll.EVGTS($B$1,1,$B$3,$B$5,$B$7,$B$9,X$16,X$17,X$18,$G$19,$H$19))</f>
        <v>18801.93</v>
      </c>
      <c r="Y19" s="65">
        <f>IF(_epmOfflineCondition_,20946.79,_xll.EVGTS($B$1,1,$B$3,$B$5,$B$7,$B$9,Y$16,Y$17,Y$18,$G$19,$H$19))</f>
        <v>20946.79</v>
      </c>
      <c r="Z19" s="65">
        <f>IF(_epmOfflineCondition_,24841.19,_xll.EVGTS($B$1,1,$B$3,$B$5,$B$7,$B$9,Z$16,Z$17,Z$18,$G$19,$H$19))</f>
        <v>24841.19</v>
      </c>
      <c r="AA19" s="65">
        <f>SUM(O19:Z19)</f>
        <v>231789.41999999998</v>
      </c>
      <c r="AB19" s="63"/>
      <c r="AC19" s="63"/>
      <c r="AD19" s="65">
        <f>IF(_epmOfflineCondition_,287932.865715886,_xll.EVGTS($B$1,1,$B$3,$B$5,$B$7,$B$9,AD$16,AD$17,AD$18,$G$19,$H$19))</f>
        <v>287932.865715886</v>
      </c>
      <c r="AE19" s="63"/>
      <c r="AF19" s="63"/>
      <c r="AG19" s="65">
        <f>IF(_epmOfflineCondition_,90201.22,_xll.EVGTS($B$1,1,$B$3,$B$5,$B$7,$B$9,AG$16,AG$17,AG$18,$G$19,$H$19))</f>
        <v>90201.22</v>
      </c>
      <c r="AH19" s="63"/>
      <c r="AI19" s="63"/>
      <c r="AJ19" s="11"/>
      <c r="AK19" s="11"/>
      <c r="AL19" s="11"/>
      <c r="AM19" s="11"/>
      <c r="AN19" s="11"/>
      <c r="AO19" s="11"/>
    </row>
    <row r="20" spans="1:41" hidden="1" outlineLevel="1" x14ac:dyDescent="0.25">
      <c r="A20" s="61" t="s">
        <v>5</v>
      </c>
      <c r="B20" s="62"/>
      <c r="C20" s="11"/>
      <c r="D20" s="11"/>
      <c r="E20" s="11"/>
      <c r="F20" s="11"/>
      <c r="G20" s="63" t="s">
        <v>750</v>
      </c>
      <c r="H20" s="63">
        <v>900200</v>
      </c>
      <c r="I20" s="64"/>
      <c r="J20" s="64"/>
      <c r="K20" s="63"/>
      <c r="L20" s="64"/>
      <c r="M20" s="64"/>
      <c r="N20" s="63" t="str">
        <f>IF(_epmOfflineCondition_,"Total Rooms Occupied",_xll.EVDES(H20))</f>
        <v>Total Rooms Occupied</v>
      </c>
      <c r="O20" s="65">
        <f>IF(_epmOfflineCondition_,2885,_xll.EVGTS($B$1,1,$B$3,$B$5,$B$7,$B$9,O$16,O$17,O$18,$G$20,$H$20))</f>
        <v>2885</v>
      </c>
      <c r="P20" s="65">
        <f>IF(_epmOfflineCondition_,2648,_xll.EVGTS($B$1,1,$B$3,$B$5,$B$7,$B$9,P$16,P$17,P$18,$G$20,$H$20))</f>
        <v>2648</v>
      </c>
      <c r="Q20" s="65">
        <f>IF(_epmOfflineCondition_,3038,_xll.EVGTS($B$1,1,$B$3,$B$5,$B$7,$B$9,Q$16,Q$17,Q$18,$G$20,$H$20))</f>
        <v>3038</v>
      </c>
      <c r="R20" s="65">
        <f>IF(_epmOfflineCondition_,2737,_xll.EVGTS($B$1,1,$B$3,$B$5,$B$7,$B$9,R$16,R$17,R$18,$G$20,$H$20))</f>
        <v>2737</v>
      </c>
      <c r="S20" s="65">
        <f>IF(_epmOfflineCondition_,2600,_xll.EVGTS($B$1,1,$B$3,$B$5,$B$7,$B$9,S$16,S$17,S$18,$G$20,$H$20))</f>
        <v>2600</v>
      </c>
      <c r="T20" s="65">
        <f>IF(_epmOfflineCondition_,2202,_xll.EVGTS($B$1,1,$B$3,$B$5,$B$7,$B$9,T$16,T$17,T$18,$G$20,$H$20))</f>
        <v>2202</v>
      </c>
      <c r="U20" s="65">
        <f>IF(_epmOfflineCondition_,2516,_xll.EVGTS($B$1,1,$B$3,$B$5,$B$7,$B$9,U$16,U$17,U$18,$G$20,$H$20))</f>
        <v>2516</v>
      </c>
      <c r="V20" s="65">
        <f>IF(_epmOfflineCondition_,2830,_xll.EVGTS($B$1,1,$B$3,$B$5,$B$7,$B$9,V$16,V$17,V$18,$G$20,$H$20))</f>
        <v>2830</v>
      </c>
      <c r="W20" s="65">
        <f>IF(_epmOfflineCondition_,2120,_xll.EVGTS($B$1,1,$B$3,$B$5,$B$7,$B$9,W$16,W$17,W$18,$G$20,$H$20))</f>
        <v>2120</v>
      </c>
      <c r="X20" s="65">
        <f>IF(_epmOfflineCondition_,2772,_xll.EVGTS($B$1,1,$B$3,$B$5,$B$7,$B$9,X$16,X$17,X$18,$G$20,$H$20))</f>
        <v>2772</v>
      </c>
      <c r="Y20" s="65">
        <f>IF(_epmOfflineCondition_,2993,_xll.EVGTS($B$1,1,$B$3,$B$5,$B$7,$B$9,Y$16,Y$17,Y$18,$G$20,$H$20))</f>
        <v>2993</v>
      </c>
      <c r="Z20" s="65">
        <f>IF(_epmOfflineCondition_,3541,_xll.EVGTS($B$1,1,$B$3,$B$5,$B$7,$B$9,Z$16,Z$17,Z$18,$G$20,$H$20))</f>
        <v>3541</v>
      </c>
      <c r="AA20" s="65">
        <f>SUM(O20:Z20)</f>
        <v>32882</v>
      </c>
      <c r="AB20" s="63"/>
      <c r="AC20" s="63"/>
      <c r="AD20" s="65">
        <f>IF(_epmOfflineCondition_,36386,_xll.EVGTS($B$1,1,$B$3,$B$5,$B$7,$B$9,AD$16,AD$17,AD$18,$G$20,$H$20))</f>
        <v>36386</v>
      </c>
      <c r="AE20" s="63"/>
      <c r="AF20" s="63"/>
      <c r="AG20" s="65">
        <f>IF(_epmOfflineCondition_,15180,_xll.EVGTS($B$1,1,$B$3,$B$5,$B$7,$B$9,AG$16,AG$17,AG$18,$G$20,$H$20))</f>
        <v>15180</v>
      </c>
      <c r="AH20" s="63"/>
      <c r="AI20" s="63"/>
      <c r="AJ20" s="11"/>
      <c r="AK20" s="11"/>
      <c r="AL20" s="11"/>
      <c r="AM20" s="11"/>
      <c r="AN20" s="11"/>
      <c r="AO20" s="11"/>
    </row>
    <row r="21" spans="1:41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idden="1" outlineLevel="1" x14ac:dyDescent="0.25">
      <c r="A22" s="61" t="s">
        <v>7</v>
      </c>
      <c r="B22" s="62" t="str">
        <f>IF(_epmOfflineCondition_,"'Parking'!$A$36:$F$40",_xll.EVRNG(A36:F40))</f>
        <v>'Parking'!$A$36:$F$40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idden="1" outlineLevel="1" x14ac:dyDescent="0.25">
      <c r="A23" s="61" t="s">
        <v>47</v>
      </c>
      <c r="B23" s="62" t="str">
        <f>IF(_epmOfflineCondition_,"'Parking'!$A$116:$B$137",_xll.EVRNG($A$116:$B$137))</f>
        <v>'Parking'!$A$116:$B$137</v>
      </c>
      <c r="C23" s="11"/>
      <c r="D23" s="11"/>
      <c r="E23" s="11"/>
      <c r="F23" s="11"/>
      <c r="G23" s="11"/>
      <c r="H23" s="11"/>
      <c r="I23" s="55"/>
      <c r="J23" s="55"/>
      <c r="K23" s="6"/>
      <c r="L23" s="6"/>
      <c r="M23" s="6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380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22.5" x14ac:dyDescent="0.3">
      <c r="A26" s="57" t="s">
        <v>9</v>
      </c>
      <c r="B26" s="58" t="s">
        <v>10</v>
      </c>
      <c r="C26" s="11"/>
      <c r="D26" s="11"/>
      <c r="E26" s="11"/>
      <c r="F26" s="11"/>
      <c r="G26" s="11"/>
      <c r="H26" s="11"/>
      <c r="I26" s="55"/>
      <c r="J26" s="55"/>
      <c r="K26" s="11"/>
      <c r="L26" s="11"/>
      <c r="M26" s="11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8" x14ac:dyDescent="0.25">
      <c r="A27" s="61" t="s">
        <v>11</v>
      </c>
      <c r="B27" s="62" t="s">
        <v>21</v>
      </c>
      <c r="C27" s="11"/>
      <c r="D27" s="11"/>
      <c r="E27" s="11"/>
      <c r="F27" s="11"/>
      <c r="G27" s="11"/>
      <c r="H27" s="11"/>
      <c r="I27" s="55"/>
      <c r="J27" s="55"/>
      <c r="K27" s="11"/>
      <c r="L27" s="11"/>
      <c r="M27" s="11"/>
      <c r="N27" s="67" t="str">
        <f>IF(_epmOfflineCondition_,"Parking Department",IF(_xll.EVDES(B6,$B$1)="#NODATA","",_xll.EVDES(B6,$B$1)&amp;" Department"))</f>
        <v>Parking Department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x14ac:dyDescent="0.25">
      <c r="A28" s="61" t="s">
        <v>12</v>
      </c>
      <c r="B28" s="62" t="s">
        <v>22</v>
      </c>
      <c r="C28" s="11"/>
      <c r="D28" s="11"/>
      <c r="E28" s="11"/>
      <c r="F28" s="11"/>
      <c r="G28" s="11"/>
      <c r="H28" s="11"/>
      <c r="I28" s="55"/>
      <c r="J28" s="55"/>
      <c r="K28" s="11"/>
      <c r="L28" s="11"/>
      <c r="M28" s="11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" customHeight="1" x14ac:dyDescent="0.25">
      <c r="A29" s="61" t="s">
        <v>13</v>
      </c>
      <c r="B29" s="62" t="str">
        <f>"DEP(430000) AND "&amp;$E$6&amp;"=Y,400000"</f>
        <v>DEP(430000) AND D1133=Y,400000</v>
      </c>
      <c r="C29" s="11"/>
      <c r="D29" s="11"/>
      <c r="E29" s="11"/>
      <c r="F29" s="11"/>
      <c r="G29" s="11"/>
      <c r="H29" s="11"/>
      <c r="I29" s="55"/>
      <c r="J29" s="55"/>
      <c r="K29" s="11"/>
      <c r="L29" s="11"/>
      <c r="M29" s="11"/>
      <c r="N29" s="68" t="str">
        <f>IF(_epmOfflineCondition_,"Local Currency",_xll.EVDES(B9,B1))</f>
        <v>Local Currency</v>
      </c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x14ac:dyDescent="0.25">
      <c r="A30" s="61" t="s">
        <v>14</v>
      </c>
      <c r="B30" s="62"/>
      <c r="C30" s="11"/>
      <c r="D30" s="11"/>
      <c r="E30" s="11"/>
      <c r="F30" s="11"/>
      <c r="G30" s="11"/>
      <c r="H30" s="11"/>
      <c r="I30" s="55"/>
      <c r="J30" s="55"/>
      <c r="K30" s="11"/>
      <c r="L30" s="11"/>
      <c r="M30" s="11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  <c r="AJ30" s="69" t="s">
        <v>749</v>
      </c>
      <c r="AK30" s="70"/>
      <c r="AL30" s="71"/>
      <c r="AM30" s="70" t="s">
        <v>751</v>
      </c>
      <c r="AN30" s="70"/>
      <c r="AO30" s="11"/>
    </row>
    <row r="31" spans="1:41" x14ac:dyDescent="0.25">
      <c r="A31" s="61" t="s">
        <v>15</v>
      </c>
      <c r="B31" s="62"/>
      <c r="C31" s="11"/>
      <c r="D31" s="11"/>
      <c r="E31" s="11"/>
      <c r="F31" s="11"/>
      <c r="G31" s="72"/>
      <c r="H31" s="11"/>
      <c r="I31" s="55"/>
      <c r="J31" s="55"/>
      <c r="K31" s="55"/>
      <c r="L31" s="55"/>
      <c r="M31" s="55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  <c r="AJ31" s="73" t="str">
        <f>IF(_epmOfflineCondition_,"2019",_xll.EVPRO($B$1,AA$16,"YEAR"))</f>
        <v>2019</v>
      </c>
      <c r="AK31" s="76" t="str">
        <f>IF(_epmOfflineCondition_,"2019",_xll.EVPRO($B$1,AD$16,"YEAR"))</f>
        <v>2019</v>
      </c>
      <c r="AL31" s="76" t="str">
        <f>IF(_epmOfflineCondition_,"2018",_xll.EVPRO($B$1,AG$16,"YEAR"))</f>
        <v>2018</v>
      </c>
      <c r="AM31" s="73" t="str">
        <f>"vs "&amp;AK31</f>
        <v>vs 2019</v>
      </c>
      <c r="AN31" s="73" t="str">
        <f>"vs "&amp;AL31</f>
        <v>vs 2018</v>
      </c>
      <c r="AO31" s="11"/>
    </row>
    <row r="32" spans="1:41" s="8" customFormat="1" ht="30" customHeight="1" x14ac:dyDescent="0.25">
      <c r="A32" s="77" t="s">
        <v>16</v>
      </c>
      <c r="B32" s="78"/>
      <c r="C32" s="79"/>
      <c r="D32" s="79"/>
      <c r="E32" s="79"/>
      <c r="F32" s="79"/>
      <c r="G32" s="359"/>
      <c r="H32" s="80"/>
      <c r="I32" s="81"/>
      <c r="J32" s="81"/>
      <c r="K32" s="174" t="s">
        <v>117</v>
      </c>
      <c r="L32" s="174"/>
      <c r="M32" s="174"/>
      <c r="N32" s="82" t="s">
        <v>120</v>
      </c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  <c r="AJ32" s="83" t="str">
        <f>Z32</f>
        <v>Actual</v>
      </c>
      <c r="AK32" s="76" t="str">
        <f>AD32</f>
        <v>Budget</v>
      </c>
      <c r="AL32" s="83" t="str">
        <f>AG32</f>
        <v>Actual</v>
      </c>
      <c r="AM32" s="73" t="s">
        <v>748</v>
      </c>
      <c r="AN32" s="73" t="s">
        <v>748</v>
      </c>
      <c r="AO32" s="79"/>
    </row>
    <row r="33" spans="1:41" x14ac:dyDescent="0.25">
      <c r="A33" s="61" t="s">
        <v>17</v>
      </c>
      <c r="B33" s="62"/>
      <c r="C33" s="11"/>
      <c r="D33" s="11"/>
      <c r="E33" s="11"/>
      <c r="F33" s="11"/>
      <c r="G33" s="11"/>
      <c r="H33" s="11" t="s">
        <v>69</v>
      </c>
      <c r="I33" s="55" t="str">
        <f>IF(_epmOfflineCondition_,"B1",_xll.EVPRO($B$1,$H33,"STYLE"))</f>
        <v>B1</v>
      </c>
      <c r="J33" s="55" t="str">
        <f>IF(_epmOfflineCondition_,"Y",_xll.EVPRO($B$1,$H33,"CALC"))</f>
        <v>Y</v>
      </c>
      <c r="K33" s="11"/>
      <c r="L33" s="11"/>
      <c r="M33" s="11"/>
      <c r="N33" s="101" t="str">
        <f>IF(_epmOfflineCondition_,"Revenues",IF(_xll.EVDES(H33,$B$1)="#NODATA","",_xll.EVDES(H33,$B$1)))</f>
        <v>Revenues</v>
      </c>
      <c r="O33" s="125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7"/>
      <c r="AC33" s="11"/>
      <c r="AD33" s="125"/>
      <c r="AE33" s="126"/>
      <c r="AF33" s="127"/>
      <c r="AG33" s="125"/>
      <c r="AH33" s="126"/>
      <c r="AI33" s="127"/>
      <c r="AJ33" s="11"/>
      <c r="AK33" s="11"/>
      <c r="AL33" s="11"/>
      <c r="AM33" s="11"/>
      <c r="AN33" s="11"/>
      <c r="AO33" s="11"/>
    </row>
    <row r="34" spans="1:41" x14ac:dyDescent="0.25">
      <c r="A34" s="11"/>
      <c r="B34" s="11"/>
      <c r="C34" s="11"/>
      <c r="D34" s="11"/>
      <c r="E34" s="11"/>
      <c r="F34" s="11"/>
      <c r="G34" s="11"/>
      <c r="H34" s="84" t="s">
        <v>381</v>
      </c>
      <c r="I34" s="118" t="str">
        <f>IF(_epmOfflineCondition_,"N",_xll.EVPRO($B$1,$H34,"STYLE"))</f>
        <v>N</v>
      </c>
      <c r="J34" s="118" t="str">
        <f>IF(_epmOfflineCondition_,"N",_xll.EVPRO($B$1,$H34,"CALC"))</f>
        <v>N</v>
      </c>
      <c r="K34" s="175" t="str">
        <f>IF(AND(I34&gt;="T5"),"&gt;","")</f>
        <v/>
      </c>
      <c r="L34" s="86" t="str">
        <f>IF(_epmOfflineCondition_,"430100",_xll.EVPRO($B$1,H34,"JDEID"))</f>
        <v>430100</v>
      </c>
      <c r="M34" s="86" t="str">
        <f>IF(_epmOfflineCondition_,"206012",IF(AND(I34="N",J34="N"),_xll.EVPRO($B$1,H34,"PSFTID"),""))</f>
        <v>206012</v>
      </c>
      <c r="N34" s="86" t="str">
        <f>IF(_epmOfflineCondition_,"Self-Parking Revenue",IF(_xll.EVDES(H34,$B$1)="#NODATA","",_xll.EVDES(H34,$B$1)))</f>
        <v>Self-Parking Revenue</v>
      </c>
      <c r="O34" s="134">
        <v>418.5</v>
      </c>
      <c r="P34" s="134">
        <v>418.5</v>
      </c>
      <c r="Q34" s="134">
        <v>372</v>
      </c>
      <c r="R34" s="134">
        <v>372</v>
      </c>
      <c r="S34" s="134">
        <v>372</v>
      </c>
      <c r="T34" s="134">
        <v>558</v>
      </c>
      <c r="U34" s="134">
        <v>467.29</v>
      </c>
      <c r="V34" s="134">
        <v>467.29</v>
      </c>
      <c r="W34" s="134">
        <v>467.29</v>
      </c>
      <c r="X34" s="134">
        <v>558</v>
      </c>
      <c r="Y34" s="134">
        <v>558</v>
      </c>
      <c r="Z34" s="134">
        <v>558</v>
      </c>
      <c r="AA34" s="223">
        <f>IF($I34="B1","",SUM(O34:Z34))</f>
        <v>5586.87</v>
      </c>
      <c r="AB34" s="138">
        <f>IF(AA34=0,"",IFERROR(AA34/AA$19,""))</f>
        <v>2.4103214029354749E-2</v>
      </c>
      <c r="AC34" s="136"/>
      <c r="AD34" s="134">
        <v>33644.879999999997</v>
      </c>
      <c r="AE34" s="138">
        <f>IF(AD34=0,"",IFERROR(AD34/AD$19,""))</f>
        <v>0.11684973827613915</v>
      </c>
      <c r="AF34" s="137">
        <f>IF(AND($AA34="",AD34=""),"",$AA34-AD34)</f>
        <v>-28058.01</v>
      </c>
      <c r="AG34" s="134"/>
      <c r="AH34" s="138" t="str">
        <f>IF(AG34=0,"",IFERROR(AG34/AG$19,""))</f>
        <v/>
      </c>
      <c r="AI34" s="137">
        <f>IF(AND($AA34="",AG34=""),"",$AA34-AG34)</f>
        <v>5586.87</v>
      </c>
      <c r="AJ34" s="458">
        <f>IFERROR(AA34/AA$20,0)</f>
        <v>0.16990663584940088</v>
      </c>
      <c r="AK34" s="459">
        <f>IFERROR(AD34/AD$20,0)</f>
        <v>0.92466553069862023</v>
      </c>
      <c r="AL34" s="460">
        <f>IFERROR(AG34/AG$20,0)</f>
        <v>0</v>
      </c>
      <c r="AM34" s="461" t="str">
        <f>+IFERROR(ROUND(($AB34-AE34)*100,2)&amp;" pts.",0)</f>
        <v>-9.27 pts.</v>
      </c>
      <c r="AN34" s="462">
        <f>+IFERROR(ROUND(($AB34-AH34)*100,2)&amp;" pts.",0)</f>
        <v>0</v>
      </c>
      <c r="AO34" s="11"/>
    </row>
    <row r="35" spans="1:41" x14ac:dyDescent="0.25">
      <c r="A35" s="93" t="s">
        <v>92</v>
      </c>
      <c r="B35" s="94" t="s">
        <v>93</v>
      </c>
      <c r="C35" s="94" t="s">
        <v>94</v>
      </c>
      <c r="D35" s="94" t="s">
        <v>95</v>
      </c>
      <c r="E35" s="94" t="s">
        <v>96</v>
      </c>
      <c r="F35" s="95" t="s">
        <v>97</v>
      </c>
      <c r="G35" s="11"/>
      <c r="H35" s="84" t="s">
        <v>382</v>
      </c>
      <c r="I35" s="118" t="str">
        <f>IF(_epmOfflineCondition_,"T5",_xll.EVPRO($B$1,$H35,"STYLE"))</f>
        <v>T5</v>
      </c>
      <c r="J35" s="118" t="str">
        <f>IF(_epmOfflineCondition_,"Y",_xll.EVPRO($B$1,$H35,"CALC"))</f>
        <v>Y</v>
      </c>
      <c r="K35" s="175" t="str">
        <f>IF(AND(I35&gt;="T5"),"&gt;","")</f>
        <v>&gt;</v>
      </c>
      <c r="L35" s="86" t="str">
        <f>IF(_epmOfflineCondition_,"",_xll.EVPRO($B$1,H35,"JDEID"))</f>
        <v/>
      </c>
      <c r="M35" s="86" t="str">
        <f>IF(_epmOfflineCondition_,"",IF(AND(I35="N",J35="N"),_xll.EVPRO($B$1,H35,"PSFTID"),""))</f>
        <v/>
      </c>
      <c r="N35" s="86" t="str">
        <f>IF(_epmOfflineCondition_,"Valet Parking Revenue",IF(_xll.EVDES(H35,$B$1)="#NODATA","",_xll.EVDES(H35,$B$1)))</f>
        <v>Valet Parking Revenue</v>
      </c>
      <c r="O35" s="134">
        <v>20952.34</v>
      </c>
      <c r="P35" s="134">
        <v>15156.07</v>
      </c>
      <c r="Q35" s="134">
        <v>18312.310000000001</v>
      </c>
      <c r="R35" s="134">
        <v>21541.9</v>
      </c>
      <c r="S35" s="134">
        <v>19141.12</v>
      </c>
      <c r="T35" s="134">
        <v>15522.43</v>
      </c>
      <c r="U35" s="134">
        <v>19276.64</v>
      </c>
      <c r="V35" s="134">
        <v>20987.52</v>
      </c>
      <c r="W35" s="134">
        <v>12396.31</v>
      </c>
      <c r="X35" s="134">
        <v>18243.93</v>
      </c>
      <c r="Y35" s="134">
        <v>20388.79</v>
      </c>
      <c r="Z35" s="134">
        <v>24283.19</v>
      </c>
      <c r="AA35" s="223">
        <f>IF($I35="B1","",SUM(O35:Z35))</f>
        <v>226202.55</v>
      </c>
      <c r="AB35" s="138">
        <f>IF(AA35=0,"",IFERROR(AA35/AA$19,""))</f>
        <v>0.97589678597064522</v>
      </c>
      <c r="AC35" s="136"/>
      <c r="AD35" s="134">
        <v>254287.985715886</v>
      </c>
      <c r="AE35" s="138">
        <f>IF(AD35=0,"",IFERROR(AD35/AD$19,""))</f>
        <v>0.8831502617238608</v>
      </c>
      <c r="AF35" s="137">
        <f>IF(AND($AA35="",AD35=""),"",$AA35-AD35)</f>
        <v>-28085.435715886008</v>
      </c>
      <c r="AG35" s="134">
        <v>90201.22</v>
      </c>
      <c r="AH35" s="138">
        <f>IF(AG35=0,"",IFERROR(AG35/AG$19,""))</f>
        <v>1</v>
      </c>
      <c r="AI35" s="137">
        <f>IF(AND($AA35="",AG35=""),"",$AA35-AG35)</f>
        <v>136001.32999999999</v>
      </c>
      <c r="AJ35" s="458">
        <f>IFERROR(AA35/AA$20,0)</f>
        <v>6.8792211544309954</v>
      </c>
      <c r="AK35" s="459">
        <f>IFERROR(AD35/AD$20,0)</f>
        <v>6.9886216048998513</v>
      </c>
      <c r="AL35" s="460">
        <f>IFERROR(AG35/AG$20,0)</f>
        <v>5.9421093544137022</v>
      </c>
      <c r="AM35" s="461" t="str">
        <f>+IFERROR(ROUND(($AB35-AE35)*100,2)&amp;" pts.",0)</f>
        <v>9.27 pts.</v>
      </c>
      <c r="AN35" s="462" t="str">
        <f>+IFERROR(ROUND(($AB35-AH35)*100,2)&amp;" pts.",0)</f>
        <v>-2.41 pts.</v>
      </c>
      <c r="AO35" s="11"/>
    </row>
    <row r="36" spans="1:41" x14ac:dyDescent="0.25">
      <c r="A36" s="11"/>
      <c r="B36" s="11"/>
      <c r="C36" s="11"/>
      <c r="D36" s="11"/>
      <c r="E36" s="11"/>
      <c r="F36" s="11"/>
      <c r="G36" s="11"/>
      <c r="H36" s="84" t="s">
        <v>383</v>
      </c>
      <c r="I36" s="118" t="str">
        <f>IF(_epmOfflineCondition_,"N",_xll.EVPRO($B$1,$H36,"STYLE"))</f>
        <v>N</v>
      </c>
      <c r="J36" s="118" t="str">
        <f>IF(_epmOfflineCondition_,"N",_xll.EVPRO($B$1,$H36,"CALC"))</f>
        <v>N</v>
      </c>
      <c r="K36" s="175" t="str">
        <f>IF(AND(I36&gt;="T5"),"&gt;","")</f>
        <v/>
      </c>
      <c r="L36" s="86" t="str">
        <f>IF(_epmOfflineCondition_,"430300",_xll.EVPRO($B$1,H36,"JDEID"))</f>
        <v>430300</v>
      </c>
      <c r="M36" s="86" t="str">
        <f>IF(_epmOfflineCondition_,"206098",IF(AND(I36="N",J36="N"),_xll.EVPRO($B$1,H36,"PSFTID"),""))</f>
        <v>206098</v>
      </c>
      <c r="N36" s="86" t="str">
        <f>IF(_epmOfflineCondition_,"Other Revenue",IF(_xll.EVDES(H36,$B$1)="#NODATA","",_xll.EVDES(H36,$B$1)))</f>
        <v>Other Revenue</v>
      </c>
      <c r="O36" s="134"/>
      <c r="P36" s="134"/>
      <c r="Q36" s="134"/>
      <c r="R36" s="134"/>
      <c r="S36" s="134"/>
      <c r="T36" s="134"/>
      <c r="U36" s="134"/>
      <c r="V36" s="134"/>
      <c r="W36" s="134"/>
      <c r="X36" s="134"/>
      <c r="Y36" s="134"/>
      <c r="Z36" s="134"/>
      <c r="AA36" s="223">
        <f>IF($I36="B1","",SUM(O36:Z36))</f>
        <v>0</v>
      </c>
      <c r="AB36" s="138" t="str">
        <f>IF(AA36=0,"",IFERROR(AA36/AA$19,""))</f>
        <v/>
      </c>
      <c r="AC36" s="136"/>
      <c r="AD36" s="134"/>
      <c r="AE36" s="138" t="str">
        <f>IF(AD36=0,"",IFERROR(AD36/AD$19,""))</f>
        <v/>
      </c>
      <c r="AF36" s="137">
        <f>IF(AND($AA36="",AD36=""),"",$AA36-AD36)</f>
        <v>0</v>
      </c>
      <c r="AG36" s="134"/>
      <c r="AH36" s="138" t="str">
        <f>IF(AG36=0,"",IFERROR(AG36/AG$19,""))</f>
        <v/>
      </c>
      <c r="AI36" s="137">
        <f>IF(AND($AA36="",AG36=""),"",$AA36-AG36)</f>
        <v>0</v>
      </c>
      <c r="AJ36" s="458">
        <f>IFERROR(AA36/AA$20,0)</f>
        <v>0</v>
      </c>
      <c r="AK36" s="459">
        <f>IFERROR(AD36/AD$20,0)</f>
        <v>0</v>
      </c>
      <c r="AL36" s="460">
        <f>IFERROR(AG36/AG$20,0)</f>
        <v>0</v>
      </c>
      <c r="AM36" s="461">
        <f>+IFERROR(ROUND(($AB36-AE36)*100,2)&amp;" pts.",0)</f>
        <v>0</v>
      </c>
      <c r="AN36" s="462">
        <f>+IFERROR(ROUND(($AB36-AH36)*100,2)&amp;" pts.",0)</f>
        <v>0</v>
      </c>
      <c r="AO36" s="11"/>
    </row>
    <row r="37" spans="1:41" x14ac:dyDescent="0.25">
      <c r="A37" s="11" t="s">
        <v>105</v>
      </c>
      <c r="B37" s="11"/>
      <c r="C37" s="100" t="s">
        <v>101</v>
      </c>
      <c r="D37" s="11" t="s">
        <v>106</v>
      </c>
      <c r="E37" s="11"/>
      <c r="F37" s="11" t="s">
        <v>98</v>
      </c>
      <c r="G37" s="11"/>
      <c r="H37" s="84" t="s">
        <v>384</v>
      </c>
      <c r="I37" s="118" t="str">
        <f>IF(_epmOfflineCondition_,"N",_xll.EVPRO($B$1,$H37,"STYLE"))</f>
        <v>N</v>
      </c>
      <c r="J37" s="118" t="str">
        <f>IF(_epmOfflineCondition_,"N",_xll.EVPRO($B$1,$H37,"CALC"))</f>
        <v>N</v>
      </c>
      <c r="K37" s="175" t="str">
        <f>IF(AND(I37&gt;="T5"),"&gt;","")</f>
        <v/>
      </c>
      <c r="L37" s="86" t="str">
        <f>IF(_epmOfflineCondition_,"430990",_xll.EVPRO($B$1,H37,"JDEID"))</f>
        <v>430990</v>
      </c>
      <c r="M37" s="86" t="str">
        <f>IF(_epmOfflineCondition_,"206022",IF(AND(I37="N",J37="N"),_xll.EVPRO($B$1,H37,"PSFTID"),""))</f>
        <v>206022</v>
      </c>
      <c r="N37" s="86" t="str">
        <f>IF(_epmOfflineCondition_,"Parking: Allowances",IF(_xll.EVDES(H37,$B$1)="#NODATA","",_xll.EVDES(H37,$B$1)))</f>
        <v>Parking: Allowances</v>
      </c>
      <c r="O37" s="228"/>
      <c r="P37" s="228"/>
      <c r="Q37" s="228"/>
      <c r="R37" s="228"/>
      <c r="S37" s="228"/>
      <c r="T37" s="228"/>
      <c r="U37" s="228"/>
      <c r="V37" s="228"/>
      <c r="W37" s="228"/>
      <c r="X37" s="228"/>
      <c r="Y37" s="228"/>
      <c r="Z37" s="228"/>
      <c r="AA37" s="229">
        <f>IF($I37="B1","",SUM(O37:Z37))</f>
        <v>0</v>
      </c>
      <c r="AB37" s="230" t="str">
        <f>IF(AA37=0,"",IFERROR(AA37/AA$19,""))</f>
        <v/>
      </c>
      <c r="AC37" s="136"/>
      <c r="AD37" s="228"/>
      <c r="AE37" s="230" t="str">
        <f>IF(AD37=0,"",IFERROR(AD37/AD$19,""))</f>
        <v/>
      </c>
      <c r="AF37" s="231">
        <f>IF(AND($AA37="",AD37=""),"",$AA37-AD37)</f>
        <v>0</v>
      </c>
      <c r="AG37" s="228">
        <v>0</v>
      </c>
      <c r="AH37" s="230" t="str">
        <f>IF(AG37=0,"",IFERROR(AG37/AG$19,""))</f>
        <v/>
      </c>
      <c r="AI37" s="231">
        <f>IF(AND($AA37="",AG37=""),"",$AA37-AG37)</f>
        <v>0</v>
      </c>
      <c r="AJ37" s="467">
        <f>IFERROR(AA37/AA$20,0)</f>
        <v>0</v>
      </c>
      <c r="AK37" s="468">
        <f>IFERROR(AD37/AD$20,0)</f>
        <v>0</v>
      </c>
      <c r="AL37" s="469">
        <f>IFERROR(AG37/AG$20,0)</f>
        <v>0</v>
      </c>
      <c r="AM37" s="470">
        <f>+IFERROR(ROUND(($AB37-AE37)*100,2)&amp;" pts.",0)</f>
        <v>0</v>
      </c>
      <c r="AN37" s="471">
        <f>+IFERROR(ROUND(($AB37-AH37)*100,2)&amp;" pts.",0)</f>
        <v>0</v>
      </c>
      <c r="AO37" s="11"/>
    </row>
    <row r="38" spans="1:41" x14ac:dyDescent="0.25">
      <c r="A38" s="11" t="s">
        <v>104</v>
      </c>
      <c r="B38" s="11"/>
      <c r="C38" s="100" t="s">
        <v>101</v>
      </c>
      <c r="D38" s="11" t="s">
        <v>106</v>
      </c>
      <c r="E38" s="11"/>
      <c r="F38" s="11" t="s">
        <v>98</v>
      </c>
      <c r="G38" s="11"/>
      <c r="H38" s="84" t="s">
        <v>280</v>
      </c>
      <c r="I38" s="184" t="str">
        <f>IF(_epmOfflineCondition_,"T3",_xll.EVPRO($B$1,$H38,"STYLE"))</f>
        <v>T3</v>
      </c>
      <c r="J38" s="184" t="str">
        <f>IF(_epmOfflineCondition_,"Y",_xll.EVPRO($B$1,$H38,"CALC"))</f>
        <v>Y</v>
      </c>
      <c r="K38" s="185" t="str">
        <f>IF(AND(I38&gt;="T5"),"&gt;","")</f>
        <v/>
      </c>
      <c r="L38" s="186" t="str">
        <f>IF(_epmOfflineCondition_,"400000",_xll.EVPRO($B$1,H38,"JDEID"))</f>
        <v>400000</v>
      </c>
      <c r="M38" s="186" t="str">
        <f>IF(_epmOfflineCondition_,"",IF(AND(I38="N",J38="N"),_xll.EVPRO($B$1,H38,"PSFTID"),""))</f>
        <v/>
      </c>
      <c r="N38" s="186" t="str">
        <f>IF(_epmOfflineCondition_,"Total Revenue",IF(_xll.EVDES(H38,$B$1)="#NODATA","",_xll.EVDES(H38,$B$1)))</f>
        <v>Total Revenue</v>
      </c>
      <c r="O38" s="236">
        <v>21370.84</v>
      </c>
      <c r="P38" s="236">
        <v>15574.57</v>
      </c>
      <c r="Q38" s="236">
        <v>18684.310000000001</v>
      </c>
      <c r="R38" s="236">
        <v>21913.9</v>
      </c>
      <c r="S38" s="236">
        <v>19513.12</v>
      </c>
      <c r="T38" s="236">
        <v>16080.43</v>
      </c>
      <c r="U38" s="236">
        <v>19743.93</v>
      </c>
      <c r="V38" s="236">
        <v>21454.81</v>
      </c>
      <c r="W38" s="236">
        <v>12863.6</v>
      </c>
      <c r="X38" s="236">
        <v>18801.93</v>
      </c>
      <c r="Y38" s="236">
        <v>20946.79</v>
      </c>
      <c r="Z38" s="236">
        <v>24841.19</v>
      </c>
      <c r="AA38" s="236">
        <f>IF($I38="B1","",SUM(O38:Z38))</f>
        <v>231789.41999999998</v>
      </c>
      <c r="AB38" s="237">
        <f>IF(AA38=0,"",IFERROR(AA38/AA$19,""))</f>
        <v>1</v>
      </c>
      <c r="AC38" s="238"/>
      <c r="AD38" s="236">
        <v>287932.865715886</v>
      </c>
      <c r="AE38" s="237">
        <f>IF(AD38=0,"",IFERROR(AD38/AD$19,""))</f>
        <v>1</v>
      </c>
      <c r="AF38" s="239">
        <f>IF(AND($AA38="",AD38=""),"",$AA38-AD38)</f>
        <v>-56143.445715886017</v>
      </c>
      <c r="AG38" s="236">
        <v>90201.22</v>
      </c>
      <c r="AH38" s="237">
        <f>IF(AG38=0,"",IFERROR(AG38/AG$19,""))</f>
        <v>1</v>
      </c>
      <c r="AI38" s="239">
        <f>IF(AND($AA38="",AG38=""),"",$AA38-AG38)</f>
        <v>141588.19999999998</v>
      </c>
      <c r="AJ38" s="215">
        <f>IFERROR(AA38/AA$20,0)</f>
        <v>7.0491277902803962</v>
      </c>
      <c r="AK38" s="216">
        <f>IFERROR(AD38/AD$20,0)</f>
        <v>7.9132871355984715</v>
      </c>
      <c r="AL38" s="218">
        <f>IFERROR(AG38/AG$20,0)</f>
        <v>5.9421093544137022</v>
      </c>
      <c r="AM38" s="423" t="str">
        <f>+IFERROR(ROUND(($AB38-AE38)*100,2)&amp;" pts.",0)</f>
        <v>0 pts.</v>
      </c>
      <c r="AN38" s="474" t="str">
        <f>+IFERROR(ROUND(($AB38-AH38)*100,2)&amp;" pts.",0)</f>
        <v>0 pts.</v>
      </c>
      <c r="AO38" s="11"/>
    </row>
    <row r="39" spans="1:41" x14ac:dyDescent="0.25">
      <c r="A39" s="11" t="s">
        <v>108</v>
      </c>
      <c r="B39" s="11"/>
      <c r="C39" s="102" t="s">
        <v>101</v>
      </c>
      <c r="D39" s="11" t="s">
        <v>106</v>
      </c>
      <c r="E39" s="11"/>
      <c r="F39" s="11" t="s">
        <v>98</v>
      </c>
      <c r="G39" s="11"/>
      <c r="H39" s="11"/>
      <c r="I39" s="55"/>
      <c r="J39" s="55"/>
      <c r="K39" s="11"/>
      <c r="L39" s="11"/>
      <c r="M39" s="11"/>
      <c r="N39" s="11"/>
      <c r="O39" s="199"/>
      <c r="P39" s="200"/>
      <c r="Q39" s="200"/>
      <c r="R39" s="200"/>
      <c r="S39" s="200"/>
      <c r="T39" s="200"/>
      <c r="U39" s="200"/>
      <c r="V39" s="200"/>
      <c r="W39" s="200"/>
      <c r="X39" s="200"/>
      <c r="Y39" s="200"/>
      <c r="Z39" s="200"/>
      <c r="AA39" s="200"/>
      <c r="AB39" s="114"/>
      <c r="AC39" s="11"/>
      <c r="AD39" s="199"/>
      <c r="AE39" s="200"/>
      <c r="AF39" s="114"/>
      <c r="AG39" s="199"/>
      <c r="AH39" s="200"/>
      <c r="AI39" s="114"/>
      <c r="AJ39" s="11"/>
      <c r="AK39" s="11"/>
      <c r="AL39" s="11"/>
      <c r="AM39" s="11"/>
      <c r="AN39" s="11"/>
      <c r="AO39" s="11"/>
    </row>
    <row r="40" spans="1:41" x14ac:dyDescent="0.25">
      <c r="A40" s="11" t="s">
        <v>108</v>
      </c>
      <c r="B40" s="11"/>
      <c r="C40" s="192" t="s">
        <v>101</v>
      </c>
      <c r="D40" s="11" t="s">
        <v>107</v>
      </c>
      <c r="E40" s="11"/>
      <c r="F40" s="11" t="s">
        <v>99</v>
      </c>
      <c r="G40" s="11"/>
      <c r="H40" s="11" t="s">
        <v>281</v>
      </c>
      <c r="I40" s="55" t="str">
        <f>IF(_epmOfflineCondition_,"B1",_xll.EVPRO($B$1,$H40,"STYLE"))</f>
        <v>B1</v>
      </c>
      <c r="J40" s="55" t="str">
        <f>IF(_epmOfflineCondition_,"Y",_xll.EVPRO($B$1,$H40,"CALC"))</f>
        <v>Y</v>
      </c>
      <c r="K40" s="11"/>
      <c r="L40" s="11"/>
      <c r="M40" s="11"/>
      <c r="N40" s="101" t="str">
        <f>IF(_epmOfflineCondition_,"Cost of Sales",IF(_xll.EVDES(H40,$B$1)="#NODATA","",_xll.EVDES(H40,$B$1)))</f>
        <v>Cost of Sales</v>
      </c>
      <c r="O40" s="199"/>
      <c r="P40" s="200"/>
      <c r="Q40" s="200"/>
      <c r="R40" s="200"/>
      <c r="S40" s="200"/>
      <c r="T40" s="200"/>
      <c r="U40" s="200"/>
      <c r="V40" s="200"/>
      <c r="W40" s="200"/>
      <c r="X40" s="200"/>
      <c r="Y40" s="200"/>
      <c r="Z40" s="200"/>
      <c r="AA40" s="200"/>
      <c r="AB40" s="114"/>
      <c r="AC40" s="11"/>
      <c r="AD40" s="199"/>
      <c r="AE40" s="200"/>
      <c r="AF40" s="114"/>
      <c r="AG40" s="199"/>
      <c r="AH40" s="200"/>
      <c r="AI40" s="114"/>
      <c r="AJ40" s="11"/>
      <c r="AK40" s="11"/>
      <c r="AL40" s="11"/>
      <c r="AM40" s="11"/>
      <c r="AN40" s="11"/>
      <c r="AO40" s="11"/>
    </row>
    <row r="41" spans="1:41" x14ac:dyDescent="0.25">
      <c r="A41" s="11"/>
      <c r="B41" s="11"/>
      <c r="C41" s="11"/>
      <c r="D41" s="11"/>
      <c r="E41" s="11"/>
      <c r="F41" s="11"/>
      <c r="G41" s="11"/>
      <c r="H41" s="84" t="s">
        <v>385</v>
      </c>
      <c r="I41" s="118" t="str">
        <f>IF(_epmOfflineCondition_,"N",_xll.EVPRO($B$1,$H41,"STYLE"))</f>
        <v>N</v>
      </c>
      <c r="J41" s="118" t="str">
        <f>IF(_epmOfflineCondition_,"N",_xll.EVPRO($B$1,$H41,"CALC"))</f>
        <v>N</v>
      </c>
      <c r="K41" s="175" t="str">
        <f>IF(AND(I41&gt;="T5"),"&gt;","")</f>
        <v/>
      </c>
      <c r="L41" s="86" t="str">
        <f>IF(_epmOfflineCondition_,"530100",_xll.EVPRO($B$1,H41,"JDEID"))</f>
        <v>530100</v>
      </c>
      <c r="M41" s="86" t="str">
        <f>IF(_epmOfflineCondition_,"306010",IF(AND(I41="N",J41="N"),_xll.EVPRO($B$1,H41,"PSFTID"),""))</f>
        <v>306010</v>
      </c>
      <c r="N41" s="86" t="str">
        <f>IF(_epmOfflineCondition_,"Parking Cost of Sales",IF(_xll.EVDES(H41,$B$1)="#NODATA","",_xll.EVDES(H41,$B$1)))</f>
        <v>Parking Cost of Sales</v>
      </c>
      <c r="O41" s="228"/>
      <c r="P41" s="228"/>
      <c r="Q41" s="228"/>
      <c r="R41" s="228"/>
      <c r="S41" s="228"/>
      <c r="T41" s="228"/>
      <c r="U41" s="228"/>
      <c r="V41" s="228"/>
      <c r="W41" s="228"/>
      <c r="X41" s="228"/>
      <c r="Y41" s="228"/>
      <c r="Z41" s="228"/>
      <c r="AA41" s="228">
        <f>IF($I41="B1","",SUM(O41:Z41))</f>
        <v>0</v>
      </c>
      <c r="AB41" s="230" t="str">
        <f>IF(_epmOfflineCondition_,"",IF(AA41=0,"",IFERROR(AA41/_xll.EVGTS($B$1,1,_xll.EVPRO($B$1,$H41,"COSBASIS"),$B$3,$B$5,$B$6,$B$7,$B$9,AA$16,AA$17,AA$11),"")))</f>
        <v/>
      </c>
      <c r="AC41" s="136"/>
      <c r="AD41" s="228"/>
      <c r="AE41" s="230" t="str">
        <f>IF(_epmOfflineCondition_,"",IF(AD41=0,"",IFERROR(AD41/_xll.EVGTS($B$1,1,_xll.EVPRO($B$1,$H41,"COSBASIS"),$B$3,$B$5,$B$6,$B$7,$B$9,AD$16,AD$17,AD$18),"")))</f>
        <v/>
      </c>
      <c r="AF41" s="231">
        <f>IF(AND($AA41="",AD41=""),"",$AA41-AD41)</f>
        <v>0</v>
      </c>
      <c r="AG41" s="228"/>
      <c r="AH41" s="230" t="str">
        <f>IF(_epmOfflineCondition_,"",IF(AG41=0,"",IFERROR(AG41/_xll.EVGTS($B$1,1,_xll.EVPRO($B$1,$H41,"COSBASIS"),$B$3,$B$5,$B$6,$B$7,$B$9,AG$16,AG$17,AG$18),"")))</f>
        <v/>
      </c>
      <c r="AI41" s="231">
        <f>IF(AND($AA41="",AG41=""),"",$AA41-AG41)</f>
        <v>0</v>
      </c>
      <c r="AJ41" s="467">
        <f>IFERROR(AA41/AA$20,0)</f>
        <v>0</v>
      </c>
      <c r="AK41" s="468">
        <f>IFERROR(AD41/AD$20,0)</f>
        <v>0</v>
      </c>
      <c r="AL41" s="469">
        <f>IFERROR(AG41/AG$20,0)</f>
        <v>0</v>
      </c>
      <c r="AM41" s="470">
        <f>+IFERROR(ROUND(($AB41-AE41)*100,2)&amp;" pts.",0)</f>
        <v>0</v>
      </c>
      <c r="AN41" s="471">
        <f>+IFERROR(ROUND(($AB41-AH41)*100,2)&amp;" pts.",0)</f>
        <v>0</v>
      </c>
      <c r="AO41" s="11"/>
    </row>
    <row r="42" spans="1:41" x14ac:dyDescent="0.25">
      <c r="A42" s="11"/>
      <c r="B42" s="11"/>
      <c r="C42" s="11"/>
      <c r="D42" s="11"/>
      <c r="E42" s="11"/>
      <c r="F42" s="11"/>
      <c r="G42" s="11"/>
      <c r="H42" s="84" t="s">
        <v>289</v>
      </c>
      <c r="I42" s="184" t="str">
        <f>IF(_epmOfflineCondition_,"T3",_xll.EVPRO($B$1,$H42,"STYLE"))</f>
        <v>T3</v>
      </c>
      <c r="J42" s="184" t="str">
        <f>IF(_epmOfflineCondition_,"Y",_xll.EVPRO($B$1,$H42,"CALC"))</f>
        <v>Y</v>
      </c>
      <c r="K42" s="185" t="str">
        <f>IF(AND(I42&gt;="T5"),"&gt;","")</f>
        <v/>
      </c>
      <c r="L42" s="186" t="str">
        <f>IF(_epmOfflineCondition_,"500001",_xll.EVPRO($B$1,H42,"JDEID"))</f>
        <v>500001</v>
      </c>
      <c r="M42" s="186" t="str">
        <f>IF(_epmOfflineCondition_,"",IF(AND(I42="N",J42="N"),_xll.EVPRO($B$1,H42,"PSFTID"),""))</f>
        <v/>
      </c>
      <c r="N42" s="186" t="str">
        <f>IF(_epmOfflineCondition_,"Total Cost of Sales",IF(_xll.EVDES(H42,$B$1)="#NODATA","",_xll.EVDES(H42,$B$1)))</f>
        <v>Total Cost of Sales</v>
      </c>
      <c r="O42" s="236"/>
      <c r="P42" s="236"/>
      <c r="Q42" s="236"/>
      <c r="R42" s="236"/>
      <c r="S42" s="236"/>
      <c r="T42" s="236"/>
      <c r="U42" s="236"/>
      <c r="V42" s="236"/>
      <c r="W42" s="236"/>
      <c r="X42" s="236"/>
      <c r="Y42" s="236"/>
      <c r="Z42" s="236"/>
      <c r="AA42" s="236">
        <f>IF($I42="B1","",SUM(O42:Z42))</f>
        <v>0</v>
      </c>
      <c r="AB42" s="237" t="str">
        <f>IF(_epmOfflineCondition_,"",IF(AA42=0,"",IFERROR(AA42/_xll.EVGTS($B$1,1,_xll.EVPRO($B$1,$H42,"COSBASIS"),$B$3,$B$5,$B$6,$B$7,$B$9,AA$16,AA$17,AA$11),"")))</f>
        <v/>
      </c>
      <c r="AC42" s="238"/>
      <c r="AD42" s="236"/>
      <c r="AE42" s="237" t="str">
        <f>IF(_epmOfflineCondition_,"",IF(AD42=0,"",IFERROR(AD42/_xll.EVGTS($B$1,1,_xll.EVPRO($B$1,$H42,"COSBASIS"),$B$3,$B$5,$B$6,$B$7,$B$9,AD$16,AD$17,AD$18),"")))</f>
        <v/>
      </c>
      <c r="AF42" s="239">
        <f>IF(AND($AA42="",AD42=""),"",$AA42-AD42)</f>
        <v>0</v>
      </c>
      <c r="AG42" s="236"/>
      <c r="AH42" s="237" t="str">
        <f>IF(_epmOfflineCondition_,"",IF(AG42=0,"",IFERROR(AG42/_xll.EVGTS($B$1,1,_xll.EVPRO($B$1,$H42,"COSBASIS"),$B$3,$B$5,$B$6,$B$7,$B$9,AG$16,AG$17,AG$18),"")))</f>
        <v/>
      </c>
      <c r="AI42" s="239">
        <f>IF(AND($AA42="",AG42=""),"",$AA42-AG42)</f>
        <v>0</v>
      </c>
      <c r="AJ42" s="215">
        <f>IFERROR(AA42/AA$20,0)</f>
        <v>0</v>
      </c>
      <c r="AK42" s="216">
        <f>IFERROR(AD42/AD$20,0)</f>
        <v>0</v>
      </c>
      <c r="AL42" s="218">
        <f>IFERROR(AG42/AG$20,0)</f>
        <v>0</v>
      </c>
      <c r="AM42" s="423">
        <f>+IFERROR(ROUND(($AB42-AE42)*100,2)&amp;" pts.",0)</f>
        <v>0</v>
      </c>
      <c r="AN42" s="474">
        <f>+IFERROR(ROUND(($AB42-AH42)*100,2)&amp;" pts.",0)</f>
        <v>0</v>
      </c>
      <c r="AO42" s="11"/>
    </row>
    <row r="43" spans="1:41" x14ac:dyDescent="0.25">
      <c r="A43" s="56" t="str">
        <f>IF(_epmOfflineCondition_,"Evdre:Ok",_xll.EVDRE($B$1,A46:B53,A56:B62))</f>
        <v>Evdre:Ok</v>
      </c>
      <c r="B43" s="11"/>
      <c r="C43" s="11"/>
      <c r="D43" s="11"/>
      <c r="E43" s="11"/>
      <c r="F43" s="11"/>
      <c r="G43" s="11"/>
      <c r="H43" s="181" t="s">
        <v>175</v>
      </c>
      <c r="I43" s="85" t="str">
        <f>IF(_epmOfflineCondition_,"B1",_xll.EVPRO($B$1,$H43,"STYLE"))</f>
        <v>B1</v>
      </c>
      <c r="J43" s="85" t="str">
        <f>IF(_epmOfflineCondition_,"Y",_xll.EVPRO($B$1,$H43,"CALC"))</f>
        <v>Y</v>
      </c>
      <c r="K43" s="261" t="str">
        <f>IF(AND(I43&gt;="T5"),"&gt;","")</f>
        <v/>
      </c>
      <c r="L43" s="261"/>
      <c r="M43" s="261"/>
      <c r="N43" s="102" t="str">
        <f>IF(_epmOfflineCondition_,"BLANKROW",IF(_xll.EVDES(H43,$B$1)="#NODATA","",_xll.EVDES(H43,$B$1)))</f>
        <v>BLANKROW</v>
      </c>
      <c r="O43" s="201"/>
      <c r="P43" s="201"/>
      <c r="Q43" s="201"/>
      <c r="R43" s="201"/>
      <c r="S43" s="201"/>
      <c r="T43" s="201"/>
      <c r="U43" s="201"/>
      <c r="V43" s="201"/>
      <c r="W43" s="201"/>
      <c r="X43" s="201"/>
      <c r="Y43" s="201"/>
      <c r="Z43" s="201"/>
      <c r="AA43" s="201"/>
      <c r="AB43" s="202"/>
      <c r="AC43" s="11"/>
      <c r="AD43" s="201"/>
      <c r="AE43" s="202" t="str">
        <f>IF(_epmOfflineCondition_,"",IF(AD43=0,"",IFERROR(AD43/_xll.EVGTS($B$1,1,INDEX($C$143:$C$166,MATCH($H43,$A$143:$A$166,0)),$B$3,$B$5,$B$6,$B$7,$B$9,AD$16,AD$17,AD$18),"")))</f>
        <v/>
      </c>
      <c r="AF43" s="203" t="str">
        <f>IF(AND($AA43="",AD43=""),"",$AA43-AD43)</f>
        <v/>
      </c>
      <c r="AG43" s="201"/>
      <c r="AH43" s="202" t="str">
        <f>IF(_epmOfflineCondition_,"",IF(AG43=0,"",IFERROR(AG43/_xll.EVGTS($B$1,1,INDEX($C$143:$C$166,MATCH($H43,$A$143:$A$166,0)),$B$3,$B$5,$B$6,$B$7,$B$9,AG$16,AG$17,AG$18),"")))</f>
        <v/>
      </c>
      <c r="AI43" s="203" t="str">
        <f>IF(AND($AA43="",AG43=""),"",$AA43-AG43)</f>
        <v/>
      </c>
      <c r="AJ43" s="518">
        <f>IFERROR(AA43/AA$20,0)</f>
        <v>0</v>
      </c>
      <c r="AK43" s="519">
        <f>IFERROR(AD43/AD$20,0)</f>
        <v>0</v>
      </c>
      <c r="AL43" s="520">
        <f>IFERROR(AG43/AG$20,0)</f>
        <v>0</v>
      </c>
      <c r="AM43" s="521">
        <f>+IFERROR(ROUND(($AB43-AE43)*100,2)&amp;" pts.",0)</f>
        <v>0</v>
      </c>
      <c r="AN43" s="522">
        <f>+IFERROR(ROUND(($AB43-AH43)*100,2)&amp;" pts.",0)</f>
        <v>0</v>
      </c>
      <c r="AO43" s="11"/>
    </row>
    <row r="44" spans="1:41" x14ac:dyDescent="0.25">
      <c r="A44" s="11"/>
      <c r="B44" s="11"/>
      <c r="C44" s="11"/>
      <c r="D44" s="11"/>
      <c r="E44" s="11"/>
      <c r="F44" s="11"/>
      <c r="G44" s="11"/>
      <c r="H44" s="181" t="s">
        <v>292</v>
      </c>
      <c r="I44" s="85" t="str">
        <f>IF(_epmOfflineCondition_,"T3",_xll.EVPRO($B$1,$H44,"STYLE"))</f>
        <v>T3</v>
      </c>
      <c r="J44" s="85" t="str">
        <f>IF(_epmOfflineCondition_,"Y",_xll.EVPRO($B$1,$H44,"CALC"))</f>
        <v>Y</v>
      </c>
      <c r="K44" s="261" t="str">
        <f>IF(AND(I44&gt;="T5"),"&gt;","")</f>
        <v/>
      </c>
      <c r="L44" s="261"/>
      <c r="M44" s="261"/>
      <c r="N44" s="102" t="str">
        <f>IF(_epmOfflineCondition_,"Gross Profit",IF(_xll.EVDES(H44,$B$1)="#NODATA","",_xll.EVDES(H44,$B$1)))</f>
        <v>Gross Profit</v>
      </c>
      <c r="O44" s="119">
        <f t="shared" ref="O44:Z44" si="0">SUMIF($H$34:$H$42,"400000",O34:O42)-SUMIF($H$34:$H$42,"500001",O34:O42)</f>
        <v>21370.84</v>
      </c>
      <c r="P44" s="119">
        <f t="shared" si="0"/>
        <v>15574.57</v>
      </c>
      <c r="Q44" s="119">
        <f t="shared" si="0"/>
        <v>18684.310000000001</v>
      </c>
      <c r="R44" s="119">
        <f t="shared" si="0"/>
        <v>21913.9</v>
      </c>
      <c r="S44" s="119">
        <f t="shared" si="0"/>
        <v>19513.12</v>
      </c>
      <c r="T44" s="119">
        <f t="shared" si="0"/>
        <v>16080.43</v>
      </c>
      <c r="U44" s="119">
        <f t="shared" si="0"/>
        <v>19743.93</v>
      </c>
      <c r="V44" s="119">
        <f t="shared" si="0"/>
        <v>21454.81</v>
      </c>
      <c r="W44" s="119">
        <f t="shared" si="0"/>
        <v>12863.6</v>
      </c>
      <c r="X44" s="119">
        <f t="shared" si="0"/>
        <v>18801.93</v>
      </c>
      <c r="Y44" s="119">
        <f t="shared" si="0"/>
        <v>20946.79</v>
      </c>
      <c r="Z44" s="119">
        <f t="shared" si="0"/>
        <v>24841.19</v>
      </c>
      <c r="AA44" s="187">
        <f>IF($I44="B1","",SUM(O44:Z44))</f>
        <v>231789.41999999998</v>
      </c>
      <c r="AB44" s="188">
        <f>IF(AA44=0,"",IFERROR(AA44/AA$19,""))</f>
        <v>1</v>
      </c>
      <c r="AC44" s="11"/>
      <c r="AD44" s="119">
        <f>SUMIF($H$34:$H$42,"400000",AD34:AD42)-SUMIF($H$34:$H$42,"500001",AD34:AD42)</f>
        <v>287932.865715886</v>
      </c>
      <c r="AE44" s="188">
        <f>IF(AD44=0,"",IFERROR(AD44/AD$19,""))</f>
        <v>1</v>
      </c>
      <c r="AF44" s="121">
        <f>IF(AND($AA44="",AD44=""),"",$AA44-AD44)</f>
        <v>-56143.445715886017</v>
      </c>
      <c r="AG44" s="119">
        <f>SUMIF($H$34:$H$42,"400000",AG34:AG42)-SUMIF($H$34:$H$42,"500001",AG34:AG42)</f>
        <v>90201.22</v>
      </c>
      <c r="AH44" s="188">
        <f>IF(AG44=0,"",IFERROR(AG44/AG$19,""))</f>
        <v>1</v>
      </c>
      <c r="AI44" s="121">
        <f>IF(AND($AA44="",AG44=""),"",$AA44-AG44)</f>
        <v>141588.19999999998</v>
      </c>
      <c r="AJ44" s="384">
        <f>IFERROR(AA44/AA$20,0)</f>
        <v>7.0491277902803962</v>
      </c>
      <c r="AK44" s="385">
        <f>IFERROR(AD44/AD$20,0)</f>
        <v>7.9132871355984715</v>
      </c>
      <c r="AL44" s="386">
        <f>IFERROR(AG44/AG$20,0)</f>
        <v>5.9421093544137022</v>
      </c>
      <c r="AM44" s="387" t="str">
        <f>+IFERROR(ROUND(($AB44-AE44)*100,2)&amp;" pts.",0)</f>
        <v>0 pts.</v>
      </c>
      <c r="AN44" s="539" t="str">
        <f>+IFERROR(ROUND(($AB44-AH44)*100,2)&amp;" pts.",0)</f>
        <v>0 pts.</v>
      </c>
      <c r="AO44" s="11"/>
    </row>
    <row r="45" spans="1:41" x14ac:dyDescent="0.25">
      <c r="A45" s="57" t="s">
        <v>0</v>
      </c>
      <c r="B45" s="58" t="s">
        <v>1</v>
      </c>
      <c r="C45" s="11"/>
      <c r="D45" s="11"/>
      <c r="E45" s="11"/>
      <c r="F45" s="11"/>
      <c r="G45" s="11"/>
      <c r="H45" s="11"/>
      <c r="I45" s="55"/>
      <c r="J45" s="55"/>
      <c r="K45" s="11"/>
      <c r="L45" s="11"/>
      <c r="M45" s="11"/>
      <c r="N45" s="11"/>
      <c r="O45" s="389"/>
      <c r="P45" s="390"/>
      <c r="Q45" s="390"/>
      <c r="R45" s="390"/>
      <c r="S45" s="390"/>
      <c r="T45" s="390"/>
      <c r="U45" s="390"/>
      <c r="V45" s="390"/>
      <c r="W45" s="390"/>
      <c r="X45" s="390"/>
      <c r="Y45" s="390"/>
      <c r="Z45" s="390"/>
      <c r="AA45" s="390"/>
      <c r="AB45" s="114"/>
      <c r="AC45" s="11"/>
      <c r="AD45" s="199"/>
      <c r="AE45" s="200"/>
      <c r="AF45" s="114"/>
      <c r="AG45" s="200"/>
      <c r="AH45" s="200"/>
      <c r="AI45" s="114"/>
      <c r="AJ45" s="11"/>
      <c r="AK45" s="11"/>
      <c r="AL45" s="11"/>
      <c r="AM45" s="11"/>
      <c r="AN45" s="11"/>
      <c r="AO45" s="11"/>
    </row>
    <row r="46" spans="1:41" x14ac:dyDescent="0.25">
      <c r="A46" s="61" t="s">
        <v>2</v>
      </c>
      <c r="B46" s="62" t="str">
        <f>IF(_epmOfflineCondition_,"'Parking'!$B$2:$B$10",_xll.EVRNG($B$2:$B$10))</f>
        <v>'Parking'!$B$2:$B$10</v>
      </c>
      <c r="C46" s="11"/>
      <c r="D46" s="11"/>
      <c r="E46" s="11"/>
      <c r="F46" s="11"/>
      <c r="G46" s="11"/>
      <c r="H46" s="11" t="s">
        <v>73</v>
      </c>
      <c r="I46" s="55" t="str">
        <f>IF(_epmOfflineCondition_,"B1",_xll.EVPRO($B$1,$H46,"STYLE"))</f>
        <v>B1</v>
      </c>
      <c r="J46" s="55" t="str">
        <f>IF(_epmOfflineCondition_,"Y",_xll.EVPRO($B$1,$H46,"CALC"))</f>
        <v>Y</v>
      </c>
      <c r="K46" s="11"/>
      <c r="L46" s="11"/>
      <c r="M46" s="11"/>
      <c r="N46" s="101" t="str">
        <f>IF(_epmOfflineCondition_,"Labor &amp; Related Expenses",IF(_xll.EVDES(H46,$B$1)="#NODATA","",_xll.EVDES(H46,$B$1)))</f>
        <v>Labor &amp; Related Expenses</v>
      </c>
      <c r="O46" s="199"/>
      <c r="P46" s="200"/>
      <c r="Q46" s="200"/>
      <c r="R46" s="200"/>
      <c r="S46" s="200"/>
      <c r="T46" s="200"/>
      <c r="U46" s="200"/>
      <c r="V46" s="200"/>
      <c r="W46" s="200"/>
      <c r="X46" s="200"/>
      <c r="Y46" s="200"/>
      <c r="Z46" s="200"/>
      <c r="AA46" s="200"/>
      <c r="AB46" s="406"/>
      <c r="AC46" s="11"/>
      <c r="AD46" s="407"/>
      <c r="AE46" s="408"/>
      <c r="AF46" s="114"/>
      <c r="AG46" s="200"/>
      <c r="AH46" s="408"/>
      <c r="AI46" s="114"/>
      <c r="AJ46" s="11"/>
      <c r="AK46" s="11"/>
      <c r="AL46" s="11"/>
      <c r="AM46" s="11"/>
      <c r="AN46" s="11"/>
      <c r="AO46" s="11"/>
    </row>
    <row r="47" spans="1:41" x14ac:dyDescent="0.25">
      <c r="A47" s="61" t="s">
        <v>3</v>
      </c>
      <c r="B47" s="62" t="str">
        <f>IF(_epmOfflineCondition_,"'Parking'!$O$16:$AN$18",_xll.EVRNG($O$16:$AN$18))</f>
        <v>'Parking'!$O$16:$AN$18</v>
      </c>
      <c r="C47" s="11"/>
      <c r="D47" s="11"/>
      <c r="E47" s="11"/>
      <c r="F47" s="11"/>
      <c r="G47" s="11"/>
      <c r="H47" s="11" t="s">
        <v>74</v>
      </c>
      <c r="I47" s="55" t="str">
        <f>IF(_epmOfflineCondition_,"B1",_xll.EVPRO($B$1,$H47,"STYLE"))</f>
        <v>B1</v>
      </c>
      <c r="J47" s="55" t="str">
        <f>IF(_epmOfflineCondition_,"Y",_xll.EVPRO($B$1,$H47,"CALC"))</f>
        <v>Y</v>
      </c>
      <c r="K47" s="11"/>
      <c r="L47" s="11"/>
      <c r="M47" s="11"/>
      <c r="N47" s="49" t="str">
        <f>IF(_epmOfflineCondition_,"Salaries &amp; Wages",IF(_xll.EVDES(H47,$B$1)="#NODATA","",_xll.EVDES(H47,$B$1)))</f>
        <v>Salaries &amp; Wages</v>
      </c>
      <c r="O47" s="115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7"/>
      <c r="AC47" s="11"/>
      <c r="AD47" s="115"/>
      <c r="AE47" s="116"/>
      <c r="AF47" s="117"/>
      <c r="AG47" s="116"/>
      <c r="AH47" s="116"/>
      <c r="AI47" s="117"/>
      <c r="AJ47" s="11"/>
      <c r="AK47" s="11"/>
      <c r="AL47" s="11"/>
      <c r="AM47" s="11"/>
      <c r="AN47" s="11"/>
      <c r="AO47" s="11"/>
    </row>
    <row r="48" spans="1:41" hidden="1" x14ac:dyDescent="0.25">
      <c r="A48" s="61" t="s">
        <v>4</v>
      </c>
      <c r="B48" s="62" t="str">
        <f>IF(_epmOfflineCondition_,"'Parking'!$H$41:$H$42",_xll.EVRNG(H41:H42))</f>
        <v>'Parking'!$H$41:$H$42</v>
      </c>
      <c r="C48" s="11"/>
      <c r="D48" s="11"/>
      <c r="E48" s="11"/>
      <c r="F48" s="11"/>
      <c r="G48" s="11"/>
      <c r="H48" s="84" t="s">
        <v>668</v>
      </c>
      <c r="I48" s="118" t="str">
        <f>IF(_epmOfflineCondition_,"",_xll.EVPRO($B$1,$H48,"STYLE"))</f>
        <v/>
      </c>
      <c r="J48" s="118" t="str">
        <f>IF(_epmOfflineCondition_,"",_xll.EVPRO($B$1,$H48,"CALC"))</f>
        <v/>
      </c>
      <c r="K48" s="175" t="str">
        <f t="shared" ref="K48:K57" si="1">IF(AND(I48&gt;="T3"),"&gt;","")</f>
        <v/>
      </c>
      <c r="L48" s="86" t="str">
        <f>IF(_epmOfflineCondition_,"",_xll.EVPRO($B$1,H48,"JDEID"))</f>
        <v/>
      </c>
      <c r="M48" s="86" t="str">
        <f>IF(_epmOfflineCondition_,"",IF(AND(I48="N",J48="N"),_xll.EVPRO($B$1,H48,"PSFTID"),""))</f>
        <v/>
      </c>
      <c r="N48" s="86" t="str">
        <f>IF(_epmOfflineCondition_,"",IF(_xll.EVDES(H48,$B$1)="#NODATA","",_xll.EVDES(H48,$B$1)))</f>
        <v/>
      </c>
      <c r="O48" s="248"/>
      <c r="P48" s="248"/>
      <c r="Q48" s="248"/>
      <c r="R48" s="248"/>
      <c r="S48" s="248"/>
      <c r="T48" s="248"/>
      <c r="U48" s="248"/>
      <c r="V48" s="248"/>
      <c r="W48" s="248"/>
      <c r="X48" s="248"/>
      <c r="Y48" s="248"/>
      <c r="Z48" s="248"/>
      <c r="AA48" s="229">
        <f t="shared" ref="AA48:AA57" si="2">IF($I48="B1","",SUM(O48:Z48))</f>
        <v>0</v>
      </c>
      <c r="AB48" s="249" t="str">
        <f t="shared" ref="AB48:AB57" si="3">IF(AA48=0,"",IFERROR(AA48/AA$19,""))</f>
        <v/>
      </c>
      <c r="AC48" s="136"/>
      <c r="AD48" s="248"/>
      <c r="AE48" s="249" t="str">
        <f t="shared" ref="AE48:AE57" si="4">IF(AD48=0,"",IFERROR(AD48/AD$19,""))</f>
        <v/>
      </c>
      <c r="AF48" s="250">
        <f t="shared" ref="AF48:AF57" si="5">IF(AND($AA48="",AD48=""),"",$AA48-AD48)</f>
        <v>0</v>
      </c>
      <c r="AG48" s="248"/>
      <c r="AH48" s="249" t="str">
        <f t="shared" ref="AH48:AH57" si="6">IF(AG48=0,"",IFERROR(AG48/AG$19,""))</f>
        <v/>
      </c>
      <c r="AI48" s="250">
        <f t="shared" ref="AI48:AI57" si="7">IF(AND($AA48="",AG48=""),"",$AA48-AG48)</f>
        <v>0</v>
      </c>
      <c r="AJ48" s="458">
        <f t="shared" ref="AJ48:AJ57" si="8">IFERROR(AA48/AA$20,0)</f>
        <v>0</v>
      </c>
      <c r="AK48" s="459">
        <f t="shared" ref="AK48:AK57" si="9">IFERROR(AD48/AD$20,0)</f>
        <v>0</v>
      </c>
      <c r="AL48" s="460">
        <f t="shared" ref="AL48:AL57" si="10">IFERROR(AG48/AG$20,0)</f>
        <v>0</v>
      </c>
      <c r="AM48" s="461">
        <f t="shared" ref="AM48:AM57" si="11">+IFERROR(ROUND(($AB48-AE48)*100,2)&amp;" pts.",0)</f>
        <v>0</v>
      </c>
      <c r="AN48" s="462">
        <f t="shared" ref="AN48:AN57" si="12">+IFERROR(ROUND(($AB48-AH48)*100,2)&amp;" pts.",0)</f>
        <v>0</v>
      </c>
      <c r="AO48" s="11"/>
    </row>
    <row r="49" spans="1:41" hidden="1" x14ac:dyDescent="0.25">
      <c r="A49" s="61" t="s">
        <v>5</v>
      </c>
      <c r="B49" s="62"/>
      <c r="C49" s="11"/>
      <c r="D49" s="11"/>
      <c r="E49" s="11"/>
      <c r="F49" s="380"/>
      <c r="G49" s="11"/>
      <c r="H49" s="84"/>
      <c r="I49" s="118" t="str">
        <f>IF(_epmOfflineCondition_,"",_xll.EVPRO($B$1,$H49,"STYLE"))</f>
        <v/>
      </c>
      <c r="J49" s="118" t="str">
        <f>IF(_epmOfflineCondition_,"",_xll.EVPRO($B$1,$H49,"CALC"))</f>
        <v/>
      </c>
      <c r="K49" s="175" t="str">
        <f t="shared" si="1"/>
        <v/>
      </c>
      <c r="L49" s="86" t="str">
        <f>IF(_epmOfflineCondition_,"",_xll.EVPRO($B$1,H49,"JDEID"))</f>
        <v/>
      </c>
      <c r="M49" s="86" t="str">
        <f>IF(_epmOfflineCondition_,"",IF(AND(I49="N",J49="N"),_xll.EVPRO($B$1,H49,"PSFTID"),""))</f>
        <v/>
      </c>
      <c r="N49" s="86" t="str">
        <f>IF(_epmOfflineCondition_,"",IF(_xll.EVDES(H49,$B$1)="#NODATA","",_xll.EVDES(H49,$B$1)))</f>
        <v/>
      </c>
      <c r="O49" s="248"/>
      <c r="P49" s="248"/>
      <c r="Q49" s="248"/>
      <c r="R49" s="248"/>
      <c r="S49" s="248"/>
      <c r="T49" s="248"/>
      <c r="U49" s="248"/>
      <c r="V49" s="248"/>
      <c r="W49" s="248"/>
      <c r="X49" s="248"/>
      <c r="Y49" s="248"/>
      <c r="Z49" s="248"/>
      <c r="AA49" s="229">
        <f t="shared" si="2"/>
        <v>0</v>
      </c>
      <c r="AB49" s="249" t="str">
        <f t="shared" si="3"/>
        <v/>
      </c>
      <c r="AC49" s="136"/>
      <c r="AD49" s="248"/>
      <c r="AE49" s="249" t="str">
        <f t="shared" si="4"/>
        <v/>
      </c>
      <c r="AF49" s="250">
        <f t="shared" si="5"/>
        <v>0</v>
      </c>
      <c r="AG49" s="248"/>
      <c r="AH49" s="249" t="str">
        <f t="shared" si="6"/>
        <v/>
      </c>
      <c r="AI49" s="250">
        <f t="shared" si="7"/>
        <v>0</v>
      </c>
      <c r="AJ49" s="458">
        <f t="shared" si="8"/>
        <v>0</v>
      </c>
      <c r="AK49" s="459">
        <f t="shared" si="9"/>
        <v>0</v>
      </c>
      <c r="AL49" s="460">
        <f t="shared" si="10"/>
        <v>0</v>
      </c>
      <c r="AM49" s="461">
        <f t="shared" si="11"/>
        <v>0</v>
      </c>
      <c r="AN49" s="462">
        <f t="shared" si="12"/>
        <v>0</v>
      </c>
      <c r="AO49" s="11"/>
    </row>
    <row r="50" spans="1:41" x14ac:dyDescent="0.25">
      <c r="A50" s="61" t="s">
        <v>6</v>
      </c>
      <c r="B50" s="62"/>
      <c r="C50" s="11"/>
      <c r="D50" s="11"/>
      <c r="E50" s="11"/>
      <c r="F50" s="380"/>
      <c r="G50" s="11"/>
      <c r="H50" s="84" t="s">
        <v>75</v>
      </c>
      <c r="I50" s="85" t="str">
        <f>IF(_epmOfflineCondition_,"B1",_xll.EVPRO($B$1,$H50,"STYLE"))</f>
        <v>B1</v>
      </c>
      <c r="J50" s="85" t="str">
        <f>IF(_epmOfflineCondition_,"Y",_xll.EVPRO($B$1,$H50,"CALC"))</f>
        <v>Y</v>
      </c>
      <c r="K50" s="261" t="str">
        <f t="shared" si="1"/>
        <v/>
      </c>
      <c r="L50" s="102" t="str">
        <f>IF(_epmOfflineCondition_,"",_xll.EVPRO($B$1,H50,"JDEID"))</f>
        <v/>
      </c>
      <c r="M50" s="86" t="str">
        <f>IF(_epmOfflineCondition_,"",IF(AND(I50="N",J50="N"),_xll.EVPRO($B$1,H50,"PSFTID"),""))</f>
        <v/>
      </c>
      <c r="N50" s="102" t="str">
        <f>IF(_epmOfflineCondition_,"Non-Management",IF(_xll.EVDES(H50,$B$1)="#NODATA","",_xll.EVDES(H50,$B$1)))</f>
        <v>Non-Management</v>
      </c>
      <c r="O50" s="193"/>
      <c r="P50" s="193"/>
      <c r="Q50" s="193"/>
      <c r="R50" s="193"/>
      <c r="S50" s="193"/>
      <c r="T50" s="193"/>
      <c r="U50" s="193"/>
      <c r="V50" s="193"/>
      <c r="W50" s="193"/>
      <c r="X50" s="193"/>
      <c r="Y50" s="193"/>
      <c r="Z50" s="193"/>
      <c r="AA50" s="176" t="str">
        <f t="shared" si="2"/>
        <v/>
      </c>
      <c r="AB50" s="194" t="str">
        <f t="shared" si="3"/>
        <v/>
      </c>
      <c r="AC50" s="11"/>
      <c r="AD50" s="193"/>
      <c r="AE50" s="194" t="str">
        <f t="shared" si="4"/>
        <v/>
      </c>
      <c r="AF50" s="195" t="str">
        <f t="shared" si="5"/>
        <v/>
      </c>
      <c r="AG50" s="193"/>
      <c r="AH50" s="194" t="str">
        <f t="shared" si="6"/>
        <v/>
      </c>
      <c r="AI50" s="195" t="str">
        <f t="shared" si="7"/>
        <v/>
      </c>
      <c r="AJ50" s="393">
        <f t="shared" si="8"/>
        <v>0</v>
      </c>
      <c r="AK50" s="394">
        <f t="shared" si="9"/>
        <v>0</v>
      </c>
      <c r="AL50" s="395">
        <f t="shared" si="10"/>
        <v>0</v>
      </c>
      <c r="AM50" s="396">
        <f t="shared" si="11"/>
        <v>0</v>
      </c>
      <c r="AN50" s="397">
        <f t="shared" si="12"/>
        <v>0</v>
      </c>
      <c r="AO50" s="11"/>
    </row>
    <row r="51" spans="1:41" x14ac:dyDescent="0.25">
      <c r="A51" s="61" t="s">
        <v>7</v>
      </c>
      <c r="B51" s="62" t="str">
        <f>IF(_epmOfflineCondition_,"'Parking'!$A$65:$F$68",_xll.EVRNG(A65:F68))</f>
        <v>'Parking'!$A$65:$F$68</v>
      </c>
      <c r="C51" s="11"/>
      <c r="D51" s="11"/>
      <c r="E51" s="11"/>
      <c r="F51" s="380"/>
      <c r="G51" s="11"/>
      <c r="H51" s="84" t="s">
        <v>857</v>
      </c>
      <c r="I51" s="118" t="str">
        <f>IF(_epmOfflineCondition_,"T3",_xll.EVPRO($B$1,$H51,"STYLE"))</f>
        <v>T3</v>
      </c>
      <c r="J51" s="118" t="str">
        <f>IF(_epmOfflineCondition_,"Y",_xll.EVPRO($B$1,$H51,"CALC"))</f>
        <v>Y</v>
      </c>
      <c r="K51" s="175" t="str">
        <f t="shared" si="1"/>
        <v>&gt;</v>
      </c>
      <c r="L51" s="86" t="str">
        <f>IF(_epmOfflineCondition_,"",_xll.EVPRO($B$1,H51,"JDEID"))</f>
        <v/>
      </c>
      <c r="M51" s="86" t="str">
        <f>IF(_epmOfflineCondition_,"",IF(AND(I51="N",J51="N"),_xll.EVPRO($B$1,H51,"PSFTID"),""))</f>
        <v/>
      </c>
      <c r="N51" s="86" t="str">
        <f>IF(_epmOfflineCondition_,"Non-Mgmt. (Parking)",IF(_xll.EVDES(H51,$B$1)="#NODATA","",_xll.EVDES(H51,$B$1)))</f>
        <v>Non-Mgmt. (Parking)</v>
      </c>
      <c r="O51" s="248">
        <v>9302.61</v>
      </c>
      <c r="P51" s="248">
        <v>14993.61</v>
      </c>
      <c r="Q51" s="248">
        <v>15425.48</v>
      </c>
      <c r="R51" s="248">
        <v>12275.29</v>
      </c>
      <c r="S51" s="248">
        <v>14936.85</v>
      </c>
      <c r="T51" s="248">
        <v>13330.47</v>
      </c>
      <c r="U51" s="248">
        <v>13115.29</v>
      </c>
      <c r="V51" s="248">
        <v>17479.04</v>
      </c>
      <c r="W51" s="248">
        <v>9804.3700000000008</v>
      </c>
      <c r="X51" s="248">
        <v>8377.48</v>
      </c>
      <c r="Y51" s="248">
        <v>5967.84</v>
      </c>
      <c r="Z51" s="248">
        <v>22667.200000000001</v>
      </c>
      <c r="AA51" s="229">
        <f t="shared" si="2"/>
        <v>157675.53000000003</v>
      </c>
      <c r="AB51" s="249">
        <f t="shared" si="3"/>
        <v>0.68025335237475482</v>
      </c>
      <c r="AC51" s="136"/>
      <c r="AD51" s="248">
        <v>108620.714285714</v>
      </c>
      <c r="AE51" s="249">
        <f t="shared" si="4"/>
        <v>0.37724319526932387</v>
      </c>
      <c r="AF51" s="250">
        <f t="shared" si="5"/>
        <v>49054.815714286029</v>
      </c>
      <c r="AG51" s="248">
        <v>83917.61</v>
      </c>
      <c r="AH51" s="249">
        <f t="shared" si="6"/>
        <v>0.93033786017528364</v>
      </c>
      <c r="AI51" s="250">
        <f t="shared" si="7"/>
        <v>73757.920000000027</v>
      </c>
      <c r="AJ51" s="467">
        <f t="shared" si="8"/>
        <v>4.7951928106562871</v>
      </c>
      <c r="AK51" s="468">
        <f t="shared" si="9"/>
        <v>2.985233724116803</v>
      </c>
      <c r="AL51" s="469">
        <f t="shared" si="10"/>
        <v>5.5281693017127802</v>
      </c>
      <c r="AM51" s="470" t="str">
        <f t="shared" si="11"/>
        <v>30.3 pts.</v>
      </c>
      <c r="AN51" s="471" t="str">
        <f t="shared" si="12"/>
        <v>-25.01 pts.</v>
      </c>
      <c r="AO51" s="11"/>
    </row>
    <row r="52" spans="1:41" x14ac:dyDescent="0.25">
      <c r="A52" s="61" t="s">
        <v>47</v>
      </c>
      <c r="B52" s="62" t="str">
        <f>IF(_epmOfflineCondition_,"'Parking'!$A$116:$B$137",_xll.EVRNG($A$116:$B$137))</f>
        <v>'Parking'!$A$116:$B$137</v>
      </c>
      <c r="C52" s="11"/>
      <c r="D52" s="11"/>
      <c r="E52" s="11"/>
      <c r="F52" s="11"/>
      <c r="G52" s="11"/>
      <c r="H52" s="84" t="s">
        <v>812</v>
      </c>
      <c r="I52" s="184" t="str">
        <f>IF(_epmOfflineCondition_,"T2",_xll.EVPRO($B$1,$H52,"STYLE"))</f>
        <v>T2</v>
      </c>
      <c r="J52" s="184" t="str">
        <f>IF(_epmOfflineCondition_,"Y",_xll.EVPRO($B$1,$H52,"CALC"))</f>
        <v>Y</v>
      </c>
      <c r="K52" s="185" t="str">
        <f t="shared" si="1"/>
        <v/>
      </c>
      <c r="L52" s="186" t="str">
        <f>IF(_epmOfflineCondition_,"",_xll.EVPRO($B$1,H52,"JDEID"))</f>
        <v/>
      </c>
      <c r="M52" s="186" t="str">
        <f>IF(_epmOfflineCondition_,"",IF(AND(I52="N",J52="N"),_xll.EVPRO($B$1,H52,"PSFTID"),""))</f>
        <v/>
      </c>
      <c r="N52" s="186" t="str">
        <f>IF(_epmOfflineCondition_,"Total Salaries and Wages",IF(_xll.EVDES(H52,$B$1)="#NODATA","",_xll.EVDES(H52,$B$1)))</f>
        <v>Total Salaries and Wages</v>
      </c>
      <c r="O52" s="210">
        <v>9302.61</v>
      </c>
      <c r="P52" s="210">
        <v>14993.61</v>
      </c>
      <c r="Q52" s="210">
        <v>15425.48</v>
      </c>
      <c r="R52" s="210">
        <v>12275.29</v>
      </c>
      <c r="S52" s="210">
        <v>14936.85</v>
      </c>
      <c r="T52" s="210">
        <v>13330.47</v>
      </c>
      <c r="U52" s="210">
        <v>13115.29</v>
      </c>
      <c r="V52" s="210">
        <v>17479.04</v>
      </c>
      <c r="W52" s="210">
        <v>9804.3700000000008</v>
      </c>
      <c r="X52" s="210">
        <v>8377.48</v>
      </c>
      <c r="Y52" s="210">
        <v>5967.84</v>
      </c>
      <c r="Z52" s="210">
        <v>22667.200000000001</v>
      </c>
      <c r="AA52" s="210">
        <f t="shared" si="2"/>
        <v>157675.53000000003</v>
      </c>
      <c r="AB52" s="211">
        <f t="shared" si="3"/>
        <v>0.68025335237475482</v>
      </c>
      <c r="AC52" s="251"/>
      <c r="AD52" s="210">
        <v>108620.714285714</v>
      </c>
      <c r="AE52" s="211">
        <f t="shared" si="4"/>
        <v>0.37724319526932387</v>
      </c>
      <c r="AF52" s="252">
        <f t="shared" si="5"/>
        <v>49054.815714286029</v>
      </c>
      <c r="AG52" s="210">
        <v>83917.61</v>
      </c>
      <c r="AH52" s="211">
        <f t="shared" si="6"/>
        <v>0.93033786017528364</v>
      </c>
      <c r="AI52" s="252">
        <f t="shared" si="7"/>
        <v>73757.920000000027</v>
      </c>
      <c r="AJ52" s="253">
        <f t="shared" si="8"/>
        <v>4.7951928106562871</v>
      </c>
      <c r="AK52" s="254">
        <f t="shared" si="9"/>
        <v>2.985233724116803</v>
      </c>
      <c r="AL52" s="256">
        <f t="shared" si="10"/>
        <v>5.5281693017127802</v>
      </c>
      <c r="AM52" s="427" t="str">
        <f t="shared" si="11"/>
        <v>30.3 pts.</v>
      </c>
      <c r="AN52" s="483" t="str">
        <f t="shared" si="12"/>
        <v>-25.01 pts.</v>
      </c>
      <c r="AO52" s="11"/>
    </row>
    <row r="53" spans="1:41" x14ac:dyDescent="0.25">
      <c r="A53" s="61" t="s">
        <v>8</v>
      </c>
      <c r="B53" s="62"/>
      <c r="C53" s="11"/>
      <c r="D53" s="11"/>
      <c r="E53" s="11"/>
      <c r="F53" s="11"/>
      <c r="G53" s="11"/>
      <c r="H53" s="84" t="s">
        <v>814</v>
      </c>
      <c r="I53" s="184" t="str">
        <f>IF(_epmOfflineCondition_,"T2",_xll.EVPRO($B$1,$H53,"STYLE"))</f>
        <v>T2</v>
      </c>
      <c r="J53" s="184" t="str">
        <f>IF(_epmOfflineCondition_,"Y",_xll.EVPRO($B$1,$H53,"CALC"))</f>
        <v>Y</v>
      </c>
      <c r="K53" s="185" t="str">
        <f t="shared" si="1"/>
        <v/>
      </c>
      <c r="L53" s="186" t="str">
        <f>IF(_epmOfflineCondition_,"",_xll.EVPRO($B$1,H53,"JDEID"))</f>
        <v/>
      </c>
      <c r="M53" s="186" t="str">
        <f>IF(_epmOfflineCondition_,"",IF(AND(I53="N",J53="N"),_xll.EVPRO($B$1,H53,"PSFTID"),""))</f>
        <v/>
      </c>
      <c r="N53" s="186" t="str">
        <f>IF(_epmOfflineCondition_,"Total Labor Expense",IF(_xll.EVDES(H53,$B$1)="#NODATA","",_xll.EVDES(H53,$B$1)))</f>
        <v>Total Labor Expense</v>
      </c>
      <c r="O53" s="572">
        <v>9302.61</v>
      </c>
      <c r="P53" s="572">
        <v>14993.61</v>
      </c>
      <c r="Q53" s="572">
        <v>15425.48</v>
      </c>
      <c r="R53" s="572">
        <v>12275.29</v>
      </c>
      <c r="S53" s="572">
        <v>14936.85</v>
      </c>
      <c r="T53" s="572">
        <v>13330.47</v>
      </c>
      <c r="U53" s="572">
        <v>13115.29</v>
      </c>
      <c r="V53" s="572">
        <v>17479.04</v>
      </c>
      <c r="W53" s="572">
        <v>9804.3700000000008</v>
      </c>
      <c r="X53" s="572">
        <v>8377.48</v>
      </c>
      <c r="Y53" s="572">
        <v>5967.84</v>
      </c>
      <c r="Z53" s="572">
        <v>22667.200000000001</v>
      </c>
      <c r="AA53" s="573">
        <f t="shared" si="2"/>
        <v>157675.53000000003</v>
      </c>
      <c r="AB53" s="574">
        <f t="shared" si="3"/>
        <v>0.68025335237475482</v>
      </c>
      <c r="AC53" s="575"/>
      <c r="AD53" s="572">
        <v>108620.714285714</v>
      </c>
      <c r="AE53" s="574">
        <f t="shared" si="4"/>
        <v>0.37724319526932387</v>
      </c>
      <c r="AF53" s="576">
        <f t="shared" si="5"/>
        <v>49054.815714286029</v>
      </c>
      <c r="AG53" s="572">
        <v>83917.61</v>
      </c>
      <c r="AH53" s="574">
        <f t="shared" si="6"/>
        <v>0.93033786017528364</v>
      </c>
      <c r="AI53" s="576">
        <f t="shared" si="7"/>
        <v>73757.920000000027</v>
      </c>
      <c r="AJ53" s="577">
        <f t="shared" si="8"/>
        <v>4.7951928106562871</v>
      </c>
      <c r="AK53" s="578">
        <f t="shared" si="9"/>
        <v>2.985233724116803</v>
      </c>
      <c r="AL53" s="579">
        <f t="shared" si="10"/>
        <v>5.5281693017127802</v>
      </c>
      <c r="AM53" s="580" t="str">
        <f t="shared" si="11"/>
        <v>30.3 pts.</v>
      </c>
      <c r="AN53" s="581" t="str">
        <f t="shared" si="12"/>
        <v>-25.01 pts.</v>
      </c>
      <c r="AO53" s="11"/>
    </row>
    <row r="54" spans="1:41" x14ac:dyDescent="0.25">
      <c r="A54" s="11"/>
      <c r="B54" s="11"/>
      <c r="C54" s="11"/>
      <c r="D54" s="11"/>
      <c r="E54" s="11"/>
      <c r="F54" s="11"/>
      <c r="G54" s="11"/>
      <c r="H54" s="84" t="s">
        <v>815</v>
      </c>
      <c r="I54" s="118" t="str">
        <f>IF(_epmOfflineCondition_,"T3",_xll.EVPRO($B$1,$H54,"STYLE"))</f>
        <v>T3</v>
      </c>
      <c r="J54" s="118" t="str">
        <f>IF(_epmOfflineCondition_,"Y",_xll.EVPRO($B$1,$H54,"CALC"))</f>
        <v>Y</v>
      </c>
      <c r="K54" s="175" t="str">
        <f t="shared" si="1"/>
        <v>&gt;</v>
      </c>
      <c r="L54" s="86" t="str">
        <f>IF(_epmOfflineCondition_,"",_xll.EVPRO($B$1,H54,"JDEID"))</f>
        <v/>
      </c>
      <c r="M54" s="86" t="str">
        <f>IF(_epmOfflineCondition_,"",IF(AND(I54="N",J54="N"),_xll.EVPRO($B$1,H54,"PSFTID"),""))</f>
        <v/>
      </c>
      <c r="N54" s="86" t="str">
        <f>IF(_epmOfflineCondition_,"Payroll Taxes",IF(_xll.EVDES(H54,$B$1)="#NODATA","",_xll.EVDES(H54,$B$1)))</f>
        <v>Payroll Taxes</v>
      </c>
      <c r="O54" s="248">
        <v>2835.18</v>
      </c>
      <c r="P54" s="248">
        <v>1616.5</v>
      </c>
      <c r="Q54" s="248">
        <v>7553.12</v>
      </c>
      <c r="R54" s="248">
        <v>3716.68</v>
      </c>
      <c r="S54" s="248">
        <v>4488.6499999999996</v>
      </c>
      <c r="T54" s="248">
        <v>4098.04</v>
      </c>
      <c r="U54" s="248">
        <v>3985.38</v>
      </c>
      <c r="V54" s="248">
        <v>5376.91</v>
      </c>
      <c r="W54" s="248">
        <v>3063.46</v>
      </c>
      <c r="X54" s="248">
        <v>2647.54</v>
      </c>
      <c r="Y54" s="248">
        <v>1927.75</v>
      </c>
      <c r="Z54" s="248">
        <v>6347.22</v>
      </c>
      <c r="AA54" s="248">
        <f t="shared" si="2"/>
        <v>47656.43</v>
      </c>
      <c r="AB54" s="249">
        <f t="shared" si="3"/>
        <v>0.20560226605683729</v>
      </c>
      <c r="AC54" s="136"/>
      <c r="AD54" s="248">
        <v>33036.9999999996</v>
      </c>
      <c r="AE54" s="249">
        <f t="shared" si="4"/>
        <v>0.11473855170322386</v>
      </c>
      <c r="AF54" s="250">
        <f t="shared" si="5"/>
        <v>14619.4300000004</v>
      </c>
      <c r="AG54" s="248">
        <v>25174.95</v>
      </c>
      <c r="AH54" s="249">
        <f t="shared" si="6"/>
        <v>0.27909766630650895</v>
      </c>
      <c r="AI54" s="250">
        <f t="shared" si="7"/>
        <v>22481.48</v>
      </c>
      <c r="AJ54" s="532">
        <f t="shared" si="8"/>
        <v>1.4493166474058756</v>
      </c>
      <c r="AK54" s="533">
        <f t="shared" si="9"/>
        <v>0.90795910515032152</v>
      </c>
      <c r="AL54" s="534">
        <f t="shared" si="10"/>
        <v>1.6584288537549408</v>
      </c>
      <c r="AM54" s="535" t="str">
        <f t="shared" si="11"/>
        <v>9.09 pts.</v>
      </c>
      <c r="AN54" s="536" t="str">
        <f t="shared" si="12"/>
        <v>-7.35 pts.</v>
      </c>
      <c r="AO54" s="11"/>
    </row>
    <row r="55" spans="1:41" x14ac:dyDescent="0.25">
      <c r="A55" s="57" t="s">
        <v>9</v>
      </c>
      <c r="B55" s="58" t="s">
        <v>10</v>
      </c>
      <c r="C55" s="11"/>
      <c r="D55" s="11"/>
      <c r="E55" s="11"/>
      <c r="F55" s="11"/>
      <c r="G55" s="11"/>
      <c r="H55" s="84" t="s">
        <v>817</v>
      </c>
      <c r="I55" s="118" t="str">
        <f>IF(_epmOfflineCondition_,"T3",_xll.EVPRO($B$1,$H55,"STYLE"))</f>
        <v>T3</v>
      </c>
      <c r="J55" s="118" t="str">
        <f>IF(_epmOfflineCondition_,"Y",_xll.EVPRO($B$1,$H55,"CALC"))</f>
        <v>Y</v>
      </c>
      <c r="K55" s="175" t="str">
        <f t="shared" si="1"/>
        <v>&gt;</v>
      </c>
      <c r="L55" s="86" t="str">
        <f>IF(_epmOfflineCondition_,"",_xll.EVPRO($B$1,H55,"JDEID"))</f>
        <v/>
      </c>
      <c r="M55" s="86" t="str">
        <f>IF(_epmOfflineCondition_,"",IF(AND(I55="N",J55="N"),_xll.EVPRO($B$1,H55,"PSFTID"),""))</f>
        <v/>
      </c>
      <c r="N55" s="86" t="str">
        <f>IF(_epmOfflineCondition_,"Employee Benefits",IF(_xll.EVDES(H55,$B$1)="#NODATA","",_xll.EVDES(H55,$B$1)))</f>
        <v>Employee Benefits</v>
      </c>
      <c r="O55" s="248">
        <v>975.76</v>
      </c>
      <c r="P55" s="248">
        <v>806.42</v>
      </c>
      <c r="Q55" s="248">
        <v>2319.85</v>
      </c>
      <c r="R55" s="248">
        <v>1261.9000000000001</v>
      </c>
      <c r="S55" s="248">
        <v>1523.9</v>
      </c>
      <c r="T55" s="248">
        <v>1366.41</v>
      </c>
      <c r="U55" s="248">
        <v>1361.39</v>
      </c>
      <c r="V55" s="248">
        <v>1866.13</v>
      </c>
      <c r="W55" s="248">
        <v>1064.01</v>
      </c>
      <c r="X55" s="248">
        <v>882.81</v>
      </c>
      <c r="Y55" s="248">
        <v>680.85</v>
      </c>
      <c r="Z55" s="248">
        <v>968.31</v>
      </c>
      <c r="AA55" s="229">
        <f t="shared" si="2"/>
        <v>15077.739999999998</v>
      </c>
      <c r="AB55" s="249">
        <f t="shared" si="3"/>
        <v>6.5049302077722096E-2</v>
      </c>
      <c r="AC55" s="136"/>
      <c r="AD55" s="248">
        <v>11352</v>
      </c>
      <c r="AE55" s="249">
        <f t="shared" si="4"/>
        <v>3.9425857037110303E-2</v>
      </c>
      <c r="AF55" s="250">
        <f t="shared" si="5"/>
        <v>3725.739999999998</v>
      </c>
      <c r="AG55" s="248">
        <v>8561.15</v>
      </c>
      <c r="AH55" s="249">
        <f t="shared" si="6"/>
        <v>9.4911687447242946E-2</v>
      </c>
      <c r="AI55" s="250">
        <f t="shared" si="7"/>
        <v>6516.5899999999983</v>
      </c>
      <c r="AJ55" s="467">
        <f t="shared" si="8"/>
        <v>0.45854084301441511</v>
      </c>
      <c r="AK55" s="468">
        <f t="shared" si="9"/>
        <v>0.31198812730170944</v>
      </c>
      <c r="AL55" s="469">
        <f t="shared" si="10"/>
        <v>0.56397562582345184</v>
      </c>
      <c r="AM55" s="470" t="str">
        <f t="shared" si="11"/>
        <v>2.56 pts.</v>
      </c>
      <c r="AN55" s="471" t="str">
        <f t="shared" si="12"/>
        <v>-2.99 pts.</v>
      </c>
      <c r="AO55" s="11"/>
    </row>
    <row r="56" spans="1:41" x14ac:dyDescent="0.25">
      <c r="A56" s="61" t="s">
        <v>11</v>
      </c>
      <c r="B56" s="62" t="s">
        <v>21</v>
      </c>
      <c r="C56" s="11"/>
      <c r="D56" s="11"/>
      <c r="E56" s="11"/>
      <c r="F56" s="11"/>
      <c r="G56" s="72"/>
      <c r="H56" s="84" t="s">
        <v>818</v>
      </c>
      <c r="I56" s="184" t="str">
        <f>IF(_epmOfflineCondition_,"T2",_xll.EVPRO($B$1,$H56,"STYLE"))</f>
        <v>T2</v>
      </c>
      <c r="J56" s="184" t="str">
        <f>IF(_epmOfflineCondition_,"Y",_xll.EVPRO($B$1,$H56,"CALC"))</f>
        <v>Y</v>
      </c>
      <c r="K56" s="185" t="str">
        <f t="shared" si="1"/>
        <v/>
      </c>
      <c r="L56" s="186" t="str">
        <f>IF(_epmOfflineCondition_,"",_xll.EVPRO($B$1,H56,"JDEID"))</f>
        <v/>
      </c>
      <c r="M56" s="186" t="str">
        <f>IF(_epmOfflineCondition_,"",IF(AND(I56="N",J56="N"),_xll.EVPRO($B$1,H56,"PSFTID"),""))</f>
        <v/>
      </c>
      <c r="N56" s="186" t="str">
        <f>IF(_epmOfflineCondition_,"Total Payroll Related",IF(_xll.EVDES(H56,$B$1)="#NODATA","",_xll.EVDES(H56,$B$1)))</f>
        <v>Total Payroll Related</v>
      </c>
      <c r="O56" s="210">
        <v>3810.94</v>
      </c>
      <c r="P56" s="210">
        <v>2422.92</v>
      </c>
      <c r="Q56" s="210">
        <v>9872.9699999999993</v>
      </c>
      <c r="R56" s="210">
        <v>4978.58</v>
      </c>
      <c r="S56" s="210">
        <v>6012.55</v>
      </c>
      <c r="T56" s="210">
        <v>5464.45</v>
      </c>
      <c r="U56" s="210">
        <v>5346.77</v>
      </c>
      <c r="V56" s="210">
        <v>7243.04</v>
      </c>
      <c r="W56" s="210">
        <v>4127.47</v>
      </c>
      <c r="X56" s="210">
        <v>3530.35</v>
      </c>
      <c r="Y56" s="210">
        <v>2608.6</v>
      </c>
      <c r="Z56" s="210">
        <v>7315.53</v>
      </c>
      <c r="AA56" s="210">
        <f t="shared" si="2"/>
        <v>62734.17</v>
      </c>
      <c r="AB56" s="211">
        <f t="shared" si="3"/>
        <v>0.27065156813455937</v>
      </c>
      <c r="AC56" s="251"/>
      <c r="AD56" s="210">
        <v>44388.9999999996</v>
      </c>
      <c r="AE56" s="211">
        <f t="shared" si="4"/>
        <v>0.15416440874033416</v>
      </c>
      <c r="AF56" s="252">
        <f t="shared" si="5"/>
        <v>18345.170000000398</v>
      </c>
      <c r="AG56" s="210">
        <v>33736.1</v>
      </c>
      <c r="AH56" s="211">
        <f t="shared" si="6"/>
        <v>0.37400935375375188</v>
      </c>
      <c r="AI56" s="252">
        <f t="shared" si="7"/>
        <v>28998.07</v>
      </c>
      <c r="AJ56" s="253">
        <f t="shared" si="8"/>
        <v>1.9078574904202907</v>
      </c>
      <c r="AK56" s="254">
        <f t="shared" si="9"/>
        <v>1.2199472324520311</v>
      </c>
      <c r="AL56" s="256">
        <f t="shared" si="10"/>
        <v>2.2224044795783926</v>
      </c>
      <c r="AM56" s="427" t="str">
        <f t="shared" si="11"/>
        <v>11.65 pts.</v>
      </c>
      <c r="AN56" s="483" t="str">
        <f t="shared" si="12"/>
        <v>-10.34 pts.</v>
      </c>
      <c r="AO56" s="11"/>
    </row>
    <row r="57" spans="1:41" x14ac:dyDescent="0.25">
      <c r="A57" s="61" t="s">
        <v>12</v>
      </c>
      <c r="B57" s="62" t="s">
        <v>22</v>
      </c>
      <c r="C57" s="11"/>
      <c r="D57" s="11"/>
      <c r="E57" s="11"/>
      <c r="F57" s="11"/>
      <c r="G57" s="11"/>
      <c r="H57" s="84" t="s">
        <v>76</v>
      </c>
      <c r="I57" s="184" t="str">
        <f>IF(_epmOfflineCondition_,"T1",_xll.EVPRO($B$1,$H57,"STYLE"))</f>
        <v>T1</v>
      </c>
      <c r="J57" s="184" t="str">
        <f>IF(_epmOfflineCondition_,"Y",_xll.EVPRO($B$1,$H57,"CALC"))</f>
        <v>Y</v>
      </c>
      <c r="K57" s="185" t="str">
        <f t="shared" si="1"/>
        <v/>
      </c>
      <c r="L57" s="186" t="str">
        <f>IF(_epmOfflineCondition_,"600000",_xll.EVPRO($B$1,H57,"JDEID"))</f>
        <v>600000</v>
      </c>
      <c r="M57" s="186" t="str">
        <f>IF(_epmOfflineCondition_,"",IF(AND(I57="N",J57="N"),_xll.EVPRO($B$1,H57,"PSFTID"),""))</f>
        <v/>
      </c>
      <c r="N57" s="186" t="str">
        <f>IF(_epmOfflineCondition_,"Total Labor &amp; Related Exp",IF(_xll.EVDES(H57,$B$1)="#NODATA","",_xll.EVDES(H57,$B$1)))</f>
        <v>Total Labor &amp; Related Exp</v>
      </c>
      <c r="O57" s="210">
        <v>13113.55</v>
      </c>
      <c r="P57" s="210">
        <v>17416.53</v>
      </c>
      <c r="Q57" s="210">
        <v>25298.45</v>
      </c>
      <c r="R57" s="210">
        <v>17253.87</v>
      </c>
      <c r="S57" s="210">
        <v>20949.400000000001</v>
      </c>
      <c r="T57" s="210">
        <v>18794.919999999998</v>
      </c>
      <c r="U57" s="210">
        <v>18462.060000000001</v>
      </c>
      <c r="V57" s="210">
        <v>24722.080000000002</v>
      </c>
      <c r="W57" s="210">
        <v>13931.84</v>
      </c>
      <c r="X57" s="210">
        <v>11907.83</v>
      </c>
      <c r="Y57" s="210">
        <v>8576.44</v>
      </c>
      <c r="Z57" s="210">
        <v>29982.73</v>
      </c>
      <c r="AA57" s="210">
        <f t="shared" si="2"/>
        <v>220409.69999999998</v>
      </c>
      <c r="AB57" s="211">
        <f t="shared" si="3"/>
        <v>0.95090492050931397</v>
      </c>
      <c r="AC57" s="251"/>
      <c r="AD57" s="210">
        <v>153009.71428571301</v>
      </c>
      <c r="AE57" s="211">
        <f t="shared" si="4"/>
        <v>0.53140760400965603</v>
      </c>
      <c r="AF57" s="252">
        <f t="shared" si="5"/>
        <v>67399.985714286973</v>
      </c>
      <c r="AG57" s="210">
        <v>117653.71</v>
      </c>
      <c r="AH57" s="211">
        <f t="shared" si="6"/>
        <v>1.3043472139290355</v>
      </c>
      <c r="AI57" s="252">
        <f t="shared" si="7"/>
        <v>102755.98999999998</v>
      </c>
      <c r="AJ57" s="253">
        <f t="shared" si="8"/>
        <v>6.7030503010765763</v>
      </c>
      <c r="AK57" s="254">
        <f t="shared" si="9"/>
        <v>4.2051809565688183</v>
      </c>
      <c r="AL57" s="256">
        <f t="shared" si="10"/>
        <v>7.7505737812911732</v>
      </c>
      <c r="AM57" s="427" t="str">
        <f t="shared" si="11"/>
        <v>41.95 pts.</v>
      </c>
      <c r="AN57" s="483" t="str">
        <f t="shared" si="12"/>
        <v>-35.34 pts.</v>
      </c>
      <c r="AO57" s="11"/>
    </row>
    <row r="58" spans="1:41" x14ac:dyDescent="0.25">
      <c r="A58" s="61" t="s">
        <v>13</v>
      </c>
      <c r="B58" s="62" t="str">
        <f>"DEP(500001) AND "&amp;$E$6&amp;"=Y,500001"</f>
        <v>DEP(500001) AND D1133=Y,500001</v>
      </c>
      <c r="C58" s="11"/>
      <c r="D58" s="11"/>
      <c r="E58" s="11"/>
      <c r="F58" s="11"/>
      <c r="G58" s="11"/>
      <c r="H58" s="11"/>
      <c r="I58" s="55"/>
      <c r="J58" s="55"/>
      <c r="K58" s="11"/>
      <c r="L58" s="11"/>
      <c r="M58" s="11"/>
      <c r="N58" s="11"/>
      <c r="O58" s="125"/>
      <c r="P58" s="126"/>
      <c r="Q58" s="126"/>
      <c r="R58" s="126"/>
      <c r="S58" s="126"/>
      <c r="T58" s="126"/>
      <c r="U58" s="126"/>
      <c r="V58" s="126"/>
      <c r="W58" s="126"/>
      <c r="X58" s="126"/>
      <c r="Y58" s="126"/>
      <c r="Z58" s="126"/>
      <c r="AA58" s="126"/>
      <c r="AB58" s="127"/>
      <c r="AC58" s="11"/>
      <c r="AD58" s="125"/>
      <c r="AE58" s="126"/>
      <c r="AF58" s="127"/>
      <c r="AG58" s="125"/>
      <c r="AH58" s="126"/>
      <c r="AI58" s="127"/>
      <c r="AJ58" s="11"/>
      <c r="AK58" s="11"/>
      <c r="AL58" s="11"/>
      <c r="AM58" s="11"/>
      <c r="AN58" s="11"/>
      <c r="AO58" s="11"/>
    </row>
    <row r="59" spans="1:41" x14ac:dyDescent="0.25">
      <c r="A59" s="61" t="s">
        <v>14</v>
      </c>
      <c r="B59" s="62"/>
      <c r="C59" s="11"/>
      <c r="D59" s="11"/>
      <c r="E59" s="11"/>
      <c r="F59" s="11"/>
      <c r="G59" s="11"/>
      <c r="H59" s="11" t="s">
        <v>82</v>
      </c>
      <c r="I59" s="55" t="str">
        <f>IF(_epmOfflineCondition_,"B1",_xll.EVPRO($B$1,$H59,"STYLE"))</f>
        <v>B1</v>
      </c>
      <c r="J59" s="55" t="str">
        <f>IF(_epmOfflineCondition_,"Y",_xll.EVPRO($B$1,$H59,"CALC"))</f>
        <v>Y</v>
      </c>
      <c r="K59" s="11"/>
      <c r="L59" s="11"/>
      <c r="M59" s="11"/>
      <c r="N59" s="101" t="str">
        <f>IF(_epmOfflineCondition_,"Other Expenses",IF(_xll.EVDES(H59,$B$1)="#NODATA","",_xll.EVDES(H59,$B$1)))</f>
        <v>Other Expenses</v>
      </c>
      <c r="O59" s="115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7"/>
      <c r="AC59" s="11"/>
      <c r="AD59" s="115"/>
      <c r="AE59" s="116"/>
      <c r="AF59" s="117"/>
      <c r="AG59" s="115"/>
      <c r="AH59" s="116"/>
      <c r="AI59" s="117"/>
      <c r="AJ59" s="11"/>
      <c r="AK59" s="11"/>
      <c r="AL59" s="11"/>
      <c r="AM59" s="11"/>
      <c r="AN59" s="11"/>
      <c r="AO59" s="11"/>
    </row>
    <row r="60" spans="1:41" x14ac:dyDescent="0.25">
      <c r="A60" s="61" t="s">
        <v>15</v>
      </c>
      <c r="B60" s="62"/>
      <c r="C60" s="11"/>
      <c r="D60" s="11"/>
      <c r="E60" s="11"/>
      <c r="F60" s="11"/>
      <c r="G60" s="11"/>
      <c r="H60" s="84" t="s">
        <v>792</v>
      </c>
      <c r="I60" s="118" t="str">
        <f>IF(_epmOfflineCondition_,"T4",_xll.EVPRO($B$1,$H60,"STYLE"))</f>
        <v>T4</v>
      </c>
      <c r="J60" s="118" t="str">
        <f>IF(_epmOfflineCondition_,"Y",_xll.EVPRO($B$1,$H60,"CALC"))</f>
        <v>Y</v>
      </c>
      <c r="K60" s="175" t="str">
        <f t="shared" ref="K60:K65" si="13">IF(AND(I60&lt;&gt;"B1",J60="Y"),"&gt;","")</f>
        <v>&gt;</v>
      </c>
      <c r="L60" s="86" t="str">
        <f>IF(_epmOfflineCondition_,"701500",_xll.EVPRO($B$1,H60,"JDEID"))</f>
        <v>701500</v>
      </c>
      <c r="M60" s="86" t="str">
        <f>IF(_epmOfflineCondition_,"",IF(AND(I60="N",J60="N"),_xll.EVPRO($B$1,H60,"PSFTID"),""))</f>
        <v/>
      </c>
      <c r="N60" s="86" t="str">
        <f>IF(_epmOfflineCondition_,"Operating Supplies",IF(_xll.EVDES(H60,$B$1)="#NODATA","",_xll.EVDES(H60,$B$1)))</f>
        <v>Operating Supplies</v>
      </c>
      <c r="O60" s="228">
        <v>828.65</v>
      </c>
      <c r="P60" s="228">
        <v>545.42999999999995</v>
      </c>
      <c r="Q60" s="228">
        <v>773.26</v>
      </c>
      <c r="R60" s="228">
        <v>702.63</v>
      </c>
      <c r="S60" s="228">
        <v>1112.1199999999999</v>
      </c>
      <c r="T60" s="228">
        <v>915.54</v>
      </c>
      <c r="U60" s="228">
        <v>711.89</v>
      </c>
      <c r="V60" s="228">
        <v>326.31</v>
      </c>
      <c r="W60" s="228">
        <v>554.88</v>
      </c>
      <c r="X60" s="228">
        <v>569</v>
      </c>
      <c r="Y60" s="228">
        <v>462.96</v>
      </c>
      <c r="Z60" s="228">
        <v>2141.46</v>
      </c>
      <c r="AA60" s="229">
        <f t="shared" ref="AA60:AA66" si="14">IF($I60="B1","",SUM(O60:Z60))</f>
        <v>9644.130000000001</v>
      </c>
      <c r="AB60" s="230">
        <f t="shared" ref="AB60:AB66" si="15">IF(AA60=0,"",IFERROR(AA60/AA$19,""))</f>
        <v>4.160729165291497E-2</v>
      </c>
      <c r="AC60" s="136"/>
      <c r="AD60" s="228">
        <v>6158</v>
      </c>
      <c r="AE60" s="230">
        <f t="shared" ref="AE60:AE66" si="16">IF(AD60=0,"",IFERROR(AD60/AD$19,""))</f>
        <v>2.1386929848002577E-2</v>
      </c>
      <c r="AF60" s="231">
        <f t="shared" ref="AF60:AF66" si="17">IF(AND($AA60="",AD60=""),"",$AA60-AD60)</f>
        <v>3486.130000000001</v>
      </c>
      <c r="AG60" s="228">
        <v>9081.18</v>
      </c>
      <c r="AH60" s="230">
        <f t="shared" ref="AH60:AH66" si="18">IF(AG60=0,"",IFERROR(AG60/AG$19,""))</f>
        <v>0.10067690880455941</v>
      </c>
      <c r="AI60" s="231">
        <f t="shared" ref="AI60:AI66" si="19">IF(AND($AA60="",AG60=""),"",$AA60-AG60)</f>
        <v>562.95000000000073</v>
      </c>
      <c r="AJ60" s="458">
        <f t="shared" ref="AJ60:AJ66" si="20">IFERROR(AA60/AA$20,0)</f>
        <v>0.29329511586886448</v>
      </c>
      <c r="AK60" s="459">
        <f t="shared" ref="AK60:AK66" si="21">IFERROR(AD60/AD$20,0)</f>
        <v>0.16924091683614578</v>
      </c>
      <c r="AL60" s="460">
        <f t="shared" ref="AL60:AL66" si="22">IFERROR(AG60/AG$20,0)</f>
        <v>0.59823320158102766</v>
      </c>
      <c r="AM60" s="461" t="str">
        <f t="shared" ref="AM60:AM66" si="23">+IFERROR(ROUND(($AB60-AE60)*100,2)&amp;" pts.",0)</f>
        <v>2.02 pts.</v>
      </c>
      <c r="AN60" s="462" t="str">
        <f t="shared" ref="AN60:AN66" si="24">+IFERROR(ROUND(($AB60-AH60)*100,2)&amp;" pts.",0)</f>
        <v>-5.91 pts.</v>
      </c>
      <c r="AO60" s="11"/>
    </row>
    <row r="61" spans="1:41" x14ac:dyDescent="0.25">
      <c r="A61" s="61" t="s">
        <v>16</v>
      </c>
      <c r="B61" s="62"/>
      <c r="C61" s="11"/>
      <c r="D61" s="11"/>
      <c r="E61" s="11"/>
      <c r="F61" s="11"/>
      <c r="G61" s="11"/>
      <c r="H61" s="84" t="s">
        <v>798</v>
      </c>
      <c r="I61" s="118" t="str">
        <f>IF(_epmOfflineCondition_,"N",_xll.EVPRO($B$1,$H61,"STYLE"))</f>
        <v>N</v>
      </c>
      <c r="J61" s="118" t="str">
        <f>IF(_epmOfflineCondition_,"N",_xll.EVPRO($B$1,$H61,"CALC"))</f>
        <v>N</v>
      </c>
      <c r="K61" s="175" t="str">
        <f t="shared" si="13"/>
        <v/>
      </c>
      <c r="L61" s="86" t="str">
        <f>IF(_epmOfflineCondition_,"703100",_xll.EVPRO($B$1,H61,"JDEID"))</f>
        <v>703100</v>
      </c>
      <c r="M61" s="86" t="str">
        <f>IF(_epmOfflineCondition_,"690035",IF(AND(I61="N",J61="N"),_xll.EVPRO($B$1,H61,"PSFTID"),""))</f>
        <v>690035</v>
      </c>
      <c r="N61" s="86" t="str">
        <f>IF(_epmOfflineCondition_,"Training",IF(_xll.EVDES(H61,$B$1)="#NODATA","",_xll.EVDES(H61,$B$1)))</f>
        <v>Training</v>
      </c>
      <c r="O61" s="228"/>
      <c r="P61" s="228"/>
      <c r="Q61" s="228"/>
      <c r="R61" s="228"/>
      <c r="S61" s="228"/>
      <c r="T61" s="228"/>
      <c r="U61" s="228"/>
      <c r="V61" s="228"/>
      <c r="W61" s="228"/>
      <c r="X61" s="228"/>
      <c r="Y61" s="228"/>
      <c r="Z61" s="228"/>
      <c r="AA61" s="229">
        <f t="shared" si="14"/>
        <v>0</v>
      </c>
      <c r="AB61" s="230" t="str">
        <f t="shared" si="15"/>
        <v/>
      </c>
      <c r="AC61" s="136"/>
      <c r="AD61" s="228">
        <v>720</v>
      </c>
      <c r="AE61" s="230">
        <f t="shared" si="16"/>
        <v>2.5005828987596387E-3</v>
      </c>
      <c r="AF61" s="231">
        <f t="shared" si="17"/>
        <v>-720</v>
      </c>
      <c r="AG61" s="228"/>
      <c r="AH61" s="230" t="str">
        <f t="shared" si="18"/>
        <v/>
      </c>
      <c r="AI61" s="231">
        <f t="shared" si="19"/>
        <v>0</v>
      </c>
      <c r="AJ61" s="458">
        <f t="shared" si="20"/>
        <v>0</v>
      </c>
      <c r="AK61" s="459">
        <f t="shared" si="21"/>
        <v>1.9787830484252186E-2</v>
      </c>
      <c r="AL61" s="460">
        <f t="shared" si="22"/>
        <v>0</v>
      </c>
      <c r="AM61" s="461">
        <f t="shared" si="23"/>
        <v>0</v>
      </c>
      <c r="AN61" s="462">
        <f t="shared" si="24"/>
        <v>0</v>
      </c>
      <c r="AO61" s="11"/>
    </row>
    <row r="62" spans="1:41" x14ac:dyDescent="0.25">
      <c r="A62" s="61" t="s">
        <v>17</v>
      </c>
      <c r="B62" s="62"/>
      <c r="C62" s="11"/>
      <c r="D62" s="11"/>
      <c r="E62" s="11"/>
      <c r="F62" s="11"/>
      <c r="G62" s="11"/>
      <c r="H62" s="84" t="s">
        <v>799</v>
      </c>
      <c r="I62" s="118" t="str">
        <f>IF(_epmOfflineCondition_,"N",_xll.EVPRO($B$1,$H62,"STYLE"))</f>
        <v>N</v>
      </c>
      <c r="J62" s="118" t="str">
        <f>IF(_epmOfflineCondition_,"N",_xll.EVPRO($B$1,$H62,"CALC"))</f>
        <v>N</v>
      </c>
      <c r="K62" s="175" t="str">
        <f t="shared" si="13"/>
        <v/>
      </c>
      <c r="L62" s="86" t="str">
        <f>IF(_epmOfflineCondition_,"703200",_xll.EVPRO($B$1,H62,"JDEID"))</f>
        <v>703200</v>
      </c>
      <c r="M62" s="86" t="str">
        <f>IF(_epmOfflineCondition_,"590035",IF(AND(I62="N",J62="N"),_xll.EVPRO($B$1,H62,"PSFTID"),""))</f>
        <v>590035</v>
      </c>
      <c r="N62" s="86" t="str">
        <f>IF(_epmOfflineCondition_,"Uniform Costs",IF(_xll.EVDES(H62,$B$1)="#NODATA","",_xll.EVDES(H62,$B$1)))</f>
        <v>Uniform Costs</v>
      </c>
      <c r="O62" s="228">
        <v>452</v>
      </c>
      <c r="P62" s="228">
        <v>-0.49</v>
      </c>
      <c r="Q62" s="228"/>
      <c r="R62" s="228"/>
      <c r="S62" s="228"/>
      <c r="T62" s="228"/>
      <c r="U62" s="228"/>
      <c r="V62" s="228"/>
      <c r="W62" s="228">
        <v>2209.25</v>
      </c>
      <c r="X62" s="228"/>
      <c r="Y62" s="228"/>
      <c r="Z62" s="228">
        <v>171</v>
      </c>
      <c r="AA62" s="229">
        <f t="shared" si="14"/>
        <v>2831.76</v>
      </c>
      <c r="AB62" s="230">
        <f t="shared" si="15"/>
        <v>1.221695105842191E-2</v>
      </c>
      <c r="AC62" s="136"/>
      <c r="AD62" s="228">
        <v>1386</v>
      </c>
      <c r="AE62" s="230">
        <f t="shared" si="16"/>
        <v>4.8136220801123049E-3</v>
      </c>
      <c r="AF62" s="231">
        <f t="shared" si="17"/>
        <v>1445.7600000000002</v>
      </c>
      <c r="AG62" s="228">
        <v>980.82</v>
      </c>
      <c r="AH62" s="230">
        <f t="shared" si="18"/>
        <v>1.0873688848110925E-2</v>
      </c>
      <c r="AI62" s="231">
        <f t="shared" si="19"/>
        <v>1850.94</v>
      </c>
      <c r="AJ62" s="458">
        <f t="shared" si="20"/>
        <v>8.6118849218417379E-2</v>
      </c>
      <c r="AK62" s="459">
        <f t="shared" si="21"/>
        <v>3.8091573682185458E-2</v>
      </c>
      <c r="AL62" s="460">
        <f t="shared" si="22"/>
        <v>6.4612648221343882E-2</v>
      </c>
      <c r="AM62" s="461" t="str">
        <f t="shared" si="23"/>
        <v>0.74 pts.</v>
      </c>
      <c r="AN62" s="462" t="str">
        <f t="shared" si="24"/>
        <v>0.13 pts.</v>
      </c>
      <c r="AO62" s="11"/>
    </row>
    <row r="63" spans="1:41" x14ac:dyDescent="0.25">
      <c r="A63" s="11"/>
      <c r="B63" s="11"/>
      <c r="C63" s="11"/>
      <c r="D63" s="11"/>
      <c r="E63" s="11"/>
      <c r="F63" s="11"/>
      <c r="G63" s="11"/>
      <c r="H63" s="84" t="s">
        <v>806</v>
      </c>
      <c r="I63" s="118" t="str">
        <f>IF(_epmOfflineCondition_,"N",_xll.EVPRO($B$1,$H63,"STYLE"))</f>
        <v>N</v>
      </c>
      <c r="J63" s="118" t="str">
        <f>IF(_epmOfflineCondition_,"N",_xll.EVPRO($B$1,$H63,"CALC"))</f>
        <v>N</v>
      </c>
      <c r="K63" s="175" t="str">
        <f t="shared" si="13"/>
        <v/>
      </c>
      <c r="L63" s="86" t="str">
        <f>IF(_epmOfflineCondition_,"705500",_xll.EVPRO($B$1,H63,"JDEID"))</f>
        <v>705500</v>
      </c>
      <c r="M63" s="86" t="str">
        <f>IF(_epmOfflineCondition_,"690105",IF(AND(I63="N",J63="N"),_xll.EVPRO($B$1,H63,"PSFTID"),""))</f>
        <v>690105</v>
      </c>
      <c r="N63" s="86" t="str">
        <f>IF(_epmOfflineCondition_,"Licenses &amp; Permits",IF(_xll.EVDES(H63,$B$1)="#NODATA","",_xll.EVDES(H63,$B$1)))</f>
        <v>Licenses &amp; Permits</v>
      </c>
      <c r="O63" s="228">
        <v>2236.5100000000002</v>
      </c>
      <c r="P63" s="228">
        <v>3777.78</v>
      </c>
      <c r="Q63" s="228">
        <v>2745.48</v>
      </c>
      <c r="R63" s="228">
        <v>2358.16</v>
      </c>
      <c r="S63" s="228">
        <v>2421.9899999999998</v>
      </c>
      <c r="T63" s="228">
        <v>2562.4</v>
      </c>
      <c r="U63" s="228">
        <v>2350.83</v>
      </c>
      <c r="V63" s="228">
        <v>2428.4899999999998</v>
      </c>
      <c r="W63" s="228">
        <v>2486.7399999999998</v>
      </c>
      <c r="X63" s="228">
        <v>2174.83</v>
      </c>
      <c r="Y63" s="228">
        <v>192.77</v>
      </c>
      <c r="Z63" s="228">
        <v>2022.84</v>
      </c>
      <c r="AA63" s="229">
        <f t="shared" si="14"/>
        <v>27758.82</v>
      </c>
      <c r="AB63" s="230">
        <f t="shared" si="15"/>
        <v>0.11975878795503264</v>
      </c>
      <c r="AC63" s="136"/>
      <c r="AD63" s="228">
        <v>26781</v>
      </c>
      <c r="AE63" s="230">
        <f t="shared" si="16"/>
        <v>9.3011264738447064E-2</v>
      </c>
      <c r="AF63" s="231">
        <f t="shared" si="17"/>
        <v>977.81999999999971</v>
      </c>
      <c r="AG63" s="228">
        <v>18735.240000000002</v>
      </c>
      <c r="AH63" s="230">
        <f t="shared" si="18"/>
        <v>0.20770495121906335</v>
      </c>
      <c r="AI63" s="231">
        <f t="shared" si="19"/>
        <v>9023.5799999999981</v>
      </c>
      <c r="AJ63" s="458">
        <f t="shared" si="20"/>
        <v>0.84419500030411776</v>
      </c>
      <c r="AK63" s="459">
        <f t="shared" si="21"/>
        <v>0.7360248447204969</v>
      </c>
      <c r="AL63" s="460">
        <f t="shared" si="22"/>
        <v>1.234205533596838</v>
      </c>
      <c r="AM63" s="461" t="str">
        <f t="shared" si="23"/>
        <v>2.67 pts.</v>
      </c>
      <c r="AN63" s="462" t="str">
        <f t="shared" si="24"/>
        <v>-8.79 pts.</v>
      </c>
      <c r="AO63" s="11"/>
    </row>
    <row r="64" spans="1:41" x14ac:dyDescent="0.25">
      <c r="A64" s="93" t="s">
        <v>92</v>
      </c>
      <c r="B64" s="94" t="s">
        <v>93</v>
      </c>
      <c r="C64" s="94" t="s">
        <v>94</v>
      </c>
      <c r="D64" s="94" t="s">
        <v>95</v>
      </c>
      <c r="E64" s="94" t="s">
        <v>96</v>
      </c>
      <c r="F64" s="95" t="s">
        <v>97</v>
      </c>
      <c r="G64" s="11"/>
      <c r="H64" s="84" t="s">
        <v>843</v>
      </c>
      <c r="I64" s="118" t="str">
        <f>IF(_epmOfflineCondition_,"T4",_xll.EVPRO($B$1,$H64,"STYLE"))</f>
        <v>T4</v>
      </c>
      <c r="J64" s="118" t="str">
        <f>IF(_epmOfflineCondition_,"Y",_xll.EVPRO($B$1,$H64,"CALC"))</f>
        <v>Y</v>
      </c>
      <c r="K64" s="175" t="str">
        <f t="shared" si="13"/>
        <v>&gt;</v>
      </c>
      <c r="L64" s="86" t="str">
        <f>IF(_epmOfflineCondition_,"706100",_xll.EVPRO($B$1,H64,"JDEID"))</f>
        <v>706100</v>
      </c>
      <c r="M64" s="86" t="str">
        <f>IF(_epmOfflineCondition_,"",IF(AND(I64="N",J64="N"),_xll.EVPRO($B$1,H64,"PSFTID"),""))</f>
        <v/>
      </c>
      <c r="N64" s="86" t="str">
        <f>IF(_epmOfflineCondition_,"Miscellaneous",IF(_xll.EVDES(H64,$B$1)="#NODATA","",_xll.EVDES(H64,$B$1)))</f>
        <v>Miscellaneous</v>
      </c>
      <c r="O64" s="228">
        <v>199</v>
      </c>
      <c r="P64" s="228">
        <v>-191</v>
      </c>
      <c r="Q64" s="228">
        <v>109</v>
      </c>
      <c r="R64" s="228">
        <v>113.07</v>
      </c>
      <c r="S64" s="228">
        <v>520</v>
      </c>
      <c r="T64" s="228">
        <v>661.58</v>
      </c>
      <c r="U64" s="228">
        <v>-225.94</v>
      </c>
      <c r="V64" s="228"/>
      <c r="W64" s="228"/>
      <c r="X64" s="228"/>
      <c r="Y64" s="228"/>
      <c r="Z64" s="228"/>
      <c r="AA64" s="229">
        <f t="shared" si="14"/>
        <v>1185.71</v>
      </c>
      <c r="AB64" s="230">
        <f t="shared" si="15"/>
        <v>5.1154621293758801E-3</v>
      </c>
      <c r="AC64" s="136"/>
      <c r="AD64" s="228">
        <v>3000</v>
      </c>
      <c r="AE64" s="230">
        <f t="shared" si="16"/>
        <v>1.0419095411498495E-2</v>
      </c>
      <c r="AF64" s="231">
        <f t="shared" si="17"/>
        <v>-1814.29</v>
      </c>
      <c r="AG64" s="228"/>
      <c r="AH64" s="230" t="str">
        <f t="shared" si="18"/>
        <v/>
      </c>
      <c r="AI64" s="231">
        <f t="shared" si="19"/>
        <v>1185.71</v>
      </c>
      <c r="AJ64" s="458">
        <f t="shared" si="20"/>
        <v>3.6059546256310443E-2</v>
      </c>
      <c r="AK64" s="459">
        <f t="shared" si="21"/>
        <v>8.2449293684384098E-2</v>
      </c>
      <c r="AL64" s="460">
        <f t="shared" si="22"/>
        <v>0</v>
      </c>
      <c r="AM64" s="461" t="str">
        <f t="shared" si="23"/>
        <v>-0.53 pts.</v>
      </c>
      <c r="AN64" s="462">
        <f t="shared" si="24"/>
        <v>0</v>
      </c>
      <c r="AO64" s="11"/>
    </row>
    <row r="65" spans="1:41" x14ac:dyDescent="0.25">
      <c r="A65" s="11"/>
      <c r="B65" s="11"/>
      <c r="C65" s="11"/>
      <c r="D65" s="11"/>
      <c r="E65" s="11"/>
      <c r="F65" s="11"/>
      <c r="G65" s="11"/>
      <c r="H65" s="84" t="s">
        <v>856</v>
      </c>
      <c r="I65" s="118" t="str">
        <f>IF(_epmOfflineCondition_,"T4",_xll.EVPRO($B$1,$H65,"STYLE"))</f>
        <v>T4</v>
      </c>
      <c r="J65" s="118" t="str">
        <f>IF(_epmOfflineCondition_,"Y",_xll.EVPRO($B$1,$H65,"CALC"))</f>
        <v>Y</v>
      </c>
      <c r="K65" s="175" t="str">
        <f t="shared" si="13"/>
        <v>&gt;</v>
      </c>
      <c r="L65" s="86" t="str">
        <f>IF(_epmOfflineCondition_,"706300",_xll.EVPRO($B$1,H65,"JDEID"))</f>
        <v>706300</v>
      </c>
      <c r="M65" s="86" t="str">
        <f>IF(_epmOfflineCondition_,"",IF(AND(I65="N",J65="N"),_xll.EVPRO($B$1,H65,"PSFTID"),""))</f>
        <v/>
      </c>
      <c r="N65" s="86" t="str">
        <f>IF(_epmOfflineCondition_,"Management Fees",IF(_xll.EVDES(H65,$B$1)="#NODATA","",_xll.EVDES(H65,$B$1)))</f>
        <v>Management Fees</v>
      </c>
      <c r="O65" s="228">
        <v>1000</v>
      </c>
      <c r="P65" s="228">
        <v>1045.3900000000001</v>
      </c>
      <c r="Q65" s="228">
        <v>1000</v>
      </c>
      <c r="R65" s="228">
        <v>1000</v>
      </c>
      <c r="S65" s="228">
        <v>1000</v>
      </c>
      <c r="T65" s="228">
        <v>1000</v>
      </c>
      <c r="U65" s="228">
        <v>1000</v>
      </c>
      <c r="V65" s="228">
        <v>1000</v>
      </c>
      <c r="W65" s="228">
        <v>1000</v>
      </c>
      <c r="X65" s="228">
        <v>1000</v>
      </c>
      <c r="Y65" s="228">
        <v>1121.32</v>
      </c>
      <c r="Z65" s="228">
        <v>233.34</v>
      </c>
      <c r="AA65" s="229">
        <f t="shared" si="14"/>
        <v>11400.05</v>
      </c>
      <c r="AB65" s="230">
        <f t="shared" si="15"/>
        <v>4.9182788411999134E-2</v>
      </c>
      <c r="AC65" s="136"/>
      <c r="AD65" s="228">
        <v>14333</v>
      </c>
      <c r="AE65" s="230">
        <f t="shared" si="16"/>
        <v>4.9778964844335971E-2</v>
      </c>
      <c r="AF65" s="231">
        <f t="shared" si="17"/>
        <v>-2932.9500000000007</v>
      </c>
      <c r="AG65" s="228">
        <v>8600.01</v>
      </c>
      <c r="AH65" s="230">
        <f t="shared" si="18"/>
        <v>9.5342502019374012E-2</v>
      </c>
      <c r="AI65" s="231">
        <f t="shared" si="19"/>
        <v>2800.0399999999991</v>
      </c>
      <c r="AJ65" s="458">
        <f t="shared" si="20"/>
        <v>0.34669576059850371</v>
      </c>
      <c r="AK65" s="459">
        <f t="shared" si="21"/>
        <v>0.39391524212609247</v>
      </c>
      <c r="AL65" s="460">
        <f t="shared" si="22"/>
        <v>0.56653557312252967</v>
      </c>
      <c r="AM65" s="461" t="str">
        <f t="shared" si="23"/>
        <v>-0.06 pts.</v>
      </c>
      <c r="AN65" s="462" t="str">
        <f t="shared" si="24"/>
        <v>-4.62 pts.</v>
      </c>
      <c r="AO65" s="11"/>
    </row>
    <row r="66" spans="1:41" x14ac:dyDescent="0.25">
      <c r="A66" s="11" t="s">
        <v>105</v>
      </c>
      <c r="B66" s="11"/>
      <c r="C66" s="100" t="s">
        <v>101</v>
      </c>
      <c r="D66" s="11" t="s">
        <v>106</v>
      </c>
      <c r="E66" s="11"/>
      <c r="F66" s="11" t="s">
        <v>98</v>
      </c>
      <c r="G66" s="11"/>
      <c r="H66" s="84" t="s">
        <v>79</v>
      </c>
      <c r="I66" s="132" t="str">
        <f>IF(_epmOfflineCondition_,"T3",_xll.EVPRO($B$1,$H66,"STYLE"))</f>
        <v>T3</v>
      </c>
      <c r="J66" s="132" t="str">
        <f>IF(_epmOfflineCondition_,"Y",_xll.EVPRO($B$1,$H66,"CALC"))</f>
        <v>Y</v>
      </c>
      <c r="K66" s="100"/>
      <c r="L66" s="100"/>
      <c r="M66" s="100"/>
      <c r="N66" s="102" t="str">
        <f>IF(_epmOfflineCondition_,"Total Operations Expense",IF(_xll.EVDES(H66,$B$1)="#NODATA","",_xll.EVDES(H66,$B$1)))</f>
        <v>Total Operations Expense</v>
      </c>
      <c r="O66" s="146">
        <v>4716.16</v>
      </c>
      <c r="P66" s="146">
        <v>5177.1099999999997</v>
      </c>
      <c r="Q66" s="146">
        <v>4627.74</v>
      </c>
      <c r="R66" s="146">
        <v>4173.8599999999997</v>
      </c>
      <c r="S66" s="146">
        <v>5054.1099999999997</v>
      </c>
      <c r="T66" s="146">
        <v>5139.5200000000004</v>
      </c>
      <c r="U66" s="146">
        <v>3836.78</v>
      </c>
      <c r="V66" s="146">
        <v>3754.8</v>
      </c>
      <c r="W66" s="146">
        <v>6250.87</v>
      </c>
      <c r="X66" s="146">
        <v>3743.83</v>
      </c>
      <c r="Y66" s="146">
        <v>1777.05</v>
      </c>
      <c r="Z66" s="146">
        <v>4568.6400000000003</v>
      </c>
      <c r="AA66" s="146">
        <f t="shared" si="14"/>
        <v>52820.470000000008</v>
      </c>
      <c r="AB66" s="147">
        <f t="shared" si="15"/>
        <v>0.22788128120774456</v>
      </c>
      <c r="AC66" s="136"/>
      <c r="AD66" s="146">
        <v>52378</v>
      </c>
      <c r="AE66" s="147">
        <f t="shared" si="16"/>
        <v>0.18191045982115606</v>
      </c>
      <c r="AF66" s="148">
        <f t="shared" si="17"/>
        <v>442.47000000000844</v>
      </c>
      <c r="AG66" s="146">
        <v>37397.25</v>
      </c>
      <c r="AH66" s="147">
        <f t="shared" si="18"/>
        <v>0.41459805089110768</v>
      </c>
      <c r="AI66" s="148">
        <f t="shared" si="19"/>
        <v>15423.220000000008</v>
      </c>
      <c r="AJ66" s="431">
        <f t="shared" si="20"/>
        <v>1.6063642722462139</v>
      </c>
      <c r="AK66" s="432">
        <f t="shared" si="21"/>
        <v>1.439509701533557</v>
      </c>
      <c r="AL66" s="433">
        <f t="shared" si="22"/>
        <v>2.463586956521739</v>
      </c>
      <c r="AM66" s="434" t="str">
        <f t="shared" si="23"/>
        <v>4.6 pts.</v>
      </c>
      <c r="AN66" s="550" t="str">
        <f t="shared" si="24"/>
        <v>-18.67 pts.</v>
      </c>
      <c r="AO66" s="11"/>
    </row>
    <row r="67" spans="1:41" x14ac:dyDescent="0.25">
      <c r="A67" s="11" t="s">
        <v>108</v>
      </c>
      <c r="B67" s="11"/>
      <c r="C67" s="102" t="s">
        <v>101</v>
      </c>
      <c r="D67" s="11" t="s">
        <v>106</v>
      </c>
      <c r="E67" s="11"/>
      <c r="F67" s="11" t="s">
        <v>98</v>
      </c>
      <c r="G67" s="11"/>
      <c r="H67" s="11"/>
      <c r="I67" s="55"/>
      <c r="J67" s="55"/>
      <c r="K67" s="11"/>
      <c r="L67" s="11"/>
      <c r="M67" s="11"/>
      <c r="N67" s="11"/>
      <c r="O67" s="136"/>
      <c r="P67" s="136"/>
      <c r="Q67" s="136"/>
      <c r="R67" s="136"/>
      <c r="S67" s="136"/>
      <c r="T67" s="136"/>
      <c r="U67" s="136"/>
      <c r="V67" s="136"/>
      <c r="W67" s="136"/>
      <c r="X67" s="136"/>
      <c r="Y67" s="136"/>
      <c r="Z67" s="136"/>
      <c r="AA67" s="136"/>
      <c r="AB67" s="136"/>
      <c r="AC67" s="136"/>
      <c r="AD67" s="136"/>
      <c r="AE67" s="136"/>
      <c r="AF67" s="136"/>
      <c r="AG67" s="136"/>
      <c r="AH67" s="136"/>
      <c r="AI67" s="136"/>
      <c r="AJ67" s="136"/>
      <c r="AK67" s="136"/>
      <c r="AL67" s="136"/>
      <c r="AM67" s="136"/>
      <c r="AN67" s="136"/>
      <c r="AO67" s="11"/>
    </row>
    <row r="68" spans="1:41" x14ac:dyDescent="0.25">
      <c r="A68" s="11" t="s">
        <v>108</v>
      </c>
      <c r="B68" s="11"/>
      <c r="C68" s="192" t="s">
        <v>101</v>
      </c>
      <c r="D68" s="11" t="s">
        <v>107</v>
      </c>
      <c r="E68" s="11"/>
      <c r="F68" s="11" t="s">
        <v>99</v>
      </c>
      <c r="G68" s="11"/>
      <c r="H68" s="84" t="s">
        <v>80</v>
      </c>
      <c r="I68" s="132" t="str">
        <f>IF(_epmOfflineCondition_,"T3",_xll.EVPRO($B$1,$H68,"STYLE"))</f>
        <v>T3</v>
      </c>
      <c r="J68" s="132" t="str">
        <f>IF(_epmOfflineCondition_,"Y",_xll.EVPRO($B$1,$H68,"CALC"))</f>
        <v>Y</v>
      </c>
      <c r="K68" s="102"/>
      <c r="L68" s="102"/>
      <c r="M68" s="102"/>
      <c r="N68" s="102" t="str">
        <f>IF(_epmOfflineCondition_,"Total Expenses",IF(_xll.EVDES(H68,$B$1)="#NODATA","",_xll.EVDES(H68,$B$1)))</f>
        <v>Total Expenses</v>
      </c>
      <c r="O68" s="210">
        <v>17829.71</v>
      </c>
      <c r="P68" s="210">
        <v>22593.64</v>
      </c>
      <c r="Q68" s="210">
        <v>29926.19</v>
      </c>
      <c r="R68" s="210">
        <v>21427.73</v>
      </c>
      <c r="S68" s="210">
        <v>26003.51</v>
      </c>
      <c r="T68" s="210">
        <v>23934.44</v>
      </c>
      <c r="U68" s="210">
        <v>22298.84</v>
      </c>
      <c r="V68" s="210">
        <v>28476.880000000001</v>
      </c>
      <c r="W68" s="210">
        <v>20182.71</v>
      </c>
      <c r="X68" s="210">
        <v>15651.66</v>
      </c>
      <c r="Y68" s="210">
        <v>10353.49</v>
      </c>
      <c r="Z68" s="210">
        <v>34551.370000000003</v>
      </c>
      <c r="AA68" s="210">
        <f>IF($I68="B1","",SUM(O68:Z68))</f>
        <v>273230.17</v>
      </c>
      <c r="AB68" s="211">
        <f>IF(AA68=0,"",IFERROR(AA68/AA$19,""))</f>
        <v>1.1787862017170585</v>
      </c>
      <c r="AC68" s="136"/>
      <c r="AD68" s="210">
        <v>205387.71428571301</v>
      </c>
      <c r="AE68" s="211">
        <f>IF(AD68=0,"",IFERROR(AD68/AD$19,""))</f>
        <v>0.71331806383081209</v>
      </c>
      <c r="AF68" s="212">
        <f>IF(AND($AA68="",AD68=""),"",$AA68-AD68)</f>
        <v>67842.455714286974</v>
      </c>
      <c r="AG68" s="213">
        <v>155050.96</v>
      </c>
      <c r="AH68" s="214">
        <f>IF(AG68=0,"",IFERROR(AG68/AG$19,""))</f>
        <v>1.7189452648201431</v>
      </c>
      <c r="AI68" s="212">
        <f>IF(AND($AA68="",AG68=""),"",$AA68-AG68)</f>
        <v>118179.20999999999</v>
      </c>
      <c r="AJ68" s="437">
        <f>IFERROR(AA68/AA$20,0)</f>
        <v>8.3094145733227904</v>
      </c>
      <c r="AK68" s="438">
        <f>IFERROR(AD68/AD$20,0)</f>
        <v>5.644690658102375</v>
      </c>
      <c r="AL68" s="439">
        <f>IFERROR(AG68/AG$20,0)</f>
        <v>10.214160737812911</v>
      </c>
      <c r="AM68" s="440" t="str">
        <f>+IFERROR(ROUND(($AB68-AE68)*100,2)&amp;" pts.",0)</f>
        <v>46.55 pts.</v>
      </c>
      <c r="AN68" s="551" t="str">
        <f>+IFERROR(ROUND(($AB68-AH68)*100,2)&amp;" pts.",0)</f>
        <v>-54.02 pts.</v>
      </c>
      <c r="AO68" s="11"/>
    </row>
    <row r="69" spans="1:41" ht="15.75" thickBot="1" x14ac:dyDescent="0.3">
      <c r="A69" s="11"/>
      <c r="B69" s="11"/>
      <c r="C69" s="11"/>
      <c r="D69" s="11"/>
      <c r="E69" s="11"/>
      <c r="F69" s="11"/>
      <c r="G69" s="11"/>
      <c r="H69" s="84" t="s">
        <v>81</v>
      </c>
      <c r="I69" s="132" t="str">
        <f>IF(_epmOfflineCondition_,"T3",_xll.EVPRO($B$1,$H69,"STYLE"))</f>
        <v>T3</v>
      </c>
      <c r="J69" s="132" t="str">
        <f>IF(_epmOfflineCondition_,"Y",_xll.EVPRO($B$1,$H69,"CALC"))</f>
        <v>Y</v>
      </c>
      <c r="K69" s="102"/>
      <c r="L69" s="102"/>
      <c r="M69" s="102"/>
      <c r="N69" s="102" t="str">
        <f>IF(_epmOfflineCondition_,"Department Profit (Loss)",IF(_xll.EVDES(H69,$B$1)="#NODATA","",_xll.EVDES(H69,$B$1)))</f>
        <v>Department Profit (Loss)</v>
      </c>
      <c r="O69" s="161">
        <v>3541.13</v>
      </c>
      <c r="P69" s="161">
        <v>-7019.07</v>
      </c>
      <c r="Q69" s="161">
        <v>-11241.88</v>
      </c>
      <c r="R69" s="161">
        <v>486.17000000000098</v>
      </c>
      <c r="S69" s="161">
        <v>-6490.39</v>
      </c>
      <c r="T69" s="161">
        <v>-7854.01</v>
      </c>
      <c r="U69" s="161">
        <v>-2554.91</v>
      </c>
      <c r="V69" s="161">
        <v>-7022.07</v>
      </c>
      <c r="W69" s="161">
        <v>-7319.11</v>
      </c>
      <c r="X69" s="161">
        <v>3150.27</v>
      </c>
      <c r="Y69" s="161">
        <v>10593.3</v>
      </c>
      <c r="Z69" s="161">
        <v>-9710.18</v>
      </c>
      <c r="AA69" s="161">
        <f>IF($I69="B1","",SUM(O69:Z69))</f>
        <v>-41440.75</v>
      </c>
      <c r="AB69" s="162">
        <f>IF(AA69=0,"",IFERROR(AA69/AA$19,""))</f>
        <v>-0.17878620171705853</v>
      </c>
      <c r="AC69" s="136"/>
      <c r="AD69" s="161">
        <v>82545.151430172598</v>
      </c>
      <c r="AE69" s="162">
        <f>IF(AD69=0,"",IFERROR(AD69/AD$19,""))</f>
        <v>0.28668193616918658</v>
      </c>
      <c r="AF69" s="163">
        <f>IF(AND($AA69="",AD69=""),"",$AA69-AD69)</f>
        <v>-123985.9014301726</v>
      </c>
      <c r="AG69" s="161">
        <v>-64849.74</v>
      </c>
      <c r="AH69" s="162">
        <f>IF(AG69=0,"",IFERROR(AG69/AG$19,""))</f>
        <v>-0.7189452648201432</v>
      </c>
      <c r="AI69" s="163">
        <f>IF(AND($AA69="",AG69=""),"",$AA69-AG69)</f>
        <v>23408.989999999998</v>
      </c>
      <c r="AJ69" s="442">
        <f>IFERROR(AA69/AA$20,0)</f>
        <v>-1.2602867830423941</v>
      </c>
      <c r="AK69" s="443">
        <f>IFERROR(AD69/AD$20,0)</f>
        <v>2.2685964774960863</v>
      </c>
      <c r="AL69" s="444">
        <f>IFERROR(AG69/AG$20,0)</f>
        <v>-4.2720513833992095</v>
      </c>
      <c r="AM69" s="445" t="str">
        <f>+IFERROR(ROUND(($AB69-AE69)*100,2)&amp;" pts.",0)</f>
        <v>-46.55 pts.</v>
      </c>
      <c r="AN69" s="552" t="str">
        <f>+IFERROR(ROUND(($AB69-AH69)*100,2)&amp;" pts.",0)</f>
        <v>54.02 pts.</v>
      </c>
      <c r="AO69" s="11"/>
    </row>
    <row r="70" spans="1:41" ht="15.75" thickTop="1" x14ac:dyDescent="0.25">
      <c r="A70" s="11"/>
      <c r="B70" s="11"/>
      <c r="C70" s="204"/>
      <c r="D70" s="11"/>
      <c r="E70" s="11"/>
      <c r="F70" s="11"/>
      <c r="G70" s="11"/>
      <c r="H70" s="11"/>
      <c r="I70" s="55"/>
      <c r="J70" s="55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</row>
    <row r="71" spans="1:41" x14ac:dyDescent="0.25">
      <c r="A71" s="56" t="str">
        <f>IF(_epmOfflineCondition_,"Evdre:Ok",_xll.EVDRE($B$1,A74:B81,A84:B90))</f>
        <v>Evdre:Ok</v>
      </c>
      <c r="B71" s="11"/>
      <c r="C71" s="11"/>
      <c r="D71" s="11"/>
      <c r="E71" s="11"/>
      <c r="F71" s="11"/>
      <c r="G71" s="11"/>
      <c r="H71" s="11"/>
      <c r="I71" s="55"/>
      <c r="J71" s="55"/>
      <c r="K71" s="11"/>
      <c r="L71" s="11"/>
      <c r="M71" s="11"/>
      <c r="N71" s="100" t="str">
        <f>N68&amp;" - Check"</f>
        <v>Total Expenses - Check</v>
      </c>
      <c r="O71" s="205">
        <f t="shared" ref="O71:AA71" si="25">SUMIF($H$34:$H$69,"600000",O$34:O$69)+SUMIF($H$34:$H$69,"700000",O$34:O$69)-SUMIF($H$34:$H$69,"TOTDEPTEXP",O$34:O$69)</f>
        <v>0</v>
      </c>
      <c r="P71" s="205">
        <f t="shared" si="25"/>
        <v>0</v>
      </c>
      <c r="Q71" s="205">
        <f t="shared" si="25"/>
        <v>0</v>
      </c>
      <c r="R71" s="205">
        <f t="shared" si="25"/>
        <v>0</v>
      </c>
      <c r="S71" s="205">
        <f t="shared" si="25"/>
        <v>0</v>
      </c>
      <c r="T71" s="205">
        <f t="shared" si="25"/>
        <v>0</v>
      </c>
      <c r="U71" s="205">
        <f t="shared" si="25"/>
        <v>0</v>
      </c>
      <c r="V71" s="205">
        <f t="shared" si="25"/>
        <v>0</v>
      </c>
      <c r="W71" s="205">
        <f t="shared" si="25"/>
        <v>0</v>
      </c>
      <c r="X71" s="205">
        <f t="shared" si="25"/>
        <v>0</v>
      </c>
      <c r="Y71" s="205">
        <f t="shared" si="25"/>
        <v>0</v>
      </c>
      <c r="Z71" s="205">
        <f t="shared" si="25"/>
        <v>0</v>
      </c>
      <c r="AA71" s="205">
        <f t="shared" si="25"/>
        <v>0</v>
      </c>
      <c r="AB71" s="96"/>
      <c r="AC71" s="11"/>
      <c r="AD71" s="205">
        <f>SUMIF($H$34:$H$69,"600000",AD$34:AD$69)+SUMIF($H$34:$H$69,"700000",AD$34:AD$69)-SUMIF($H$34:$H$69,"TOTDEPTEXP",AD$34:AD$69)</f>
        <v>0</v>
      </c>
      <c r="AE71" s="96"/>
      <c r="AF71" s="87"/>
      <c r="AG71" s="205">
        <f>SUMIF($H$34:$H$69,"600000",AG$34:AG$69)+SUMIF($H$34:$H$69,"700000",AG$34:AG$69)-SUMIF($H$34:$H$69,"TOTDEPTEXP",AG$34:AG$69)</f>
        <v>0</v>
      </c>
      <c r="AH71" s="96"/>
      <c r="AI71" s="87"/>
      <c r="AJ71" s="11"/>
      <c r="AK71" s="11"/>
      <c r="AL71" s="11"/>
      <c r="AM71" s="11"/>
      <c r="AN71" s="11"/>
      <c r="AO71" s="11"/>
    </row>
    <row r="72" spans="1:41" x14ac:dyDescent="0.25">
      <c r="A72" s="11"/>
      <c r="B72" s="11"/>
      <c r="C72" s="11"/>
      <c r="D72" s="11"/>
      <c r="E72" s="11"/>
      <c r="F72" s="11"/>
      <c r="G72" s="11"/>
      <c r="H72" s="11"/>
      <c r="I72" s="55"/>
      <c r="J72" s="55"/>
      <c r="K72" s="11"/>
      <c r="L72" s="11"/>
      <c r="M72" s="11"/>
      <c r="N72" s="100" t="str">
        <f>N69&amp;" - Check"</f>
        <v>Department Profit (Loss) - Check</v>
      </c>
      <c r="O72" s="205">
        <f t="shared" ref="O72:AA72" si="26">SUMIF($H$34:$H$69,"KPI_GP",O$34:O$69)-SUMIF($H$34:$H$69,"TOTDEPTEXP",O$34:O$69)-SUMIF($H$34:$H$69,"TOTDEPTPL",O$34:O$69)</f>
        <v>0</v>
      </c>
      <c r="P72" s="205">
        <f t="shared" si="26"/>
        <v>0</v>
      </c>
      <c r="Q72" s="205">
        <f t="shared" si="26"/>
        <v>0</v>
      </c>
      <c r="R72" s="205">
        <f t="shared" si="26"/>
        <v>9.0949470177292824E-13</v>
      </c>
      <c r="S72" s="205">
        <f t="shared" si="26"/>
        <v>0</v>
      </c>
      <c r="T72" s="205">
        <f t="shared" si="26"/>
        <v>0</v>
      </c>
      <c r="U72" s="205">
        <f t="shared" si="26"/>
        <v>0</v>
      </c>
      <c r="V72" s="205">
        <f t="shared" si="26"/>
        <v>0</v>
      </c>
      <c r="W72" s="205">
        <f t="shared" si="26"/>
        <v>0</v>
      </c>
      <c r="X72" s="205">
        <f t="shared" si="26"/>
        <v>0</v>
      </c>
      <c r="Y72" s="205">
        <f t="shared" si="26"/>
        <v>0</v>
      </c>
      <c r="Z72" s="205">
        <f t="shared" si="26"/>
        <v>0</v>
      </c>
      <c r="AA72" s="205">
        <f t="shared" si="26"/>
        <v>0</v>
      </c>
      <c r="AB72" s="96"/>
      <c r="AC72" s="11"/>
      <c r="AD72" s="205">
        <f>SUMIF($H$34:$H$69,"KPI_GP",AD$34:AD$69)-SUMIF($H$34:$H$69,"TOTDEPTEXP",AD$34:AD$69)-SUMIF($H$34:$H$69,"TOTDEPTPL",AD$34:AD$69)</f>
        <v>3.92901711165905E-10</v>
      </c>
      <c r="AE72" s="96"/>
      <c r="AF72" s="87"/>
      <c r="AG72" s="205">
        <f>SUMIF($H$34:$H$69,"KPI_GP",AG$34:AG$69)-SUMIF($H$34:$H$69,"TOTDEPTEXP",AG$34:AG$69)-SUMIF($H$34:$H$69,"TOTDEPTPL",AG$34:AG$69)</f>
        <v>0</v>
      </c>
      <c r="AH72" s="96"/>
      <c r="AI72" s="87"/>
      <c r="AJ72" s="11"/>
      <c r="AK72" s="11"/>
      <c r="AL72" s="11"/>
      <c r="AM72" s="11"/>
      <c r="AN72" s="11"/>
      <c r="AO72" s="11"/>
    </row>
    <row r="73" spans="1:41" x14ac:dyDescent="0.25">
      <c r="A73" s="57" t="s">
        <v>0</v>
      </c>
      <c r="B73" s="58" t="s">
        <v>1</v>
      </c>
      <c r="C73" s="11"/>
      <c r="D73" s="11"/>
      <c r="E73" s="11"/>
      <c r="F73" s="11"/>
      <c r="G73" s="11"/>
      <c r="H73" s="11"/>
      <c r="I73" s="55"/>
      <c r="J73" s="55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</row>
    <row r="74" spans="1:41" x14ac:dyDescent="0.25">
      <c r="A74" s="61" t="s">
        <v>2</v>
      </c>
      <c r="B74" s="62" t="str">
        <f>IF(_epmOfflineCondition_,"'Parking'!$B$2:$B$10",_xll.EVRNG($B$2:$B$10))</f>
        <v>'Parking'!$B$2:$B$10</v>
      </c>
      <c r="C74" s="11"/>
      <c r="D74" s="11"/>
      <c r="E74" s="11"/>
      <c r="F74" s="11"/>
      <c r="G74" s="11"/>
      <c r="H74" s="11"/>
      <c r="I74" s="55"/>
      <c r="J74" s="55"/>
      <c r="K74" s="11"/>
      <c r="L74" s="11"/>
      <c r="M74" s="11"/>
      <c r="N74" s="11"/>
      <c r="O74" s="133"/>
      <c r="P74" s="133"/>
      <c r="Q74" s="133"/>
      <c r="R74" s="133"/>
      <c r="S74" s="133"/>
      <c r="T74" s="133"/>
      <c r="U74" s="133"/>
      <c r="V74" s="133"/>
      <c r="W74" s="133"/>
      <c r="X74" s="133"/>
      <c r="Y74" s="133"/>
      <c r="Z74" s="133"/>
      <c r="AA74" s="133"/>
      <c r="AB74" s="11"/>
      <c r="AC74" s="11"/>
      <c r="AD74" s="133"/>
      <c r="AE74" s="11"/>
      <c r="AF74" s="11"/>
      <c r="AG74" s="133"/>
      <c r="AH74" s="11"/>
      <c r="AI74" s="11"/>
      <c r="AJ74" s="11"/>
      <c r="AK74" s="11"/>
      <c r="AL74" s="11"/>
      <c r="AM74" s="11"/>
      <c r="AN74" s="11"/>
      <c r="AO74" s="11"/>
    </row>
    <row r="75" spans="1:41" x14ac:dyDescent="0.25">
      <c r="A75" s="61" t="s">
        <v>3</v>
      </c>
      <c r="B75" s="62" t="str">
        <f>IF(_epmOfflineCondition_,"'Parking'!$O$16:$AN$18",_xll.EVRNG($O$16:$AN$18))</f>
        <v>'Parking'!$O$16:$AN$18</v>
      </c>
      <c r="C75" s="11"/>
      <c r="D75" s="11"/>
      <c r="E75" s="11"/>
      <c r="F75" s="11"/>
      <c r="G75" s="11"/>
      <c r="H75" s="11"/>
      <c r="I75" s="55"/>
      <c r="J75" s="55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</row>
    <row r="76" spans="1:41" x14ac:dyDescent="0.25">
      <c r="A76" s="61" t="s">
        <v>4</v>
      </c>
      <c r="B76" s="62" t="str">
        <f>IF(_epmOfflineCondition_,"'Parking'!$H$48:$H$49,'Parking'!$H$51:$H$57,'Parking'!$H$60:$H$65",_xll.EVRNG(H48:H49,H51:H57,H60:H65))</f>
        <v>'Parking'!$H$48:$H$49,'Parking'!$H$51:$H$57,'Parking'!$H$60:$H$65</v>
      </c>
      <c r="C76" s="11"/>
      <c r="D76" s="11"/>
      <c r="E76" s="11"/>
      <c r="F76" s="11"/>
      <c r="G76" s="11"/>
      <c r="H76" s="11"/>
      <c r="I76" s="55"/>
      <c r="J76" s="55"/>
      <c r="K76" s="11"/>
      <c r="L76" s="11"/>
      <c r="M76" s="11"/>
      <c r="N76" s="11"/>
      <c r="O76" s="133"/>
      <c r="P76" s="133"/>
      <c r="Q76" s="133"/>
      <c r="R76" s="133"/>
      <c r="S76" s="133"/>
      <c r="T76" s="133"/>
      <c r="U76" s="133"/>
      <c r="V76" s="133"/>
      <c r="W76" s="133"/>
      <c r="X76" s="133"/>
      <c r="Y76" s="133"/>
      <c r="Z76" s="133"/>
      <c r="AA76" s="133"/>
      <c r="AB76" s="11"/>
      <c r="AC76" s="11"/>
      <c r="AD76" s="133"/>
      <c r="AE76" s="11"/>
      <c r="AF76" s="11"/>
      <c r="AG76" s="133"/>
      <c r="AH76" s="11"/>
      <c r="AI76" s="11"/>
      <c r="AJ76" s="11"/>
      <c r="AK76" s="11"/>
      <c r="AL76" s="11"/>
      <c r="AM76" s="11"/>
      <c r="AN76" s="11"/>
      <c r="AO76" s="11"/>
    </row>
    <row r="77" spans="1:41" x14ac:dyDescent="0.25">
      <c r="A77" s="61" t="s">
        <v>5</v>
      </c>
      <c r="B77" s="62"/>
      <c r="C77" s="11"/>
      <c r="D77" s="11"/>
      <c r="E77" s="11"/>
      <c r="F77" s="11"/>
      <c r="G77" s="11"/>
      <c r="H77" s="11"/>
      <c r="I77" s="55"/>
      <c r="J77" s="55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</row>
    <row r="78" spans="1:41" x14ac:dyDescent="0.25">
      <c r="A78" s="61" t="s">
        <v>6</v>
      </c>
      <c r="B78" s="62"/>
      <c r="C78" s="11"/>
      <c r="D78" s="11"/>
      <c r="E78" s="11"/>
      <c r="F78" s="11"/>
      <c r="G78" s="11"/>
      <c r="H78" s="11"/>
      <c r="I78" s="55"/>
      <c r="J78" s="55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  <row r="79" spans="1:41" x14ac:dyDescent="0.25">
      <c r="A79" s="61" t="s">
        <v>7</v>
      </c>
      <c r="B79" s="62" t="str">
        <f>IF(_epmOfflineCondition_,"'Parking'!$A$93:$F$99",_xll.EVRNG(A93:F99))</f>
        <v>'Parking'!$A$93:$F$99</v>
      </c>
      <c r="C79" s="11"/>
      <c r="D79" s="11"/>
      <c r="E79" s="11"/>
      <c r="F79" s="11"/>
      <c r="G79" s="11"/>
      <c r="H79" s="55"/>
      <c r="I79" s="55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</row>
    <row r="80" spans="1:41" x14ac:dyDescent="0.25">
      <c r="A80" s="61" t="s">
        <v>47</v>
      </c>
      <c r="B80" s="62" t="str">
        <f>IF(_epmOfflineCondition_,"'Parking'!$A$116:$B$137",_xll.EVRNG($A$116:$B$137))</f>
        <v>'Parking'!$A$116:$B$137</v>
      </c>
      <c r="C80" s="11"/>
      <c r="D80" s="11"/>
      <c r="E80" s="11"/>
      <c r="F80" s="11"/>
      <c r="G80" s="11"/>
      <c r="H80" s="55"/>
      <c r="I80" s="55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x14ac:dyDescent="0.25">
      <c r="A81" s="61" t="s">
        <v>8</v>
      </c>
      <c r="B81" s="62"/>
      <c r="C81" s="11"/>
      <c r="D81" s="11"/>
      <c r="E81" s="11"/>
      <c r="F81" s="11"/>
      <c r="G81" s="11"/>
      <c r="H81" s="55"/>
      <c r="I81" s="55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</row>
    <row r="82" spans="1:41" x14ac:dyDescent="0.25">
      <c r="A82" s="11"/>
      <c r="B82" s="11"/>
      <c r="C82" s="11"/>
      <c r="D82" s="11"/>
      <c r="E82" s="11"/>
      <c r="F82" s="11"/>
      <c r="G82" s="11"/>
      <c r="H82" s="55"/>
      <c r="I82" s="55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x14ac:dyDescent="0.25">
      <c r="A83" s="57" t="s">
        <v>9</v>
      </c>
      <c r="B83" s="58" t="s">
        <v>10</v>
      </c>
      <c r="C83" s="11"/>
      <c r="D83" s="11"/>
      <c r="E83" s="11"/>
      <c r="F83" s="11"/>
      <c r="G83" s="11"/>
      <c r="H83" s="55"/>
      <c r="I83" s="55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x14ac:dyDescent="0.25">
      <c r="A84" s="61" t="s">
        <v>11</v>
      </c>
      <c r="B84" s="62" t="s">
        <v>21</v>
      </c>
      <c r="C84" s="11"/>
      <c r="D84" s="11"/>
      <c r="E84" s="11"/>
      <c r="F84" s="11"/>
      <c r="G84" s="11"/>
      <c r="H84" s="55"/>
      <c r="I84" s="55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x14ac:dyDescent="0.25">
      <c r="A85" s="61" t="s">
        <v>12</v>
      </c>
      <c r="B85" s="62" t="s">
        <v>22</v>
      </c>
      <c r="C85" s="11"/>
      <c r="D85" s="11"/>
      <c r="E85" s="11"/>
      <c r="F85" s="11"/>
      <c r="G85" s="11"/>
      <c r="H85" s="55"/>
      <c r="I85" s="55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x14ac:dyDescent="0.25">
      <c r="A86" s="61" t="s">
        <v>13</v>
      </c>
      <c r="B86" s="62" t="s">
        <v>738</v>
      </c>
      <c r="C86" s="11"/>
      <c r="D86" s="11"/>
      <c r="E86" s="11"/>
      <c r="F86" s="11"/>
      <c r="G86" s="11"/>
      <c r="H86" s="55"/>
      <c r="I86" s="55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x14ac:dyDescent="0.25">
      <c r="A87" s="61" t="s">
        <v>14</v>
      </c>
      <c r="B87" s="62"/>
      <c r="C87" s="11"/>
      <c r="D87" s="11"/>
      <c r="E87" s="11"/>
      <c r="F87" s="11"/>
      <c r="G87" s="11"/>
      <c r="H87" s="55"/>
      <c r="I87" s="55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x14ac:dyDescent="0.25">
      <c r="A88" s="61" t="s">
        <v>15</v>
      </c>
      <c r="B88" s="62"/>
      <c r="C88" s="11"/>
      <c r="D88" s="11"/>
      <c r="E88" s="11"/>
      <c r="F88" s="11"/>
      <c r="G88" s="11"/>
      <c r="H88" s="55"/>
      <c r="I88" s="55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x14ac:dyDescent="0.25">
      <c r="A89" s="61" t="s">
        <v>16</v>
      </c>
      <c r="B89" s="62" t="s">
        <v>78</v>
      </c>
      <c r="C89" s="11"/>
      <c r="D89" s="11"/>
      <c r="E89" s="11"/>
      <c r="F89" s="11"/>
      <c r="G89" s="72"/>
      <c r="H89" s="55"/>
      <c r="I89" s="55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x14ac:dyDescent="0.25">
      <c r="A90" s="61" t="s">
        <v>17</v>
      </c>
      <c r="B90" s="62"/>
      <c r="C90" s="11"/>
      <c r="D90" s="11"/>
      <c r="E90" s="11"/>
      <c r="F90" s="11"/>
      <c r="G90" s="11"/>
      <c r="H90" s="55"/>
      <c r="I90" s="55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x14ac:dyDescent="0.25">
      <c r="A91" s="11"/>
      <c r="B91" s="11"/>
      <c r="C91" s="11"/>
      <c r="D91" s="11"/>
      <c r="E91" s="11"/>
      <c r="F91" s="11"/>
      <c r="G91" s="11"/>
      <c r="H91" s="55"/>
      <c r="I91" s="55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x14ac:dyDescent="0.25">
      <c r="A92" s="93" t="s">
        <v>92</v>
      </c>
      <c r="B92" s="94" t="s">
        <v>93</v>
      </c>
      <c r="C92" s="94" t="s">
        <v>94</v>
      </c>
      <c r="D92" s="94" t="s">
        <v>95</v>
      </c>
      <c r="E92" s="94" t="s">
        <v>96</v>
      </c>
      <c r="F92" s="95" t="s">
        <v>97</v>
      </c>
      <c r="G92" s="11"/>
      <c r="H92" s="55"/>
      <c r="I92" s="55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x14ac:dyDescent="0.25">
      <c r="A93" s="11"/>
      <c r="B93" s="11"/>
      <c r="C93" s="11"/>
      <c r="D93" s="11"/>
      <c r="E93" s="11"/>
      <c r="F93" s="11"/>
      <c r="G93" s="11"/>
      <c r="H93" s="55"/>
      <c r="I93" s="55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x14ac:dyDescent="0.25">
      <c r="A94" s="11" t="s">
        <v>108</v>
      </c>
      <c r="B94" s="11"/>
      <c r="C94" s="100" t="s">
        <v>101</v>
      </c>
      <c r="D94" s="11" t="s">
        <v>106</v>
      </c>
      <c r="E94" s="11"/>
      <c r="F94" s="11" t="s">
        <v>98</v>
      </c>
      <c r="G94" s="11"/>
      <c r="H94" s="55"/>
      <c r="I94" s="55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x14ac:dyDescent="0.25">
      <c r="A95" s="11" t="s">
        <v>100</v>
      </c>
      <c r="B95" s="11"/>
      <c r="C95" s="49" t="s">
        <v>101</v>
      </c>
      <c r="D95" s="11" t="s">
        <v>106</v>
      </c>
      <c r="E95" s="11"/>
      <c r="F95" s="11" t="s">
        <v>98</v>
      </c>
      <c r="G95" s="11"/>
      <c r="H95" s="55"/>
      <c r="I95" s="55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x14ac:dyDescent="0.25">
      <c r="A96" s="11" t="s">
        <v>109</v>
      </c>
      <c r="B96" s="11"/>
      <c r="C96" s="102" t="s">
        <v>101</v>
      </c>
      <c r="D96" s="11" t="s">
        <v>106</v>
      </c>
      <c r="E96" s="11"/>
      <c r="F96" s="11" t="s">
        <v>98</v>
      </c>
      <c r="G96" s="11"/>
      <c r="H96" s="55"/>
      <c r="I96" s="55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x14ac:dyDescent="0.25">
      <c r="A97" s="11" t="s">
        <v>109</v>
      </c>
      <c r="B97" s="11"/>
      <c r="C97" s="192" t="s">
        <v>101</v>
      </c>
      <c r="D97" s="11" t="s">
        <v>107</v>
      </c>
      <c r="E97" s="11"/>
      <c r="F97" s="11" t="s">
        <v>99</v>
      </c>
      <c r="G97" s="11"/>
      <c r="H97" s="55"/>
      <c r="I97" s="55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x14ac:dyDescent="0.25">
      <c r="A98" s="11" t="s">
        <v>110</v>
      </c>
      <c r="B98" s="11"/>
      <c r="C98" s="102" t="s">
        <v>101</v>
      </c>
      <c r="D98" s="11" t="s">
        <v>106</v>
      </c>
      <c r="E98" s="11"/>
      <c r="F98" s="11" t="s">
        <v>98</v>
      </c>
      <c r="G98" s="11"/>
      <c r="H98" s="55"/>
      <c r="I98" s="55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x14ac:dyDescent="0.25">
      <c r="A99" s="11" t="s">
        <v>110</v>
      </c>
      <c r="B99" s="11"/>
      <c r="C99" s="105" t="s">
        <v>101</v>
      </c>
      <c r="D99" s="11" t="s">
        <v>107</v>
      </c>
      <c r="E99" s="11"/>
      <c r="F99" s="11" t="s">
        <v>99</v>
      </c>
      <c r="G99" s="11"/>
      <c r="H99" s="55"/>
      <c r="I99" s="55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x14ac:dyDescent="0.25">
      <c r="A100" s="11"/>
      <c r="B100" s="11"/>
      <c r="C100" s="204"/>
      <c r="D100" s="11"/>
      <c r="E100" s="11"/>
      <c r="F100" s="11"/>
      <c r="G100" s="11"/>
      <c r="H100" s="55"/>
      <c r="I100" s="55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x14ac:dyDescent="0.25">
      <c r="A101" s="11"/>
      <c r="B101" s="11"/>
      <c r="C101" s="11"/>
      <c r="D101" s="11"/>
      <c r="E101" s="11"/>
      <c r="F101" s="11"/>
      <c r="G101" s="11"/>
      <c r="H101" s="55"/>
      <c r="I101" s="55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x14ac:dyDescent="0.25">
      <c r="A102" s="56" t="str">
        <f>IF(_epmOfflineCondition_,"Evdre:Ok",_xll.EVDRE($B$1,A105:B112))</f>
        <v>Evdre:Ok</v>
      </c>
      <c r="B102" s="11" t="s">
        <v>737</v>
      </c>
      <c r="C102" s="11"/>
      <c r="D102" s="11"/>
      <c r="E102" s="11"/>
      <c r="F102" s="11"/>
      <c r="G102" s="11"/>
      <c r="H102" s="55"/>
      <c r="I102" s="55"/>
      <c r="J102" s="55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x14ac:dyDescent="0.25">
      <c r="A103" s="11"/>
      <c r="B103" s="11"/>
      <c r="C103" s="11"/>
      <c r="D103" s="11"/>
      <c r="E103" s="11"/>
      <c r="F103" s="11"/>
      <c r="G103" s="11"/>
      <c r="H103" s="11"/>
      <c r="I103" s="55"/>
      <c r="J103" s="55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x14ac:dyDescent="0.25">
      <c r="A104" s="57" t="s">
        <v>0</v>
      </c>
      <c r="B104" s="58" t="s">
        <v>1</v>
      </c>
      <c r="C104" s="11"/>
      <c r="D104" s="11"/>
      <c r="E104" s="11"/>
      <c r="F104" s="11"/>
      <c r="G104" s="11"/>
      <c r="H104" s="11"/>
      <c r="I104" s="55"/>
      <c r="J104" s="55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x14ac:dyDescent="0.25">
      <c r="A105" s="61" t="s">
        <v>2</v>
      </c>
      <c r="B105" s="62" t="str">
        <f>IF(_epmOfflineCondition_,"'Parking'!$B$2:$B$10",_xll.EVRNG($B$2:$B$10))</f>
        <v>'Parking'!$B$2:$B$10</v>
      </c>
      <c r="C105" s="11"/>
      <c r="D105" s="11"/>
      <c r="E105" s="11"/>
      <c r="F105" s="11"/>
      <c r="G105" s="11"/>
      <c r="H105" s="11"/>
      <c r="I105" s="55"/>
      <c r="J105" s="55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x14ac:dyDescent="0.25">
      <c r="A106" s="61" t="s">
        <v>3</v>
      </c>
      <c r="B106" s="62" t="str">
        <f>IF(_epmOfflineCondition_,"'Parking'!$O$16:$AN$18",_xll.EVRNG($O$16:$AN$18))</f>
        <v>'Parking'!$O$16:$AN$18</v>
      </c>
      <c r="C106" s="11"/>
      <c r="D106" s="11"/>
      <c r="E106" s="11"/>
      <c r="F106" s="11"/>
      <c r="G106" s="11"/>
      <c r="H106" s="11"/>
      <c r="I106" s="55"/>
      <c r="J106" s="55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x14ac:dyDescent="0.25">
      <c r="A107" s="61" t="s">
        <v>4</v>
      </c>
      <c r="B107" s="62" t="str">
        <f>IF(_epmOfflineCondition_,"'Parking'!$H$66:$H$69",_xll.EVRNG(H66:H69))</f>
        <v>'Parking'!$H$66:$H$69</v>
      </c>
      <c r="C107" s="11"/>
      <c r="D107" s="11"/>
      <c r="E107" s="11"/>
      <c r="F107" s="11"/>
      <c r="G107" s="11"/>
      <c r="H107" s="11"/>
      <c r="I107" s="55"/>
      <c r="J107" s="55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x14ac:dyDescent="0.25">
      <c r="A108" s="61" t="s">
        <v>5</v>
      </c>
      <c r="B108" s="62"/>
      <c r="C108" s="11"/>
      <c r="D108" s="11"/>
      <c r="E108" s="11"/>
      <c r="F108" s="11"/>
      <c r="G108" s="11"/>
      <c r="H108" s="11"/>
      <c r="I108" s="55"/>
      <c r="J108" s="55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x14ac:dyDescent="0.25">
      <c r="A109" s="61" t="s">
        <v>6</v>
      </c>
      <c r="B109" s="62"/>
      <c r="C109" s="11"/>
      <c r="D109" s="11"/>
      <c r="E109" s="11"/>
      <c r="F109" s="11"/>
      <c r="G109" s="11"/>
      <c r="H109" s="11"/>
      <c r="I109" s="55"/>
      <c r="J109" s="55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x14ac:dyDescent="0.25">
      <c r="A110" s="61" t="s">
        <v>7</v>
      </c>
      <c r="B110" s="62"/>
      <c r="C110" s="11"/>
      <c r="D110" s="11"/>
      <c r="E110" s="11"/>
      <c r="F110" s="11"/>
      <c r="G110" s="11"/>
      <c r="H110" s="11"/>
      <c r="I110" s="55"/>
      <c r="J110" s="55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x14ac:dyDescent="0.25">
      <c r="A111" s="61" t="s">
        <v>47</v>
      </c>
      <c r="B111" s="62" t="str">
        <f>IF(_epmOfflineCondition_,"'Parking'!$A$116:$B$137",_xll.EVRNG($A$116:$B$137))</f>
        <v>'Parking'!$A$116:$B$137</v>
      </c>
      <c r="C111" s="11"/>
      <c r="D111" s="11"/>
      <c r="E111" s="11"/>
      <c r="F111" s="11"/>
      <c r="G111" s="11"/>
      <c r="H111" s="11"/>
      <c r="I111" s="55"/>
      <c r="J111" s="55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x14ac:dyDescent="0.25">
      <c r="A112" s="61" t="s">
        <v>8</v>
      </c>
      <c r="B112" s="62"/>
      <c r="C112" s="11"/>
      <c r="D112" s="11"/>
      <c r="E112" s="11"/>
      <c r="F112" s="11"/>
      <c r="G112" s="11"/>
      <c r="H112" s="11"/>
      <c r="I112" s="55"/>
      <c r="J112" s="55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x14ac:dyDescent="0.25">
      <c r="A113" s="11"/>
      <c r="B113" s="11"/>
      <c r="C113" s="11"/>
      <c r="D113" s="11"/>
      <c r="E113" s="11"/>
      <c r="F113" s="11"/>
      <c r="G113" s="11"/>
      <c r="H113" s="11"/>
      <c r="I113" s="55"/>
      <c r="J113" s="55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  <row r="114" spans="1:41" x14ac:dyDescent="0.25">
      <c r="A114" s="11"/>
      <c r="B114" s="11"/>
      <c r="C114" s="11"/>
      <c r="D114" s="11"/>
      <c r="E114" s="11"/>
      <c r="F114" s="11"/>
      <c r="G114" s="11"/>
      <c r="H114" s="11"/>
      <c r="I114" s="55"/>
      <c r="J114" s="55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x14ac:dyDescent="0.25">
      <c r="A115" s="57" t="s">
        <v>23</v>
      </c>
      <c r="B115" s="58" t="s">
        <v>24</v>
      </c>
      <c r="C115" s="11"/>
      <c r="D115" s="11"/>
      <c r="E115" s="11"/>
      <c r="F115" s="11"/>
      <c r="G115" s="11"/>
      <c r="H115" s="11"/>
      <c r="I115" s="55"/>
      <c r="J115" s="55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x14ac:dyDescent="0.25">
      <c r="A116" s="61" t="s">
        <v>25</v>
      </c>
      <c r="B116" s="62"/>
      <c r="C116" s="11"/>
      <c r="D116" s="11"/>
      <c r="E116" s="11"/>
      <c r="F116" s="11"/>
      <c r="G116" s="11"/>
      <c r="H116" s="11"/>
      <c r="I116" s="55"/>
      <c r="J116" s="55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x14ac:dyDescent="0.25">
      <c r="A117" s="61" t="s">
        <v>26</v>
      </c>
      <c r="B117" s="62"/>
      <c r="C117" s="11"/>
      <c r="D117" s="11"/>
      <c r="E117" s="11"/>
      <c r="F117" s="11"/>
      <c r="G117" s="11"/>
      <c r="H117" s="11"/>
      <c r="I117" s="55"/>
      <c r="J117" s="55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x14ac:dyDescent="0.25">
      <c r="A118" s="61" t="s">
        <v>27</v>
      </c>
      <c r="B118" s="62"/>
      <c r="C118" s="11"/>
      <c r="D118" s="11"/>
      <c r="E118" s="11"/>
      <c r="F118" s="11"/>
      <c r="G118" s="11"/>
      <c r="H118" s="11"/>
      <c r="I118" s="55"/>
      <c r="J118" s="55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x14ac:dyDescent="0.25">
      <c r="A119" s="61" t="s">
        <v>28</v>
      </c>
      <c r="B119" s="62"/>
      <c r="C119" s="11"/>
      <c r="D119" s="11"/>
      <c r="E119" s="11"/>
      <c r="F119" s="11"/>
      <c r="G119" s="11"/>
      <c r="H119" s="11"/>
      <c r="I119" s="55"/>
      <c r="J119" s="55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x14ac:dyDescent="0.25">
      <c r="A120" s="61" t="s">
        <v>29</v>
      </c>
      <c r="B120" s="62"/>
      <c r="C120" s="11"/>
      <c r="D120" s="11"/>
      <c r="E120" s="11"/>
      <c r="F120" s="11"/>
      <c r="G120" s="11"/>
      <c r="H120" s="11"/>
      <c r="I120" s="55"/>
      <c r="J120" s="55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x14ac:dyDescent="0.25">
      <c r="A121" s="61" t="s">
        <v>30</v>
      </c>
      <c r="B121" s="62" t="s">
        <v>78</v>
      </c>
      <c r="C121" s="11"/>
      <c r="D121" s="11"/>
      <c r="E121" s="11"/>
      <c r="F121" s="11"/>
      <c r="G121" s="11"/>
      <c r="H121" s="11"/>
      <c r="I121" s="55"/>
      <c r="J121" s="55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x14ac:dyDescent="0.25">
      <c r="A122" s="61" t="s">
        <v>31</v>
      </c>
      <c r="B122" s="62" t="s">
        <v>78</v>
      </c>
      <c r="C122" s="11"/>
      <c r="D122" s="11"/>
      <c r="E122" s="11"/>
      <c r="F122" s="11"/>
      <c r="G122" s="11"/>
      <c r="H122" s="11"/>
      <c r="I122" s="55"/>
      <c r="J122" s="55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x14ac:dyDescent="0.25">
      <c r="A123" s="61" t="s">
        <v>32</v>
      </c>
      <c r="B123" s="62"/>
      <c r="C123" s="11"/>
      <c r="D123" s="11"/>
      <c r="E123" s="11"/>
      <c r="F123" s="11"/>
      <c r="G123" s="11"/>
      <c r="H123" s="11"/>
      <c r="I123" s="55"/>
      <c r="J123" s="55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x14ac:dyDescent="0.25">
      <c r="A124" s="61" t="s">
        <v>33</v>
      </c>
      <c r="B124" s="62"/>
      <c r="C124" s="11"/>
      <c r="D124" s="11"/>
      <c r="E124" s="11"/>
      <c r="F124" s="11"/>
      <c r="G124" s="11"/>
      <c r="H124" s="11"/>
      <c r="I124" s="55"/>
      <c r="J124" s="55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x14ac:dyDescent="0.25">
      <c r="A125" s="61" t="s">
        <v>34</v>
      </c>
      <c r="B125" s="62"/>
      <c r="C125" s="11"/>
      <c r="D125" s="11"/>
      <c r="E125" s="11"/>
      <c r="F125" s="11"/>
      <c r="G125" s="11"/>
      <c r="H125" s="11"/>
      <c r="I125" s="55"/>
      <c r="J125" s="55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x14ac:dyDescent="0.25">
      <c r="A126" s="61" t="s">
        <v>35</v>
      </c>
      <c r="B126" s="62"/>
      <c r="C126" s="11"/>
      <c r="D126" s="11"/>
      <c r="E126" s="11"/>
      <c r="F126" s="11"/>
      <c r="G126" s="11"/>
      <c r="H126" s="11"/>
      <c r="I126" s="55"/>
      <c r="J126" s="55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x14ac:dyDescent="0.25">
      <c r="A127" s="61" t="s">
        <v>36</v>
      </c>
      <c r="B127" s="62"/>
      <c r="C127" s="11"/>
      <c r="D127" s="11"/>
      <c r="E127" s="11"/>
      <c r="F127" s="11"/>
      <c r="G127" s="11"/>
      <c r="H127" s="11"/>
      <c r="I127" s="55"/>
      <c r="J127" s="55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x14ac:dyDescent="0.25">
      <c r="A128" s="61" t="s">
        <v>37</v>
      </c>
      <c r="B128" s="62"/>
      <c r="C128" s="11"/>
      <c r="D128" s="11"/>
      <c r="E128" s="11"/>
      <c r="F128" s="11"/>
      <c r="G128" s="11"/>
      <c r="H128" s="11"/>
      <c r="I128" s="55"/>
      <c r="J128" s="55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</row>
    <row r="129" spans="1:41" x14ac:dyDescent="0.25">
      <c r="A129" s="61" t="s">
        <v>38</v>
      </c>
      <c r="B129" s="62"/>
      <c r="C129" s="11"/>
      <c r="D129" s="11"/>
      <c r="E129" s="11"/>
      <c r="F129" s="11"/>
      <c r="G129" s="11"/>
      <c r="H129" s="11"/>
      <c r="I129" s="55"/>
      <c r="J129" s="55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x14ac:dyDescent="0.25">
      <c r="A130" s="61" t="s">
        <v>39</v>
      </c>
      <c r="B130" s="62"/>
      <c r="C130" s="11"/>
      <c r="D130" s="11"/>
      <c r="E130" s="11"/>
      <c r="F130" s="11"/>
      <c r="G130" s="11"/>
      <c r="H130" s="11"/>
      <c r="I130" s="55"/>
      <c r="J130" s="55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x14ac:dyDescent="0.25">
      <c r="A131" s="61" t="s">
        <v>40</v>
      </c>
      <c r="B131" s="62"/>
      <c r="C131" s="11"/>
      <c r="D131" s="11"/>
      <c r="E131" s="11"/>
      <c r="F131" s="11"/>
      <c r="G131" s="11"/>
      <c r="H131" s="11"/>
      <c r="I131" s="55"/>
      <c r="J131" s="55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x14ac:dyDescent="0.25">
      <c r="A132" s="61" t="s">
        <v>41</v>
      </c>
      <c r="B132" s="62"/>
      <c r="C132" s="11"/>
      <c r="D132" s="11"/>
      <c r="E132" s="11"/>
      <c r="F132" s="11"/>
      <c r="G132" s="11"/>
      <c r="H132" s="11"/>
      <c r="I132" s="55"/>
      <c r="J132" s="55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x14ac:dyDescent="0.25">
      <c r="A133" s="61" t="s">
        <v>42</v>
      </c>
      <c r="B133" s="62"/>
      <c r="C133" s="11"/>
      <c r="D133" s="11"/>
      <c r="E133" s="11"/>
      <c r="F133" s="11"/>
      <c r="G133" s="11"/>
      <c r="H133" s="11"/>
      <c r="I133" s="55"/>
      <c r="J133" s="55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x14ac:dyDescent="0.25">
      <c r="A134" s="61" t="s">
        <v>43</v>
      </c>
      <c r="B134" s="62"/>
      <c r="C134" s="11"/>
      <c r="D134" s="11"/>
      <c r="E134" s="11"/>
      <c r="F134" s="11"/>
      <c r="G134" s="11"/>
      <c r="H134" s="11"/>
      <c r="I134" s="55"/>
      <c r="J134" s="55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x14ac:dyDescent="0.25">
      <c r="A135" s="61" t="s">
        <v>44</v>
      </c>
      <c r="B135" s="62"/>
      <c r="C135" s="11"/>
      <c r="D135" s="11"/>
      <c r="E135" s="11"/>
      <c r="F135" s="11"/>
      <c r="G135" s="11"/>
      <c r="H135" s="11"/>
      <c r="I135" s="55"/>
      <c r="J135" s="55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x14ac:dyDescent="0.25">
      <c r="A136" s="61" t="s">
        <v>45</v>
      </c>
      <c r="B136" s="62"/>
      <c r="C136" s="11"/>
      <c r="D136" s="11"/>
      <c r="E136" s="11"/>
      <c r="F136" s="11"/>
      <c r="G136" s="11"/>
      <c r="H136" s="11"/>
      <c r="I136" s="55"/>
      <c r="J136" s="55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x14ac:dyDescent="0.25">
      <c r="A137" s="61" t="s">
        <v>46</v>
      </c>
      <c r="B137" s="62"/>
      <c r="C137" s="11"/>
      <c r="D137" s="11"/>
      <c r="E137" s="11"/>
      <c r="F137" s="11"/>
      <c r="G137" s="11"/>
      <c r="H137" s="11"/>
      <c r="I137" s="55"/>
      <c r="J137" s="55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x14ac:dyDescent="0.25">
      <c r="A138" s="11"/>
      <c r="B138" s="11"/>
      <c r="C138" s="11"/>
      <c r="D138" s="11"/>
      <c r="E138" s="11"/>
      <c r="F138" s="11"/>
      <c r="G138" s="11"/>
      <c r="H138" s="11"/>
      <c r="I138" s="55"/>
      <c r="J138" s="55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x14ac:dyDescent="0.25">
      <c r="A139" s="11"/>
      <c r="B139" s="11"/>
      <c r="C139" s="11"/>
      <c r="D139" s="11"/>
      <c r="E139" s="11"/>
      <c r="F139" s="11"/>
      <c r="G139" s="11"/>
      <c r="H139" s="11"/>
      <c r="I139" s="55"/>
      <c r="J139" s="55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x14ac:dyDescent="0.25">
      <c r="A140" s="11"/>
      <c r="B140" s="11"/>
      <c r="C140" s="11"/>
      <c r="D140" s="11"/>
      <c r="E140" s="11"/>
      <c r="F140" s="11"/>
      <c r="G140" s="11"/>
      <c r="H140" s="11"/>
      <c r="I140" s="55"/>
      <c r="J140" s="55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</row>
    <row r="141" spans="1:41" x14ac:dyDescent="0.25">
      <c r="A141" s="11"/>
      <c r="B141" s="11"/>
      <c r="C141" s="11"/>
      <c r="D141" s="11"/>
      <c r="E141" s="11"/>
      <c r="F141" s="11"/>
      <c r="G141" s="11"/>
      <c r="H141" s="11"/>
      <c r="I141" s="55"/>
      <c r="J141" s="55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x14ac:dyDescent="0.25">
      <c r="A142" s="11"/>
      <c r="B142" s="11"/>
      <c r="C142" s="11"/>
      <c r="D142" s="11"/>
      <c r="E142" s="11"/>
      <c r="F142" s="11"/>
      <c r="G142" s="11"/>
      <c r="H142" s="11"/>
      <c r="I142" s="263"/>
      <c r="J142" s="11"/>
      <c r="K142" s="263"/>
      <c r="L142" s="263"/>
      <c r="M142" s="263"/>
      <c r="N142" s="11"/>
      <c r="O142" s="263"/>
      <c r="P142" s="263"/>
      <c r="Q142" s="263"/>
      <c r="R142" s="263"/>
      <c r="S142" s="263"/>
      <c r="T142" s="263"/>
      <c r="U142" s="263"/>
      <c r="V142" s="263"/>
      <c r="W142" s="263"/>
      <c r="X142" s="263"/>
      <c r="Y142" s="263"/>
      <c r="Z142" s="263"/>
      <c r="AA142" s="263"/>
      <c r="AB142" s="11"/>
      <c r="AC142" s="11"/>
      <c r="AD142" s="263"/>
      <c r="AE142" s="11"/>
      <c r="AF142" s="263"/>
      <c r="AG142" s="11"/>
      <c r="AH142" s="263"/>
      <c r="AI142" s="11"/>
      <c r="AJ142" s="11"/>
      <c r="AK142" s="11"/>
      <c r="AL142" s="11"/>
      <c r="AM142" s="11"/>
      <c r="AN142" s="11"/>
      <c r="AO142" s="11"/>
    </row>
    <row r="143" spans="1:41" x14ac:dyDescent="0.25">
      <c r="A143" s="11"/>
      <c r="B143" s="11"/>
      <c r="C143" s="11"/>
      <c r="D143" s="11"/>
      <c r="E143" s="11"/>
      <c r="F143" s="11"/>
      <c r="G143" s="11"/>
      <c r="H143" s="11"/>
      <c r="I143" s="55"/>
      <c r="J143" s="55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x14ac:dyDescent="0.25">
      <c r="A144" s="11"/>
      <c r="B144" s="11"/>
      <c r="C144" s="11"/>
      <c r="D144" s="11"/>
      <c r="E144" s="11"/>
      <c r="F144" s="11"/>
      <c r="G144" s="11"/>
      <c r="H144" s="11"/>
      <c r="I144" s="55"/>
      <c r="J144" s="55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</row>
    <row r="145" spans="1:41" x14ac:dyDescent="0.25">
      <c r="A145" s="11"/>
      <c r="B145" s="11"/>
      <c r="C145" s="11"/>
      <c r="D145" s="11"/>
      <c r="E145" s="11"/>
      <c r="F145" s="11"/>
      <c r="G145" s="11"/>
      <c r="H145" s="11"/>
      <c r="I145" s="55"/>
      <c r="J145" s="55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</row>
    <row r="146" spans="1:41" x14ac:dyDescent="0.25">
      <c r="A146" s="11"/>
      <c r="B146" s="11"/>
      <c r="C146" s="11"/>
      <c r="D146" s="11"/>
      <c r="E146" s="11"/>
      <c r="F146" s="11"/>
      <c r="G146" s="11"/>
      <c r="H146" s="11"/>
      <c r="I146" s="263"/>
      <c r="J146" s="11"/>
      <c r="K146" s="263"/>
      <c r="L146" s="263"/>
      <c r="M146" s="263"/>
      <c r="N146" s="11"/>
      <c r="O146" s="263"/>
      <c r="P146" s="263"/>
      <c r="Q146" s="263"/>
      <c r="R146" s="263"/>
      <c r="S146" s="263"/>
      <c r="T146" s="263"/>
      <c r="U146" s="263"/>
      <c r="V146" s="263"/>
      <c r="W146" s="263"/>
      <c r="X146" s="263"/>
      <c r="Y146" s="263"/>
      <c r="Z146" s="263"/>
      <c r="AA146" s="263"/>
      <c r="AB146" s="11"/>
      <c r="AC146" s="11"/>
      <c r="AD146" s="263"/>
      <c r="AE146" s="11"/>
      <c r="AF146" s="263"/>
      <c r="AG146" s="11"/>
      <c r="AH146" s="263"/>
      <c r="AI146" s="11"/>
      <c r="AJ146" s="11"/>
      <c r="AK146" s="11"/>
      <c r="AL146" s="11"/>
      <c r="AM146" s="11"/>
      <c r="AN146" s="11"/>
      <c r="AO146" s="11"/>
    </row>
    <row r="147" spans="1:41" x14ac:dyDescent="0.25">
      <c r="A147" s="11"/>
      <c r="B147" s="11"/>
      <c r="C147" s="11"/>
      <c r="D147" s="11"/>
      <c r="E147" s="11"/>
      <c r="F147" s="11"/>
      <c r="G147" s="11"/>
      <c r="H147" s="11"/>
      <c r="I147" s="55"/>
      <c r="J147" s="55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</row>
    <row r="148" spans="1:41" x14ac:dyDescent="0.25">
      <c r="A148" s="11"/>
      <c r="B148" s="11"/>
      <c r="C148" s="11"/>
      <c r="D148" s="11"/>
      <c r="E148" s="11"/>
      <c r="F148" s="11"/>
      <c r="G148" s="11"/>
      <c r="H148" s="11"/>
      <c r="I148" s="55"/>
      <c r="J148" s="55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x14ac:dyDescent="0.25">
      <c r="A149" s="11"/>
      <c r="B149" s="11"/>
      <c r="C149" s="11"/>
      <c r="D149" s="11"/>
      <c r="E149" s="11"/>
      <c r="F149" s="11"/>
      <c r="G149" s="11"/>
      <c r="H149" s="11"/>
      <c r="I149" s="55"/>
      <c r="J149" s="55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</row>
    <row r="150" spans="1:41" x14ac:dyDescent="0.25">
      <c r="A150" s="11"/>
      <c r="B150" s="11"/>
      <c r="C150" s="11"/>
      <c r="D150" s="11"/>
      <c r="E150" s="11"/>
      <c r="F150" s="11"/>
      <c r="G150" s="11"/>
      <c r="H150" s="11"/>
      <c r="I150" s="55"/>
      <c r="J150" s="55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x14ac:dyDescent="0.25">
      <c r="A151" s="11"/>
      <c r="B151" s="11"/>
      <c r="C151" s="11"/>
      <c r="D151" s="11"/>
      <c r="E151" s="11"/>
      <c r="F151" s="11"/>
      <c r="G151" s="11"/>
      <c r="H151" s="11"/>
      <c r="I151" s="55"/>
      <c r="J151" s="55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</row>
    <row r="152" spans="1:41" x14ac:dyDescent="0.25">
      <c r="A152" s="11"/>
      <c r="B152" s="11"/>
      <c r="C152" s="11"/>
      <c r="D152" s="11"/>
      <c r="E152" s="11"/>
      <c r="F152" s="11"/>
      <c r="G152" s="11"/>
      <c r="H152" s="11"/>
      <c r="I152" s="55"/>
      <c r="J152" s="55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x14ac:dyDescent="0.25">
      <c r="A153" s="11"/>
      <c r="B153" s="11"/>
      <c r="C153" s="11"/>
      <c r="D153" s="11"/>
      <c r="E153" s="11"/>
      <c r="F153" s="11"/>
      <c r="G153" s="11"/>
      <c r="H153" s="11"/>
      <c r="I153" s="55"/>
      <c r="J153" s="55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x14ac:dyDescent="0.25">
      <c r="A154" s="11"/>
      <c r="B154" s="11"/>
      <c r="C154" s="11"/>
      <c r="D154" s="11"/>
      <c r="E154" s="263"/>
      <c r="F154" s="11"/>
      <c r="G154" s="11"/>
      <c r="H154" s="11"/>
      <c r="I154" s="55"/>
      <c r="J154" s="55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x14ac:dyDescent="0.25">
      <c r="A155" s="11"/>
      <c r="B155" s="11"/>
      <c r="C155" s="11"/>
      <c r="D155" s="11"/>
      <c r="E155" s="11"/>
      <c r="F155" s="11"/>
      <c r="G155" s="11"/>
      <c r="H155" s="11"/>
      <c r="I155" s="55"/>
      <c r="J155" s="55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x14ac:dyDescent="0.25">
      <c r="A156" s="11"/>
      <c r="B156" s="11"/>
      <c r="C156" s="11"/>
      <c r="D156" s="11"/>
      <c r="E156" s="11"/>
      <c r="F156" s="11"/>
      <c r="G156" s="11"/>
      <c r="H156" s="11"/>
      <c r="I156" s="55"/>
      <c r="J156" s="55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x14ac:dyDescent="0.25">
      <c r="A157" s="11"/>
      <c r="B157" s="11"/>
      <c r="C157" s="11"/>
      <c r="D157" s="11"/>
      <c r="E157" s="11"/>
      <c r="F157" s="11"/>
      <c r="G157" s="11"/>
      <c r="H157" s="11"/>
      <c r="I157" s="55"/>
      <c r="J157" s="55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</row>
    <row r="158" spans="1:41" x14ac:dyDescent="0.25">
      <c r="A158" s="11"/>
      <c r="B158" s="11"/>
      <c r="C158" s="11"/>
      <c r="D158" s="11"/>
      <c r="E158" s="263"/>
      <c r="F158" s="11"/>
      <c r="G158" s="11"/>
      <c r="H158" s="11"/>
      <c r="I158" s="55"/>
      <c r="J158" s="55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</row>
    <row r="159" spans="1:41" x14ac:dyDescent="0.25">
      <c r="A159" s="11"/>
      <c r="B159" s="11"/>
      <c r="C159" s="11"/>
      <c r="D159" s="11"/>
      <c r="E159" s="11"/>
      <c r="F159" s="11"/>
      <c r="G159" s="11"/>
      <c r="H159" s="11"/>
      <c r="I159" s="55"/>
      <c r="J159" s="55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</row>
    <row r="160" spans="1:41" x14ac:dyDescent="0.25">
      <c r="A160" s="11"/>
      <c r="B160" s="11"/>
      <c r="C160" s="11"/>
      <c r="D160" s="11"/>
      <c r="E160" s="11"/>
      <c r="F160" s="11"/>
      <c r="G160" s="11"/>
      <c r="H160" s="11"/>
      <c r="I160" s="55"/>
      <c r="J160" s="55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</row>
    <row r="161" spans="1:41" x14ac:dyDescent="0.25">
      <c r="A161" s="11"/>
      <c r="B161" s="11"/>
      <c r="C161" s="11"/>
      <c r="D161" s="11"/>
      <c r="E161" s="11"/>
      <c r="F161" s="11"/>
      <c r="G161" s="11"/>
      <c r="H161" s="11"/>
      <c r="I161" s="55"/>
      <c r="J161" s="55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</row>
    <row r="162" spans="1:41" x14ac:dyDescent="0.25">
      <c r="A162" s="11"/>
      <c r="B162" s="11"/>
      <c r="C162" s="11"/>
      <c r="D162" s="11"/>
      <c r="E162" s="11"/>
      <c r="F162" s="11"/>
      <c r="G162" s="11"/>
      <c r="H162" s="11"/>
      <c r="I162" s="55"/>
      <c r="J162" s="55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</row>
    <row r="163" spans="1:41" x14ac:dyDescent="0.25">
      <c r="A163" s="11"/>
      <c r="B163" s="11"/>
      <c r="C163" s="11"/>
      <c r="D163" s="11"/>
      <c r="E163" s="11"/>
      <c r="F163" s="11"/>
      <c r="G163" s="11"/>
      <c r="H163" s="11"/>
      <c r="I163" s="55"/>
      <c r="J163" s="55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</row>
    <row r="164" spans="1:41" x14ac:dyDescent="0.25">
      <c r="A164" s="11"/>
      <c r="B164" s="11"/>
      <c r="C164" s="11"/>
      <c r="D164" s="11"/>
      <c r="E164" s="11"/>
      <c r="F164" s="11"/>
      <c r="G164" s="11"/>
      <c r="H164" s="11"/>
      <c r="I164" s="55"/>
      <c r="J164" s="55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</row>
    <row r="165" spans="1:41" x14ac:dyDescent="0.25">
      <c r="A165" s="11"/>
      <c r="B165" s="11"/>
      <c r="C165" s="11"/>
      <c r="D165" s="11"/>
      <c r="E165" s="11"/>
      <c r="F165" s="11"/>
      <c r="G165" s="263"/>
      <c r="H165" s="11"/>
      <c r="I165" s="55"/>
      <c r="J165" s="55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</row>
    <row r="166" spans="1:41" x14ac:dyDescent="0.25">
      <c r="A166" s="11"/>
      <c r="B166" s="11"/>
      <c r="C166" s="11"/>
      <c r="D166" s="11"/>
      <c r="E166" s="11"/>
      <c r="F166" s="11"/>
      <c r="G166" s="11"/>
      <c r="H166" s="11"/>
      <c r="I166" s="55"/>
      <c r="J166" s="55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</row>
    <row r="167" spans="1:41" x14ac:dyDescent="0.25">
      <c r="A167" s="11"/>
      <c r="B167" s="11"/>
      <c r="C167" s="11"/>
      <c r="D167" s="11"/>
      <c r="E167" s="11"/>
      <c r="F167" s="11"/>
      <c r="G167" s="11"/>
      <c r="H167" s="11"/>
      <c r="I167" s="55"/>
      <c r="J167" s="55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</row>
    <row r="168" spans="1:41" x14ac:dyDescent="0.25">
      <c r="A168" s="11"/>
      <c r="B168" s="11"/>
      <c r="C168" s="11"/>
      <c r="D168" s="11"/>
      <c r="E168" s="11"/>
      <c r="F168" s="11"/>
      <c r="G168" s="11"/>
      <c r="H168" s="11"/>
      <c r="I168" s="55"/>
      <c r="J168" s="55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</row>
    <row r="169" spans="1:41" x14ac:dyDescent="0.25">
      <c r="A169" s="11"/>
      <c r="B169" s="11"/>
      <c r="C169" s="11"/>
      <c r="D169" s="11"/>
      <c r="E169" s="11"/>
      <c r="F169" s="11"/>
      <c r="G169" s="263"/>
      <c r="H169" s="11"/>
      <c r="I169" s="55"/>
      <c r="J169" s="55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</row>
  </sheetData>
  <sheetProtection algorithmName="SHA-512" hashValue="CoY0yKTDypQ4eyIgFXKac+VFs6se8gzRNxk2MzD4RU++4yjgKABAZ4m5+1QRjSKMbFM+D2FkILr7FesbuA/qPw==" saltValue="CPIO+1CoeSaLz8+CGRVaOg==" spinCount="100000" sheet="1" scenarios="1"/>
  <mergeCells count="2">
    <mergeCell ref="AD31:AE31"/>
    <mergeCell ref="AG31:AH31"/>
  </mergeCells>
  <dataValidations disablePrompts="1" count="2">
    <dataValidation type="list" allowBlank="1" sqref="B57 B85 B28" xr:uid="{00000000-0002-0000-1900-000000000000}">
      <formula1>"ACCOUNT,BUSINESSUNIT,CATEGORY,DATASRC,DEPARTMENT,INTCO,MEASURES,RPTCURRENCY,TIME"</formula1>
    </dataValidation>
    <dataValidation type="list" allowBlank="1" sqref="B58 B29 B86" xr:uid="{00000000-0002-0000-1900-000001000000}">
      <formula1>"SELF,ALL,BAS,DEP,BASMEMBERS,MEMBERS,NOEXPAND,GDEP"</formula1>
    </dataValidation>
  </dataValidations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customProperties>
    <customPr name="EpmWorksheetKeyString_GUID" r:id="rId2"/>
    <customPr name="FPMExcelClientCellBasedFunctionStatus" r:id="rId3"/>
    <customPr name="FPMExcelClientRefreshTime" r:id="rId4"/>
  </customProperties>
  <legacyDrawing r:id="rId5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8">
    <tabColor theme="9" tint="0.39997558519241921"/>
    <pageSetUpPr fitToPage="1"/>
  </sheetPr>
  <dimension ref="A1:AO192"/>
  <sheetViews>
    <sheetView topLeftCell="K25" zoomScale="85" zoomScaleNormal="85" workbookViewId="0">
      <pane xSplit="4" ySplit="8" topLeftCell="O33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3" width="9.7109375" style="1" hidden="1" customWidth="1" outlineLevel="1"/>
    <col min="14" max="14" width="36.7109375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40" width="0" style="1" hidden="1" customWidth="1" outlineLevel="1"/>
    <col min="41" max="41" width="9.140625" style="1" collapsed="1"/>
    <col min="42" max="16384" width="9.140625" style="1"/>
  </cols>
  <sheetData>
    <row r="1" spans="1:41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</row>
    <row r="2" spans="1:41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</row>
    <row r="3" spans="1:41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11"/>
      <c r="H4" s="11"/>
      <c r="I4" s="55"/>
      <c r="J4" s="55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11"/>
      <c r="H5" s="11"/>
      <c r="I5" s="55"/>
      <c r="J5" s="55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idden="1" outlineLevel="1" x14ac:dyDescent="0.25">
      <c r="A6" s="49" t="s">
        <v>52</v>
      </c>
      <c r="B6" s="52" t="s">
        <v>386</v>
      </c>
      <c r="C6" s="11" t="str">
        <f>IF(_epmOfflineCondition_,"Retail Shop",_xll.EVDES(B6,$B$1))</f>
        <v>Retail Shop</v>
      </c>
      <c r="D6" s="11"/>
      <c r="E6" s="54" t="str">
        <f>IF(_epmOfflineCondition_,"D1136",_xll.EVPRO($B$1,$B$6,$F$6))</f>
        <v>D1136</v>
      </c>
      <c r="F6" s="11" t="s">
        <v>278</v>
      </c>
      <c r="G6" s="11"/>
      <c r="H6" s="11"/>
      <c r="I6" s="55"/>
      <c r="J6" s="55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11"/>
      <c r="H7" s="11"/>
      <c r="I7" s="55"/>
      <c r="J7" s="55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11"/>
      <c r="H8" s="11"/>
      <c r="I8" s="55"/>
      <c r="J8" s="55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59" t="str">
        <f>IF(SetUp!$O$1=TRUE,"TRAILING12",IF(AA17="CURRENT","ROLLINGFORECAST","PERIODIC"))</f>
        <v>PERIODIC</v>
      </c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11"/>
      <c r="M12" s="11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  <c r="AJ12" s="11"/>
      <c r="AK12" s="11"/>
      <c r="AL12" s="11"/>
      <c r="AM12" s="11"/>
      <c r="AN12" s="11"/>
      <c r="AO12" s="11"/>
    </row>
    <row r="13" spans="1:41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11"/>
      <c r="M13" s="11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  <c r="AJ13" s="11"/>
      <c r="AK13" s="11"/>
      <c r="AL13" s="11"/>
      <c r="AM13" s="11"/>
      <c r="AN13" s="11"/>
      <c r="AO13" s="11"/>
    </row>
    <row r="14" spans="1:41" hidden="1" outlineLevel="1" x14ac:dyDescent="0.25">
      <c r="A14" s="56" t="str">
        <f>IF(_epmOfflineCondition_,"Evdre:Ok",_xll.EVDRE($B$1,A17:B24,A27:B33))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11"/>
      <c r="M14" s="11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  <c r="AJ14" s="11"/>
      <c r="AK14" s="11"/>
      <c r="AL14" s="11"/>
      <c r="AM14" s="11"/>
      <c r="AN14" s="11"/>
      <c r="AO14" s="11"/>
    </row>
    <row r="15" spans="1:41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11"/>
      <c r="M15" s="11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  <c r="AJ15" s="11"/>
      <c r="AK15" s="11"/>
      <c r="AL15" s="11"/>
      <c r="AM15" s="11"/>
      <c r="AN15" s="11"/>
      <c r="AO15" s="11"/>
    </row>
    <row r="16" spans="1:41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11"/>
      <c r="M16" s="11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  <c r="AJ16" s="11"/>
      <c r="AK16" s="11"/>
      <c r="AL16" s="11"/>
      <c r="AM16" s="11"/>
      <c r="AN16" s="11"/>
      <c r="AO16" s="11"/>
    </row>
    <row r="17" spans="1:41" hidden="1" outlineLevel="1" x14ac:dyDescent="0.25">
      <c r="A17" s="61" t="s">
        <v>2</v>
      </c>
      <c r="B17" s="62" t="str">
        <f>IF(_epmOfflineCondition_,"'Retail'!$B$2:$B$10",_xll.EVRNG($B$2:$B$10))</f>
        <v>'Retail'!$B$2:$B$10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11"/>
      <c r="M17" s="11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 t="str">
        <f>Z17</f>
        <v>ACTUAL_CON</v>
      </c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  <c r="AJ17" s="11"/>
      <c r="AK17" s="11"/>
      <c r="AL17" s="11"/>
      <c r="AM17" s="11"/>
      <c r="AN17" s="11"/>
      <c r="AO17" s="11"/>
    </row>
    <row r="18" spans="1:41" hidden="1" outlineLevel="1" x14ac:dyDescent="0.25">
      <c r="A18" s="61" t="s">
        <v>3</v>
      </c>
      <c r="B18" s="62" t="str">
        <f>IF(_epmOfflineCondition_,"'Retail'!$O$16:$AN$18",_xll.EVRNG($O$16:$AN$18))</f>
        <v>'Retail'!$O$16:$AN$18</v>
      </c>
      <c r="C18" s="11"/>
      <c r="D18" s="11"/>
      <c r="E18" s="11"/>
      <c r="F18" s="11"/>
      <c r="G18" s="11"/>
      <c r="H18" s="11"/>
      <c r="I18" s="55"/>
      <c r="J18" s="55"/>
      <c r="K18" s="11"/>
      <c r="L18" s="11"/>
      <c r="M18" s="11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11"/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  <c r="AJ18" s="11"/>
      <c r="AK18" s="11"/>
      <c r="AL18" s="11"/>
      <c r="AM18" s="11"/>
      <c r="AN18" s="11"/>
      <c r="AO18" s="11"/>
    </row>
    <row r="19" spans="1:41" hidden="1" outlineLevel="1" x14ac:dyDescent="0.25">
      <c r="A19" s="61" t="s">
        <v>4</v>
      </c>
      <c r="B19" s="62" t="str">
        <f>IF(_epmOfflineCondition_,"'Retail'!$H$34:$H$44",_xll.EVRNG(H34:H44))</f>
        <v>'Retail'!$H$34:$H$44</v>
      </c>
      <c r="C19" s="11"/>
      <c r="D19" s="11"/>
      <c r="E19" s="11"/>
      <c r="F19" s="11"/>
      <c r="G19" s="63" t="str">
        <f>$B$6</f>
        <v>D1136</v>
      </c>
      <c r="H19" s="63">
        <v>400000</v>
      </c>
      <c r="I19" s="64"/>
      <c r="J19" s="64"/>
      <c r="K19" s="63"/>
      <c r="L19" s="63"/>
      <c r="M19" s="63"/>
      <c r="N19" s="63" t="str">
        <f>IF(_epmOfflineCondition_,"Total Revenue",_xll.EVDES(H19))</f>
        <v>Total Revenue</v>
      </c>
      <c r="O19" s="65">
        <f>IF(_epmOfflineCondition_,0,_xll.EVGTS($B$1,1,$B$3,$B$5,$B$7,$B$9,O$16,O$17,O$18,$G$19,$H$19))</f>
        <v>0</v>
      </c>
      <c r="P19" s="65">
        <f>IF(_epmOfflineCondition_,0,_xll.EVGTS($B$1,1,$B$3,$B$5,$B$7,$B$9,P$16,P$17,P$18,$G$19,$H$19))</f>
        <v>0</v>
      </c>
      <c r="Q19" s="65">
        <f>IF(_epmOfflineCondition_,0,_xll.EVGTS($B$1,1,$B$3,$B$5,$B$7,$B$9,Q$16,Q$17,Q$18,$G$19,$H$19))</f>
        <v>0</v>
      </c>
      <c r="R19" s="65">
        <f>IF(_epmOfflineCondition_,0,_xll.EVGTS($B$1,1,$B$3,$B$5,$B$7,$B$9,R$16,R$17,R$18,$G$19,$H$19))</f>
        <v>0</v>
      </c>
      <c r="S19" s="65">
        <f>IF(_epmOfflineCondition_,0,_xll.EVGTS($B$1,1,$B$3,$B$5,$B$7,$B$9,S$16,S$17,S$18,$G$19,$H$19))</f>
        <v>0</v>
      </c>
      <c r="T19" s="65">
        <f>IF(_epmOfflineCondition_,0,_xll.EVGTS($B$1,1,$B$3,$B$5,$B$7,$B$9,T$16,T$17,T$18,$G$19,$H$19))</f>
        <v>0</v>
      </c>
      <c r="U19" s="65">
        <f>IF(_epmOfflineCondition_,0,_xll.EVGTS($B$1,1,$B$3,$B$5,$B$7,$B$9,U$16,U$17,U$18,$G$19,$H$19))</f>
        <v>0</v>
      </c>
      <c r="V19" s="65">
        <f>IF(_epmOfflineCondition_,0,_xll.EVGTS($B$1,1,$B$3,$B$5,$B$7,$B$9,V$16,V$17,V$18,$G$19,$H$19))</f>
        <v>0</v>
      </c>
      <c r="W19" s="65">
        <f>IF(_epmOfflineCondition_,0,_xll.EVGTS($B$1,1,$B$3,$B$5,$B$7,$B$9,W$16,W$17,W$18,$G$19,$H$19))</f>
        <v>0</v>
      </c>
      <c r="X19" s="65">
        <f>IF(_epmOfflineCondition_,0,_xll.EVGTS($B$1,1,$B$3,$B$5,$B$7,$B$9,X$16,X$17,X$18,$G$19,$H$19))</f>
        <v>0</v>
      </c>
      <c r="Y19" s="65">
        <f>IF(_epmOfflineCondition_,0,_xll.EVGTS($B$1,1,$B$3,$B$5,$B$7,$B$9,Y$16,Y$17,Y$18,$G$19,$H$19))</f>
        <v>0</v>
      </c>
      <c r="Z19" s="65">
        <f>IF(_epmOfflineCondition_,0,_xll.EVGTS($B$1,1,$B$3,$B$5,$B$7,$B$9,Z$16,Z$17,Z$18,$G$19,$H$19))</f>
        <v>0</v>
      </c>
      <c r="AA19" s="65">
        <f>SUM(O19:Z19)</f>
        <v>0</v>
      </c>
      <c r="AB19" s="63"/>
      <c r="AC19" s="63"/>
      <c r="AD19" s="65">
        <f>IF(_epmOfflineCondition_,0,_xll.EVGTS($B$1,1,$B$3,$B$5,$B$7,$B$9,AD$16,AD$17,AD$18,$G$19,$H$19))</f>
        <v>0</v>
      </c>
      <c r="AE19" s="63"/>
      <c r="AF19" s="63"/>
      <c r="AG19" s="65">
        <f>IF(_epmOfflineCondition_,0,_xll.EVGTS($B$1,1,$B$3,$B$5,$B$7,$B$9,AG$16,AG$17,AG$18,$G$19,$H$19))</f>
        <v>0</v>
      </c>
      <c r="AH19" s="63"/>
      <c r="AI19" s="63"/>
      <c r="AJ19" s="11"/>
      <c r="AK19" s="11"/>
      <c r="AL19" s="11"/>
      <c r="AM19" s="11"/>
      <c r="AN19" s="11"/>
      <c r="AO19" s="11"/>
    </row>
    <row r="20" spans="1:41" hidden="1" outlineLevel="1" x14ac:dyDescent="0.25">
      <c r="A20" s="61" t="s">
        <v>5</v>
      </c>
      <c r="B20" s="62"/>
      <c r="C20" s="11"/>
      <c r="D20" s="11"/>
      <c r="E20" s="11"/>
      <c r="F20" s="11"/>
      <c r="G20" s="63" t="s">
        <v>750</v>
      </c>
      <c r="H20" s="63">
        <v>900200</v>
      </c>
      <c r="I20" s="64"/>
      <c r="J20" s="64"/>
      <c r="K20" s="63"/>
      <c r="L20" s="64"/>
      <c r="M20" s="64"/>
      <c r="N20" s="63" t="str">
        <f>IF(_epmOfflineCondition_,"Total Rooms Occupied",_xll.EVDES(H20))</f>
        <v>Total Rooms Occupied</v>
      </c>
      <c r="O20" s="65">
        <f>IF(_epmOfflineCondition_,2885,_xll.EVGTS($B$1,1,$B$3,$B$5,$B$7,$B$9,O$16,O$17,O$18,$G$20,$H$20))</f>
        <v>2885</v>
      </c>
      <c r="P20" s="65">
        <f>IF(_epmOfflineCondition_,2648,_xll.EVGTS($B$1,1,$B$3,$B$5,$B$7,$B$9,P$16,P$17,P$18,$G$20,$H$20))</f>
        <v>2648</v>
      </c>
      <c r="Q20" s="65">
        <f>IF(_epmOfflineCondition_,3038,_xll.EVGTS($B$1,1,$B$3,$B$5,$B$7,$B$9,Q$16,Q$17,Q$18,$G$20,$H$20))</f>
        <v>3038</v>
      </c>
      <c r="R20" s="65">
        <f>IF(_epmOfflineCondition_,2737,_xll.EVGTS($B$1,1,$B$3,$B$5,$B$7,$B$9,R$16,R$17,R$18,$G$20,$H$20))</f>
        <v>2737</v>
      </c>
      <c r="S20" s="65">
        <f>IF(_epmOfflineCondition_,2600,_xll.EVGTS($B$1,1,$B$3,$B$5,$B$7,$B$9,S$16,S$17,S$18,$G$20,$H$20))</f>
        <v>2600</v>
      </c>
      <c r="T20" s="65">
        <f>IF(_epmOfflineCondition_,2202,_xll.EVGTS($B$1,1,$B$3,$B$5,$B$7,$B$9,T$16,T$17,T$18,$G$20,$H$20))</f>
        <v>2202</v>
      </c>
      <c r="U20" s="65">
        <f>IF(_epmOfflineCondition_,2516,_xll.EVGTS($B$1,1,$B$3,$B$5,$B$7,$B$9,U$16,U$17,U$18,$G$20,$H$20))</f>
        <v>2516</v>
      </c>
      <c r="V20" s="65">
        <f>IF(_epmOfflineCondition_,2830,_xll.EVGTS($B$1,1,$B$3,$B$5,$B$7,$B$9,V$16,V$17,V$18,$G$20,$H$20))</f>
        <v>2830</v>
      </c>
      <c r="W20" s="65">
        <f>IF(_epmOfflineCondition_,2120,_xll.EVGTS($B$1,1,$B$3,$B$5,$B$7,$B$9,W$16,W$17,W$18,$G$20,$H$20))</f>
        <v>2120</v>
      </c>
      <c r="X20" s="65">
        <f>IF(_epmOfflineCondition_,2772,_xll.EVGTS($B$1,1,$B$3,$B$5,$B$7,$B$9,X$16,X$17,X$18,$G$20,$H$20))</f>
        <v>2772</v>
      </c>
      <c r="Y20" s="65">
        <f>IF(_epmOfflineCondition_,2993,_xll.EVGTS($B$1,1,$B$3,$B$5,$B$7,$B$9,Y$16,Y$17,Y$18,$G$20,$H$20))</f>
        <v>2993</v>
      </c>
      <c r="Z20" s="65">
        <f>IF(_epmOfflineCondition_,3541,_xll.EVGTS($B$1,1,$B$3,$B$5,$B$7,$B$9,Z$16,Z$17,Z$18,$G$20,$H$20))</f>
        <v>3541</v>
      </c>
      <c r="AA20" s="65">
        <f>SUM(O20:Z20)</f>
        <v>32882</v>
      </c>
      <c r="AB20" s="63"/>
      <c r="AC20" s="63"/>
      <c r="AD20" s="65">
        <f>IF(_epmOfflineCondition_,36386,_xll.EVGTS($B$1,1,$B$3,$B$5,$B$7,$B$9,AD$16,AD$17,AD$18,$G$20,$H$20))</f>
        <v>36386</v>
      </c>
      <c r="AE20" s="63"/>
      <c r="AF20" s="63"/>
      <c r="AG20" s="65">
        <f>IF(_epmOfflineCondition_,15180,_xll.EVGTS($B$1,1,$B$3,$B$5,$B$7,$B$9,AG$16,AG$17,AG$18,$G$20,$H$20))</f>
        <v>15180</v>
      </c>
      <c r="AH20" s="63"/>
      <c r="AI20" s="63"/>
      <c r="AJ20" s="11"/>
      <c r="AK20" s="11"/>
      <c r="AL20" s="11"/>
      <c r="AM20" s="11"/>
      <c r="AN20" s="11"/>
      <c r="AO20" s="11"/>
    </row>
    <row r="21" spans="1:41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idden="1" outlineLevel="1" x14ac:dyDescent="0.25">
      <c r="A22" s="61" t="s">
        <v>7</v>
      </c>
      <c r="B22" s="62" t="str">
        <f>IF(_epmOfflineCondition_,"'Retail'!$A$36:$F$39",_xll.EVRNG(A36:F39))</f>
        <v>'Retail'!$A$36:$F$39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idden="1" outlineLevel="1" x14ac:dyDescent="0.25">
      <c r="A23" s="61" t="s">
        <v>47</v>
      </c>
      <c r="B23" s="62" t="str">
        <f>IF(_epmOfflineCondition_,"'Retail'!$A$115:$B$136",_xll.EVRNG($A$115:$B$136))</f>
        <v>'Retail'!$A$115:$B$136</v>
      </c>
      <c r="C23" s="11"/>
      <c r="D23" s="11"/>
      <c r="E23" s="11"/>
      <c r="F23" s="11"/>
      <c r="G23" s="11"/>
      <c r="H23" s="11"/>
      <c r="I23" s="55"/>
      <c r="J23" s="55"/>
      <c r="K23" s="6"/>
      <c r="L23" s="6"/>
      <c r="M23" s="6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380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22.5" x14ac:dyDescent="0.3">
      <c r="A26" s="57" t="s">
        <v>9</v>
      </c>
      <c r="B26" s="58" t="s">
        <v>10</v>
      </c>
      <c r="C26" s="11"/>
      <c r="D26" s="11"/>
      <c r="E26" s="11"/>
      <c r="F26" s="11"/>
      <c r="G26" s="11"/>
      <c r="H26" s="11"/>
      <c r="I26" s="55"/>
      <c r="J26" s="55"/>
      <c r="K26" s="11"/>
      <c r="L26" s="11"/>
      <c r="M26" s="11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8" x14ac:dyDescent="0.25">
      <c r="A27" s="61" t="s">
        <v>11</v>
      </c>
      <c r="B27" s="62" t="s">
        <v>21</v>
      </c>
      <c r="C27" s="11"/>
      <c r="D27" s="11"/>
      <c r="E27" s="11"/>
      <c r="F27" s="11"/>
      <c r="G27" s="11"/>
      <c r="H27" s="11"/>
      <c r="I27" s="55"/>
      <c r="J27" s="55"/>
      <c r="K27" s="11"/>
      <c r="L27" s="11"/>
      <c r="M27" s="11"/>
      <c r="N27" s="67" t="str">
        <f>IF(_epmOfflineCondition_,"Retail Shop Department",IF(_xll.EVDES(B6,$B$1)="#NODATA","",_xll.EVDES(B6,$B$1)&amp;" Department"))</f>
        <v>Retail Shop Department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x14ac:dyDescent="0.25">
      <c r="A28" s="61" t="s">
        <v>12</v>
      </c>
      <c r="B28" s="62" t="s">
        <v>22</v>
      </c>
      <c r="C28" s="11"/>
      <c r="D28" s="11"/>
      <c r="E28" s="11"/>
      <c r="F28" s="11"/>
      <c r="G28" s="11"/>
      <c r="H28" s="11"/>
      <c r="I28" s="55"/>
      <c r="J28" s="55"/>
      <c r="K28" s="11"/>
      <c r="L28" s="11"/>
      <c r="M28" s="11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" customHeight="1" x14ac:dyDescent="0.25">
      <c r="A29" s="61" t="s">
        <v>13</v>
      </c>
      <c r="B29" s="62" t="str">
        <f>"DEP(440000) AND "&amp;$E$6&amp;"=Y,400000"</f>
        <v>DEP(440000) AND D1136=Y,400000</v>
      </c>
      <c r="C29" s="11"/>
      <c r="D29" s="11"/>
      <c r="E29" s="11"/>
      <c r="F29" s="11"/>
      <c r="G29" s="11"/>
      <c r="H29" s="11"/>
      <c r="I29" s="55"/>
      <c r="J29" s="55"/>
      <c r="K29" s="11"/>
      <c r="L29" s="11"/>
      <c r="M29" s="11"/>
      <c r="N29" s="68" t="str">
        <f>IF(_epmOfflineCondition_,"Local Currency",_xll.EVDES(B9,B1))</f>
        <v>Local Currency</v>
      </c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x14ac:dyDescent="0.25">
      <c r="A30" s="61" t="s">
        <v>14</v>
      </c>
      <c r="B30" s="62"/>
      <c r="C30" s="11"/>
      <c r="D30" s="11"/>
      <c r="E30" s="11"/>
      <c r="F30" s="11"/>
      <c r="G30" s="11"/>
      <c r="H30" s="11"/>
      <c r="I30" s="55"/>
      <c r="J30" s="55"/>
      <c r="K30" s="11"/>
      <c r="L30" s="11"/>
      <c r="M30" s="11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  <c r="AJ30" s="69" t="s">
        <v>749</v>
      </c>
      <c r="AK30" s="70"/>
      <c r="AL30" s="71"/>
      <c r="AM30" s="70" t="s">
        <v>751</v>
      </c>
      <c r="AN30" s="70"/>
      <c r="AO30" s="11"/>
    </row>
    <row r="31" spans="1:41" x14ac:dyDescent="0.25">
      <c r="A31" s="61" t="s">
        <v>15</v>
      </c>
      <c r="B31" s="62"/>
      <c r="C31" s="11"/>
      <c r="D31" s="11"/>
      <c r="E31" s="11"/>
      <c r="F31" s="11"/>
      <c r="G31" s="72"/>
      <c r="H31" s="11"/>
      <c r="I31" s="55"/>
      <c r="J31" s="55"/>
      <c r="K31" s="55"/>
      <c r="L31" s="55"/>
      <c r="M31" s="55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  <c r="AJ31" s="73" t="str">
        <f>IF(_epmOfflineCondition_,"2019",_xll.EVPRO($B$1,AA$16,"YEAR"))</f>
        <v>2019</v>
      </c>
      <c r="AK31" s="76" t="str">
        <f>IF(_epmOfflineCondition_,"2019",_xll.EVPRO($B$1,AD$16,"YEAR"))</f>
        <v>2019</v>
      </c>
      <c r="AL31" s="76" t="str">
        <f>IF(_epmOfflineCondition_,"2018",_xll.EVPRO($B$1,AG$16,"YEAR"))</f>
        <v>2018</v>
      </c>
      <c r="AM31" s="73" t="str">
        <f>"vs "&amp;AK31</f>
        <v>vs 2019</v>
      </c>
      <c r="AN31" s="73" t="str">
        <f>"vs "&amp;AL31</f>
        <v>vs 2018</v>
      </c>
      <c r="AO31" s="11"/>
    </row>
    <row r="32" spans="1:41" s="8" customFormat="1" ht="30" customHeight="1" x14ac:dyDescent="0.25">
      <c r="A32" s="77" t="s">
        <v>16</v>
      </c>
      <c r="B32" s="78"/>
      <c r="C32" s="79"/>
      <c r="D32" s="79"/>
      <c r="E32" s="79"/>
      <c r="F32" s="79"/>
      <c r="G32" s="359"/>
      <c r="H32" s="80"/>
      <c r="I32" s="81"/>
      <c r="J32" s="81"/>
      <c r="K32" s="174" t="s">
        <v>117</v>
      </c>
      <c r="L32" s="174"/>
      <c r="M32" s="174"/>
      <c r="N32" s="82" t="s">
        <v>120</v>
      </c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  <c r="AJ32" s="83" t="str">
        <f>Z32</f>
        <v>Actual</v>
      </c>
      <c r="AK32" s="76" t="str">
        <f>AD32</f>
        <v>Budget</v>
      </c>
      <c r="AL32" s="83" t="str">
        <f>AG32</f>
        <v>Actual</v>
      </c>
      <c r="AM32" s="73" t="s">
        <v>748</v>
      </c>
      <c r="AN32" s="73" t="s">
        <v>748</v>
      </c>
      <c r="AO32" s="79"/>
    </row>
    <row r="33" spans="1:41" x14ac:dyDescent="0.25">
      <c r="A33" s="61" t="s">
        <v>17</v>
      </c>
      <c r="B33" s="62"/>
      <c r="C33" s="11"/>
      <c r="D33" s="11"/>
      <c r="E33" s="11"/>
      <c r="F33" s="11"/>
      <c r="G33" s="11"/>
      <c r="H33" s="11" t="s">
        <v>69</v>
      </c>
      <c r="I33" s="55" t="str">
        <f>IF(_epmOfflineCondition_,"B1",_xll.EVPRO($B$1,$H33,"STYLE"))</f>
        <v>B1</v>
      </c>
      <c r="J33" s="55" t="str">
        <f>IF(_epmOfflineCondition_,"Y",_xll.EVPRO($B$1,$H33,"CALC"))</f>
        <v>Y</v>
      </c>
      <c r="K33" s="11"/>
      <c r="L33" s="11"/>
      <c r="M33" s="11"/>
      <c r="N33" s="101" t="str">
        <f>IF(_epmOfflineCondition_,"Revenues",IF(_xll.EVDES(H33,$B$1)="#NODATA","",_xll.EVDES(H33,$B$1)))</f>
        <v>Revenues</v>
      </c>
      <c r="O33" s="125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7"/>
      <c r="AC33" s="11"/>
      <c r="AD33" s="125"/>
      <c r="AE33" s="126"/>
      <c r="AF33" s="127"/>
      <c r="AG33" s="125"/>
      <c r="AH33" s="126"/>
      <c r="AI33" s="127"/>
      <c r="AJ33" s="11"/>
      <c r="AK33" s="11"/>
      <c r="AL33" s="11"/>
      <c r="AM33" s="11"/>
      <c r="AN33" s="11"/>
      <c r="AO33" s="11"/>
    </row>
    <row r="34" spans="1:41" x14ac:dyDescent="0.25">
      <c r="A34" s="11"/>
      <c r="B34" s="11"/>
      <c r="C34" s="11"/>
      <c r="D34" s="11"/>
      <c r="E34" s="11"/>
      <c r="F34" s="11"/>
      <c r="G34" s="11"/>
      <c r="H34" s="84" t="s">
        <v>387</v>
      </c>
      <c r="I34" s="118" t="str">
        <f>IF(_epmOfflineCondition_,"N",_xll.EVPRO($B$1,$H34,"STYLE"))</f>
        <v>N</v>
      </c>
      <c r="J34" s="118" t="str">
        <f>IF(_epmOfflineCondition_,"N",_xll.EVPRO($B$1,$H34,"CALC"))</f>
        <v>N</v>
      </c>
      <c r="K34" s="175" t="str">
        <f t="shared" ref="K34:K44" si="0">IF(AND(I34&gt;="T5"),"&gt;","")</f>
        <v/>
      </c>
      <c r="L34" s="86" t="str">
        <f>IF(_epmOfflineCondition_,"440100",_xll.EVPRO($B$1,H34,"JDEID"))</f>
        <v>440100</v>
      </c>
      <c r="M34" s="86" t="str">
        <f>IF(_epmOfflineCondition_,"206036",IF(AND(I34="N",J34="N"),_xll.EVPRO($B$1,H34,"PSFTID"),""))</f>
        <v>206036</v>
      </c>
      <c r="N34" s="86" t="str">
        <f>IF(_epmOfflineCondition_,"Accessories",IF(_xll.EVDES(H34,$B$1)="#NODATA","",_xll.EVDES(H34,$B$1)))</f>
        <v>Accessories</v>
      </c>
      <c r="O34" s="134"/>
      <c r="P34" s="134"/>
      <c r="Q34" s="134"/>
      <c r="R34" s="134"/>
      <c r="S34" s="134"/>
      <c r="T34" s="134"/>
      <c r="U34" s="134"/>
      <c r="V34" s="134"/>
      <c r="W34" s="134"/>
      <c r="X34" s="134"/>
      <c r="Y34" s="134"/>
      <c r="Z34" s="134"/>
      <c r="AA34" s="223">
        <f t="shared" ref="AA34:AA44" si="1">IF($I34="B1","",SUM(O34:Z34))</f>
        <v>0</v>
      </c>
      <c r="AB34" s="138" t="str">
        <f t="shared" ref="AB34:AB44" si="2">IF(AA34=0,"",IFERROR(AA34/AA$19,""))</f>
        <v/>
      </c>
      <c r="AC34" s="136"/>
      <c r="AD34" s="134"/>
      <c r="AE34" s="138" t="str">
        <f t="shared" ref="AE34:AE44" si="3">IF(AD34=0,"",IFERROR(AD34/AD$19,""))</f>
        <v/>
      </c>
      <c r="AF34" s="137">
        <f t="shared" ref="AF34:AF44" si="4">IF(AND($AA34="",AD34=""),"",$AA34-AD34)</f>
        <v>0</v>
      </c>
      <c r="AG34" s="134"/>
      <c r="AH34" s="138" t="str">
        <f t="shared" ref="AH34:AH44" si="5">IF(AG34=0,"",IFERROR(AG34/AG$19,""))</f>
        <v/>
      </c>
      <c r="AI34" s="137">
        <f t="shared" ref="AI34:AI44" si="6">IF(AND($AA34="",AG34=""),"",$AA34-AG34)</f>
        <v>0</v>
      </c>
      <c r="AJ34" s="458">
        <f t="shared" ref="AJ34:AJ44" si="7">IFERROR(AA34/AA$20,0)</f>
        <v>0</v>
      </c>
      <c r="AK34" s="459">
        <f t="shared" ref="AK34:AK44" si="8">IFERROR(AD34/AD$20,0)</f>
        <v>0</v>
      </c>
      <c r="AL34" s="460">
        <f t="shared" ref="AL34:AL44" si="9">IFERROR(AG34/AG$20,0)</f>
        <v>0</v>
      </c>
      <c r="AM34" s="461">
        <f t="shared" ref="AM34:AM44" si="10">+IFERROR(ROUND(($AB34-AE34)*100,2)&amp;" pts.",0)</f>
        <v>0</v>
      </c>
      <c r="AN34" s="462">
        <f t="shared" ref="AN34:AN44" si="11">+IFERROR(ROUND(($AB34-AH34)*100,2)&amp;" pts.",0)</f>
        <v>0</v>
      </c>
      <c r="AO34" s="11"/>
    </row>
    <row r="35" spans="1:41" x14ac:dyDescent="0.25">
      <c r="A35" s="93" t="s">
        <v>92</v>
      </c>
      <c r="B35" s="94" t="s">
        <v>93</v>
      </c>
      <c r="C35" s="94" t="s">
        <v>94</v>
      </c>
      <c r="D35" s="94" t="s">
        <v>95</v>
      </c>
      <c r="E35" s="94" t="s">
        <v>96</v>
      </c>
      <c r="F35" s="95" t="s">
        <v>97</v>
      </c>
      <c r="G35" s="11"/>
      <c r="H35" s="84" t="s">
        <v>388</v>
      </c>
      <c r="I35" s="118" t="str">
        <f>IF(_epmOfflineCondition_,"N",_xll.EVPRO($B$1,$H35,"STYLE"))</f>
        <v>N</v>
      </c>
      <c r="J35" s="118" t="str">
        <f>IF(_epmOfflineCondition_,"N",_xll.EVPRO($B$1,$H35,"CALC"))</f>
        <v>N</v>
      </c>
      <c r="K35" s="175" t="str">
        <f t="shared" si="0"/>
        <v/>
      </c>
      <c r="L35" s="86" t="str">
        <f>IF(_epmOfflineCondition_,"440200",_xll.EVPRO($B$1,H35,"JDEID"))</f>
        <v>440200</v>
      </c>
      <c r="M35" s="86" t="str">
        <f>IF(_epmOfflineCondition_,"206037",IF(AND(I35="N",J35="N"),_xll.EVPRO($B$1,H35,"PSFTID"),""))</f>
        <v>206037</v>
      </c>
      <c r="N35" s="86" t="str">
        <f>IF(_epmOfflineCondition_,"Apparel",IF(_xll.EVDES(H35,$B$1)="#NODATA","",_xll.EVDES(H35,$B$1)))</f>
        <v>Apparel</v>
      </c>
      <c r="O35" s="134"/>
      <c r="P35" s="134"/>
      <c r="Q35" s="134"/>
      <c r="R35" s="134"/>
      <c r="S35" s="134"/>
      <c r="T35" s="134"/>
      <c r="U35" s="134"/>
      <c r="V35" s="134"/>
      <c r="W35" s="134"/>
      <c r="X35" s="134"/>
      <c r="Y35" s="134"/>
      <c r="Z35" s="134"/>
      <c r="AA35" s="223">
        <f t="shared" si="1"/>
        <v>0</v>
      </c>
      <c r="AB35" s="138" t="str">
        <f t="shared" si="2"/>
        <v/>
      </c>
      <c r="AC35" s="136"/>
      <c r="AD35" s="134"/>
      <c r="AE35" s="138" t="str">
        <f t="shared" si="3"/>
        <v/>
      </c>
      <c r="AF35" s="137">
        <f t="shared" si="4"/>
        <v>0</v>
      </c>
      <c r="AG35" s="134"/>
      <c r="AH35" s="138" t="str">
        <f t="shared" si="5"/>
        <v/>
      </c>
      <c r="AI35" s="137">
        <f t="shared" si="6"/>
        <v>0</v>
      </c>
      <c r="AJ35" s="458">
        <f t="shared" si="7"/>
        <v>0</v>
      </c>
      <c r="AK35" s="459">
        <f t="shared" si="8"/>
        <v>0</v>
      </c>
      <c r="AL35" s="460">
        <f t="shared" si="9"/>
        <v>0</v>
      </c>
      <c r="AM35" s="461">
        <f t="shared" si="10"/>
        <v>0</v>
      </c>
      <c r="AN35" s="462">
        <f t="shared" si="11"/>
        <v>0</v>
      </c>
      <c r="AO35" s="11"/>
    </row>
    <row r="36" spans="1:41" x14ac:dyDescent="0.25">
      <c r="A36" s="11"/>
      <c r="B36" s="11"/>
      <c r="C36" s="11"/>
      <c r="D36" s="11"/>
      <c r="E36" s="11"/>
      <c r="F36" s="11"/>
      <c r="G36" s="11"/>
      <c r="H36" s="84" t="s">
        <v>389</v>
      </c>
      <c r="I36" s="118" t="str">
        <f>IF(_epmOfflineCondition_,"N",_xll.EVPRO($B$1,$H36,"STYLE"))</f>
        <v>N</v>
      </c>
      <c r="J36" s="118" t="str">
        <f>IF(_epmOfflineCondition_,"N",_xll.EVPRO($B$1,$H36,"CALC"))</f>
        <v>N</v>
      </c>
      <c r="K36" s="175" t="str">
        <f t="shared" si="0"/>
        <v/>
      </c>
      <c r="L36" s="86" t="str">
        <f>IF(_epmOfflineCondition_,"440300",_xll.EVPRO($B$1,H36,"JDEID"))</f>
        <v>440300</v>
      </c>
      <c r="M36" s="86" t="str">
        <f>IF(_epmOfflineCondition_,"206038",IF(AND(I36="N",J36="N"),_xll.EVPRO($B$1,H36,"PSFTID"),""))</f>
        <v>206038</v>
      </c>
      <c r="N36" s="86" t="str">
        <f>IF(_epmOfflineCondition_,"Sundries",IF(_xll.EVDES(H36,$B$1)="#NODATA","",_xll.EVDES(H36,$B$1)))</f>
        <v>Sundries</v>
      </c>
      <c r="O36" s="134"/>
      <c r="P36" s="134"/>
      <c r="Q36" s="134"/>
      <c r="R36" s="134"/>
      <c r="S36" s="134"/>
      <c r="T36" s="134"/>
      <c r="U36" s="134"/>
      <c r="V36" s="134"/>
      <c r="W36" s="134"/>
      <c r="X36" s="134"/>
      <c r="Y36" s="134"/>
      <c r="Z36" s="134"/>
      <c r="AA36" s="223">
        <f t="shared" si="1"/>
        <v>0</v>
      </c>
      <c r="AB36" s="138" t="str">
        <f t="shared" si="2"/>
        <v/>
      </c>
      <c r="AC36" s="136"/>
      <c r="AD36" s="134"/>
      <c r="AE36" s="138" t="str">
        <f t="shared" si="3"/>
        <v/>
      </c>
      <c r="AF36" s="137">
        <f t="shared" si="4"/>
        <v>0</v>
      </c>
      <c r="AG36" s="134"/>
      <c r="AH36" s="138" t="str">
        <f t="shared" si="5"/>
        <v/>
      </c>
      <c r="AI36" s="137">
        <f t="shared" si="6"/>
        <v>0</v>
      </c>
      <c r="AJ36" s="458">
        <f t="shared" si="7"/>
        <v>0</v>
      </c>
      <c r="AK36" s="459">
        <f t="shared" si="8"/>
        <v>0</v>
      </c>
      <c r="AL36" s="460">
        <f t="shared" si="9"/>
        <v>0</v>
      </c>
      <c r="AM36" s="461">
        <f t="shared" si="10"/>
        <v>0</v>
      </c>
      <c r="AN36" s="462">
        <f t="shared" si="11"/>
        <v>0</v>
      </c>
      <c r="AO36" s="11"/>
    </row>
    <row r="37" spans="1:41" x14ac:dyDescent="0.25">
      <c r="A37" s="11" t="s">
        <v>105</v>
      </c>
      <c r="B37" s="11"/>
      <c r="C37" s="100" t="s">
        <v>101</v>
      </c>
      <c r="D37" s="11" t="s">
        <v>106</v>
      </c>
      <c r="E37" s="11"/>
      <c r="F37" s="11" t="s">
        <v>98</v>
      </c>
      <c r="G37" s="11"/>
      <c r="H37" s="84" t="s">
        <v>390</v>
      </c>
      <c r="I37" s="118" t="str">
        <f>IF(_epmOfflineCondition_,"N",_xll.EVPRO($B$1,$H37,"STYLE"))</f>
        <v>N</v>
      </c>
      <c r="J37" s="118" t="str">
        <f>IF(_epmOfflineCondition_,"N",_xll.EVPRO($B$1,$H37,"CALC"))</f>
        <v>N</v>
      </c>
      <c r="K37" s="175" t="str">
        <f t="shared" si="0"/>
        <v/>
      </c>
      <c r="L37" s="86" t="str">
        <f>IF(_epmOfflineCondition_,"440400",_xll.EVPRO($B$1,H37,"JDEID"))</f>
        <v>440400</v>
      </c>
      <c r="M37" s="86" t="str">
        <f>IF(_epmOfflineCondition_,"206039",IF(AND(I37="N",J37="N"),_xll.EVPRO($B$1,H37,"PSFTID"),""))</f>
        <v>206039</v>
      </c>
      <c r="N37" s="86" t="str">
        <f>IF(_epmOfflineCondition_,"Souvenir &amp; Gifts",IF(_xll.EVDES(H37,$B$1)="#NODATA","",_xll.EVDES(H37,$B$1)))</f>
        <v>Souvenir &amp; Gifts</v>
      </c>
      <c r="O37" s="134"/>
      <c r="P37" s="134"/>
      <c r="Q37" s="134"/>
      <c r="R37" s="134"/>
      <c r="S37" s="134"/>
      <c r="T37" s="134"/>
      <c r="U37" s="134"/>
      <c r="V37" s="134"/>
      <c r="W37" s="134"/>
      <c r="X37" s="134"/>
      <c r="Y37" s="134"/>
      <c r="Z37" s="134"/>
      <c r="AA37" s="223">
        <f t="shared" si="1"/>
        <v>0</v>
      </c>
      <c r="AB37" s="138" t="str">
        <f t="shared" si="2"/>
        <v/>
      </c>
      <c r="AC37" s="136"/>
      <c r="AD37" s="134"/>
      <c r="AE37" s="138" t="str">
        <f t="shared" si="3"/>
        <v/>
      </c>
      <c r="AF37" s="137">
        <f t="shared" si="4"/>
        <v>0</v>
      </c>
      <c r="AG37" s="134"/>
      <c r="AH37" s="138" t="str">
        <f t="shared" si="5"/>
        <v/>
      </c>
      <c r="AI37" s="137">
        <f t="shared" si="6"/>
        <v>0</v>
      </c>
      <c r="AJ37" s="458">
        <f t="shared" si="7"/>
        <v>0</v>
      </c>
      <c r="AK37" s="459">
        <f t="shared" si="8"/>
        <v>0</v>
      </c>
      <c r="AL37" s="460">
        <f t="shared" si="9"/>
        <v>0</v>
      </c>
      <c r="AM37" s="461">
        <f t="shared" si="10"/>
        <v>0</v>
      </c>
      <c r="AN37" s="462">
        <f t="shared" si="11"/>
        <v>0</v>
      </c>
      <c r="AO37" s="11"/>
    </row>
    <row r="38" spans="1:41" x14ac:dyDescent="0.25">
      <c r="A38" s="11" t="s">
        <v>108</v>
      </c>
      <c r="B38" s="11"/>
      <c r="C38" s="102" t="s">
        <v>101</v>
      </c>
      <c r="D38" s="11" t="s">
        <v>106</v>
      </c>
      <c r="E38" s="11"/>
      <c r="F38" s="11" t="s">
        <v>98</v>
      </c>
      <c r="G38" s="11"/>
      <c r="H38" s="84" t="s">
        <v>391</v>
      </c>
      <c r="I38" s="118" t="str">
        <f>IF(_epmOfflineCondition_,"N",_xll.EVPRO($B$1,$H38,"STYLE"))</f>
        <v>N</v>
      </c>
      <c r="J38" s="118" t="str">
        <f>IF(_epmOfflineCondition_,"N",_xll.EVPRO($B$1,$H38,"CALC"))</f>
        <v>N</v>
      </c>
      <c r="K38" s="175" t="str">
        <f t="shared" si="0"/>
        <v/>
      </c>
      <c r="L38" s="86" t="str">
        <f>IF(_epmOfflineCondition_,"440500",_xll.EVPRO($B$1,H38,"JDEID"))</f>
        <v>440500</v>
      </c>
      <c r="M38" s="86" t="str">
        <f>IF(_epmOfflineCondition_,"206041",IF(AND(I38="N",J38="N"),_xll.EVPRO($B$1,H38,"PSFTID"),""))</f>
        <v>206041</v>
      </c>
      <c r="N38" s="86" t="str">
        <f>IF(_epmOfflineCondition_,"Stationary &amp; Books",IF(_xll.EVDES(H38,$B$1)="#NODATA","",_xll.EVDES(H38,$B$1)))</f>
        <v>Stationary &amp; Books</v>
      </c>
      <c r="O38" s="134"/>
      <c r="P38" s="134"/>
      <c r="Q38" s="134"/>
      <c r="R38" s="134"/>
      <c r="S38" s="134"/>
      <c r="T38" s="134"/>
      <c r="U38" s="134"/>
      <c r="V38" s="134"/>
      <c r="W38" s="134"/>
      <c r="X38" s="134"/>
      <c r="Y38" s="134"/>
      <c r="Z38" s="134"/>
      <c r="AA38" s="223">
        <f t="shared" si="1"/>
        <v>0</v>
      </c>
      <c r="AB38" s="138" t="str">
        <f t="shared" si="2"/>
        <v/>
      </c>
      <c r="AC38" s="136"/>
      <c r="AD38" s="134"/>
      <c r="AE38" s="138" t="str">
        <f t="shared" si="3"/>
        <v/>
      </c>
      <c r="AF38" s="137">
        <f t="shared" si="4"/>
        <v>0</v>
      </c>
      <c r="AG38" s="134"/>
      <c r="AH38" s="138" t="str">
        <f t="shared" si="5"/>
        <v/>
      </c>
      <c r="AI38" s="137">
        <f t="shared" si="6"/>
        <v>0</v>
      </c>
      <c r="AJ38" s="458">
        <f t="shared" si="7"/>
        <v>0</v>
      </c>
      <c r="AK38" s="459">
        <f t="shared" si="8"/>
        <v>0</v>
      </c>
      <c r="AL38" s="460">
        <f t="shared" si="9"/>
        <v>0</v>
      </c>
      <c r="AM38" s="461">
        <f t="shared" si="10"/>
        <v>0</v>
      </c>
      <c r="AN38" s="462">
        <f t="shared" si="11"/>
        <v>0</v>
      </c>
      <c r="AO38" s="11"/>
    </row>
    <row r="39" spans="1:41" x14ac:dyDescent="0.25">
      <c r="A39" s="11" t="s">
        <v>108</v>
      </c>
      <c r="B39" s="11"/>
      <c r="C39" s="192" t="s">
        <v>101</v>
      </c>
      <c r="D39" s="11" t="s">
        <v>107</v>
      </c>
      <c r="E39" s="11"/>
      <c r="F39" s="11" t="s">
        <v>99</v>
      </c>
      <c r="G39" s="11"/>
      <c r="H39" s="84" t="s">
        <v>392</v>
      </c>
      <c r="I39" s="118" t="str">
        <f>IF(_epmOfflineCondition_,"N",_xll.EVPRO($B$1,$H39,"STYLE"))</f>
        <v>N</v>
      </c>
      <c r="J39" s="118" t="str">
        <f>IF(_epmOfflineCondition_,"N",_xll.EVPRO($B$1,$H39,"CALC"))</f>
        <v>N</v>
      </c>
      <c r="K39" s="175" t="str">
        <f t="shared" si="0"/>
        <v/>
      </c>
      <c r="L39" s="86" t="str">
        <f>IF(_epmOfflineCondition_,"440600",_xll.EVPRO($B$1,H39,"JDEID"))</f>
        <v>440600</v>
      </c>
      <c r="M39" s="86" t="str">
        <f>IF(_epmOfflineCondition_,"206042",IF(AND(I39="N",J39="N"),_xll.EVPRO($B$1,H39,"PSFTID"),""))</f>
        <v>206042</v>
      </c>
      <c r="N39" s="86" t="str">
        <f>IF(_epmOfflineCondition_,"Newspaper &amp; Magazines",IF(_xll.EVDES(H39,$B$1)="#NODATA","",_xll.EVDES(H39,$B$1)))</f>
        <v>Newspaper &amp; Magazines</v>
      </c>
      <c r="O39" s="134"/>
      <c r="P39" s="134"/>
      <c r="Q39" s="134"/>
      <c r="R39" s="134"/>
      <c r="S39" s="134"/>
      <c r="T39" s="134"/>
      <c r="U39" s="134"/>
      <c r="V39" s="134"/>
      <c r="W39" s="134"/>
      <c r="X39" s="134"/>
      <c r="Y39" s="134"/>
      <c r="Z39" s="134"/>
      <c r="AA39" s="223">
        <f t="shared" si="1"/>
        <v>0</v>
      </c>
      <c r="AB39" s="138" t="str">
        <f t="shared" si="2"/>
        <v/>
      </c>
      <c r="AC39" s="136"/>
      <c r="AD39" s="134"/>
      <c r="AE39" s="138" t="str">
        <f t="shared" si="3"/>
        <v/>
      </c>
      <c r="AF39" s="137">
        <f t="shared" si="4"/>
        <v>0</v>
      </c>
      <c r="AG39" s="134"/>
      <c r="AH39" s="138" t="str">
        <f t="shared" si="5"/>
        <v/>
      </c>
      <c r="AI39" s="137">
        <f t="shared" si="6"/>
        <v>0</v>
      </c>
      <c r="AJ39" s="458">
        <f t="shared" si="7"/>
        <v>0</v>
      </c>
      <c r="AK39" s="459">
        <f t="shared" si="8"/>
        <v>0</v>
      </c>
      <c r="AL39" s="460">
        <f t="shared" si="9"/>
        <v>0</v>
      </c>
      <c r="AM39" s="461">
        <f t="shared" si="10"/>
        <v>0</v>
      </c>
      <c r="AN39" s="462">
        <f t="shared" si="11"/>
        <v>0</v>
      </c>
      <c r="AO39" s="11"/>
    </row>
    <row r="40" spans="1:41" x14ac:dyDescent="0.25">
      <c r="A40" s="11"/>
      <c r="B40" s="11"/>
      <c r="C40" s="11"/>
      <c r="D40" s="11"/>
      <c r="E40" s="11"/>
      <c r="F40" s="11"/>
      <c r="G40" s="11"/>
      <c r="H40" s="84" t="s">
        <v>393</v>
      </c>
      <c r="I40" s="118" t="str">
        <f>IF(_epmOfflineCondition_,"N",_xll.EVPRO($B$1,$H40,"STYLE"))</f>
        <v>N</v>
      </c>
      <c r="J40" s="118" t="str">
        <f>IF(_epmOfflineCondition_,"N",_xll.EVPRO($B$1,$H40,"CALC"))</f>
        <v>N</v>
      </c>
      <c r="K40" s="175" t="str">
        <f t="shared" si="0"/>
        <v/>
      </c>
      <c r="L40" s="86" t="str">
        <f>IF(_epmOfflineCondition_,"440700",_xll.EVPRO($B$1,H40,"JDEID"))</f>
        <v>440700</v>
      </c>
      <c r="M40" s="86" t="str">
        <f>IF(_epmOfflineCondition_,"206043",IF(AND(I40="N",J40="N"),_xll.EVPRO($B$1,H40,"PSFTID"),""))</f>
        <v>206043</v>
      </c>
      <c r="N40" s="86" t="str">
        <f>IF(_epmOfflineCondition_,"Youth Revenue",IF(_xll.EVDES(H40,$B$1)="#NODATA","",_xll.EVDES(H40,$B$1)))</f>
        <v>Youth Revenue</v>
      </c>
      <c r="O40" s="134"/>
      <c r="P40" s="134"/>
      <c r="Q40" s="134"/>
      <c r="R40" s="134"/>
      <c r="S40" s="134"/>
      <c r="T40" s="134"/>
      <c r="U40" s="134"/>
      <c r="V40" s="134"/>
      <c r="W40" s="134"/>
      <c r="X40" s="134"/>
      <c r="Y40" s="134"/>
      <c r="Z40" s="134"/>
      <c r="AA40" s="223">
        <f t="shared" si="1"/>
        <v>0</v>
      </c>
      <c r="AB40" s="138" t="str">
        <f t="shared" si="2"/>
        <v/>
      </c>
      <c r="AC40" s="136"/>
      <c r="AD40" s="134"/>
      <c r="AE40" s="138" t="str">
        <f t="shared" si="3"/>
        <v/>
      </c>
      <c r="AF40" s="137">
        <f t="shared" si="4"/>
        <v>0</v>
      </c>
      <c r="AG40" s="134"/>
      <c r="AH40" s="138" t="str">
        <f t="shared" si="5"/>
        <v/>
      </c>
      <c r="AI40" s="137">
        <f t="shared" si="6"/>
        <v>0</v>
      </c>
      <c r="AJ40" s="458">
        <f t="shared" si="7"/>
        <v>0</v>
      </c>
      <c r="AK40" s="459">
        <f t="shared" si="8"/>
        <v>0</v>
      </c>
      <c r="AL40" s="460">
        <f t="shared" si="9"/>
        <v>0</v>
      </c>
      <c r="AM40" s="461">
        <f t="shared" si="10"/>
        <v>0</v>
      </c>
      <c r="AN40" s="462">
        <f t="shared" si="11"/>
        <v>0</v>
      </c>
      <c r="AO40" s="11"/>
    </row>
    <row r="41" spans="1:41" x14ac:dyDescent="0.25">
      <c r="A41" s="11"/>
      <c r="B41" s="11"/>
      <c r="C41" s="11"/>
      <c r="D41" s="11"/>
      <c r="E41" s="11"/>
      <c r="F41" s="11"/>
      <c r="G41" s="11"/>
      <c r="H41" s="84" t="s">
        <v>394</v>
      </c>
      <c r="I41" s="118" t="str">
        <f>IF(_epmOfflineCondition_,"N",_xll.EVPRO($B$1,$H41,"STYLE"))</f>
        <v>N</v>
      </c>
      <c r="J41" s="118" t="str">
        <f>IF(_epmOfflineCondition_,"N",_xll.EVPRO($B$1,$H41,"CALC"))</f>
        <v>N</v>
      </c>
      <c r="K41" s="175" t="str">
        <f t="shared" si="0"/>
        <v/>
      </c>
      <c r="L41" s="86" t="str">
        <f>IF(_epmOfflineCondition_,"440800",_xll.EVPRO($B$1,H41,"JDEID"))</f>
        <v>440800</v>
      </c>
      <c r="M41" s="86" t="str">
        <f>IF(_epmOfflineCondition_,"206044",IF(AND(I41="N",J41="N"),_xll.EVPRO($B$1,H41,"PSFTID"),""))</f>
        <v>206044</v>
      </c>
      <c r="N41" s="86" t="str">
        <f>IF(_epmOfflineCondition_,"Food/Candy",IF(_xll.EVDES(H41,$B$1)="#NODATA","",_xll.EVDES(H41,$B$1)))</f>
        <v>Food/Candy</v>
      </c>
      <c r="O41" s="134"/>
      <c r="P41" s="134"/>
      <c r="Q41" s="134"/>
      <c r="R41" s="134"/>
      <c r="S41" s="134"/>
      <c r="T41" s="134"/>
      <c r="U41" s="134"/>
      <c r="V41" s="134"/>
      <c r="W41" s="134"/>
      <c r="X41" s="134"/>
      <c r="Y41" s="134"/>
      <c r="Z41" s="134"/>
      <c r="AA41" s="223">
        <f t="shared" si="1"/>
        <v>0</v>
      </c>
      <c r="AB41" s="138" t="str">
        <f t="shared" si="2"/>
        <v/>
      </c>
      <c r="AC41" s="136"/>
      <c r="AD41" s="134"/>
      <c r="AE41" s="138" t="str">
        <f t="shared" si="3"/>
        <v/>
      </c>
      <c r="AF41" s="137">
        <f t="shared" si="4"/>
        <v>0</v>
      </c>
      <c r="AG41" s="134"/>
      <c r="AH41" s="138" t="str">
        <f t="shared" si="5"/>
        <v/>
      </c>
      <c r="AI41" s="137">
        <f t="shared" si="6"/>
        <v>0</v>
      </c>
      <c r="AJ41" s="458">
        <f t="shared" si="7"/>
        <v>0</v>
      </c>
      <c r="AK41" s="459">
        <f t="shared" si="8"/>
        <v>0</v>
      </c>
      <c r="AL41" s="460">
        <f t="shared" si="9"/>
        <v>0</v>
      </c>
      <c r="AM41" s="461">
        <f t="shared" si="10"/>
        <v>0</v>
      </c>
      <c r="AN41" s="462">
        <f t="shared" si="11"/>
        <v>0</v>
      </c>
      <c r="AO41" s="11"/>
    </row>
    <row r="42" spans="1:41" x14ac:dyDescent="0.25">
      <c r="A42" s="56" t="str">
        <f>IF(_epmOfflineCondition_,"Evdre:Ok",_xll.EVDRE($B$1,A45:B52,A55:B61))</f>
        <v>Evdre:Ok</v>
      </c>
      <c r="B42" s="11"/>
      <c r="C42" s="11"/>
      <c r="D42" s="11"/>
      <c r="E42" s="11"/>
      <c r="F42" s="11"/>
      <c r="G42" s="11"/>
      <c r="H42" s="84" t="s">
        <v>395</v>
      </c>
      <c r="I42" s="118" t="str">
        <f>IF(_epmOfflineCondition_,"N",_xll.EVPRO($B$1,$H42,"STYLE"))</f>
        <v>N</v>
      </c>
      <c r="J42" s="118" t="str">
        <f>IF(_epmOfflineCondition_,"N",_xll.EVPRO($B$1,$H42,"CALC"))</f>
        <v>N</v>
      </c>
      <c r="K42" s="175" t="str">
        <f t="shared" si="0"/>
        <v/>
      </c>
      <c r="L42" s="86" t="str">
        <f>IF(_epmOfflineCondition_,"440900",_xll.EVPRO($B$1,H42,"JDEID"))</f>
        <v>440900</v>
      </c>
      <c r="M42" s="86" t="str">
        <f>IF(_epmOfflineCondition_,"206021",IF(AND(I42="N",J42="N"),_xll.EVPRO($B$1,H42,"PSFTID"),""))</f>
        <v>206021</v>
      </c>
      <c r="N42" s="86" t="str">
        <f>IF(_epmOfflineCondition_,"Tobacco",IF(_xll.EVDES(H42,$B$1)="#NODATA","",_xll.EVDES(H42,$B$1)))</f>
        <v>Tobacco</v>
      </c>
      <c r="O42" s="134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223">
        <f t="shared" si="1"/>
        <v>0</v>
      </c>
      <c r="AB42" s="138" t="str">
        <f t="shared" si="2"/>
        <v/>
      </c>
      <c r="AC42" s="136"/>
      <c r="AD42" s="134"/>
      <c r="AE42" s="138" t="str">
        <f t="shared" si="3"/>
        <v/>
      </c>
      <c r="AF42" s="137">
        <f t="shared" si="4"/>
        <v>0</v>
      </c>
      <c r="AG42" s="134"/>
      <c r="AH42" s="138" t="str">
        <f t="shared" si="5"/>
        <v/>
      </c>
      <c r="AI42" s="137">
        <f t="shared" si="6"/>
        <v>0</v>
      </c>
      <c r="AJ42" s="458">
        <f t="shared" si="7"/>
        <v>0</v>
      </c>
      <c r="AK42" s="459">
        <f t="shared" si="8"/>
        <v>0</v>
      </c>
      <c r="AL42" s="460">
        <f t="shared" si="9"/>
        <v>0</v>
      </c>
      <c r="AM42" s="461">
        <f t="shared" si="10"/>
        <v>0</v>
      </c>
      <c r="AN42" s="462">
        <f t="shared" si="11"/>
        <v>0</v>
      </c>
      <c r="AO42" s="11"/>
    </row>
    <row r="43" spans="1:41" x14ac:dyDescent="0.25">
      <c r="A43" s="11"/>
      <c r="B43" s="11"/>
      <c r="C43" s="11"/>
      <c r="D43" s="11"/>
      <c r="E43" s="11"/>
      <c r="F43" s="11"/>
      <c r="G43" s="11"/>
      <c r="H43" s="84" t="s">
        <v>396</v>
      </c>
      <c r="I43" s="118" t="str">
        <f>IF(_epmOfflineCondition_,"N",_xll.EVPRO($B$1,$H43,"STYLE"))</f>
        <v>N</v>
      </c>
      <c r="J43" s="118" t="str">
        <f>IF(_epmOfflineCondition_,"N",_xll.EVPRO($B$1,$H43,"CALC"))</f>
        <v>N</v>
      </c>
      <c r="K43" s="175" t="str">
        <f t="shared" si="0"/>
        <v/>
      </c>
      <c r="L43" s="86" t="str">
        <f>IF(_epmOfflineCondition_,"440990",_xll.EVPRO($B$1,H43,"JDEID"))</f>
        <v>440990</v>
      </c>
      <c r="M43" s="86" t="str">
        <f>IF(_epmOfflineCondition_,"NA",IF(AND(I43="N",J43="N"),_xll.EVPRO($B$1,H43,"PSFTID"),""))</f>
        <v>NA</v>
      </c>
      <c r="N43" s="86" t="str">
        <f>IF(_epmOfflineCondition_,"Gift Shop: Allowances",IF(_xll.EVDES(H43,$B$1)="#NODATA","",_xll.EVDES(H43,$B$1)))</f>
        <v>Gift Shop: Allowances</v>
      </c>
      <c r="O43" s="228"/>
      <c r="P43" s="228"/>
      <c r="Q43" s="228"/>
      <c r="R43" s="228"/>
      <c r="S43" s="228"/>
      <c r="T43" s="228"/>
      <c r="U43" s="228"/>
      <c r="V43" s="228"/>
      <c r="W43" s="228"/>
      <c r="X43" s="228"/>
      <c r="Y43" s="228"/>
      <c r="Z43" s="228"/>
      <c r="AA43" s="229">
        <f t="shared" si="1"/>
        <v>0</v>
      </c>
      <c r="AB43" s="230" t="str">
        <f t="shared" si="2"/>
        <v/>
      </c>
      <c r="AC43" s="136"/>
      <c r="AD43" s="228"/>
      <c r="AE43" s="230" t="str">
        <f t="shared" si="3"/>
        <v/>
      </c>
      <c r="AF43" s="231">
        <f t="shared" si="4"/>
        <v>0</v>
      </c>
      <c r="AG43" s="228"/>
      <c r="AH43" s="230" t="str">
        <f t="shared" si="5"/>
        <v/>
      </c>
      <c r="AI43" s="231">
        <f t="shared" si="6"/>
        <v>0</v>
      </c>
      <c r="AJ43" s="467">
        <f t="shared" si="7"/>
        <v>0</v>
      </c>
      <c r="AK43" s="468">
        <f t="shared" si="8"/>
        <v>0</v>
      </c>
      <c r="AL43" s="469">
        <f t="shared" si="9"/>
        <v>0</v>
      </c>
      <c r="AM43" s="470">
        <f t="shared" si="10"/>
        <v>0</v>
      </c>
      <c r="AN43" s="471">
        <f t="shared" si="11"/>
        <v>0</v>
      </c>
      <c r="AO43" s="11"/>
    </row>
    <row r="44" spans="1:41" x14ac:dyDescent="0.25">
      <c r="A44" s="57" t="s">
        <v>0</v>
      </c>
      <c r="B44" s="58" t="s">
        <v>1</v>
      </c>
      <c r="C44" s="11"/>
      <c r="D44" s="11"/>
      <c r="E44" s="11"/>
      <c r="F44" s="11"/>
      <c r="G44" s="11"/>
      <c r="H44" s="84" t="s">
        <v>280</v>
      </c>
      <c r="I44" s="184" t="str">
        <f>IF(_epmOfflineCondition_,"T3",_xll.EVPRO($B$1,$H44,"STYLE"))</f>
        <v>T3</v>
      </c>
      <c r="J44" s="184" t="str">
        <f>IF(_epmOfflineCondition_,"Y",_xll.EVPRO($B$1,$H44,"CALC"))</f>
        <v>Y</v>
      </c>
      <c r="K44" s="185" t="str">
        <f t="shared" si="0"/>
        <v/>
      </c>
      <c r="L44" s="186" t="str">
        <f>IF(_epmOfflineCondition_,"400000",_xll.EVPRO($B$1,H44,"JDEID"))</f>
        <v>400000</v>
      </c>
      <c r="M44" s="186" t="str">
        <f>IF(_epmOfflineCondition_,"",IF(AND(I44="N",J44="N"),_xll.EVPRO($B$1,H44,"PSFTID"),""))</f>
        <v/>
      </c>
      <c r="N44" s="186" t="str">
        <f>IF(_epmOfflineCondition_,"Total Revenue",IF(_xll.EVDES(H44,$B$1)="#NODATA","",_xll.EVDES(H44,$B$1)))</f>
        <v>Total Revenue</v>
      </c>
      <c r="O44" s="236"/>
      <c r="P44" s="236"/>
      <c r="Q44" s="236"/>
      <c r="R44" s="236"/>
      <c r="S44" s="236"/>
      <c r="T44" s="236"/>
      <c r="U44" s="236"/>
      <c r="V44" s="236"/>
      <c r="W44" s="236"/>
      <c r="X44" s="236"/>
      <c r="Y44" s="236"/>
      <c r="Z44" s="236"/>
      <c r="AA44" s="236">
        <f t="shared" si="1"/>
        <v>0</v>
      </c>
      <c r="AB44" s="237" t="str">
        <f t="shared" si="2"/>
        <v/>
      </c>
      <c r="AC44" s="238"/>
      <c r="AD44" s="236"/>
      <c r="AE44" s="237" t="str">
        <f t="shared" si="3"/>
        <v/>
      </c>
      <c r="AF44" s="239">
        <f t="shared" si="4"/>
        <v>0</v>
      </c>
      <c r="AG44" s="236"/>
      <c r="AH44" s="237" t="str">
        <f t="shared" si="5"/>
        <v/>
      </c>
      <c r="AI44" s="239">
        <f t="shared" si="6"/>
        <v>0</v>
      </c>
      <c r="AJ44" s="215">
        <f t="shared" si="7"/>
        <v>0</v>
      </c>
      <c r="AK44" s="216">
        <f t="shared" si="8"/>
        <v>0</v>
      </c>
      <c r="AL44" s="218">
        <f t="shared" si="9"/>
        <v>0</v>
      </c>
      <c r="AM44" s="423">
        <f t="shared" si="10"/>
        <v>0</v>
      </c>
      <c r="AN44" s="474">
        <f t="shared" si="11"/>
        <v>0</v>
      </c>
      <c r="AO44" s="11"/>
    </row>
    <row r="45" spans="1:41" x14ac:dyDescent="0.25">
      <c r="A45" s="61" t="s">
        <v>2</v>
      </c>
      <c r="B45" s="62" t="str">
        <f>IF(_epmOfflineCondition_,"'Retail'!$B$2:$B$10",_xll.EVRNG($B$2:$B$10))</f>
        <v>'Retail'!$B$2:$B$10</v>
      </c>
      <c r="C45" s="11"/>
      <c r="D45" s="11"/>
      <c r="E45" s="11"/>
      <c r="F45" s="11"/>
      <c r="G45" s="11"/>
      <c r="H45" s="11"/>
      <c r="I45" s="55"/>
      <c r="J45" s="55"/>
      <c r="K45" s="11"/>
      <c r="L45" s="11"/>
      <c r="M45" s="11"/>
      <c r="N45" s="11"/>
      <c r="O45" s="199"/>
      <c r="P45" s="200"/>
      <c r="Q45" s="200"/>
      <c r="R45" s="200"/>
      <c r="S45" s="200"/>
      <c r="T45" s="200"/>
      <c r="U45" s="200"/>
      <c r="V45" s="200"/>
      <c r="W45" s="200"/>
      <c r="X45" s="200"/>
      <c r="Y45" s="200"/>
      <c r="Z45" s="200"/>
      <c r="AA45" s="200"/>
      <c r="AB45" s="114"/>
      <c r="AC45" s="11"/>
      <c r="AD45" s="199"/>
      <c r="AE45" s="200"/>
      <c r="AF45" s="114"/>
      <c r="AG45" s="199"/>
      <c r="AH45" s="200"/>
      <c r="AI45" s="114"/>
      <c r="AJ45" s="11"/>
      <c r="AK45" s="11"/>
      <c r="AL45" s="11"/>
      <c r="AM45" s="11"/>
      <c r="AN45" s="11"/>
      <c r="AO45" s="11"/>
    </row>
    <row r="46" spans="1:41" x14ac:dyDescent="0.25">
      <c r="A46" s="61" t="s">
        <v>3</v>
      </c>
      <c r="B46" s="62" t="str">
        <f>IF(_epmOfflineCondition_,"'Retail'!$O$16:$AN$18",_xll.EVRNG($O$16:$AN$18))</f>
        <v>'Retail'!$O$16:$AN$18</v>
      </c>
      <c r="C46" s="11"/>
      <c r="D46" s="11"/>
      <c r="E46" s="11"/>
      <c r="F46" s="11"/>
      <c r="G46" s="11"/>
      <c r="H46" s="11" t="s">
        <v>281</v>
      </c>
      <c r="I46" s="55" t="str">
        <f>IF(_epmOfflineCondition_,"B1",_xll.EVPRO($B$1,$H46,"STYLE"))</f>
        <v>B1</v>
      </c>
      <c r="J46" s="55" t="str">
        <f>IF(_epmOfflineCondition_,"Y",_xll.EVPRO($B$1,$H46,"CALC"))</f>
        <v>Y</v>
      </c>
      <c r="K46" s="11"/>
      <c r="L46" s="11"/>
      <c r="M46" s="11"/>
      <c r="N46" s="101" t="str">
        <f>IF(_epmOfflineCondition_,"Cost of Sales",IF(_xll.EVDES(H46,$B$1)="#NODATA","",_xll.EVDES(H46,$B$1)))</f>
        <v>Cost of Sales</v>
      </c>
      <c r="O46" s="199"/>
      <c r="P46" s="200"/>
      <c r="Q46" s="200"/>
      <c r="R46" s="200"/>
      <c r="S46" s="200"/>
      <c r="T46" s="200"/>
      <c r="U46" s="200"/>
      <c r="V46" s="200"/>
      <c r="W46" s="200"/>
      <c r="X46" s="200"/>
      <c r="Y46" s="200"/>
      <c r="Z46" s="200"/>
      <c r="AA46" s="200"/>
      <c r="AB46" s="114"/>
      <c r="AC46" s="11"/>
      <c r="AD46" s="199"/>
      <c r="AE46" s="200"/>
      <c r="AF46" s="114"/>
      <c r="AG46" s="199"/>
      <c r="AH46" s="200"/>
      <c r="AI46" s="114"/>
      <c r="AJ46" s="11"/>
      <c r="AK46" s="11"/>
      <c r="AL46" s="11"/>
      <c r="AM46" s="11"/>
      <c r="AN46" s="11"/>
      <c r="AO46" s="11"/>
    </row>
    <row r="47" spans="1:41" x14ac:dyDescent="0.25">
      <c r="A47" s="61" t="s">
        <v>4</v>
      </c>
      <c r="B47" s="62" t="str">
        <f>IF(_epmOfflineCondition_,"'Retail'!$H$47:$H$56",_xll.EVRNG(H47:H56))</f>
        <v>'Retail'!$H$47:$H$56</v>
      </c>
      <c r="C47" s="11"/>
      <c r="D47" s="11"/>
      <c r="E47" s="11"/>
      <c r="F47" s="11"/>
      <c r="G47" s="11"/>
      <c r="H47" s="84" t="s">
        <v>397</v>
      </c>
      <c r="I47" s="118" t="str">
        <f>IF(_epmOfflineCondition_,"N",_xll.EVPRO($B$1,$H47,"STYLE"))</f>
        <v>N</v>
      </c>
      <c r="J47" s="118" t="str">
        <f>IF(_epmOfflineCondition_,"N",_xll.EVPRO($B$1,$H47,"CALC"))</f>
        <v>N</v>
      </c>
      <c r="K47" s="175" t="str">
        <f t="shared" ref="K47:K58" si="12">IF(AND(I47&gt;="T5"),"&gt;","")</f>
        <v/>
      </c>
      <c r="L47" s="86" t="str">
        <f>IF(_epmOfflineCondition_,"540100",_xll.EVPRO($B$1,H47,"JDEID"))</f>
        <v>540100</v>
      </c>
      <c r="M47" s="86" t="str">
        <f>IF(_epmOfflineCondition_,"306036",IF(AND(I47="N",J47="N"),_xll.EVPRO($B$1,H47,"PSFTID"),""))</f>
        <v>306036</v>
      </c>
      <c r="N47" s="86" t="str">
        <f>IF(_epmOfflineCondition_,"Accessories COS",IF(_xll.EVDES(H47,$B$1)="#NODATA","",_xll.EVDES(H47,$B$1)))</f>
        <v>Accessories COS</v>
      </c>
      <c r="O47" s="228"/>
      <c r="P47" s="228"/>
      <c r="Q47" s="228"/>
      <c r="R47" s="228"/>
      <c r="S47" s="228"/>
      <c r="T47" s="228"/>
      <c r="U47" s="228"/>
      <c r="V47" s="228"/>
      <c r="W47" s="228"/>
      <c r="X47" s="228"/>
      <c r="Y47" s="228"/>
      <c r="Z47" s="228"/>
      <c r="AA47" s="228">
        <f t="shared" ref="AA47:AA56" si="13">IF($I47="B1","",SUM(O47:Z47))</f>
        <v>0</v>
      </c>
      <c r="AB47" s="230" t="str">
        <f>IF(_epmOfflineCondition_,"",IF(AA47=0,"",IFERROR(AA47/_xll.EVGTS($B$1,1,_xll.EVPRO($B$1,$H47,"COSBASIS"),$B$3,$B$5,$B$6,$B$7,$B$9,AA$16,AA$17,AA$11),"")))</f>
        <v/>
      </c>
      <c r="AC47" s="136"/>
      <c r="AD47" s="228"/>
      <c r="AE47" s="230" t="str">
        <f>IF(_epmOfflineCondition_,"",IF(AD47=0,"",IFERROR(AD47/_xll.EVGTS($B$1,1,_xll.EVPRO($B$1,$H47,"COSBASIS"),$B$3,$B$5,$B$6,$B$7,$B$9,AD$16,AD$17,AD$18),"")))</f>
        <v/>
      </c>
      <c r="AF47" s="231">
        <f t="shared" ref="AF47:AF58" si="14">IF(AND($AA47="",AD47=""),"",$AA47-AD47)</f>
        <v>0</v>
      </c>
      <c r="AG47" s="228"/>
      <c r="AH47" s="230" t="str">
        <f>IF(_epmOfflineCondition_,"",IF(AG47=0,"",IFERROR(AG47/_xll.EVGTS($B$1,1,_xll.EVPRO($B$1,$H47,"COSBASIS"),$B$3,$B$5,$B$6,$B$7,$B$9,AG$16,AG$17,AG$18),"")))</f>
        <v/>
      </c>
      <c r="AI47" s="231">
        <f t="shared" ref="AI47:AI58" si="15">IF(AND($AA47="",AG47=""),"",$AA47-AG47)</f>
        <v>0</v>
      </c>
      <c r="AJ47" s="458">
        <f t="shared" ref="AJ47:AJ56" si="16">IFERROR(AA47/AA$20,0)</f>
        <v>0</v>
      </c>
      <c r="AK47" s="459">
        <f t="shared" ref="AK47:AK56" si="17">IFERROR(AD47/AD$20,0)</f>
        <v>0</v>
      </c>
      <c r="AL47" s="460">
        <f t="shared" ref="AL47:AL56" si="18">IFERROR(AG47/AG$20,0)</f>
        <v>0</v>
      </c>
      <c r="AM47" s="461">
        <f t="shared" ref="AM47:AM56" si="19">+IFERROR(ROUND(($AB47-AE47)*100,2)&amp;" pts.",0)</f>
        <v>0</v>
      </c>
      <c r="AN47" s="462">
        <f t="shared" ref="AN47:AN56" si="20">+IFERROR(ROUND(($AB47-AH47)*100,2)&amp;" pts.",0)</f>
        <v>0</v>
      </c>
      <c r="AO47" s="11"/>
    </row>
    <row r="48" spans="1:41" x14ac:dyDescent="0.25">
      <c r="A48" s="61" t="s">
        <v>5</v>
      </c>
      <c r="B48" s="62"/>
      <c r="C48" s="11"/>
      <c r="D48" s="11"/>
      <c r="E48" s="11"/>
      <c r="F48" s="380"/>
      <c r="G48" s="11"/>
      <c r="H48" s="84" t="s">
        <v>398</v>
      </c>
      <c r="I48" s="118" t="str">
        <f>IF(_epmOfflineCondition_,"N",_xll.EVPRO($B$1,$H48,"STYLE"))</f>
        <v>N</v>
      </c>
      <c r="J48" s="118" t="str">
        <f>IF(_epmOfflineCondition_,"N",_xll.EVPRO($B$1,$H48,"CALC"))</f>
        <v>N</v>
      </c>
      <c r="K48" s="175" t="str">
        <f t="shared" si="12"/>
        <v/>
      </c>
      <c r="L48" s="86" t="str">
        <f>IF(_epmOfflineCondition_,"540200",_xll.EVPRO($B$1,H48,"JDEID"))</f>
        <v>540200</v>
      </c>
      <c r="M48" s="86" t="str">
        <f>IF(_epmOfflineCondition_,"306037",IF(AND(I48="N",J48="N"),_xll.EVPRO($B$1,H48,"PSFTID"),""))</f>
        <v>306037</v>
      </c>
      <c r="N48" s="86" t="str">
        <f>IF(_epmOfflineCondition_,"Apparel COS",IF(_xll.EVDES(H48,$B$1)="#NODATA","",_xll.EVDES(H48,$B$1)))</f>
        <v>Apparel COS</v>
      </c>
      <c r="O48" s="228"/>
      <c r="P48" s="228"/>
      <c r="Q48" s="228"/>
      <c r="R48" s="228"/>
      <c r="S48" s="228"/>
      <c r="T48" s="228"/>
      <c r="U48" s="228"/>
      <c r="V48" s="228"/>
      <c r="W48" s="228"/>
      <c r="X48" s="228"/>
      <c r="Y48" s="228"/>
      <c r="Z48" s="228"/>
      <c r="AA48" s="228">
        <f t="shared" si="13"/>
        <v>0</v>
      </c>
      <c r="AB48" s="230" t="str">
        <f>IF(_epmOfflineCondition_,"",IF(AA48=0,"",IFERROR(AA48/_xll.EVGTS($B$1,1,_xll.EVPRO($B$1,$H48,"COSBASIS"),$B$3,$B$5,$B$6,$B$7,$B$9,AA$16,AA$17,AA$11),"")))</f>
        <v/>
      </c>
      <c r="AC48" s="136"/>
      <c r="AD48" s="228"/>
      <c r="AE48" s="230" t="str">
        <f>IF(_epmOfflineCondition_,"",IF(AD48=0,"",IFERROR(AD48/_xll.EVGTS($B$1,1,_xll.EVPRO($B$1,$H48,"COSBASIS"),$B$3,$B$5,$B$6,$B$7,$B$9,AD$16,AD$17,AD$18),"")))</f>
        <v/>
      </c>
      <c r="AF48" s="231">
        <f t="shared" si="14"/>
        <v>0</v>
      </c>
      <c r="AG48" s="228"/>
      <c r="AH48" s="230" t="str">
        <f>IF(_epmOfflineCondition_,"",IF(AG48=0,"",IFERROR(AG48/_xll.EVGTS($B$1,1,_xll.EVPRO($B$1,$H48,"COSBASIS"),$B$3,$B$5,$B$6,$B$7,$B$9,AG$16,AG$17,AG$18),"")))</f>
        <v/>
      </c>
      <c r="AI48" s="231">
        <f t="shared" si="15"/>
        <v>0</v>
      </c>
      <c r="AJ48" s="458">
        <f t="shared" si="16"/>
        <v>0</v>
      </c>
      <c r="AK48" s="459">
        <f t="shared" si="17"/>
        <v>0</v>
      </c>
      <c r="AL48" s="460">
        <f t="shared" si="18"/>
        <v>0</v>
      </c>
      <c r="AM48" s="461">
        <f t="shared" si="19"/>
        <v>0</v>
      </c>
      <c r="AN48" s="462">
        <f t="shared" si="20"/>
        <v>0</v>
      </c>
      <c r="AO48" s="11"/>
    </row>
    <row r="49" spans="1:41" x14ac:dyDescent="0.25">
      <c r="A49" s="61" t="s">
        <v>6</v>
      </c>
      <c r="B49" s="62"/>
      <c r="C49" s="11"/>
      <c r="D49" s="11"/>
      <c r="E49" s="11"/>
      <c r="F49" s="380"/>
      <c r="G49" s="11"/>
      <c r="H49" s="84" t="s">
        <v>399</v>
      </c>
      <c r="I49" s="118" t="str">
        <f>IF(_epmOfflineCondition_,"N",_xll.EVPRO($B$1,$H49,"STYLE"))</f>
        <v>N</v>
      </c>
      <c r="J49" s="118" t="str">
        <f>IF(_epmOfflineCondition_,"N",_xll.EVPRO($B$1,$H49,"CALC"))</f>
        <v>N</v>
      </c>
      <c r="K49" s="175" t="str">
        <f t="shared" si="12"/>
        <v/>
      </c>
      <c r="L49" s="86" t="str">
        <f>IF(_epmOfflineCondition_,"540300",_xll.EVPRO($B$1,H49,"JDEID"))</f>
        <v>540300</v>
      </c>
      <c r="M49" s="86" t="str">
        <f>IF(_epmOfflineCondition_,"306038",IF(AND(I49="N",J49="N"),_xll.EVPRO($B$1,H49,"PSFTID"),""))</f>
        <v>306038</v>
      </c>
      <c r="N49" s="86" t="str">
        <f>IF(_epmOfflineCondition_,"Sundries COS",IF(_xll.EVDES(H49,$B$1)="#NODATA","",_xll.EVDES(H49,$B$1)))</f>
        <v>Sundries COS</v>
      </c>
      <c r="O49" s="228"/>
      <c r="P49" s="228"/>
      <c r="Q49" s="228"/>
      <c r="R49" s="228"/>
      <c r="S49" s="228"/>
      <c r="T49" s="228"/>
      <c r="U49" s="228"/>
      <c r="V49" s="228"/>
      <c r="W49" s="228"/>
      <c r="X49" s="228"/>
      <c r="Y49" s="228"/>
      <c r="Z49" s="228"/>
      <c r="AA49" s="228">
        <f t="shared" si="13"/>
        <v>0</v>
      </c>
      <c r="AB49" s="230" t="str">
        <f>IF(_epmOfflineCondition_,"",IF(AA49=0,"",IFERROR(AA49/_xll.EVGTS($B$1,1,_xll.EVPRO($B$1,$H49,"COSBASIS"),$B$3,$B$5,$B$6,$B$7,$B$9,AA$16,AA$17,AA$11),"")))</f>
        <v/>
      </c>
      <c r="AC49" s="136"/>
      <c r="AD49" s="228"/>
      <c r="AE49" s="230" t="str">
        <f>IF(_epmOfflineCondition_,"",IF(AD49=0,"",IFERROR(AD49/_xll.EVGTS($B$1,1,_xll.EVPRO($B$1,$H49,"COSBASIS"),$B$3,$B$5,$B$6,$B$7,$B$9,AD$16,AD$17,AD$18),"")))</f>
        <v/>
      </c>
      <c r="AF49" s="231">
        <f t="shared" si="14"/>
        <v>0</v>
      </c>
      <c r="AG49" s="228"/>
      <c r="AH49" s="230" t="str">
        <f>IF(_epmOfflineCondition_,"",IF(AG49=0,"",IFERROR(AG49/_xll.EVGTS($B$1,1,_xll.EVPRO($B$1,$H49,"COSBASIS"),$B$3,$B$5,$B$6,$B$7,$B$9,AG$16,AG$17,AG$18),"")))</f>
        <v/>
      </c>
      <c r="AI49" s="231">
        <f t="shared" si="15"/>
        <v>0</v>
      </c>
      <c r="AJ49" s="458">
        <f t="shared" si="16"/>
        <v>0</v>
      </c>
      <c r="AK49" s="459">
        <f t="shared" si="17"/>
        <v>0</v>
      </c>
      <c r="AL49" s="460">
        <f t="shared" si="18"/>
        <v>0</v>
      </c>
      <c r="AM49" s="461">
        <f t="shared" si="19"/>
        <v>0</v>
      </c>
      <c r="AN49" s="462">
        <f t="shared" si="20"/>
        <v>0</v>
      </c>
      <c r="AO49" s="11"/>
    </row>
    <row r="50" spans="1:41" x14ac:dyDescent="0.25">
      <c r="A50" s="61" t="s">
        <v>7</v>
      </c>
      <c r="B50" s="62" t="str">
        <f>IF(_epmOfflineCondition_,"'Retail'!$A$64:$F$67",_xll.EVRNG(A64:F67))</f>
        <v>'Retail'!$A$64:$F$67</v>
      </c>
      <c r="C50" s="11"/>
      <c r="D50" s="11"/>
      <c r="E50" s="11"/>
      <c r="F50" s="380"/>
      <c r="G50" s="11"/>
      <c r="H50" s="84" t="s">
        <v>400</v>
      </c>
      <c r="I50" s="118" t="str">
        <f>IF(_epmOfflineCondition_,"N",_xll.EVPRO($B$1,$H50,"STYLE"))</f>
        <v>N</v>
      </c>
      <c r="J50" s="118" t="str">
        <f>IF(_epmOfflineCondition_,"N",_xll.EVPRO($B$1,$H50,"CALC"))</f>
        <v>N</v>
      </c>
      <c r="K50" s="175" t="str">
        <f t="shared" si="12"/>
        <v/>
      </c>
      <c r="L50" s="86" t="str">
        <f>IF(_epmOfflineCondition_,"540400",_xll.EVPRO($B$1,H50,"JDEID"))</f>
        <v>540400</v>
      </c>
      <c r="M50" s="86" t="str">
        <f>IF(_epmOfflineCondition_,"306039",IF(AND(I50="N",J50="N"),_xll.EVPRO($B$1,H50,"PSFTID"),""))</f>
        <v>306039</v>
      </c>
      <c r="N50" s="86" t="str">
        <f>IF(_epmOfflineCondition_,"Souvenir &amp; Gifts COS",IF(_xll.EVDES(H50,$B$1)="#NODATA","",_xll.EVDES(H50,$B$1)))</f>
        <v>Souvenir &amp; Gifts COS</v>
      </c>
      <c r="O50" s="228"/>
      <c r="P50" s="228"/>
      <c r="Q50" s="228"/>
      <c r="R50" s="228"/>
      <c r="S50" s="228"/>
      <c r="T50" s="228"/>
      <c r="U50" s="228"/>
      <c r="V50" s="228"/>
      <c r="W50" s="228"/>
      <c r="X50" s="228"/>
      <c r="Y50" s="228"/>
      <c r="Z50" s="228"/>
      <c r="AA50" s="228">
        <f t="shared" si="13"/>
        <v>0</v>
      </c>
      <c r="AB50" s="230" t="str">
        <f>IF(_epmOfflineCondition_,"",IF(AA50=0,"",IFERROR(AA50/_xll.EVGTS($B$1,1,_xll.EVPRO($B$1,$H50,"COSBASIS"),$B$3,$B$5,$B$6,$B$7,$B$9,AA$16,AA$17,AA$11),"")))</f>
        <v/>
      </c>
      <c r="AC50" s="136"/>
      <c r="AD50" s="228"/>
      <c r="AE50" s="230" t="str">
        <f>IF(_epmOfflineCondition_,"",IF(AD50=0,"",IFERROR(AD50/_xll.EVGTS($B$1,1,_xll.EVPRO($B$1,$H50,"COSBASIS"),$B$3,$B$5,$B$6,$B$7,$B$9,AD$16,AD$17,AD$18),"")))</f>
        <v/>
      </c>
      <c r="AF50" s="231">
        <f t="shared" si="14"/>
        <v>0</v>
      </c>
      <c r="AG50" s="228"/>
      <c r="AH50" s="230" t="str">
        <f>IF(_epmOfflineCondition_,"",IF(AG50=0,"",IFERROR(AG50/_xll.EVGTS($B$1,1,_xll.EVPRO($B$1,$H50,"COSBASIS"),$B$3,$B$5,$B$6,$B$7,$B$9,AG$16,AG$17,AG$18),"")))</f>
        <v/>
      </c>
      <c r="AI50" s="231">
        <f t="shared" si="15"/>
        <v>0</v>
      </c>
      <c r="AJ50" s="458">
        <f t="shared" si="16"/>
        <v>0</v>
      </c>
      <c r="AK50" s="459">
        <f t="shared" si="17"/>
        <v>0</v>
      </c>
      <c r="AL50" s="460">
        <f t="shared" si="18"/>
        <v>0</v>
      </c>
      <c r="AM50" s="461">
        <f t="shared" si="19"/>
        <v>0</v>
      </c>
      <c r="AN50" s="462">
        <f t="shared" si="20"/>
        <v>0</v>
      </c>
      <c r="AO50" s="11"/>
    </row>
    <row r="51" spans="1:41" x14ac:dyDescent="0.25">
      <c r="A51" s="61" t="s">
        <v>47</v>
      </c>
      <c r="B51" s="62" t="str">
        <f>IF(_epmOfflineCondition_,"'Retail'!$A$115:$B$136",_xll.EVRNG($A$115:$B$136))</f>
        <v>'Retail'!$A$115:$B$136</v>
      </c>
      <c r="C51" s="11"/>
      <c r="D51" s="11"/>
      <c r="E51" s="11"/>
      <c r="F51" s="11"/>
      <c r="G51" s="11"/>
      <c r="H51" s="84" t="s">
        <v>401</v>
      </c>
      <c r="I51" s="118" t="str">
        <f>IF(_epmOfflineCondition_,"N",_xll.EVPRO($B$1,$H51,"STYLE"))</f>
        <v>N</v>
      </c>
      <c r="J51" s="118" t="str">
        <f>IF(_epmOfflineCondition_,"N",_xll.EVPRO($B$1,$H51,"CALC"))</f>
        <v>N</v>
      </c>
      <c r="K51" s="175" t="str">
        <f t="shared" si="12"/>
        <v/>
      </c>
      <c r="L51" s="86" t="str">
        <f>IF(_epmOfflineCondition_,"540500",_xll.EVPRO($B$1,H51,"JDEID"))</f>
        <v>540500</v>
      </c>
      <c r="M51" s="86" t="str">
        <f>IF(_epmOfflineCondition_,"306055",IF(AND(I51="N",J51="N"),_xll.EVPRO($B$1,H51,"PSFTID"),""))</f>
        <v>306055</v>
      </c>
      <c r="N51" s="86" t="str">
        <f>IF(_epmOfflineCondition_,"Stationary &amp; Books COS",IF(_xll.EVDES(H51,$B$1)="#NODATA","",_xll.EVDES(H51,$B$1)))</f>
        <v>Stationary &amp; Books COS</v>
      </c>
      <c r="O51" s="228"/>
      <c r="P51" s="228"/>
      <c r="Q51" s="228"/>
      <c r="R51" s="228"/>
      <c r="S51" s="228"/>
      <c r="T51" s="228"/>
      <c r="U51" s="228"/>
      <c r="V51" s="228"/>
      <c r="W51" s="228"/>
      <c r="X51" s="228"/>
      <c r="Y51" s="228"/>
      <c r="Z51" s="228"/>
      <c r="AA51" s="228">
        <f t="shared" si="13"/>
        <v>0</v>
      </c>
      <c r="AB51" s="230" t="str">
        <f>IF(_epmOfflineCondition_,"",IF(AA51=0,"",IFERROR(AA51/_xll.EVGTS($B$1,1,_xll.EVPRO($B$1,$H51,"COSBASIS"),$B$3,$B$5,$B$6,$B$7,$B$9,AA$16,AA$17,AA$11),"")))</f>
        <v/>
      </c>
      <c r="AC51" s="136"/>
      <c r="AD51" s="228"/>
      <c r="AE51" s="230" t="str">
        <f>IF(_epmOfflineCondition_,"",IF(AD51=0,"",IFERROR(AD51/_xll.EVGTS($B$1,1,_xll.EVPRO($B$1,$H51,"COSBASIS"),$B$3,$B$5,$B$6,$B$7,$B$9,AD$16,AD$17,AD$18),"")))</f>
        <v/>
      </c>
      <c r="AF51" s="231">
        <f t="shared" si="14"/>
        <v>0</v>
      </c>
      <c r="AG51" s="228"/>
      <c r="AH51" s="230" t="str">
        <f>IF(_epmOfflineCondition_,"",IF(AG51=0,"",IFERROR(AG51/_xll.EVGTS($B$1,1,_xll.EVPRO($B$1,$H51,"COSBASIS"),$B$3,$B$5,$B$6,$B$7,$B$9,AG$16,AG$17,AG$18),"")))</f>
        <v/>
      </c>
      <c r="AI51" s="231">
        <f t="shared" si="15"/>
        <v>0</v>
      </c>
      <c r="AJ51" s="458">
        <f t="shared" si="16"/>
        <v>0</v>
      </c>
      <c r="AK51" s="459">
        <f t="shared" si="17"/>
        <v>0</v>
      </c>
      <c r="AL51" s="460">
        <f t="shared" si="18"/>
        <v>0</v>
      </c>
      <c r="AM51" s="461">
        <f t="shared" si="19"/>
        <v>0</v>
      </c>
      <c r="AN51" s="462">
        <f t="shared" si="20"/>
        <v>0</v>
      </c>
      <c r="AO51" s="11"/>
    </row>
    <row r="52" spans="1:41" x14ac:dyDescent="0.25">
      <c r="A52" s="61" t="s">
        <v>8</v>
      </c>
      <c r="B52" s="62"/>
      <c r="C52" s="11"/>
      <c r="D52" s="11"/>
      <c r="E52" s="11"/>
      <c r="F52" s="11"/>
      <c r="G52" s="11"/>
      <c r="H52" s="84" t="s">
        <v>402</v>
      </c>
      <c r="I52" s="118" t="str">
        <f>IF(_epmOfflineCondition_,"N",_xll.EVPRO($B$1,$H52,"STYLE"))</f>
        <v>N</v>
      </c>
      <c r="J52" s="118" t="str">
        <f>IF(_epmOfflineCondition_,"N",_xll.EVPRO($B$1,$H52,"CALC"))</f>
        <v>N</v>
      </c>
      <c r="K52" s="175" t="str">
        <f t="shared" si="12"/>
        <v/>
      </c>
      <c r="L52" s="86" t="str">
        <f>IF(_epmOfflineCondition_,"540600",_xll.EVPRO($B$1,H52,"JDEID"))</f>
        <v>540600</v>
      </c>
      <c r="M52" s="86" t="str">
        <f>IF(_epmOfflineCondition_,"306055",IF(AND(I52="N",J52="N"),_xll.EVPRO($B$1,H52,"PSFTID"),""))</f>
        <v>306055</v>
      </c>
      <c r="N52" s="86" t="str">
        <f>IF(_epmOfflineCondition_,"Newspaper &amp; Magazines COS",IF(_xll.EVDES(H52,$B$1)="#NODATA","",_xll.EVDES(H52,$B$1)))</f>
        <v>Newspaper &amp; Magazines COS</v>
      </c>
      <c r="O52" s="228"/>
      <c r="P52" s="228"/>
      <c r="Q52" s="228"/>
      <c r="R52" s="228"/>
      <c r="S52" s="228"/>
      <c r="T52" s="228"/>
      <c r="U52" s="228"/>
      <c r="V52" s="228"/>
      <c r="W52" s="228"/>
      <c r="X52" s="228"/>
      <c r="Y52" s="228"/>
      <c r="Z52" s="228"/>
      <c r="AA52" s="228">
        <f t="shared" si="13"/>
        <v>0</v>
      </c>
      <c r="AB52" s="230" t="str">
        <f>IF(_epmOfflineCondition_,"",IF(AA52=0,"",IFERROR(AA52/_xll.EVGTS($B$1,1,_xll.EVPRO($B$1,$H52,"COSBASIS"),$B$3,$B$5,$B$6,$B$7,$B$9,AA$16,AA$17,AA$11),"")))</f>
        <v/>
      </c>
      <c r="AC52" s="136"/>
      <c r="AD52" s="228"/>
      <c r="AE52" s="230" t="str">
        <f>IF(_epmOfflineCondition_,"",IF(AD52=0,"",IFERROR(AD52/_xll.EVGTS($B$1,1,_xll.EVPRO($B$1,$H52,"COSBASIS"),$B$3,$B$5,$B$6,$B$7,$B$9,AD$16,AD$17,AD$18),"")))</f>
        <v/>
      </c>
      <c r="AF52" s="231">
        <f t="shared" si="14"/>
        <v>0</v>
      </c>
      <c r="AG52" s="228"/>
      <c r="AH52" s="230" t="str">
        <f>IF(_epmOfflineCondition_,"",IF(AG52=0,"",IFERROR(AG52/_xll.EVGTS($B$1,1,_xll.EVPRO($B$1,$H52,"COSBASIS"),$B$3,$B$5,$B$6,$B$7,$B$9,AG$16,AG$17,AG$18),"")))</f>
        <v/>
      </c>
      <c r="AI52" s="231">
        <f t="shared" si="15"/>
        <v>0</v>
      </c>
      <c r="AJ52" s="458">
        <f t="shared" si="16"/>
        <v>0</v>
      </c>
      <c r="AK52" s="459">
        <f t="shared" si="17"/>
        <v>0</v>
      </c>
      <c r="AL52" s="460">
        <f t="shared" si="18"/>
        <v>0</v>
      </c>
      <c r="AM52" s="461">
        <f t="shared" si="19"/>
        <v>0</v>
      </c>
      <c r="AN52" s="462">
        <f t="shared" si="20"/>
        <v>0</v>
      </c>
      <c r="AO52" s="11"/>
    </row>
    <row r="53" spans="1:41" x14ac:dyDescent="0.25">
      <c r="A53" s="11"/>
      <c r="B53" s="11"/>
      <c r="C53" s="11"/>
      <c r="D53" s="11"/>
      <c r="E53" s="11"/>
      <c r="F53" s="11"/>
      <c r="G53" s="11"/>
      <c r="H53" s="84" t="s">
        <v>403</v>
      </c>
      <c r="I53" s="118" t="str">
        <f>IF(_epmOfflineCondition_,"N",_xll.EVPRO($B$1,$H53,"STYLE"))</f>
        <v>N</v>
      </c>
      <c r="J53" s="118" t="str">
        <f>IF(_epmOfflineCondition_,"N",_xll.EVPRO($B$1,$H53,"CALC"))</f>
        <v>N</v>
      </c>
      <c r="K53" s="175" t="str">
        <f t="shared" si="12"/>
        <v/>
      </c>
      <c r="L53" s="86" t="str">
        <f>IF(_epmOfflineCondition_,"540700",_xll.EVPRO($B$1,H53,"JDEID"))</f>
        <v>540700</v>
      </c>
      <c r="M53" s="86" t="str">
        <f>IF(_epmOfflineCondition_,"306055",IF(AND(I53="N",J53="N"),_xll.EVPRO($B$1,H53,"PSFTID"),""))</f>
        <v>306055</v>
      </c>
      <c r="N53" s="86" t="str">
        <f>IF(_epmOfflineCondition_,"Youth Revenue COS",IF(_xll.EVDES(H53,$B$1)="#NODATA","",_xll.EVDES(H53,$B$1)))</f>
        <v>Youth Revenue COS</v>
      </c>
      <c r="O53" s="228"/>
      <c r="P53" s="228"/>
      <c r="Q53" s="228"/>
      <c r="R53" s="228"/>
      <c r="S53" s="228"/>
      <c r="T53" s="228"/>
      <c r="U53" s="228"/>
      <c r="V53" s="228"/>
      <c r="W53" s="228"/>
      <c r="X53" s="228"/>
      <c r="Y53" s="228"/>
      <c r="Z53" s="228"/>
      <c r="AA53" s="228">
        <f t="shared" si="13"/>
        <v>0</v>
      </c>
      <c r="AB53" s="230" t="str">
        <f>IF(_epmOfflineCondition_,"",IF(AA53=0,"",IFERROR(AA53/_xll.EVGTS($B$1,1,_xll.EVPRO($B$1,$H53,"COSBASIS"),$B$3,$B$5,$B$6,$B$7,$B$9,AA$16,AA$17,AA$11),"")))</f>
        <v/>
      </c>
      <c r="AC53" s="136"/>
      <c r="AD53" s="228"/>
      <c r="AE53" s="230" t="str">
        <f>IF(_epmOfflineCondition_,"",IF(AD53=0,"",IFERROR(AD53/_xll.EVGTS($B$1,1,_xll.EVPRO($B$1,$H53,"COSBASIS"),$B$3,$B$5,$B$6,$B$7,$B$9,AD$16,AD$17,AD$18),"")))</f>
        <v/>
      </c>
      <c r="AF53" s="231">
        <f t="shared" si="14"/>
        <v>0</v>
      </c>
      <c r="AG53" s="228"/>
      <c r="AH53" s="230" t="str">
        <f>IF(_epmOfflineCondition_,"",IF(AG53=0,"",IFERROR(AG53/_xll.EVGTS($B$1,1,_xll.EVPRO($B$1,$H53,"COSBASIS"),$B$3,$B$5,$B$6,$B$7,$B$9,AG$16,AG$17,AG$18),"")))</f>
        <v/>
      </c>
      <c r="AI53" s="231">
        <f t="shared" si="15"/>
        <v>0</v>
      </c>
      <c r="AJ53" s="458">
        <f t="shared" si="16"/>
        <v>0</v>
      </c>
      <c r="AK53" s="459">
        <f t="shared" si="17"/>
        <v>0</v>
      </c>
      <c r="AL53" s="460">
        <f t="shared" si="18"/>
        <v>0</v>
      </c>
      <c r="AM53" s="461">
        <f t="shared" si="19"/>
        <v>0</v>
      </c>
      <c r="AN53" s="462">
        <f t="shared" si="20"/>
        <v>0</v>
      </c>
      <c r="AO53" s="11"/>
    </row>
    <row r="54" spans="1:41" x14ac:dyDescent="0.25">
      <c r="A54" s="57" t="s">
        <v>9</v>
      </c>
      <c r="B54" s="58" t="s">
        <v>10</v>
      </c>
      <c r="C54" s="11"/>
      <c r="D54" s="11"/>
      <c r="E54" s="11"/>
      <c r="F54" s="11"/>
      <c r="G54" s="11"/>
      <c r="H54" s="84" t="s">
        <v>404</v>
      </c>
      <c r="I54" s="118" t="str">
        <f>IF(_epmOfflineCondition_,"N",_xll.EVPRO($B$1,$H54,"STYLE"))</f>
        <v>N</v>
      </c>
      <c r="J54" s="118" t="str">
        <f>IF(_epmOfflineCondition_,"N",_xll.EVPRO($B$1,$H54,"CALC"))</f>
        <v>N</v>
      </c>
      <c r="K54" s="175" t="str">
        <f t="shared" si="12"/>
        <v/>
      </c>
      <c r="L54" s="86" t="str">
        <f>IF(_epmOfflineCondition_,"540800",_xll.EVPRO($B$1,H54,"JDEID"))</f>
        <v>540800</v>
      </c>
      <c r="M54" s="86" t="str">
        <f>IF(_epmOfflineCondition_,"304044",IF(AND(I54="N",J54="N"),_xll.EVPRO($B$1,H54,"PSFTID"),""))</f>
        <v>304044</v>
      </c>
      <c r="N54" s="86" t="str">
        <f>IF(_epmOfflineCondition_,"Food/Candy Revenue COS",IF(_xll.EVDES(H54,$B$1)="#NODATA","",_xll.EVDES(H54,$B$1)))</f>
        <v>Food/Candy Revenue COS</v>
      </c>
      <c r="O54" s="228"/>
      <c r="P54" s="228"/>
      <c r="Q54" s="228"/>
      <c r="R54" s="228"/>
      <c r="S54" s="228"/>
      <c r="T54" s="228"/>
      <c r="U54" s="228"/>
      <c r="V54" s="228"/>
      <c r="W54" s="228"/>
      <c r="X54" s="228"/>
      <c r="Y54" s="228"/>
      <c r="Z54" s="228"/>
      <c r="AA54" s="228">
        <f t="shared" si="13"/>
        <v>0</v>
      </c>
      <c r="AB54" s="230" t="str">
        <f>IF(_epmOfflineCondition_,"",IF(AA54=0,"",IFERROR(AA54/_xll.EVGTS($B$1,1,_xll.EVPRO($B$1,$H54,"COSBASIS"),$B$3,$B$5,$B$6,$B$7,$B$9,AA$16,AA$17,AA$11),"")))</f>
        <v/>
      </c>
      <c r="AC54" s="136"/>
      <c r="AD54" s="228"/>
      <c r="AE54" s="230" t="str">
        <f>IF(_epmOfflineCondition_,"",IF(AD54=0,"",IFERROR(AD54/_xll.EVGTS($B$1,1,_xll.EVPRO($B$1,$H54,"COSBASIS"),$B$3,$B$5,$B$6,$B$7,$B$9,AD$16,AD$17,AD$18),"")))</f>
        <v/>
      </c>
      <c r="AF54" s="231">
        <f t="shared" si="14"/>
        <v>0</v>
      </c>
      <c r="AG54" s="228"/>
      <c r="AH54" s="230" t="str">
        <f>IF(_epmOfflineCondition_,"",IF(AG54=0,"",IFERROR(AG54/_xll.EVGTS($B$1,1,_xll.EVPRO($B$1,$H54,"COSBASIS"),$B$3,$B$5,$B$6,$B$7,$B$9,AG$16,AG$17,AG$18),"")))</f>
        <v/>
      </c>
      <c r="AI54" s="231">
        <f t="shared" si="15"/>
        <v>0</v>
      </c>
      <c r="AJ54" s="458">
        <f t="shared" si="16"/>
        <v>0</v>
      </c>
      <c r="AK54" s="459">
        <f t="shared" si="17"/>
        <v>0</v>
      </c>
      <c r="AL54" s="460">
        <f t="shared" si="18"/>
        <v>0</v>
      </c>
      <c r="AM54" s="461">
        <f t="shared" si="19"/>
        <v>0</v>
      </c>
      <c r="AN54" s="462">
        <f t="shared" si="20"/>
        <v>0</v>
      </c>
      <c r="AO54" s="11"/>
    </row>
    <row r="55" spans="1:41" x14ac:dyDescent="0.25">
      <c r="A55" s="61" t="s">
        <v>11</v>
      </c>
      <c r="B55" s="62" t="s">
        <v>21</v>
      </c>
      <c r="C55" s="11"/>
      <c r="D55" s="11"/>
      <c r="E55" s="11"/>
      <c r="F55" s="11"/>
      <c r="G55" s="11"/>
      <c r="H55" s="84" t="s">
        <v>405</v>
      </c>
      <c r="I55" s="118" t="str">
        <f>IF(_epmOfflineCondition_,"N",_xll.EVPRO($B$1,$H55,"STYLE"))</f>
        <v>N</v>
      </c>
      <c r="J55" s="118" t="str">
        <f>IF(_epmOfflineCondition_,"N",_xll.EVPRO($B$1,$H55,"CALC"))</f>
        <v>N</v>
      </c>
      <c r="K55" s="175" t="str">
        <f t="shared" si="12"/>
        <v/>
      </c>
      <c r="L55" s="86" t="str">
        <f>IF(_epmOfflineCondition_,"540900",_xll.EVPRO($B$1,H55,"JDEID"))</f>
        <v>540900</v>
      </c>
      <c r="M55" s="86" t="str">
        <f>IF(_epmOfflineCondition_,"306099",IF(AND(I55="N",J55="N"),_xll.EVPRO($B$1,H55,"PSFTID"),""))</f>
        <v>306099</v>
      </c>
      <c r="N55" s="86" t="str">
        <f>IF(_epmOfflineCondition_,"Tobacco Revenue COS",IF(_xll.EVDES(H55,$B$1)="#NODATA","",_xll.EVDES(H55,$B$1)))</f>
        <v>Tobacco Revenue COS</v>
      </c>
      <c r="O55" s="228"/>
      <c r="P55" s="228"/>
      <c r="Q55" s="228"/>
      <c r="R55" s="228"/>
      <c r="S55" s="228"/>
      <c r="T55" s="228"/>
      <c r="U55" s="228"/>
      <c r="V55" s="228"/>
      <c r="W55" s="228"/>
      <c r="X55" s="228"/>
      <c r="Y55" s="228"/>
      <c r="Z55" s="228"/>
      <c r="AA55" s="228">
        <f t="shared" si="13"/>
        <v>0</v>
      </c>
      <c r="AB55" s="230" t="str">
        <f>IF(_epmOfflineCondition_,"",IF(AA55=0,"",IFERROR(AA55/_xll.EVGTS($B$1,1,_xll.EVPRO($B$1,$H55,"COSBASIS"),$B$3,$B$5,$B$6,$B$7,$B$9,AA$16,AA$17,AA$11),"")))</f>
        <v/>
      </c>
      <c r="AC55" s="136"/>
      <c r="AD55" s="228"/>
      <c r="AE55" s="230" t="str">
        <f>IF(_epmOfflineCondition_,"",IF(AD55=0,"",IFERROR(AD55/_xll.EVGTS($B$1,1,_xll.EVPRO($B$1,$H55,"COSBASIS"),$B$3,$B$5,$B$6,$B$7,$B$9,AD$16,AD$17,AD$18),"")))</f>
        <v/>
      </c>
      <c r="AF55" s="231">
        <f t="shared" si="14"/>
        <v>0</v>
      </c>
      <c r="AG55" s="228"/>
      <c r="AH55" s="230" t="str">
        <f>IF(_epmOfflineCondition_,"",IF(AG55=0,"",IFERROR(AG55/_xll.EVGTS($B$1,1,_xll.EVPRO($B$1,$H55,"COSBASIS"),$B$3,$B$5,$B$6,$B$7,$B$9,AG$16,AG$17,AG$18),"")))</f>
        <v/>
      </c>
      <c r="AI55" s="231">
        <f t="shared" si="15"/>
        <v>0</v>
      </c>
      <c r="AJ55" s="467">
        <f t="shared" si="16"/>
        <v>0</v>
      </c>
      <c r="AK55" s="468">
        <f t="shared" si="17"/>
        <v>0</v>
      </c>
      <c r="AL55" s="469">
        <f t="shared" si="18"/>
        <v>0</v>
      </c>
      <c r="AM55" s="470">
        <f t="shared" si="19"/>
        <v>0</v>
      </c>
      <c r="AN55" s="471">
        <f t="shared" si="20"/>
        <v>0</v>
      </c>
      <c r="AO55" s="11"/>
    </row>
    <row r="56" spans="1:41" x14ac:dyDescent="0.25">
      <c r="A56" s="61" t="s">
        <v>12</v>
      </c>
      <c r="B56" s="62" t="s">
        <v>22</v>
      </c>
      <c r="C56" s="11"/>
      <c r="D56" s="11"/>
      <c r="E56" s="11"/>
      <c r="F56" s="11"/>
      <c r="G56" s="72"/>
      <c r="H56" s="84" t="s">
        <v>289</v>
      </c>
      <c r="I56" s="184" t="str">
        <f>IF(_epmOfflineCondition_,"T3",_xll.EVPRO($B$1,$H56,"STYLE"))</f>
        <v>T3</v>
      </c>
      <c r="J56" s="184" t="str">
        <f>IF(_epmOfflineCondition_,"Y",_xll.EVPRO($B$1,$H56,"CALC"))</f>
        <v>Y</v>
      </c>
      <c r="K56" s="185" t="str">
        <f t="shared" si="12"/>
        <v/>
      </c>
      <c r="L56" s="186" t="str">
        <f>IF(_epmOfflineCondition_,"500001",_xll.EVPRO($B$1,H56,"JDEID"))</f>
        <v>500001</v>
      </c>
      <c r="M56" s="186" t="str">
        <f>IF(_epmOfflineCondition_,"",IF(AND(I56="N",J56="N"),_xll.EVPRO($B$1,H56,"PSFTID"),""))</f>
        <v/>
      </c>
      <c r="N56" s="186" t="str">
        <f>IF(_epmOfflineCondition_,"Total Cost of Sales",IF(_xll.EVDES(H56,$B$1)="#NODATA","",_xll.EVDES(H56,$B$1)))</f>
        <v>Total Cost of Sales</v>
      </c>
      <c r="O56" s="236"/>
      <c r="P56" s="236"/>
      <c r="Q56" s="236"/>
      <c r="R56" s="236"/>
      <c r="S56" s="236"/>
      <c r="T56" s="236"/>
      <c r="U56" s="236"/>
      <c r="V56" s="236"/>
      <c r="W56" s="236"/>
      <c r="X56" s="236"/>
      <c r="Y56" s="236"/>
      <c r="Z56" s="236"/>
      <c r="AA56" s="236">
        <f t="shared" si="13"/>
        <v>0</v>
      </c>
      <c r="AB56" s="237" t="str">
        <f>IF(_epmOfflineCondition_,"",IF(AA56=0,"",IFERROR(AA56/_xll.EVGTS($B$1,1,_xll.EVPRO($B$1,$H56,"COSBASIS"),$B$3,$B$5,$B$6,$B$7,$B$9,AA$16,AA$17,AA$11),"")))</f>
        <v/>
      </c>
      <c r="AC56" s="238"/>
      <c r="AD56" s="236"/>
      <c r="AE56" s="237" t="str">
        <f>IF(_epmOfflineCondition_,"",IF(AD56=0,"",IFERROR(AD56/_xll.EVGTS($B$1,1,_xll.EVPRO($B$1,$H56,"COSBASIS"),$B$3,$B$5,$B$6,$B$7,$B$9,AD$16,AD$17,AD$18),"")))</f>
        <v/>
      </c>
      <c r="AF56" s="239">
        <f t="shared" si="14"/>
        <v>0</v>
      </c>
      <c r="AG56" s="236"/>
      <c r="AH56" s="237" t="str">
        <f>IF(_epmOfflineCondition_,"",IF(AG56=0,"",IFERROR(AG56/_xll.EVGTS($B$1,1,_xll.EVPRO($B$1,$H56,"COSBASIS"),$B$3,$B$5,$B$6,$B$7,$B$9,AG$16,AG$17,AG$18),"")))</f>
        <v/>
      </c>
      <c r="AI56" s="239">
        <f t="shared" si="15"/>
        <v>0</v>
      </c>
      <c r="AJ56" s="215">
        <f t="shared" si="16"/>
        <v>0</v>
      </c>
      <c r="AK56" s="216">
        <f t="shared" si="17"/>
        <v>0</v>
      </c>
      <c r="AL56" s="218">
        <f t="shared" si="18"/>
        <v>0</v>
      </c>
      <c r="AM56" s="423">
        <f t="shared" si="19"/>
        <v>0</v>
      </c>
      <c r="AN56" s="474">
        <f t="shared" si="20"/>
        <v>0</v>
      </c>
      <c r="AO56" s="11"/>
    </row>
    <row r="57" spans="1:41" x14ac:dyDescent="0.25">
      <c r="A57" s="61" t="s">
        <v>13</v>
      </c>
      <c r="B57" s="62" t="str">
        <f>"DEP(540000) AND "&amp;$E$6&amp;"=Y,500001"</f>
        <v>DEP(540000) AND D1136=Y,500001</v>
      </c>
      <c r="C57" s="11"/>
      <c r="D57" s="11"/>
      <c r="E57" s="11"/>
      <c r="F57" s="11"/>
      <c r="G57" s="11"/>
      <c r="H57" s="181" t="s">
        <v>175</v>
      </c>
      <c r="I57" s="85" t="str">
        <f>IF(_epmOfflineCondition_,"B1",_xll.EVPRO($B$1,$H57,"STYLE"))</f>
        <v>B1</v>
      </c>
      <c r="J57" s="85" t="str">
        <f>IF(_epmOfflineCondition_,"Y",_xll.EVPRO($B$1,$H57,"CALC"))</f>
        <v>Y</v>
      </c>
      <c r="K57" s="261" t="str">
        <f t="shared" si="12"/>
        <v/>
      </c>
      <c r="L57" s="261"/>
      <c r="M57" s="261"/>
      <c r="N57" s="102" t="str">
        <f>IF(_epmOfflineCondition_,"BLANKROW",IF(_xll.EVDES(H57,$B$1)="#NODATA","",_xll.EVDES(H57,$B$1)))</f>
        <v>BLANKROW</v>
      </c>
      <c r="O57" s="201"/>
      <c r="P57" s="201"/>
      <c r="Q57" s="201"/>
      <c r="R57" s="201"/>
      <c r="S57" s="201"/>
      <c r="T57" s="201"/>
      <c r="U57" s="201"/>
      <c r="V57" s="201"/>
      <c r="W57" s="201"/>
      <c r="X57" s="201"/>
      <c r="Y57" s="201"/>
      <c r="Z57" s="201"/>
      <c r="AA57" s="201"/>
      <c r="AB57" s="202" t="str">
        <f>IF(_epmOfflineCondition_,"",IF(O57=0,"",IFERROR(O57/_xll.EVGTS($B$1,1,INDEX($C$142:$C$165,MATCH($H57,$A$142:$A$165,0)),$B$3,$B$5,$B$6,$B$7,$B$9,O$16,O$17,O$18),"")))</f>
        <v/>
      </c>
      <c r="AC57" s="11"/>
      <c r="AD57" s="201"/>
      <c r="AE57" s="202" t="str">
        <f>IF(_epmOfflineCondition_,"",IF(AD57=0,"",IFERROR(AD57/_xll.EVGTS($B$1,1,INDEX($C$142:$C$165,MATCH($H57,$A$142:$A$165,0)),$B$3,$B$5,$B$6,$B$7,$B$9,AD$16,AD$17,AD$18),"")))</f>
        <v/>
      </c>
      <c r="AF57" s="203" t="str">
        <f t="shared" si="14"/>
        <v/>
      </c>
      <c r="AG57" s="201"/>
      <c r="AH57" s="202" t="str">
        <f>IF(_epmOfflineCondition_,"",IF(AG57=0,"",IFERROR(AG57/_xll.EVGTS($B$1,1,INDEX($C$142:$C$165,MATCH($H57,$A$142:$A$165,0)),$B$3,$B$5,$B$6,$B$7,$B$9,AG$16,AG$17,AG$18),"")))</f>
        <v/>
      </c>
      <c r="AI57" s="203" t="str">
        <f t="shared" si="15"/>
        <v/>
      </c>
      <c r="AJ57" s="11"/>
      <c r="AK57" s="11"/>
      <c r="AL57" s="11"/>
      <c r="AM57" s="11"/>
      <c r="AN57" s="11"/>
      <c r="AO57" s="11"/>
    </row>
    <row r="58" spans="1:41" x14ac:dyDescent="0.25">
      <c r="A58" s="61" t="s">
        <v>14</v>
      </c>
      <c r="B58" s="62"/>
      <c r="C58" s="11"/>
      <c r="D58" s="11"/>
      <c r="E58" s="11"/>
      <c r="F58" s="11"/>
      <c r="G58" s="11"/>
      <c r="H58" s="181" t="s">
        <v>292</v>
      </c>
      <c r="I58" s="85" t="str">
        <f>IF(_epmOfflineCondition_,"T3",_xll.EVPRO($B$1,$H58,"STYLE"))</f>
        <v>T3</v>
      </c>
      <c r="J58" s="85" t="str">
        <f>IF(_epmOfflineCondition_,"Y",_xll.EVPRO($B$1,$H58,"CALC"))</f>
        <v>Y</v>
      </c>
      <c r="K58" s="261" t="str">
        <f t="shared" si="12"/>
        <v/>
      </c>
      <c r="L58" s="261"/>
      <c r="M58" s="261"/>
      <c r="N58" s="102" t="str">
        <f>IF(_epmOfflineCondition_,"Gross Profit",IF(_xll.EVDES(H58,$B$1)="#NODATA","",_xll.EVDES(H58,$B$1)))</f>
        <v>Gross Profit</v>
      </c>
      <c r="O58" s="119">
        <f t="shared" ref="O58:Z58" si="21">SUMIF($H$34:$H$56,"400000",O34:O56)-SUMIF($H$34:$H$56,"500001",O34:O56)</f>
        <v>0</v>
      </c>
      <c r="P58" s="119">
        <f t="shared" si="21"/>
        <v>0</v>
      </c>
      <c r="Q58" s="119">
        <f t="shared" si="21"/>
        <v>0</v>
      </c>
      <c r="R58" s="119">
        <f t="shared" si="21"/>
        <v>0</v>
      </c>
      <c r="S58" s="119">
        <f t="shared" si="21"/>
        <v>0</v>
      </c>
      <c r="T58" s="119">
        <f t="shared" si="21"/>
        <v>0</v>
      </c>
      <c r="U58" s="119">
        <f t="shared" si="21"/>
        <v>0</v>
      </c>
      <c r="V58" s="119">
        <f t="shared" si="21"/>
        <v>0</v>
      </c>
      <c r="W58" s="119">
        <f t="shared" si="21"/>
        <v>0</v>
      </c>
      <c r="X58" s="119">
        <f t="shared" si="21"/>
        <v>0</v>
      </c>
      <c r="Y58" s="119">
        <f t="shared" si="21"/>
        <v>0</v>
      </c>
      <c r="Z58" s="119">
        <f t="shared" si="21"/>
        <v>0</v>
      </c>
      <c r="AA58" s="187">
        <f>IF($I58="B1","",SUM(O58:Z58))</f>
        <v>0</v>
      </c>
      <c r="AB58" s="188" t="str">
        <f>IF(AA58=0,"",IFERROR(AA58/AA$19,""))</f>
        <v/>
      </c>
      <c r="AC58" s="11"/>
      <c r="AD58" s="119">
        <f>SUMIF($H$34:$H$56,"400000",AD34:AD56)-SUMIF($H$34:$H$56,"500001",AD34:AD56)</f>
        <v>0</v>
      </c>
      <c r="AE58" s="188" t="str">
        <f>IF(AD58=0,"",IFERROR(AD58/AD$19,""))</f>
        <v/>
      </c>
      <c r="AF58" s="121">
        <f t="shared" si="14"/>
        <v>0</v>
      </c>
      <c r="AG58" s="119">
        <f>SUMIF($H$34:$H$56,"400000",AG34:AG56)-SUMIF($H$34:$H$56,"500001",AG34:AG56)</f>
        <v>0</v>
      </c>
      <c r="AH58" s="188" t="str">
        <f>IF(AG58=0,"",IFERROR(AG58/AG$19,""))</f>
        <v/>
      </c>
      <c r="AI58" s="121">
        <f t="shared" si="15"/>
        <v>0</v>
      </c>
      <c r="AJ58" s="384">
        <f>IFERROR(AA58/AA$20,0)</f>
        <v>0</v>
      </c>
      <c r="AK58" s="385">
        <f>IFERROR(AD58/AD$20,0)</f>
        <v>0</v>
      </c>
      <c r="AL58" s="386">
        <f>IFERROR(AG58/AG$20,0)</f>
        <v>0</v>
      </c>
      <c r="AM58" s="387">
        <f>+IFERROR(ROUND(($AB58-AE58)*100,2)&amp;" pts.",0)</f>
        <v>0</v>
      </c>
      <c r="AN58" s="539">
        <f>+IFERROR(ROUND(($AB58-AH58)*100,2)&amp;" pts.",0)</f>
        <v>0</v>
      </c>
      <c r="AO58" s="11"/>
    </row>
    <row r="59" spans="1:41" x14ac:dyDescent="0.25">
      <c r="A59" s="61" t="s">
        <v>15</v>
      </c>
      <c r="B59" s="62"/>
      <c r="C59" s="11"/>
      <c r="D59" s="11"/>
      <c r="E59" s="11"/>
      <c r="F59" s="11"/>
      <c r="G59" s="11"/>
      <c r="H59" s="11"/>
      <c r="I59" s="55"/>
      <c r="J59" s="55"/>
      <c r="K59" s="11"/>
      <c r="L59" s="11"/>
      <c r="M59" s="11"/>
      <c r="N59" s="11"/>
      <c r="O59" s="389"/>
      <c r="P59" s="390"/>
      <c r="Q59" s="390"/>
      <c r="R59" s="390"/>
      <c r="S59" s="390"/>
      <c r="T59" s="390"/>
      <c r="U59" s="390"/>
      <c r="V59" s="390"/>
      <c r="W59" s="390"/>
      <c r="X59" s="390"/>
      <c r="Y59" s="390"/>
      <c r="Z59" s="390"/>
      <c r="AA59" s="390"/>
      <c r="AB59" s="114"/>
      <c r="AC59" s="11"/>
      <c r="AD59" s="389"/>
      <c r="AE59" s="200"/>
      <c r="AF59" s="114"/>
      <c r="AG59" s="200"/>
      <c r="AH59" s="200"/>
      <c r="AI59" s="114"/>
      <c r="AJ59" s="11"/>
      <c r="AK59" s="11"/>
      <c r="AL59" s="11"/>
      <c r="AM59" s="11"/>
      <c r="AN59" s="11"/>
      <c r="AO59" s="11"/>
    </row>
    <row r="60" spans="1:41" x14ac:dyDescent="0.25">
      <c r="A60" s="61" t="s">
        <v>16</v>
      </c>
      <c r="B60" s="62"/>
      <c r="C60" s="11"/>
      <c r="D60" s="11"/>
      <c r="E60" s="11"/>
      <c r="F60" s="11"/>
      <c r="G60" s="11"/>
      <c r="H60" s="11" t="s">
        <v>73</v>
      </c>
      <c r="I60" s="55" t="str">
        <f>IF(_epmOfflineCondition_,"B1",_xll.EVPRO($B$1,$H60,"STYLE"))</f>
        <v>B1</v>
      </c>
      <c r="J60" s="55" t="str">
        <f>IF(_epmOfflineCondition_,"Y",_xll.EVPRO($B$1,$H60,"CALC"))</f>
        <v>Y</v>
      </c>
      <c r="K60" s="11"/>
      <c r="L60" s="11"/>
      <c r="M60" s="11"/>
      <c r="N60" s="101" t="str">
        <f>IF(_epmOfflineCondition_,"Labor &amp; Related Expenses",IF(_xll.EVDES(H60,$B$1)="#NODATA","",_xll.EVDES(H60,$B$1)))</f>
        <v>Labor &amp; Related Expenses</v>
      </c>
      <c r="O60" s="199"/>
      <c r="P60" s="200"/>
      <c r="Q60" s="200"/>
      <c r="R60" s="200"/>
      <c r="S60" s="200"/>
      <c r="T60" s="200"/>
      <c r="U60" s="200"/>
      <c r="V60" s="200"/>
      <c r="W60" s="200"/>
      <c r="X60" s="200"/>
      <c r="Y60" s="200"/>
      <c r="Z60" s="200"/>
      <c r="AA60" s="200"/>
      <c r="AB60" s="406"/>
      <c r="AC60" s="11"/>
      <c r="AD60" s="407"/>
      <c r="AE60" s="408"/>
      <c r="AF60" s="114"/>
      <c r="AG60" s="200"/>
      <c r="AH60" s="408"/>
      <c r="AI60" s="114"/>
      <c r="AJ60" s="11"/>
      <c r="AK60" s="11"/>
      <c r="AL60" s="11"/>
      <c r="AM60" s="11"/>
      <c r="AN60" s="11"/>
      <c r="AO60" s="11"/>
    </row>
    <row r="61" spans="1:41" x14ac:dyDescent="0.25">
      <c r="A61" s="61" t="s">
        <v>17</v>
      </c>
      <c r="B61" s="62"/>
      <c r="C61" s="11"/>
      <c r="D61" s="11"/>
      <c r="E61" s="11"/>
      <c r="F61" s="11"/>
      <c r="G61" s="11"/>
      <c r="H61" s="11" t="s">
        <v>74</v>
      </c>
      <c r="I61" s="55" t="str">
        <f>IF(_epmOfflineCondition_,"B1",_xll.EVPRO($B$1,$H61,"STYLE"))</f>
        <v>B1</v>
      </c>
      <c r="J61" s="55" t="str">
        <f>IF(_epmOfflineCondition_,"Y",_xll.EVPRO($B$1,$H61,"CALC"))</f>
        <v>Y</v>
      </c>
      <c r="K61" s="11"/>
      <c r="L61" s="11"/>
      <c r="M61" s="11"/>
      <c r="N61" s="49" t="str">
        <f>IF(_epmOfflineCondition_,"Salaries &amp; Wages",IF(_xll.EVDES(H61,$B$1)="#NODATA","",_xll.EVDES(H61,$B$1)))</f>
        <v>Salaries &amp; Wages</v>
      </c>
      <c r="O61" s="115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7"/>
      <c r="AC61" s="11"/>
      <c r="AD61" s="115"/>
      <c r="AE61" s="116"/>
      <c r="AF61" s="117"/>
      <c r="AG61" s="116"/>
      <c r="AH61" s="116"/>
      <c r="AI61" s="117"/>
      <c r="AJ61" s="11"/>
      <c r="AK61" s="11"/>
      <c r="AL61" s="11"/>
      <c r="AM61" s="11"/>
      <c r="AN61" s="11"/>
      <c r="AO61" s="11"/>
    </row>
    <row r="62" spans="1:41" hidden="1" x14ac:dyDescent="0.25">
      <c r="A62" s="11"/>
      <c r="B62" s="11"/>
      <c r="C62" s="11"/>
      <c r="D62" s="11"/>
      <c r="E62" s="11"/>
      <c r="F62" s="11"/>
      <c r="G62" s="11"/>
      <c r="H62" s="84" t="s">
        <v>668</v>
      </c>
      <c r="I62" s="118" t="str">
        <f>IF(_epmOfflineCondition_,"",_xll.EVPRO($B$1,$H62,"STYLE"))</f>
        <v/>
      </c>
      <c r="J62" s="118" t="str">
        <f>IF(_epmOfflineCondition_,"",_xll.EVPRO($B$1,$H62,"CALC"))</f>
        <v/>
      </c>
      <c r="K62" s="175" t="str">
        <f>IF(AND(I62&gt;="T3"),"&gt;","")</f>
        <v/>
      </c>
      <c r="L62" s="86" t="str">
        <f>IF(_epmOfflineCondition_,"",_xll.EVPRO($B$1,H62,"JDEID"))</f>
        <v/>
      </c>
      <c r="M62" s="86" t="str">
        <f>IF(_epmOfflineCondition_,"",IF(AND(I62="N",J62="N"),_xll.EVPRO($B$1,H62,"PSFTID"),""))</f>
        <v/>
      </c>
      <c r="N62" s="86" t="str">
        <f>IF(_epmOfflineCondition_,"",IF(_xll.EVDES(H62,$B$1)="#NODATA","",_xll.EVDES(H62,$B$1)))</f>
        <v/>
      </c>
      <c r="O62" s="248"/>
      <c r="P62" s="248"/>
      <c r="Q62" s="248"/>
      <c r="R62" s="248"/>
      <c r="S62" s="248"/>
      <c r="T62" s="248"/>
      <c r="U62" s="248"/>
      <c r="V62" s="248"/>
      <c r="W62" s="248"/>
      <c r="X62" s="248"/>
      <c r="Y62" s="248"/>
      <c r="Z62" s="248"/>
      <c r="AA62" s="248">
        <f>IF($I62="B1","",SUM(O62:Z62))</f>
        <v>0</v>
      </c>
      <c r="AB62" s="249" t="str">
        <f>IF(AA62=0,"",IFERROR(AA62/AA$19,""))</f>
        <v/>
      </c>
      <c r="AC62" s="136"/>
      <c r="AD62" s="248"/>
      <c r="AE62" s="249" t="str">
        <f>IF(AD62=0,"",IFERROR(AD62/AD$19,""))</f>
        <v/>
      </c>
      <c r="AF62" s="250">
        <f>IF(AND($AA62="",AD62=""),"",$AA62-AD62)</f>
        <v>0</v>
      </c>
      <c r="AG62" s="248"/>
      <c r="AH62" s="249" t="str">
        <f>IF(AG62=0,"",IFERROR(AG62/AG$19,""))</f>
        <v/>
      </c>
      <c r="AI62" s="250">
        <f>IF(AND($AA62="",AG62=""),"",$AA62-AG62)</f>
        <v>0</v>
      </c>
      <c r="AJ62" s="458">
        <f>IFERROR(AA62/AA$20,0)</f>
        <v>0</v>
      </c>
      <c r="AK62" s="459">
        <f>IFERROR(AD62/AD$20,0)</f>
        <v>0</v>
      </c>
      <c r="AL62" s="460">
        <f>IFERROR(AG62/AG$20,0)</f>
        <v>0</v>
      </c>
      <c r="AM62" s="461">
        <f>+IFERROR(ROUND(($AB62-AE62)*100,2)&amp;" pts.",0)</f>
        <v>0</v>
      </c>
      <c r="AN62" s="462">
        <f>+IFERROR(ROUND(($AB62-AH62)*100,2)&amp;" pts.",0)</f>
        <v>0</v>
      </c>
      <c r="AO62" s="11"/>
    </row>
    <row r="63" spans="1:41" hidden="1" x14ac:dyDescent="0.25">
      <c r="A63" s="93" t="s">
        <v>92</v>
      </c>
      <c r="B63" s="94" t="s">
        <v>93</v>
      </c>
      <c r="C63" s="94" t="s">
        <v>94</v>
      </c>
      <c r="D63" s="94" t="s">
        <v>95</v>
      </c>
      <c r="E63" s="94" t="s">
        <v>96</v>
      </c>
      <c r="F63" s="95" t="s">
        <v>97</v>
      </c>
      <c r="G63" s="11"/>
      <c r="H63" s="84"/>
      <c r="I63" s="118" t="str">
        <f>IF(_epmOfflineCondition_,"",_xll.EVPRO($B$1,$H63,"STYLE"))</f>
        <v/>
      </c>
      <c r="J63" s="118" t="str">
        <f>IF(_epmOfflineCondition_,"",_xll.EVPRO($B$1,$H63,"CALC"))</f>
        <v/>
      </c>
      <c r="K63" s="175" t="str">
        <f>IF(AND(I63&gt;="T3"),"&gt;","")</f>
        <v/>
      </c>
      <c r="L63" s="86" t="str">
        <f>IF(_epmOfflineCondition_,"",_xll.EVPRO($B$1,H63,"JDEID"))</f>
        <v/>
      </c>
      <c r="M63" s="86" t="str">
        <f>IF(_epmOfflineCondition_,"",IF(AND(I63="N",J63="N"),_xll.EVPRO($B$1,H63,"PSFTID"),""))</f>
        <v/>
      </c>
      <c r="N63" s="86" t="str">
        <f>IF(_epmOfflineCondition_,"",IF(_xll.EVDES(H63,$B$1)="#NODATA","",_xll.EVDES(H63,$B$1)))</f>
        <v/>
      </c>
      <c r="O63" s="248"/>
      <c r="P63" s="248"/>
      <c r="Q63" s="248"/>
      <c r="R63" s="248"/>
      <c r="S63" s="248"/>
      <c r="T63" s="248"/>
      <c r="U63" s="248"/>
      <c r="V63" s="248"/>
      <c r="W63" s="248"/>
      <c r="X63" s="248"/>
      <c r="Y63" s="248"/>
      <c r="Z63" s="248"/>
      <c r="AA63" s="248">
        <f>IF($I63="B1","",SUM(O63:Z63))</f>
        <v>0</v>
      </c>
      <c r="AB63" s="249" t="str">
        <f>IF(AA63=0,"",IFERROR(AA63/AA$19,""))</f>
        <v/>
      </c>
      <c r="AC63" s="136"/>
      <c r="AD63" s="248"/>
      <c r="AE63" s="249" t="str">
        <f>IF(AD63=0,"",IFERROR(AD63/AD$19,""))</f>
        <v/>
      </c>
      <c r="AF63" s="250">
        <f>IF(AND($AA63="",AD63=""),"",$AA63-AD63)</f>
        <v>0</v>
      </c>
      <c r="AG63" s="248"/>
      <c r="AH63" s="249" t="str">
        <f>IF(AG63=0,"",IFERROR(AG63/AG$19,""))</f>
        <v/>
      </c>
      <c r="AI63" s="250">
        <f>IF(AND($AA63="",AG63=""),"",$AA63-AG63)</f>
        <v>0</v>
      </c>
      <c r="AJ63" s="458">
        <f>IFERROR(AA63/AA$20,0)</f>
        <v>0</v>
      </c>
      <c r="AK63" s="459">
        <f>IFERROR(AD63/AD$20,0)</f>
        <v>0</v>
      </c>
      <c r="AL63" s="460">
        <f>IFERROR(AG63/AG$20,0)</f>
        <v>0</v>
      </c>
      <c r="AM63" s="461">
        <f>+IFERROR(ROUND(($AB63-AE63)*100,2)&amp;" pts.",0)</f>
        <v>0</v>
      </c>
      <c r="AN63" s="462">
        <f>+IFERROR(ROUND(($AB63-AH63)*100,2)&amp;" pts.",0)</f>
        <v>0</v>
      </c>
      <c r="AO63" s="11"/>
    </row>
    <row r="64" spans="1:41" x14ac:dyDescent="0.25">
      <c r="A64" s="11"/>
      <c r="B64" s="11"/>
      <c r="C64" s="11"/>
      <c r="D64" s="11"/>
      <c r="E64" s="11"/>
      <c r="F64" s="11"/>
      <c r="G64" s="11"/>
      <c r="H64" s="84" t="s">
        <v>75</v>
      </c>
      <c r="I64" s="85" t="str">
        <f>IF(_epmOfflineCondition_,"B1",_xll.EVPRO($B$1,$H64,"STYLE"))</f>
        <v>B1</v>
      </c>
      <c r="J64" s="85" t="str">
        <f>IF(_epmOfflineCondition_,"Y",_xll.EVPRO($B$1,$H64,"CALC"))</f>
        <v>Y</v>
      </c>
      <c r="K64" s="261" t="str">
        <f>IF(AND(I64&gt;="T3"),"&gt;","")</f>
        <v/>
      </c>
      <c r="L64" s="102" t="str">
        <f>IF(_epmOfflineCondition_,"",_xll.EVPRO($B$1,H64,"JDEID"))</f>
        <v/>
      </c>
      <c r="M64" s="86" t="str">
        <f>IF(_epmOfflineCondition_,"",IF(AND(I64="N",J64="N"),_xll.EVPRO($B$1,H64,"PSFTID"),""))</f>
        <v/>
      </c>
      <c r="N64" s="102" t="str">
        <f>IF(_epmOfflineCondition_,"Non-Management",IF(_xll.EVDES(H64,$B$1)="#NODATA","",_xll.EVDES(H64,$B$1)))</f>
        <v>Non-Management</v>
      </c>
      <c r="O64" s="193"/>
      <c r="P64" s="193"/>
      <c r="Q64" s="193"/>
      <c r="R64" s="193"/>
      <c r="S64" s="193"/>
      <c r="T64" s="193"/>
      <c r="U64" s="193"/>
      <c r="V64" s="193"/>
      <c r="W64" s="193"/>
      <c r="X64" s="193"/>
      <c r="Y64" s="193"/>
      <c r="Z64" s="193"/>
      <c r="AA64" s="193" t="str">
        <f>IF($I64="B1","",SUM(O64:Z64))</f>
        <v/>
      </c>
      <c r="AB64" s="194" t="str">
        <f>IF(AA64=0,"",IFERROR(AA64/AA$19,""))</f>
        <v/>
      </c>
      <c r="AC64" s="11"/>
      <c r="AD64" s="193"/>
      <c r="AE64" s="194" t="str">
        <f>IF(AD64=0,"",IFERROR(AD64/AD$19,""))</f>
        <v/>
      </c>
      <c r="AF64" s="195" t="str">
        <f>IF(AND($AA64="",AD64=""),"",$AA64-AD64)</f>
        <v/>
      </c>
      <c r="AG64" s="193"/>
      <c r="AH64" s="194" t="str">
        <f>IF(AG64=0,"",IFERROR(AG64/AG$19,""))</f>
        <v/>
      </c>
      <c r="AI64" s="195" t="str">
        <f>IF(AND($AA64="",AG64=""),"",$AA64-AG64)</f>
        <v/>
      </c>
      <c r="AJ64" s="393">
        <f>IFERROR(AA64/AA$20,0)</f>
        <v>0</v>
      </c>
      <c r="AK64" s="394">
        <f>IFERROR(AD64/AD$20,0)</f>
        <v>0</v>
      </c>
      <c r="AL64" s="395">
        <f>IFERROR(AG64/AG$20,0)</f>
        <v>0</v>
      </c>
      <c r="AM64" s="396">
        <f>+IFERROR(ROUND(($AB64-AE64)*100,2)&amp;" pts.",0)</f>
        <v>0</v>
      </c>
      <c r="AN64" s="397">
        <f>+IFERROR(ROUND(($AB64-AH64)*100,2)&amp;" pts.",0)</f>
        <v>0</v>
      </c>
      <c r="AO64" s="11"/>
    </row>
    <row r="65" spans="1:41" hidden="1" x14ac:dyDescent="0.25">
      <c r="A65" s="11" t="s">
        <v>105</v>
      </c>
      <c r="B65" s="11"/>
      <c r="C65" s="100" t="s">
        <v>101</v>
      </c>
      <c r="D65" s="11" t="s">
        <v>106</v>
      </c>
      <c r="E65" s="11"/>
      <c r="F65" s="11" t="s">
        <v>98</v>
      </c>
      <c r="G65" s="11"/>
      <c r="H65" s="84" t="s">
        <v>668</v>
      </c>
      <c r="I65" s="118" t="str">
        <f>IF(_epmOfflineCondition_,"",_xll.EVPRO($B$1,$H65,"STYLE"))</f>
        <v/>
      </c>
      <c r="J65" s="118" t="str">
        <f>IF(_epmOfflineCondition_,"",_xll.EVPRO($B$1,$H65,"CALC"))</f>
        <v/>
      </c>
      <c r="K65" s="175" t="str">
        <f>IF(AND(I65&gt;="T3"),"&gt;","")</f>
        <v/>
      </c>
      <c r="L65" s="86" t="str">
        <f>IF(_epmOfflineCondition_,"",_xll.EVPRO($B$1,H65,"JDEID"))</f>
        <v/>
      </c>
      <c r="M65" s="86" t="str">
        <f>IF(_epmOfflineCondition_,"",IF(AND(I65="N",J65="N"),_xll.EVPRO($B$1,H65,"PSFTID"),""))</f>
        <v/>
      </c>
      <c r="N65" s="86" t="str">
        <f>IF(_epmOfflineCondition_,"",IF(_xll.EVDES(H65,$B$1)="#NODATA","",_xll.EVDES(H65,$B$1)))</f>
        <v/>
      </c>
      <c r="O65" s="248"/>
      <c r="P65" s="248"/>
      <c r="Q65" s="248"/>
      <c r="R65" s="248"/>
      <c r="S65" s="248"/>
      <c r="T65" s="248"/>
      <c r="U65" s="248"/>
      <c r="V65" s="248"/>
      <c r="W65" s="248"/>
      <c r="X65" s="248"/>
      <c r="Y65" s="248"/>
      <c r="Z65" s="248"/>
      <c r="AA65" s="248">
        <f>IF($I65="B1","",SUM(O65:Z65))</f>
        <v>0</v>
      </c>
      <c r="AB65" s="249" t="str">
        <f>IF(AA65=0,"",IFERROR(AA65/AA$19,""))</f>
        <v/>
      </c>
      <c r="AC65" s="136"/>
      <c r="AD65" s="248"/>
      <c r="AE65" s="249" t="str">
        <f>IF(AD65=0,"",IFERROR(AD65/AD$19,""))</f>
        <v/>
      </c>
      <c r="AF65" s="250">
        <f>IF(AND($AA65="",AD65=""),"",$AA65-AD65)</f>
        <v>0</v>
      </c>
      <c r="AG65" s="248"/>
      <c r="AH65" s="249" t="str">
        <f>IF(AG65=0,"",IFERROR(AG65/AG$19,""))</f>
        <v/>
      </c>
      <c r="AI65" s="250">
        <f>IF(AND($AA65="",AG65=""),"",$AA65-AG65)</f>
        <v>0</v>
      </c>
      <c r="AJ65" s="467">
        <f>IFERROR(AA65/AA$20,0)</f>
        <v>0</v>
      </c>
      <c r="AK65" s="468">
        <f>IFERROR(AD65/AD$20,0)</f>
        <v>0</v>
      </c>
      <c r="AL65" s="469">
        <f>IFERROR(AG65/AG$20,0)</f>
        <v>0</v>
      </c>
      <c r="AM65" s="470">
        <f>+IFERROR(ROUND(($AB65-AE65)*100,2)&amp;" pts.",0)</f>
        <v>0</v>
      </c>
      <c r="AN65" s="471">
        <f>+IFERROR(ROUND(($AB65-AH65)*100,2)&amp;" pts.",0)</f>
        <v>0</v>
      </c>
      <c r="AO65" s="11"/>
    </row>
    <row r="66" spans="1:41" hidden="1" x14ac:dyDescent="0.25">
      <c r="A66" s="11" t="s">
        <v>108</v>
      </c>
      <c r="B66" s="11"/>
      <c r="C66" s="102" t="s">
        <v>101</v>
      </c>
      <c r="D66" s="11" t="s">
        <v>106</v>
      </c>
      <c r="E66" s="11"/>
      <c r="F66" s="11" t="s">
        <v>98</v>
      </c>
      <c r="G66" s="11"/>
      <c r="H66" s="84"/>
      <c r="I66" s="118" t="str">
        <f>IF(_epmOfflineCondition_,"",_xll.EVPRO($B$1,$H66,"STYLE"))</f>
        <v/>
      </c>
      <c r="J66" s="118" t="str">
        <f>IF(_epmOfflineCondition_,"",_xll.EVPRO($B$1,$H66,"CALC"))</f>
        <v/>
      </c>
      <c r="K66" s="175" t="str">
        <f>IF(AND(I66&gt;="T3"),"&gt;","")</f>
        <v/>
      </c>
      <c r="L66" s="86" t="str">
        <f>IF(_epmOfflineCondition_,"",_xll.EVPRO($B$1,H66,"JDEID"))</f>
        <v/>
      </c>
      <c r="M66" s="86" t="str">
        <f>IF(_epmOfflineCondition_,"",IF(AND(I66="N",J66="N"),_xll.EVPRO($B$1,H66,"PSFTID"),""))</f>
        <v/>
      </c>
      <c r="N66" s="86" t="str">
        <f>IF(_epmOfflineCondition_,"",IF(_xll.EVDES(H66,$B$1)="#NODATA","",_xll.EVDES(H66,$B$1)))</f>
        <v/>
      </c>
      <c r="O66" s="248"/>
      <c r="P66" s="248"/>
      <c r="Q66" s="248"/>
      <c r="R66" s="248"/>
      <c r="S66" s="248"/>
      <c r="T66" s="248"/>
      <c r="U66" s="248"/>
      <c r="V66" s="248"/>
      <c r="W66" s="248"/>
      <c r="X66" s="248"/>
      <c r="Y66" s="248"/>
      <c r="Z66" s="248"/>
      <c r="AA66" s="248">
        <f>IF($I66="B1","",SUM(O66:Z66))</f>
        <v>0</v>
      </c>
      <c r="AB66" s="249" t="str">
        <f>IF(AA66=0,"",IFERROR(AA66/AA$19,""))</f>
        <v/>
      </c>
      <c r="AC66" s="136"/>
      <c r="AD66" s="248"/>
      <c r="AE66" s="249" t="str">
        <f>IF(AD66=0,"",IFERROR(AD66/AD$19,""))</f>
        <v/>
      </c>
      <c r="AF66" s="250">
        <f>IF(AND($AA66="",AD66=""),"",$AA66-AD66)</f>
        <v>0</v>
      </c>
      <c r="AG66" s="248"/>
      <c r="AH66" s="249" t="str">
        <f>IF(AG66=0,"",IFERROR(AG66/AG$19,""))</f>
        <v/>
      </c>
      <c r="AI66" s="250">
        <f>IF(AND($AA66="",AG66=""),"",$AA66-AG66)</f>
        <v>0</v>
      </c>
      <c r="AJ66" s="467">
        <f>IFERROR(AA66/AA$20,0)</f>
        <v>0</v>
      </c>
      <c r="AK66" s="468">
        <f>IFERROR(AD66/AD$20,0)</f>
        <v>0</v>
      </c>
      <c r="AL66" s="469">
        <f>IFERROR(AG66/AG$20,0)</f>
        <v>0</v>
      </c>
      <c r="AM66" s="470">
        <f>+IFERROR(ROUND(($AB66-AE66)*100,2)&amp;" pts.",0)</f>
        <v>0</v>
      </c>
      <c r="AN66" s="471">
        <f>+IFERROR(ROUND(($AB66-AH66)*100,2)&amp;" pts.",0)</f>
        <v>0</v>
      </c>
      <c r="AO66" s="11"/>
    </row>
    <row r="67" spans="1:41" x14ac:dyDescent="0.25">
      <c r="A67" s="11" t="s">
        <v>108</v>
      </c>
      <c r="B67" s="11"/>
      <c r="C67" s="192" t="s">
        <v>101</v>
      </c>
      <c r="D67" s="11" t="s">
        <v>107</v>
      </c>
      <c r="E67" s="11"/>
      <c r="F67" s="11" t="s">
        <v>99</v>
      </c>
      <c r="G67" s="11"/>
      <c r="H67" s="11"/>
      <c r="I67" s="55"/>
      <c r="J67" s="55"/>
      <c r="K67" s="11"/>
      <c r="L67" s="11"/>
      <c r="M67" s="11"/>
      <c r="N67" s="11"/>
      <c r="O67" s="125"/>
      <c r="P67" s="126"/>
      <c r="Q67" s="126"/>
      <c r="R67" s="126"/>
      <c r="S67" s="126"/>
      <c r="T67" s="126"/>
      <c r="U67" s="126"/>
      <c r="V67" s="126"/>
      <c r="W67" s="126"/>
      <c r="X67" s="126"/>
      <c r="Y67" s="126"/>
      <c r="Z67" s="126"/>
      <c r="AA67" s="126"/>
      <c r="AB67" s="127"/>
      <c r="AC67" s="11"/>
      <c r="AD67" s="125"/>
      <c r="AE67" s="126"/>
      <c r="AF67" s="127"/>
      <c r="AG67" s="125"/>
      <c r="AH67" s="126"/>
      <c r="AI67" s="127"/>
      <c r="AJ67" s="11"/>
      <c r="AK67" s="11"/>
      <c r="AL67" s="11"/>
      <c r="AM67" s="11"/>
      <c r="AN67" s="11"/>
      <c r="AO67" s="11"/>
    </row>
    <row r="68" spans="1:41" x14ac:dyDescent="0.25">
      <c r="A68" s="11"/>
      <c r="B68" s="11"/>
      <c r="C68" s="11"/>
      <c r="D68" s="11"/>
      <c r="E68" s="11"/>
      <c r="F68" s="11"/>
      <c r="G68" s="11"/>
      <c r="H68" s="11" t="s">
        <v>82</v>
      </c>
      <c r="I68" s="55" t="str">
        <f>IF(_epmOfflineCondition_,"B1",_xll.EVPRO($B$1,$H68,"STYLE"))</f>
        <v>B1</v>
      </c>
      <c r="J68" s="55" t="str">
        <f>IF(_epmOfflineCondition_,"Y",_xll.EVPRO($B$1,$H68,"CALC"))</f>
        <v>Y</v>
      </c>
      <c r="K68" s="11"/>
      <c r="L68" s="11"/>
      <c r="M68" s="11"/>
      <c r="N68" s="101" t="str">
        <f>IF(_epmOfflineCondition_,"Other Expenses",IF(_xll.EVDES(H68,$B$1)="#NODATA","",_xll.EVDES(H68,$B$1)))</f>
        <v>Other Expenses</v>
      </c>
      <c r="O68" s="115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7"/>
      <c r="AC68" s="11"/>
      <c r="AD68" s="115"/>
      <c r="AE68" s="116"/>
      <c r="AF68" s="117"/>
      <c r="AG68" s="115"/>
      <c r="AH68" s="116"/>
      <c r="AI68" s="117"/>
      <c r="AJ68" s="11"/>
      <c r="AK68" s="11"/>
      <c r="AL68" s="11"/>
      <c r="AM68" s="11"/>
      <c r="AN68" s="11"/>
      <c r="AO68" s="11"/>
    </row>
    <row r="69" spans="1:41" hidden="1" x14ac:dyDescent="0.25">
      <c r="A69" s="11"/>
      <c r="B69" s="11"/>
      <c r="C69" s="204"/>
      <c r="D69" s="11"/>
      <c r="E69" s="11"/>
      <c r="F69" s="11"/>
      <c r="G69" s="11"/>
      <c r="H69" s="84" t="s">
        <v>668</v>
      </c>
      <c r="I69" s="118" t="str">
        <f>IF(_epmOfflineCondition_,"",_xll.EVPRO($B$1,$H69,"STYLE"))</f>
        <v/>
      </c>
      <c r="J69" s="118" t="str">
        <f>IF(_epmOfflineCondition_,"",_xll.EVPRO($B$1,$H69,"CALC"))</f>
        <v/>
      </c>
      <c r="K69" s="175" t="str">
        <f>IF(AND(I69&lt;&gt;"B1",J69="Y"),"&gt;","")</f>
        <v/>
      </c>
      <c r="L69" s="86" t="str">
        <f>IF(_epmOfflineCondition_,"",_xll.EVPRO($B$1,H69,"JDEID"))</f>
        <v/>
      </c>
      <c r="M69" s="86" t="str">
        <f>IF(_epmOfflineCondition_,"",IF(AND(I69="N",J69="N"),_xll.EVPRO($B$1,H69,"PSFTID"),""))</f>
        <v/>
      </c>
      <c r="N69" s="86" t="str">
        <f>IF(_epmOfflineCondition_,"",IF(_xll.EVDES(H69,$B$1)="#NODATA","",_xll.EVDES(H69,$B$1)))</f>
        <v/>
      </c>
      <c r="O69" s="134"/>
      <c r="P69" s="134"/>
      <c r="Q69" s="134"/>
      <c r="R69" s="134"/>
      <c r="S69" s="134"/>
      <c r="T69" s="134"/>
      <c r="U69" s="134"/>
      <c r="V69" s="134"/>
      <c r="W69" s="134"/>
      <c r="X69" s="134"/>
      <c r="Y69" s="134"/>
      <c r="Z69" s="134"/>
      <c r="AA69" s="134">
        <f>IF($I69="B1","",SUM(O69:Z69))</f>
        <v>0</v>
      </c>
      <c r="AB69" s="138" t="str">
        <f>IF(AA69=0,"",IFERROR(AA69/AA$19,""))</f>
        <v/>
      </c>
      <c r="AC69" s="136"/>
      <c r="AD69" s="134"/>
      <c r="AE69" s="138" t="str">
        <f>IF(AD69=0,"",IFERROR(AD69/AD$19,""))</f>
        <v/>
      </c>
      <c r="AF69" s="137">
        <f>IF(AND($AA69="",AD69=""),"",$AA69-AD69)</f>
        <v>0</v>
      </c>
      <c r="AG69" s="134"/>
      <c r="AH69" s="138" t="str">
        <f>IF(AG69=0,"",IFERROR(AG69/AG$19,""))</f>
        <v/>
      </c>
      <c r="AI69" s="137">
        <f>IF(AND($AA69="",AG69=""),"",$AA69-AG69)</f>
        <v>0</v>
      </c>
      <c r="AJ69" s="458">
        <f>IFERROR(AA69/AA$20,0)</f>
        <v>0</v>
      </c>
      <c r="AK69" s="459">
        <f>IFERROR(AD69/AD$20,0)</f>
        <v>0</v>
      </c>
      <c r="AL69" s="460">
        <f>IFERROR(AG69/AG$20,0)</f>
        <v>0</v>
      </c>
      <c r="AM69" s="461">
        <f>+IFERROR(ROUND(($AB69-AE69)*100,2)&amp;" pts.",0)</f>
        <v>0</v>
      </c>
      <c r="AN69" s="462">
        <f>+IFERROR(ROUND(($AB69-AH69)*100,2)&amp;" pts.",0)</f>
        <v>0</v>
      </c>
      <c r="AO69" s="11"/>
    </row>
    <row r="70" spans="1:41" hidden="1" x14ac:dyDescent="0.25">
      <c r="A70" s="56" t="str">
        <f>IF(_epmOfflineCondition_,"Evdre:Ok",_xll.EVDRE($B$1,A73:B80,A83:B89))</f>
        <v>Evdre:Ok</v>
      </c>
      <c r="B70" s="11"/>
      <c r="C70" s="11"/>
      <c r="D70" s="11"/>
      <c r="E70" s="11"/>
      <c r="F70" s="11"/>
      <c r="G70" s="11"/>
      <c r="H70" s="84"/>
      <c r="I70" s="118" t="str">
        <f>IF(_epmOfflineCondition_,"",_xll.EVPRO($B$1,$H70,"STYLE"))</f>
        <v/>
      </c>
      <c r="J70" s="118" t="str">
        <f>IF(_epmOfflineCondition_,"",_xll.EVPRO($B$1,$H70,"CALC"))</f>
        <v/>
      </c>
      <c r="K70" s="175" t="str">
        <f>IF(AND(I70&lt;&gt;"B1",J70="Y"),"&gt;","")</f>
        <v/>
      </c>
      <c r="L70" s="86" t="str">
        <f>IF(_epmOfflineCondition_,"",_xll.EVPRO($B$1,H70,"JDEID"))</f>
        <v/>
      </c>
      <c r="M70" s="86" t="str">
        <f>IF(_epmOfflineCondition_,"",IF(AND(I70="N",J70="N"),_xll.EVPRO($B$1,H70,"PSFTID"),""))</f>
        <v/>
      </c>
      <c r="N70" s="86" t="str">
        <f>IF(_epmOfflineCondition_,"",IF(_xll.EVDES(H70,$B$1)="#NODATA","",_xll.EVDES(H70,$B$1)))</f>
        <v/>
      </c>
      <c r="O70" s="134"/>
      <c r="P70" s="134"/>
      <c r="Q70" s="134"/>
      <c r="R70" s="134"/>
      <c r="S70" s="134"/>
      <c r="T70" s="134"/>
      <c r="U70" s="134"/>
      <c r="V70" s="134"/>
      <c r="W70" s="134"/>
      <c r="X70" s="134"/>
      <c r="Y70" s="134"/>
      <c r="Z70" s="134"/>
      <c r="AA70" s="134">
        <f>IF($I70="B1","",SUM(O70:Z70))</f>
        <v>0</v>
      </c>
      <c r="AB70" s="138" t="str">
        <f>IF(AA70=0,"",IFERROR(AA70/AA$19,""))</f>
        <v/>
      </c>
      <c r="AC70" s="136"/>
      <c r="AD70" s="134"/>
      <c r="AE70" s="138" t="str">
        <f>IF(AD70=0,"",IFERROR(AD70/AD$19,""))</f>
        <v/>
      </c>
      <c r="AF70" s="137">
        <f>IF(AND($AA70="",AD70=""),"",$AA70-AD70)</f>
        <v>0</v>
      </c>
      <c r="AG70" s="134"/>
      <c r="AH70" s="138" t="str">
        <f>IF(AG70=0,"",IFERROR(AG70/AG$19,""))</f>
        <v/>
      </c>
      <c r="AI70" s="137">
        <f>IF(AND($AA70="",AG70=""),"",$AA70-AG70)</f>
        <v>0</v>
      </c>
      <c r="AJ70" s="458">
        <f>IFERROR(AA70/AA$20,0)</f>
        <v>0</v>
      </c>
      <c r="AK70" s="459">
        <f>IFERROR(AD70/AD$20,0)</f>
        <v>0</v>
      </c>
      <c r="AL70" s="460">
        <f>IFERROR(AG70/AG$20,0)</f>
        <v>0</v>
      </c>
      <c r="AM70" s="461">
        <f>+IFERROR(ROUND(($AB70-AE70)*100,2)&amp;" pts.",0)</f>
        <v>0</v>
      </c>
      <c r="AN70" s="462">
        <f>+IFERROR(ROUND(($AB70-AH70)*100,2)&amp;" pts.",0)</f>
        <v>0</v>
      </c>
      <c r="AO70" s="11"/>
    </row>
    <row r="71" spans="1:41" x14ac:dyDescent="0.25">
      <c r="A71" s="11"/>
      <c r="B71" s="11"/>
      <c r="C71" s="11"/>
      <c r="D71" s="11"/>
      <c r="E71" s="11"/>
      <c r="F71" s="11"/>
      <c r="G71" s="11"/>
      <c r="H71" s="84" t="s">
        <v>79</v>
      </c>
      <c r="I71" s="132" t="str">
        <f>IF(_epmOfflineCondition_,"T3",_xll.EVPRO($B$1,$H71,"STYLE"))</f>
        <v>T3</v>
      </c>
      <c r="J71" s="132" t="str">
        <f>IF(_epmOfflineCondition_,"Y",_xll.EVPRO($B$1,$H71,"CALC"))</f>
        <v>Y</v>
      </c>
      <c r="K71" s="100"/>
      <c r="L71" s="100"/>
      <c r="M71" s="100"/>
      <c r="N71" s="102" t="str">
        <f>IF(_epmOfflineCondition_,"Total Operations Expense",IF(_xll.EVDES(H71,$B$1)="#NODATA","",_xll.EVDES(H71,$B$1)))</f>
        <v>Total Operations Expense</v>
      </c>
      <c r="O71" s="146"/>
      <c r="P71" s="146"/>
      <c r="Q71" s="146"/>
      <c r="R71" s="146"/>
      <c r="S71" s="146"/>
      <c r="T71" s="146"/>
      <c r="U71" s="146"/>
      <c r="V71" s="146"/>
      <c r="W71" s="146"/>
      <c r="X71" s="146"/>
      <c r="Y71" s="146"/>
      <c r="Z71" s="146"/>
      <c r="AA71" s="146">
        <f>IF($I71="B1","",SUM(O71:Z71))</f>
        <v>0</v>
      </c>
      <c r="AB71" s="147" t="str">
        <f>IF(AA71=0,"",IFERROR(AA71/AA$19,""))</f>
        <v/>
      </c>
      <c r="AC71" s="136"/>
      <c r="AD71" s="146"/>
      <c r="AE71" s="147" t="str">
        <f>IF(AD71=0,"",IFERROR(AD71/AD$19,""))</f>
        <v/>
      </c>
      <c r="AF71" s="148">
        <f>IF(AND($AA71="",AD71=""),"",$AA71-AD71)</f>
        <v>0</v>
      </c>
      <c r="AG71" s="146"/>
      <c r="AH71" s="147" t="str">
        <f>IF(AG71=0,"",IFERROR(AG71/AG$19,""))</f>
        <v/>
      </c>
      <c r="AI71" s="148">
        <f>IF(AND($AA71="",AG71=""),"",$AA71-AG71)</f>
        <v>0</v>
      </c>
      <c r="AJ71" s="431">
        <f>IFERROR(AA71/AA$20,0)</f>
        <v>0</v>
      </c>
      <c r="AK71" s="432">
        <f>IFERROR(AD71/AD$20,0)</f>
        <v>0</v>
      </c>
      <c r="AL71" s="433">
        <f>IFERROR(AG71/AG$20,0)</f>
        <v>0</v>
      </c>
      <c r="AM71" s="434">
        <f>+IFERROR(ROUND(($AB71-AE71)*100,2)&amp;" pts.",0)</f>
        <v>0</v>
      </c>
      <c r="AN71" s="550">
        <f>+IFERROR(ROUND(($AB71-AH71)*100,2)&amp;" pts.",0)</f>
        <v>0</v>
      </c>
      <c r="AO71" s="11"/>
    </row>
    <row r="72" spans="1:41" x14ac:dyDescent="0.25">
      <c r="A72" s="57" t="s">
        <v>0</v>
      </c>
      <c r="B72" s="58" t="s">
        <v>1</v>
      </c>
      <c r="C72" s="11"/>
      <c r="D72" s="11"/>
      <c r="E72" s="11"/>
      <c r="F72" s="11"/>
      <c r="G72" s="11"/>
      <c r="H72" s="11"/>
      <c r="I72" s="55"/>
      <c r="J72" s="55"/>
      <c r="K72" s="11"/>
      <c r="L72" s="11"/>
      <c r="M72" s="11"/>
      <c r="N72" s="11"/>
      <c r="O72" s="136"/>
      <c r="P72" s="136"/>
      <c r="Q72" s="136"/>
      <c r="R72" s="136"/>
      <c r="S72" s="136"/>
      <c r="T72" s="136"/>
      <c r="U72" s="136"/>
      <c r="V72" s="136"/>
      <c r="W72" s="136"/>
      <c r="X72" s="136"/>
      <c r="Y72" s="136"/>
      <c r="Z72" s="136"/>
      <c r="AA72" s="136"/>
      <c r="AB72" s="136"/>
      <c r="AC72" s="136"/>
      <c r="AD72" s="136"/>
      <c r="AE72" s="136"/>
      <c r="AF72" s="136"/>
      <c r="AG72" s="136"/>
      <c r="AH72" s="136"/>
      <c r="AI72" s="136"/>
      <c r="AJ72" s="136"/>
      <c r="AK72" s="136"/>
      <c r="AL72" s="136"/>
      <c r="AM72" s="136"/>
      <c r="AN72" s="136"/>
      <c r="AO72" s="11"/>
    </row>
    <row r="73" spans="1:41" x14ac:dyDescent="0.25">
      <c r="A73" s="61" t="s">
        <v>2</v>
      </c>
      <c r="B73" s="62" t="str">
        <f>IF(_epmOfflineCondition_,"'Retail'!$B$2:$B$10",_xll.EVRNG($B$2:$B$10))</f>
        <v>'Retail'!$B$2:$B$10</v>
      </c>
      <c r="C73" s="11"/>
      <c r="D73" s="11"/>
      <c r="E73" s="11"/>
      <c r="F73" s="11"/>
      <c r="G73" s="11"/>
      <c r="H73" s="84" t="s">
        <v>80</v>
      </c>
      <c r="I73" s="132" t="str">
        <f>IF(_epmOfflineCondition_,"T3",_xll.EVPRO($B$1,$H73,"STYLE"))</f>
        <v>T3</v>
      </c>
      <c r="J73" s="132" t="str">
        <f>IF(_epmOfflineCondition_,"Y",_xll.EVPRO($B$1,$H73,"CALC"))</f>
        <v>Y</v>
      </c>
      <c r="K73" s="102"/>
      <c r="L73" s="102"/>
      <c r="M73" s="102"/>
      <c r="N73" s="102" t="str">
        <f>IF(_epmOfflineCondition_,"Total Expenses",IF(_xll.EVDES(H73,$B$1)="#NODATA","",_xll.EVDES(H73,$B$1)))</f>
        <v>Total Expenses</v>
      </c>
      <c r="O73" s="210"/>
      <c r="P73" s="210"/>
      <c r="Q73" s="210"/>
      <c r="R73" s="210"/>
      <c r="S73" s="210"/>
      <c r="T73" s="210"/>
      <c r="U73" s="210"/>
      <c r="V73" s="210"/>
      <c r="W73" s="210"/>
      <c r="X73" s="210"/>
      <c r="Y73" s="210"/>
      <c r="Z73" s="210"/>
      <c r="AA73" s="210">
        <f>IF($I73="B1","",SUM(O73:Z73))</f>
        <v>0</v>
      </c>
      <c r="AB73" s="211" t="str">
        <f>IF(AA73=0,"",IFERROR(AA73/AA$19,""))</f>
        <v/>
      </c>
      <c r="AC73" s="136"/>
      <c r="AD73" s="210"/>
      <c r="AE73" s="211" t="str">
        <f>IF(AD73=0,"",IFERROR(AD73/AD$19,""))</f>
        <v/>
      </c>
      <c r="AF73" s="212">
        <f>IF(AND($AA73="",AD73=""),"",$AA73-AD73)</f>
        <v>0</v>
      </c>
      <c r="AG73" s="213"/>
      <c r="AH73" s="214" t="str">
        <f>IF(AG73=0,"",IFERROR(AG73/AG$19,""))</f>
        <v/>
      </c>
      <c r="AI73" s="212">
        <f>IF(AND($AA73="",AG73=""),"",$AA73-AG73)</f>
        <v>0</v>
      </c>
      <c r="AJ73" s="437">
        <f>IFERROR(AA73/AA$20,0)</f>
        <v>0</v>
      </c>
      <c r="AK73" s="438">
        <f>IFERROR(AD73/AD$20,0)</f>
        <v>0</v>
      </c>
      <c r="AL73" s="439">
        <f>IFERROR(AG73/AG$20,0)</f>
        <v>0</v>
      </c>
      <c r="AM73" s="440">
        <f>+IFERROR(ROUND(($AB73-AE73)*100,2)&amp;" pts.",0)</f>
        <v>0</v>
      </c>
      <c r="AN73" s="551">
        <f>+IFERROR(ROUND(($AB73-AH73)*100,2)&amp;" pts.",0)</f>
        <v>0</v>
      </c>
      <c r="AO73" s="11"/>
    </row>
    <row r="74" spans="1:41" ht="15.75" thickBot="1" x14ac:dyDescent="0.3">
      <c r="A74" s="61" t="s">
        <v>3</v>
      </c>
      <c r="B74" s="62" t="str">
        <f>IF(_epmOfflineCondition_,"'Retail'!$O$16:$AN$18",_xll.EVRNG($O$16:$AN$18))</f>
        <v>'Retail'!$O$16:$AN$18</v>
      </c>
      <c r="C74" s="11"/>
      <c r="D74" s="11"/>
      <c r="E74" s="11"/>
      <c r="F74" s="11"/>
      <c r="G74" s="11"/>
      <c r="H74" s="84" t="s">
        <v>81</v>
      </c>
      <c r="I74" s="132" t="str">
        <f>IF(_epmOfflineCondition_,"T3",_xll.EVPRO($B$1,$H74,"STYLE"))</f>
        <v>T3</v>
      </c>
      <c r="J74" s="132" t="str">
        <f>IF(_epmOfflineCondition_,"Y",_xll.EVPRO($B$1,$H74,"CALC"))</f>
        <v>Y</v>
      </c>
      <c r="K74" s="102"/>
      <c r="L74" s="102"/>
      <c r="M74" s="102"/>
      <c r="N74" s="102" t="str">
        <f>IF(_epmOfflineCondition_,"Department Profit (Loss)",IF(_xll.EVDES(H74,$B$1)="#NODATA","",_xll.EVDES(H74,$B$1)))</f>
        <v>Department Profit (Loss)</v>
      </c>
      <c r="O74" s="161"/>
      <c r="P74" s="161"/>
      <c r="Q74" s="161"/>
      <c r="R74" s="161"/>
      <c r="S74" s="161"/>
      <c r="T74" s="161"/>
      <c r="U74" s="161"/>
      <c r="V74" s="161"/>
      <c r="W74" s="161"/>
      <c r="X74" s="161"/>
      <c r="Y74" s="161"/>
      <c r="Z74" s="161"/>
      <c r="AA74" s="161">
        <f>IF($I74="B1","",SUM(O74:Z74))</f>
        <v>0</v>
      </c>
      <c r="AB74" s="162" t="str">
        <f>IF(AA74=0,"",IFERROR(AA74/AA$19,""))</f>
        <v/>
      </c>
      <c r="AC74" s="136"/>
      <c r="AD74" s="161"/>
      <c r="AE74" s="162" t="str">
        <f>IF(AD74=0,"",IFERROR(AD74/AD$19,""))</f>
        <v/>
      </c>
      <c r="AF74" s="163">
        <f>IF(AND($AA74="",AD74=""),"",$AA74-AD74)</f>
        <v>0</v>
      </c>
      <c r="AG74" s="161"/>
      <c r="AH74" s="162" t="str">
        <f>IF(AG74=0,"",IFERROR(AG74/AG$19,""))</f>
        <v/>
      </c>
      <c r="AI74" s="163">
        <f>IF(AND($AA74="",AG74=""),"",$AA74-AG74)</f>
        <v>0</v>
      </c>
      <c r="AJ74" s="442">
        <f>IFERROR(AA74/AA$20,0)</f>
        <v>0</v>
      </c>
      <c r="AK74" s="443">
        <f>IFERROR(AD74/AD$20,0)</f>
        <v>0</v>
      </c>
      <c r="AL74" s="444">
        <f>IFERROR(AG74/AG$20,0)</f>
        <v>0</v>
      </c>
      <c r="AM74" s="445">
        <f>+IFERROR(ROUND(($AB74-AE74)*100,2)&amp;" pts.",0)</f>
        <v>0</v>
      </c>
      <c r="AN74" s="552">
        <f>+IFERROR(ROUND(($AB74-AH74)*100,2)&amp;" pts.",0)</f>
        <v>0</v>
      </c>
      <c r="AO74" s="11"/>
    </row>
    <row r="75" spans="1:41" ht="15.75" thickTop="1" x14ac:dyDescent="0.25">
      <c r="A75" s="61" t="s">
        <v>4</v>
      </c>
      <c r="B75" s="62" t="str">
        <f>IF(_epmOfflineCondition_,"'Retail'!$H$62:$H$63,'Retail'!$H$65:$H$66,'Retail'!$H$69:$H$70",_xll.EVRNG(H62:H63,H65:H66,H69:H70))</f>
        <v>'Retail'!$H$62:$H$63,'Retail'!$H$65:$H$66,'Retail'!$H$69:$H$70</v>
      </c>
      <c r="C75" s="11"/>
      <c r="D75" s="11"/>
      <c r="E75" s="11"/>
      <c r="F75" s="11"/>
      <c r="G75" s="11"/>
      <c r="H75" s="11"/>
      <c r="I75" s="55"/>
      <c r="J75" s="55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</row>
    <row r="76" spans="1:41" x14ac:dyDescent="0.25">
      <c r="A76" s="61" t="s">
        <v>5</v>
      </c>
      <c r="B76" s="62"/>
      <c r="C76" s="11"/>
      <c r="D76" s="11"/>
      <c r="E76" s="11"/>
      <c r="F76" s="11"/>
      <c r="G76" s="11"/>
      <c r="H76" s="11"/>
      <c r="I76" s="55"/>
      <c r="J76" s="55"/>
      <c r="K76" s="11"/>
      <c r="L76" s="11"/>
      <c r="M76" s="11"/>
      <c r="N76" s="100" t="str">
        <f>N73&amp;" - Check"</f>
        <v>Total Expenses - Check</v>
      </c>
      <c r="O76" s="205">
        <f t="shared" ref="O76:AA76" si="22">SUMIF($H$34:$H$74,"600000",O$34:O$74)+SUMIF($H$34:$H$74,"700000",O$34:O$74)-SUMIF($H$34:$H$74,"TOTDEPTEXP",O$34:O$74)</f>
        <v>0</v>
      </c>
      <c r="P76" s="205">
        <f t="shared" si="22"/>
        <v>0</v>
      </c>
      <c r="Q76" s="205">
        <f t="shared" si="22"/>
        <v>0</v>
      </c>
      <c r="R76" s="205">
        <f t="shared" si="22"/>
        <v>0</v>
      </c>
      <c r="S76" s="205">
        <f t="shared" si="22"/>
        <v>0</v>
      </c>
      <c r="T76" s="205">
        <f t="shared" si="22"/>
        <v>0</v>
      </c>
      <c r="U76" s="205">
        <f t="shared" si="22"/>
        <v>0</v>
      </c>
      <c r="V76" s="205">
        <f t="shared" si="22"/>
        <v>0</v>
      </c>
      <c r="W76" s="205">
        <f t="shared" si="22"/>
        <v>0</v>
      </c>
      <c r="X76" s="205">
        <f t="shared" si="22"/>
        <v>0</v>
      </c>
      <c r="Y76" s="205">
        <f t="shared" si="22"/>
        <v>0</v>
      </c>
      <c r="Z76" s="205">
        <f t="shared" si="22"/>
        <v>0</v>
      </c>
      <c r="AA76" s="205">
        <f t="shared" si="22"/>
        <v>0</v>
      </c>
      <c r="AB76" s="96"/>
      <c r="AC76" s="11"/>
      <c r="AD76" s="205">
        <f>SUMIF($H$34:$H$74,"600000",AD$34:AD$74)+SUMIF($H$34:$H$74,"700000",AD$34:AD$74)-SUMIF($H$34:$H$74,"TOTDEPTEXP",AD$34:AD$74)</f>
        <v>0</v>
      </c>
      <c r="AE76" s="96"/>
      <c r="AF76" s="87"/>
      <c r="AG76" s="205">
        <f>SUMIF($H$34:$H$74,"600000",AG$34:AG$74)+SUMIF($H$34:$H$74,"700000",AG$34:AG$74)-SUMIF($H$34:$H$74,"TOTDEPTEXP",AG$34:AG$74)</f>
        <v>0</v>
      </c>
      <c r="AH76" s="96"/>
      <c r="AI76" s="87"/>
      <c r="AJ76" s="11"/>
      <c r="AK76" s="11"/>
      <c r="AL76" s="11"/>
      <c r="AM76" s="11"/>
      <c r="AN76" s="11"/>
      <c r="AO76" s="11"/>
    </row>
    <row r="77" spans="1:41" x14ac:dyDescent="0.25">
      <c r="A77" s="61" t="s">
        <v>6</v>
      </c>
      <c r="B77" s="62"/>
      <c r="C77" s="11"/>
      <c r="D77" s="11"/>
      <c r="E77" s="11"/>
      <c r="F77" s="11"/>
      <c r="G77" s="11"/>
      <c r="H77" s="11"/>
      <c r="I77" s="55"/>
      <c r="J77" s="55"/>
      <c r="K77" s="11"/>
      <c r="L77" s="11"/>
      <c r="M77" s="11"/>
      <c r="N77" s="100" t="str">
        <f>N74&amp;" - Check"</f>
        <v>Department Profit (Loss) - Check</v>
      </c>
      <c r="O77" s="205">
        <f t="shared" ref="O77:AA77" si="23">SUMIF($H$34:$H$74,"KPI_GP",O$34:O$74)-SUMIF($H$34:$H$74,"TOTDEPTEXP",O$34:O$74)-SUMIF($H$34:$H$74,"TOTDEPTPL",O$34:O$74)</f>
        <v>0</v>
      </c>
      <c r="P77" s="205">
        <f t="shared" si="23"/>
        <v>0</v>
      </c>
      <c r="Q77" s="205">
        <f t="shared" si="23"/>
        <v>0</v>
      </c>
      <c r="R77" s="205">
        <f t="shared" si="23"/>
        <v>0</v>
      </c>
      <c r="S77" s="205">
        <f t="shared" si="23"/>
        <v>0</v>
      </c>
      <c r="T77" s="205">
        <f t="shared" si="23"/>
        <v>0</v>
      </c>
      <c r="U77" s="205">
        <f t="shared" si="23"/>
        <v>0</v>
      </c>
      <c r="V77" s="205">
        <f t="shared" si="23"/>
        <v>0</v>
      </c>
      <c r="W77" s="205">
        <f t="shared" si="23"/>
        <v>0</v>
      </c>
      <c r="X77" s="205">
        <f t="shared" si="23"/>
        <v>0</v>
      </c>
      <c r="Y77" s="205">
        <f t="shared" si="23"/>
        <v>0</v>
      </c>
      <c r="Z77" s="205">
        <f t="shared" si="23"/>
        <v>0</v>
      </c>
      <c r="AA77" s="205">
        <f t="shared" si="23"/>
        <v>0</v>
      </c>
      <c r="AB77" s="96"/>
      <c r="AC77" s="11"/>
      <c r="AD77" s="205">
        <f>SUMIF($H$34:$H$74,"KPI_GP",AD$34:AD$74)-SUMIF($H$34:$H$74,"TOTDEPTEXP",AD$34:AD$74)-SUMIF($H$34:$H$74,"TOTDEPTPL",AD$34:AD$74)</f>
        <v>0</v>
      </c>
      <c r="AE77" s="96"/>
      <c r="AF77" s="87"/>
      <c r="AG77" s="205">
        <f>SUMIF($H$34:$H$74,"KPI_GP",AG$34:AG$74)-SUMIF($H$34:$H$74,"TOTDEPTEXP",AG$34:AG$74)-SUMIF($H$34:$H$74,"TOTDEPTPL",AG$34:AG$74)</f>
        <v>0</v>
      </c>
      <c r="AH77" s="96"/>
      <c r="AI77" s="87"/>
      <c r="AJ77" s="11"/>
      <c r="AK77" s="11"/>
      <c r="AL77" s="11"/>
      <c r="AM77" s="11"/>
      <c r="AN77" s="11"/>
      <c r="AO77" s="11"/>
    </row>
    <row r="78" spans="1:41" x14ac:dyDescent="0.25">
      <c r="A78" s="61" t="s">
        <v>7</v>
      </c>
      <c r="B78" s="62" t="str">
        <f>IF(_epmOfflineCondition_,"'Retail'!$A$92:$F$98",_xll.EVRNG(A92:F98))</f>
        <v>'Retail'!$A$92:$F$98</v>
      </c>
      <c r="C78" s="11"/>
      <c r="D78" s="11"/>
      <c r="E78" s="11"/>
      <c r="F78" s="11"/>
      <c r="G78" s="11"/>
      <c r="H78" s="11"/>
      <c r="I78" s="55"/>
      <c r="J78" s="55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  <row r="79" spans="1:41" x14ac:dyDescent="0.25">
      <c r="A79" s="61" t="s">
        <v>47</v>
      </c>
      <c r="B79" s="62" t="str">
        <f>IF(_epmOfflineCondition_,"'Retail'!$A$115:$B$136",_xll.EVRNG($A$115:$B$136))</f>
        <v>'Retail'!$A$115:$B$136</v>
      </c>
      <c r="C79" s="11"/>
      <c r="D79" s="11"/>
      <c r="E79" s="11"/>
      <c r="F79" s="11"/>
      <c r="G79" s="11"/>
      <c r="H79" s="11"/>
      <c r="I79" s="55"/>
      <c r="J79" s="55"/>
      <c r="K79" s="11"/>
      <c r="L79" s="11"/>
      <c r="M79" s="11"/>
      <c r="N79" s="11"/>
      <c r="O79" s="133"/>
      <c r="P79" s="133"/>
      <c r="Q79" s="133"/>
      <c r="R79" s="133"/>
      <c r="S79" s="133"/>
      <c r="T79" s="133"/>
      <c r="U79" s="133"/>
      <c r="V79" s="133"/>
      <c r="W79" s="133"/>
      <c r="X79" s="133"/>
      <c r="Y79" s="133"/>
      <c r="Z79" s="133"/>
      <c r="AA79" s="133"/>
      <c r="AB79" s="11"/>
      <c r="AC79" s="11"/>
      <c r="AD79" s="133"/>
      <c r="AE79" s="11"/>
      <c r="AF79" s="11"/>
      <c r="AG79" s="133"/>
      <c r="AH79" s="11"/>
      <c r="AI79" s="11"/>
      <c r="AJ79" s="11"/>
      <c r="AK79" s="11"/>
      <c r="AL79" s="11"/>
      <c r="AM79" s="11"/>
      <c r="AN79" s="11"/>
      <c r="AO79" s="11"/>
    </row>
    <row r="80" spans="1:41" x14ac:dyDescent="0.25">
      <c r="A80" s="61" t="s">
        <v>8</v>
      </c>
      <c r="B80" s="62"/>
      <c r="C80" s="11"/>
      <c r="D80" s="11"/>
      <c r="E80" s="11"/>
      <c r="F80" s="11"/>
      <c r="G80" s="11"/>
      <c r="H80" s="11"/>
      <c r="I80" s="55"/>
      <c r="J80" s="55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x14ac:dyDescent="0.25">
      <c r="A81" s="11"/>
      <c r="B81" s="11"/>
      <c r="C81" s="11"/>
      <c r="D81" s="11"/>
      <c r="E81" s="11"/>
      <c r="F81" s="11"/>
      <c r="G81" s="11"/>
      <c r="H81" s="11"/>
      <c r="I81" s="55"/>
      <c r="J81" s="55"/>
      <c r="K81" s="11"/>
      <c r="L81" s="11"/>
      <c r="M81" s="11"/>
      <c r="N81" s="11"/>
      <c r="O81" s="133"/>
      <c r="P81" s="133"/>
      <c r="Q81" s="133"/>
      <c r="R81" s="133"/>
      <c r="S81" s="133"/>
      <c r="T81" s="133"/>
      <c r="U81" s="133"/>
      <c r="V81" s="133"/>
      <c r="W81" s="133"/>
      <c r="X81" s="133"/>
      <c r="Y81" s="133"/>
      <c r="Z81" s="133"/>
      <c r="AA81" s="133"/>
      <c r="AB81" s="11"/>
      <c r="AC81" s="11"/>
      <c r="AD81" s="133"/>
      <c r="AE81" s="11"/>
      <c r="AF81" s="11"/>
      <c r="AG81" s="133"/>
      <c r="AH81" s="11"/>
      <c r="AI81" s="11"/>
      <c r="AJ81" s="11"/>
      <c r="AK81" s="11"/>
      <c r="AL81" s="11"/>
      <c r="AM81" s="11"/>
      <c r="AN81" s="11"/>
      <c r="AO81" s="11"/>
    </row>
    <row r="82" spans="1:41" x14ac:dyDescent="0.25">
      <c r="A82" s="57" t="s">
        <v>9</v>
      </c>
      <c r="B82" s="58" t="s">
        <v>10</v>
      </c>
      <c r="C82" s="11"/>
      <c r="D82" s="11"/>
      <c r="E82" s="11"/>
      <c r="F82" s="11"/>
      <c r="G82" s="11"/>
      <c r="H82" s="11"/>
      <c r="I82" s="55"/>
      <c r="J82" s="55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x14ac:dyDescent="0.25">
      <c r="A83" s="61" t="s">
        <v>11</v>
      </c>
      <c r="B83" s="62" t="s">
        <v>21</v>
      </c>
      <c r="C83" s="11"/>
      <c r="D83" s="11"/>
      <c r="E83" s="11"/>
      <c r="F83" s="11"/>
      <c r="G83" s="11"/>
      <c r="H83" s="11"/>
      <c r="I83" s="55"/>
      <c r="J83" s="55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x14ac:dyDescent="0.25">
      <c r="A84" s="61" t="s">
        <v>12</v>
      </c>
      <c r="B84" s="62" t="s">
        <v>22</v>
      </c>
      <c r="C84" s="11"/>
      <c r="D84" s="11"/>
      <c r="E84" s="11"/>
      <c r="F84" s="11"/>
      <c r="G84" s="11"/>
      <c r="H84" s="55"/>
      <c r="I84" s="55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x14ac:dyDescent="0.25">
      <c r="A85" s="61" t="s">
        <v>13</v>
      </c>
      <c r="B85" s="62" t="s">
        <v>738</v>
      </c>
      <c r="C85" s="11"/>
      <c r="D85" s="11"/>
      <c r="E85" s="11"/>
      <c r="F85" s="11"/>
      <c r="G85" s="11"/>
      <c r="H85" s="55"/>
      <c r="I85" s="55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x14ac:dyDescent="0.25">
      <c r="A86" s="61" t="s">
        <v>14</v>
      </c>
      <c r="B86" s="62"/>
      <c r="C86" s="11"/>
      <c r="D86" s="11"/>
      <c r="E86" s="11"/>
      <c r="F86" s="11"/>
      <c r="G86" s="11"/>
      <c r="H86" s="55"/>
      <c r="I86" s="55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x14ac:dyDescent="0.25">
      <c r="A87" s="61" t="s">
        <v>15</v>
      </c>
      <c r="B87" s="62"/>
      <c r="C87" s="11"/>
      <c r="D87" s="11"/>
      <c r="E87" s="11"/>
      <c r="F87" s="11"/>
      <c r="G87" s="11"/>
      <c r="H87" s="55"/>
      <c r="I87" s="55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x14ac:dyDescent="0.25">
      <c r="A88" s="61" t="s">
        <v>16</v>
      </c>
      <c r="B88" s="62" t="s">
        <v>78</v>
      </c>
      <c r="C88" s="11"/>
      <c r="D88" s="11"/>
      <c r="E88" s="11"/>
      <c r="F88" s="11"/>
      <c r="G88" s="11"/>
      <c r="H88" s="55"/>
      <c r="I88" s="55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x14ac:dyDescent="0.25">
      <c r="A89" s="61" t="s">
        <v>17</v>
      </c>
      <c r="B89" s="62"/>
      <c r="C89" s="11"/>
      <c r="D89" s="11"/>
      <c r="E89" s="11"/>
      <c r="F89" s="11"/>
      <c r="G89" s="72"/>
      <c r="H89" s="55"/>
      <c r="I89" s="55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x14ac:dyDescent="0.25">
      <c r="A90" s="11"/>
      <c r="B90" s="11"/>
      <c r="C90" s="11"/>
      <c r="D90" s="11"/>
      <c r="E90" s="11"/>
      <c r="F90" s="11"/>
      <c r="G90" s="11"/>
      <c r="H90" s="55"/>
      <c r="I90" s="55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x14ac:dyDescent="0.25">
      <c r="A91" s="93" t="s">
        <v>92</v>
      </c>
      <c r="B91" s="94" t="s">
        <v>93</v>
      </c>
      <c r="C91" s="94" t="s">
        <v>94</v>
      </c>
      <c r="D91" s="94" t="s">
        <v>95</v>
      </c>
      <c r="E91" s="94" t="s">
        <v>96</v>
      </c>
      <c r="F91" s="95" t="s">
        <v>97</v>
      </c>
      <c r="G91" s="11"/>
      <c r="H91" s="55"/>
      <c r="I91" s="55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x14ac:dyDescent="0.25">
      <c r="A92" s="11"/>
      <c r="B92" s="11"/>
      <c r="C92" s="11"/>
      <c r="D92" s="11"/>
      <c r="E92" s="11"/>
      <c r="F92" s="11"/>
      <c r="G92" s="11"/>
      <c r="H92" s="55"/>
      <c r="I92" s="55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x14ac:dyDescent="0.25">
      <c r="A93" s="11" t="s">
        <v>108</v>
      </c>
      <c r="B93" s="11"/>
      <c r="C93" s="100" t="s">
        <v>101</v>
      </c>
      <c r="D93" s="11" t="s">
        <v>106</v>
      </c>
      <c r="E93" s="11"/>
      <c r="F93" s="11" t="s">
        <v>98</v>
      </c>
      <c r="G93" s="11"/>
      <c r="H93" s="55"/>
      <c r="I93" s="55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x14ac:dyDescent="0.25">
      <c r="A94" s="11" t="s">
        <v>100</v>
      </c>
      <c r="B94" s="11"/>
      <c r="C94" s="49" t="s">
        <v>101</v>
      </c>
      <c r="D94" s="11" t="s">
        <v>106</v>
      </c>
      <c r="E94" s="11"/>
      <c r="F94" s="11" t="s">
        <v>98</v>
      </c>
      <c r="G94" s="11"/>
      <c r="H94" s="55"/>
      <c r="I94" s="55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x14ac:dyDescent="0.25">
      <c r="A95" s="11" t="s">
        <v>109</v>
      </c>
      <c r="B95" s="11"/>
      <c r="C95" s="102" t="s">
        <v>101</v>
      </c>
      <c r="D95" s="11" t="s">
        <v>106</v>
      </c>
      <c r="E95" s="11"/>
      <c r="F95" s="11" t="s">
        <v>98</v>
      </c>
      <c r="G95" s="11"/>
      <c r="H95" s="55"/>
      <c r="I95" s="55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x14ac:dyDescent="0.25">
      <c r="A96" s="11" t="s">
        <v>109</v>
      </c>
      <c r="B96" s="11"/>
      <c r="C96" s="192" t="s">
        <v>101</v>
      </c>
      <c r="D96" s="11" t="s">
        <v>107</v>
      </c>
      <c r="E96" s="11"/>
      <c r="F96" s="11" t="s">
        <v>99</v>
      </c>
      <c r="G96" s="11"/>
      <c r="H96" s="55"/>
      <c r="I96" s="55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x14ac:dyDescent="0.25">
      <c r="A97" s="11" t="s">
        <v>110</v>
      </c>
      <c r="B97" s="11"/>
      <c r="C97" s="102" t="s">
        <v>101</v>
      </c>
      <c r="D97" s="11" t="s">
        <v>106</v>
      </c>
      <c r="E97" s="11"/>
      <c r="F97" s="11" t="s">
        <v>98</v>
      </c>
      <c r="G97" s="11"/>
      <c r="H97" s="55"/>
      <c r="I97" s="55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x14ac:dyDescent="0.25">
      <c r="A98" s="11" t="s">
        <v>110</v>
      </c>
      <c r="B98" s="11"/>
      <c r="C98" s="105" t="s">
        <v>101</v>
      </c>
      <c r="D98" s="11" t="s">
        <v>107</v>
      </c>
      <c r="E98" s="11"/>
      <c r="F98" s="11" t="s">
        <v>99</v>
      </c>
      <c r="G98" s="11"/>
      <c r="H98" s="55"/>
      <c r="I98" s="55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x14ac:dyDescent="0.25">
      <c r="A99" s="11"/>
      <c r="B99" s="11"/>
      <c r="C99" s="204"/>
      <c r="D99" s="11"/>
      <c r="E99" s="11"/>
      <c r="F99" s="11"/>
      <c r="G99" s="11"/>
      <c r="H99" s="55"/>
      <c r="I99" s="55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x14ac:dyDescent="0.25">
      <c r="A100" s="11"/>
      <c r="B100" s="11"/>
      <c r="C100" s="11"/>
      <c r="D100" s="11"/>
      <c r="E100" s="11"/>
      <c r="F100" s="11"/>
      <c r="G100" s="11"/>
      <c r="H100" s="55"/>
      <c r="I100" s="55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x14ac:dyDescent="0.25">
      <c r="A101" s="56" t="str">
        <f>IF(_epmOfflineCondition_,"Evdre:Ok",_xll.EVDRE($B$1,A104:B111))</f>
        <v>Evdre:Ok</v>
      </c>
      <c r="B101" s="11" t="s">
        <v>737</v>
      </c>
      <c r="C101" s="11"/>
      <c r="D101" s="11"/>
      <c r="E101" s="11"/>
      <c r="F101" s="11"/>
      <c r="G101" s="11"/>
      <c r="H101" s="55"/>
      <c r="I101" s="55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x14ac:dyDescent="0.25">
      <c r="A102" s="11"/>
      <c r="B102" s="11"/>
      <c r="C102" s="11"/>
      <c r="D102" s="11"/>
      <c r="E102" s="11"/>
      <c r="F102" s="11"/>
      <c r="G102" s="11"/>
      <c r="H102" s="55"/>
      <c r="I102" s="55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x14ac:dyDescent="0.25">
      <c r="A103" s="57" t="s">
        <v>0</v>
      </c>
      <c r="B103" s="58" t="s">
        <v>1</v>
      </c>
      <c r="C103" s="11"/>
      <c r="D103" s="11"/>
      <c r="E103" s="11"/>
      <c r="F103" s="11"/>
      <c r="G103" s="72"/>
      <c r="H103" s="55"/>
      <c r="I103" s="55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x14ac:dyDescent="0.25">
      <c r="A104" s="61" t="s">
        <v>2</v>
      </c>
      <c r="B104" s="62" t="str">
        <f>IF(_epmOfflineCondition_,"'Retail'!$B$2:$B$10",_xll.EVRNG($B$2:$B$10))</f>
        <v>'Retail'!$B$2:$B$10</v>
      </c>
      <c r="C104" s="11"/>
      <c r="D104" s="11"/>
      <c r="E104" s="11"/>
      <c r="F104" s="11"/>
      <c r="G104" s="11"/>
      <c r="H104" s="55"/>
      <c r="I104" s="55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x14ac:dyDescent="0.25">
      <c r="A105" s="61" t="s">
        <v>3</v>
      </c>
      <c r="B105" s="62" t="str">
        <f>IF(_epmOfflineCondition_,"'Retail'!$O$16:$AN$18",_xll.EVRNG($O$16:$AN$18))</f>
        <v>'Retail'!$O$16:$AN$18</v>
      </c>
      <c r="C105" s="11"/>
      <c r="D105" s="11"/>
      <c r="E105" s="11"/>
      <c r="F105" s="11"/>
      <c r="G105" s="11"/>
      <c r="H105" s="55"/>
      <c r="I105" s="55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x14ac:dyDescent="0.25">
      <c r="A106" s="61" t="s">
        <v>4</v>
      </c>
      <c r="B106" s="62" t="str">
        <f>IF(_epmOfflineCondition_,"'Retail'!$H$71:$H$74",_xll.EVRNG(H71:H74))</f>
        <v>'Retail'!$H$71:$H$74</v>
      </c>
      <c r="C106" s="11"/>
      <c r="D106" s="11"/>
      <c r="E106" s="11"/>
      <c r="F106" s="11"/>
      <c r="G106" s="11"/>
      <c r="H106" s="55"/>
      <c r="I106" s="55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x14ac:dyDescent="0.25">
      <c r="A107" s="61" t="s">
        <v>5</v>
      </c>
      <c r="B107" s="62"/>
      <c r="C107" s="11"/>
      <c r="D107" s="11"/>
      <c r="E107" s="11"/>
      <c r="F107" s="11"/>
      <c r="G107" s="11"/>
      <c r="H107" s="11"/>
      <c r="I107" s="55"/>
      <c r="J107" s="55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x14ac:dyDescent="0.25">
      <c r="A108" s="61" t="s">
        <v>6</v>
      </c>
      <c r="B108" s="62"/>
      <c r="C108" s="11"/>
      <c r="D108" s="11"/>
      <c r="E108" s="11"/>
      <c r="F108" s="11"/>
      <c r="G108" s="11"/>
      <c r="H108" s="11"/>
      <c r="I108" s="55"/>
      <c r="J108" s="55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x14ac:dyDescent="0.25">
      <c r="A109" s="61" t="s">
        <v>7</v>
      </c>
      <c r="B109" s="62"/>
      <c r="C109" s="11"/>
      <c r="D109" s="11"/>
      <c r="E109" s="11"/>
      <c r="F109" s="11"/>
      <c r="G109" s="72"/>
      <c r="H109" s="11"/>
      <c r="I109" s="55"/>
      <c r="J109" s="55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x14ac:dyDescent="0.25">
      <c r="A110" s="61" t="s">
        <v>47</v>
      </c>
      <c r="B110" s="62" t="str">
        <f>IF(_epmOfflineCondition_,"'Retail'!$A$115:$B$136",_xll.EVRNG($A$115:$B$136))</f>
        <v>'Retail'!$A$115:$B$136</v>
      </c>
      <c r="C110" s="11"/>
      <c r="D110" s="11"/>
      <c r="E110" s="11"/>
      <c r="F110" s="11"/>
      <c r="G110" s="11"/>
      <c r="H110" s="11"/>
      <c r="I110" s="55"/>
      <c r="J110" s="55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x14ac:dyDescent="0.25">
      <c r="A111" s="61" t="s">
        <v>8</v>
      </c>
      <c r="B111" s="62"/>
      <c r="C111" s="11"/>
      <c r="D111" s="11"/>
      <c r="E111" s="11"/>
      <c r="F111" s="11"/>
      <c r="G111" s="11"/>
      <c r="H111" s="11"/>
      <c r="I111" s="55"/>
      <c r="J111" s="55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x14ac:dyDescent="0.25">
      <c r="A112" s="11"/>
      <c r="B112" s="11"/>
      <c r="C112" s="11"/>
      <c r="D112" s="11"/>
      <c r="E112" s="11"/>
      <c r="F112" s="11"/>
      <c r="G112" s="11"/>
      <c r="H112" s="11"/>
      <c r="I112" s="55"/>
      <c r="J112" s="55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x14ac:dyDescent="0.25">
      <c r="A113" s="11"/>
      <c r="B113" s="11"/>
      <c r="C113" s="11"/>
      <c r="D113" s="11"/>
      <c r="E113" s="11"/>
      <c r="F113" s="11"/>
      <c r="G113" s="11"/>
      <c r="H113" s="11"/>
      <c r="I113" s="55"/>
      <c r="J113" s="55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  <row r="114" spans="1:41" x14ac:dyDescent="0.25">
      <c r="A114" s="57" t="s">
        <v>23</v>
      </c>
      <c r="B114" s="58" t="s">
        <v>24</v>
      </c>
      <c r="C114" s="11"/>
      <c r="D114" s="11"/>
      <c r="E114" s="11"/>
      <c r="F114" s="11"/>
      <c r="G114" s="11"/>
      <c r="H114" s="11"/>
      <c r="I114" s="55"/>
      <c r="J114" s="55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x14ac:dyDescent="0.25">
      <c r="A115" s="61" t="s">
        <v>25</v>
      </c>
      <c r="B115" s="62"/>
      <c r="C115" s="11"/>
      <c r="D115" s="11"/>
      <c r="E115" s="11"/>
      <c r="F115" s="11"/>
      <c r="G115" s="11"/>
      <c r="H115" s="11"/>
      <c r="I115" s="55"/>
      <c r="J115" s="55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x14ac:dyDescent="0.25">
      <c r="A116" s="61" t="s">
        <v>26</v>
      </c>
      <c r="B116" s="62"/>
      <c r="C116" s="11"/>
      <c r="D116" s="11"/>
      <c r="E116" s="11"/>
      <c r="F116" s="11"/>
      <c r="G116" s="11"/>
      <c r="H116" s="11"/>
      <c r="I116" s="55"/>
      <c r="J116" s="55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x14ac:dyDescent="0.25">
      <c r="A117" s="61" t="s">
        <v>27</v>
      </c>
      <c r="B117" s="62"/>
      <c r="C117" s="11"/>
      <c r="D117" s="11"/>
      <c r="E117" s="11"/>
      <c r="F117" s="11"/>
      <c r="G117" s="11"/>
      <c r="H117" s="11"/>
      <c r="I117" s="55"/>
      <c r="J117" s="55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x14ac:dyDescent="0.25">
      <c r="A118" s="61" t="s">
        <v>28</v>
      </c>
      <c r="B118" s="62"/>
      <c r="C118" s="11"/>
      <c r="D118" s="11"/>
      <c r="E118" s="11"/>
      <c r="F118" s="11"/>
      <c r="G118" s="11"/>
      <c r="H118" s="11"/>
      <c r="I118" s="55"/>
      <c r="J118" s="55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x14ac:dyDescent="0.25">
      <c r="A119" s="61" t="s">
        <v>29</v>
      </c>
      <c r="B119" s="62"/>
      <c r="C119" s="11"/>
      <c r="D119" s="11"/>
      <c r="E119" s="11"/>
      <c r="F119" s="11"/>
      <c r="G119" s="11"/>
      <c r="H119" s="11"/>
      <c r="I119" s="55"/>
      <c r="J119" s="55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x14ac:dyDescent="0.25">
      <c r="A120" s="61" t="s">
        <v>30</v>
      </c>
      <c r="B120" s="62" t="s">
        <v>78</v>
      </c>
      <c r="C120" s="11"/>
      <c r="D120" s="11"/>
      <c r="E120" s="11"/>
      <c r="F120" s="11"/>
      <c r="G120" s="11"/>
      <c r="H120" s="11"/>
      <c r="I120" s="55"/>
      <c r="J120" s="55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x14ac:dyDescent="0.25">
      <c r="A121" s="61" t="s">
        <v>31</v>
      </c>
      <c r="B121" s="62" t="s">
        <v>78</v>
      </c>
      <c r="C121" s="11"/>
      <c r="D121" s="11"/>
      <c r="E121" s="11"/>
      <c r="F121" s="11"/>
      <c r="G121" s="11"/>
      <c r="H121" s="11"/>
      <c r="I121" s="55"/>
      <c r="J121" s="55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x14ac:dyDescent="0.25">
      <c r="A122" s="61" t="s">
        <v>32</v>
      </c>
      <c r="B122" s="62"/>
      <c r="C122" s="11"/>
      <c r="D122" s="11"/>
      <c r="E122" s="11"/>
      <c r="F122" s="11"/>
      <c r="G122" s="11"/>
      <c r="H122" s="11"/>
      <c r="I122" s="55"/>
      <c r="J122" s="55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x14ac:dyDescent="0.25">
      <c r="A123" s="61" t="s">
        <v>33</v>
      </c>
      <c r="B123" s="62"/>
      <c r="C123" s="11"/>
      <c r="D123" s="11"/>
      <c r="E123" s="11"/>
      <c r="F123" s="11"/>
      <c r="G123" s="11"/>
      <c r="H123" s="11"/>
      <c r="I123" s="55"/>
      <c r="J123" s="55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x14ac:dyDescent="0.25">
      <c r="A124" s="61" t="s">
        <v>34</v>
      </c>
      <c r="B124" s="62"/>
      <c r="C124" s="11"/>
      <c r="D124" s="11"/>
      <c r="E124" s="11"/>
      <c r="F124" s="11"/>
      <c r="G124" s="11"/>
      <c r="H124" s="11"/>
      <c r="I124" s="55"/>
      <c r="J124" s="55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x14ac:dyDescent="0.25">
      <c r="A125" s="61" t="s">
        <v>35</v>
      </c>
      <c r="B125" s="62"/>
      <c r="C125" s="11"/>
      <c r="D125" s="11"/>
      <c r="E125" s="11"/>
      <c r="F125" s="11"/>
      <c r="G125" s="11"/>
      <c r="H125" s="11"/>
      <c r="I125" s="55"/>
      <c r="J125" s="55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x14ac:dyDescent="0.25">
      <c r="A126" s="61" t="s">
        <v>36</v>
      </c>
      <c r="B126" s="62"/>
      <c r="C126" s="11"/>
      <c r="D126" s="11"/>
      <c r="E126" s="11"/>
      <c r="F126" s="11"/>
      <c r="G126" s="11"/>
      <c r="H126" s="11"/>
      <c r="I126" s="55"/>
      <c r="J126" s="55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x14ac:dyDescent="0.25">
      <c r="A127" s="61" t="s">
        <v>37</v>
      </c>
      <c r="B127" s="62"/>
      <c r="C127" s="11"/>
      <c r="D127" s="11"/>
      <c r="E127" s="11"/>
      <c r="F127" s="11"/>
      <c r="G127" s="11"/>
      <c r="H127" s="11"/>
      <c r="I127" s="55"/>
      <c r="J127" s="55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x14ac:dyDescent="0.25">
      <c r="A128" s="61" t="s">
        <v>38</v>
      </c>
      <c r="B128" s="62"/>
      <c r="C128" s="11"/>
      <c r="D128" s="11"/>
      <c r="E128" s="11"/>
      <c r="F128" s="11"/>
      <c r="G128" s="11"/>
      <c r="H128" s="11"/>
      <c r="I128" s="55"/>
      <c r="J128" s="55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</row>
    <row r="129" spans="1:41" x14ac:dyDescent="0.25">
      <c r="A129" s="61" t="s">
        <v>39</v>
      </c>
      <c r="B129" s="62"/>
      <c r="C129" s="11"/>
      <c r="D129" s="11"/>
      <c r="E129" s="11"/>
      <c r="F129" s="11"/>
      <c r="G129" s="11"/>
      <c r="H129" s="11"/>
      <c r="I129" s="55"/>
      <c r="J129" s="55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x14ac:dyDescent="0.25">
      <c r="A130" s="61" t="s">
        <v>40</v>
      </c>
      <c r="B130" s="62"/>
      <c r="C130" s="11"/>
      <c r="D130" s="11"/>
      <c r="E130" s="11"/>
      <c r="F130" s="11"/>
      <c r="G130" s="11"/>
      <c r="H130" s="11"/>
      <c r="I130" s="55"/>
      <c r="J130" s="55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x14ac:dyDescent="0.25">
      <c r="A131" s="61" t="s">
        <v>41</v>
      </c>
      <c r="B131" s="62"/>
      <c r="C131" s="11"/>
      <c r="D131" s="11"/>
      <c r="E131" s="11"/>
      <c r="F131" s="11"/>
      <c r="G131" s="11"/>
      <c r="H131" s="11"/>
      <c r="I131" s="55"/>
      <c r="J131" s="55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x14ac:dyDescent="0.25">
      <c r="A132" s="61" t="s">
        <v>42</v>
      </c>
      <c r="B132" s="62"/>
      <c r="C132" s="11"/>
      <c r="D132" s="11"/>
      <c r="E132" s="11"/>
      <c r="F132" s="11"/>
      <c r="G132" s="11"/>
      <c r="H132" s="11"/>
      <c r="I132" s="55"/>
      <c r="J132" s="55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x14ac:dyDescent="0.25">
      <c r="A133" s="61" t="s">
        <v>43</v>
      </c>
      <c r="B133" s="62"/>
      <c r="C133" s="11"/>
      <c r="D133" s="11"/>
      <c r="E133" s="11"/>
      <c r="F133" s="11"/>
      <c r="G133" s="11"/>
      <c r="H133" s="11"/>
      <c r="I133" s="55"/>
      <c r="J133" s="55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x14ac:dyDescent="0.25">
      <c r="A134" s="61" t="s">
        <v>44</v>
      </c>
      <c r="B134" s="62"/>
      <c r="C134" s="11"/>
      <c r="D134" s="11"/>
      <c r="E134" s="11"/>
      <c r="F134" s="11"/>
      <c r="G134" s="11"/>
      <c r="H134" s="11"/>
      <c r="I134" s="55"/>
      <c r="J134" s="55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x14ac:dyDescent="0.25">
      <c r="A135" s="61" t="s">
        <v>45</v>
      </c>
      <c r="B135" s="62"/>
      <c r="C135" s="11"/>
      <c r="D135" s="11"/>
      <c r="E135" s="11"/>
      <c r="F135" s="11"/>
      <c r="G135" s="11"/>
      <c r="H135" s="11"/>
      <c r="I135" s="55"/>
      <c r="J135" s="55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x14ac:dyDescent="0.25">
      <c r="A136" s="61" t="s">
        <v>46</v>
      </c>
      <c r="B136" s="62"/>
      <c r="C136" s="11"/>
      <c r="D136" s="11"/>
      <c r="E136" s="11"/>
      <c r="F136" s="11"/>
      <c r="G136" s="11"/>
      <c r="H136" s="11"/>
      <c r="I136" s="55"/>
      <c r="J136" s="55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x14ac:dyDescent="0.25">
      <c r="A137" s="11"/>
      <c r="B137" s="11"/>
      <c r="C137" s="11"/>
      <c r="D137" s="11"/>
      <c r="E137" s="11"/>
      <c r="F137" s="11"/>
      <c r="G137" s="11"/>
      <c r="H137" s="11"/>
      <c r="I137" s="55"/>
      <c r="J137" s="55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x14ac:dyDescent="0.25">
      <c r="A138" s="11"/>
      <c r="B138" s="11"/>
      <c r="C138" s="11"/>
      <c r="D138" s="11"/>
      <c r="E138" s="11"/>
      <c r="F138" s="11"/>
      <c r="G138" s="11"/>
      <c r="H138" s="11"/>
      <c r="I138" s="55"/>
      <c r="J138" s="55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x14ac:dyDescent="0.25">
      <c r="A139" s="11"/>
      <c r="B139" s="11"/>
      <c r="C139" s="11"/>
      <c r="D139" s="11"/>
      <c r="E139" s="11"/>
      <c r="F139" s="11"/>
      <c r="G139" s="11"/>
      <c r="H139" s="11"/>
      <c r="I139" s="55"/>
      <c r="J139" s="55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x14ac:dyDescent="0.25">
      <c r="A140" s="11"/>
      <c r="B140" s="11"/>
      <c r="C140" s="11"/>
      <c r="D140" s="11"/>
      <c r="E140" s="11"/>
      <c r="F140" s="11"/>
      <c r="G140" s="11"/>
      <c r="H140" s="11"/>
      <c r="I140" s="55"/>
      <c r="J140" s="55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</row>
    <row r="141" spans="1:41" x14ac:dyDescent="0.25">
      <c r="A141" s="11"/>
      <c r="B141" s="11"/>
      <c r="C141" s="11"/>
      <c r="D141" s="11"/>
      <c r="E141" s="11"/>
      <c r="F141" s="11"/>
      <c r="G141" s="11"/>
      <c r="H141" s="11"/>
      <c r="I141" s="55"/>
      <c r="J141" s="55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x14ac:dyDescent="0.25">
      <c r="A142" s="11"/>
      <c r="B142" s="11"/>
      <c r="C142" s="11"/>
      <c r="D142" s="11"/>
      <c r="E142" s="11"/>
      <c r="F142" s="11"/>
      <c r="G142" s="11"/>
      <c r="H142" s="11"/>
      <c r="I142" s="55"/>
      <c r="J142" s="55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</row>
    <row r="143" spans="1:41" x14ac:dyDescent="0.25">
      <c r="A143" s="11"/>
      <c r="B143" s="11"/>
      <c r="C143" s="11"/>
      <c r="D143" s="11"/>
      <c r="E143" s="11"/>
      <c r="F143" s="11"/>
      <c r="G143" s="11"/>
      <c r="H143" s="11"/>
      <c r="I143" s="55"/>
      <c r="J143" s="55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x14ac:dyDescent="0.25">
      <c r="A144" s="11"/>
      <c r="B144" s="11"/>
      <c r="C144" s="11"/>
      <c r="D144" s="11"/>
      <c r="E144" s="11"/>
      <c r="F144" s="11"/>
      <c r="G144" s="11"/>
      <c r="H144" s="11"/>
      <c r="I144" s="55"/>
      <c r="J144" s="55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</row>
    <row r="145" spans="1:41" x14ac:dyDescent="0.25">
      <c r="A145" s="11"/>
      <c r="B145" s="11"/>
      <c r="C145" s="11"/>
      <c r="D145" s="11"/>
      <c r="E145" s="11"/>
      <c r="F145" s="11"/>
      <c r="G145" s="11"/>
      <c r="H145" s="11"/>
      <c r="I145" s="55"/>
      <c r="J145" s="55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</row>
    <row r="146" spans="1:41" x14ac:dyDescent="0.25">
      <c r="A146" s="11"/>
      <c r="B146" s="11"/>
      <c r="C146" s="11"/>
      <c r="D146" s="11"/>
      <c r="E146" s="11"/>
      <c r="F146" s="11"/>
      <c r="G146" s="11"/>
      <c r="H146" s="11"/>
      <c r="I146" s="55"/>
      <c r="J146" s="55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</row>
    <row r="147" spans="1:41" x14ac:dyDescent="0.25">
      <c r="A147" s="11"/>
      <c r="B147" s="11"/>
      <c r="C147" s="11"/>
      <c r="D147" s="11"/>
      <c r="E147" s="11"/>
      <c r="F147" s="11"/>
      <c r="G147" s="11"/>
      <c r="H147" s="11"/>
      <c r="I147" s="263"/>
      <c r="J147" s="11"/>
      <c r="K147" s="263"/>
      <c r="L147" s="263"/>
      <c r="M147" s="263"/>
      <c r="N147" s="11"/>
      <c r="O147" s="263"/>
      <c r="P147" s="263"/>
      <c r="Q147" s="263"/>
      <c r="R147" s="263"/>
      <c r="S147" s="263"/>
      <c r="T147" s="263"/>
      <c r="U147" s="263"/>
      <c r="V147" s="263"/>
      <c r="W147" s="263"/>
      <c r="X147" s="263"/>
      <c r="Y147" s="263"/>
      <c r="Z147" s="263"/>
      <c r="AA147" s="263"/>
      <c r="AB147" s="11"/>
      <c r="AC147" s="11"/>
      <c r="AD147" s="263"/>
      <c r="AE147" s="11"/>
      <c r="AF147" s="263"/>
      <c r="AG147" s="11"/>
      <c r="AH147" s="263"/>
      <c r="AI147" s="11"/>
      <c r="AJ147" s="11"/>
      <c r="AK147" s="11"/>
      <c r="AL147" s="11"/>
      <c r="AM147" s="11"/>
      <c r="AN147" s="11"/>
      <c r="AO147" s="11"/>
    </row>
    <row r="148" spans="1:41" x14ac:dyDescent="0.25">
      <c r="A148" s="11"/>
      <c r="B148" s="11"/>
      <c r="C148" s="11"/>
      <c r="D148" s="11"/>
      <c r="E148" s="11"/>
      <c r="F148" s="11"/>
      <c r="G148" s="11"/>
      <c r="H148" s="11"/>
      <c r="I148" s="55"/>
      <c r="J148" s="55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x14ac:dyDescent="0.25">
      <c r="A149" s="11"/>
      <c r="B149" s="11"/>
      <c r="C149" s="11"/>
      <c r="D149" s="11"/>
      <c r="E149" s="11"/>
      <c r="F149" s="11"/>
      <c r="G149" s="11"/>
      <c r="H149" s="11"/>
      <c r="I149" s="55"/>
      <c r="J149" s="55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</row>
    <row r="150" spans="1:41" x14ac:dyDescent="0.25">
      <c r="A150" s="11"/>
      <c r="B150" s="11"/>
      <c r="C150" s="11"/>
      <c r="D150" s="11"/>
      <c r="E150" s="11"/>
      <c r="F150" s="11"/>
      <c r="G150" s="11"/>
      <c r="H150" s="11"/>
      <c r="I150" s="55"/>
      <c r="J150" s="55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x14ac:dyDescent="0.25">
      <c r="A151" s="11"/>
      <c r="B151" s="11"/>
      <c r="C151" s="11"/>
      <c r="D151" s="11"/>
      <c r="E151" s="11"/>
      <c r="F151" s="11"/>
      <c r="G151" s="11"/>
      <c r="H151" s="11"/>
      <c r="I151" s="263"/>
      <c r="J151" s="11"/>
      <c r="K151" s="263"/>
      <c r="L151" s="263"/>
      <c r="M151" s="263"/>
      <c r="N151" s="11"/>
      <c r="O151" s="263"/>
      <c r="P151" s="263"/>
      <c r="Q151" s="263"/>
      <c r="R151" s="263"/>
      <c r="S151" s="263"/>
      <c r="T151" s="263"/>
      <c r="U151" s="263"/>
      <c r="V151" s="263"/>
      <c r="W151" s="263"/>
      <c r="X151" s="263"/>
      <c r="Y151" s="263"/>
      <c r="Z151" s="263"/>
      <c r="AA151" s="263"/>
      <c r="AB151" s="11"/>
      <c r="AC151" s="11"/>
      <c r="AD151" s="263"/>
      <c r="AE151" s="11"/>
      <c r="AF151" s="263"/>
      <c r="AG151" s="11"/>
      <c r="AH151" s="263"/>
      <c r="AI151" s="11"/>
      <c r="AJ151" s="11"/>
      <c r="AK151" s="11"/>
      <c r="AL151" s="11"/>
      <c r="AM151" s="11"/>
      <c r="AN151" s="11"/>
      <c r="AO151" s="11"/>
    </row>
    <row r="152" spans="1:41" x14ac:dyDescent="0.25">
      <c r="A152" s="11"/>
      <c r="B152" s="11"/>
      <c r="C152" s="11"/>
      <c r="D152" s="11"/>
      <c r="E152" s="11"/>
      <c r="F152" s="11"/>
      <c r="G152" s="11"/>
      <c r="H152" s="11"/>
      <c r="I152" s="55"/>
      <c r="J152" s="55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x14ac:dyDescent="0.25">
      <c r="A153" s="11"/>
      <c r="B153" s="11"/>
      <c r="C153" s="11"/>
      <c r="D153" s="11"/>
      <c r="E153" s="263"/>
      <c r="F153" s="11"/>
      <c r="G153" s="11"/>
      <c r="H153" s="11"/>
      <c r="I153" s="55"/>
      <c r="J153" s="55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x14ac:dyDescent="0.25">
      <c r="A154" s="11"/>
      <c r="B154" s="11"/>
      <c r="C154" s="11"/>
      <c r="D154" s="11"/>
      <c r="E154" s="11"/>
      <c r="F154" s="11"/>
      <c r="G154" s="11"/>
      <c r="H154" s="11"/>
      <c r="I154" s="55"/>
      <c r="J154" s="55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x14ac:dyDescent="0.25">
      <c r="A155" s="11"/>
      <c r="B155" s="11"/>
      <c r="C155" s="11"/>
      <c r="D155" s="11"/>
      <c r="E155" s="11"/>
      <c r="F155" s="11"/>
      <c r="G155" s="11"/>
      <c r="H155" s="11"/>
      <c r="I155" s="55"/>
      <c r="J155" s="55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x14ac:dyDescent="0.25">
      <c r="A156" s="11"/>
      <c r="B156" s="11"/>
      <c r="C156" s="11"/>
      <c r="D156" s="11"/>
      <c r="E156" s="11"/>
      <c r="F156" s="11"/>
      <c r="G156" s="11"/>
      <c r="H156" s="11"/>
      <c r="I156" s="55"/>
      <c r="J156" s="55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x14ac:dyDescent="0.25">
      <c r="A157" s="11"/>
      <c r="B157" s="11"/>
      <c r="C157" s="11"/>
      <c r="D157" s="11"/>
      <c r="E157" s="263"/>
      <c r="F157" s="11"/>
      <c r="G157" s="11"/>
      <c r="H157" s="11"/>
      <c r="I157" s="55"/>
      <c r="J157" s="55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</row>
    <row r="158" spans="1:41" x14ac:dyDescent="0.25">
      <c r="A158" s="11"/>
      <c r="B158" s="11"/>
      <c r="C158" s="11"/>
      <c r="D158" s="11"/>
      <c r="E158" s="11"/>
      <c r="F158" s="11"/>
      <c r="G158" s="11"/>
      <c r="H158" s="11"/>
      <c r="I158" s="55"/>
      <c r="J158" s="55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</row>
    <row r="159" spans="1:41" x14ac:dyDescent="0.25">
      <c r="A159" s="11"/>
      <c r="B159" s="11"/>
      <c r="C159" s="11"/>
      <c r="D159" s="11"/>
      <c r="E159" s="11"/>
      <c r="F159" s="11"/>
      <c r="G159" s="11"/>
      <c r="H159" s="11"/>
      <c r="I159" s="55"/>
      <c r="J159" s="55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</row>
    <row r="160" spans="1:41" x14ac:dyDescent="0.25">
      <c r="A160" s="11"/>
      <c r="B160" s="11"/>
      <c r="C160" s="11"/>
      <c r="D160" s="11"/>
      <c r="E160" s="11"/>
      <c r="F160" s="11"/>
      <c r="G160" s="11"/>
      <c r="H160" s="11"/>
      <c r="I160" s="55"/>
      <c r="J160" s="55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</row>
    <row r="161" spans="1:41" x14ac:dyDescent="0.25">
      <c r="A161" s="11"/>
      <c r="B161" s="11"/>
      <c r="C161" s="11"/>
      <c r="D161" s="11"/>
      <c r="E161" s="11"/>
      <c r="F161" s="11"/>
      <c r="G161" s="11"/>
      <c r="H161" s="11"/>
      <c r="I161" s="55"/>
      <c r="J161" s="55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</row>
    <row r="162" spans="1:41" x14ac:dyDescent="0.25">
      <c r="A162" s="11"/>
      <c r="B162" s="11"/>
      <c r="C162" s="11"/>
      <c r="D162" s="11"/>
      <c r="E162" s="11"/>
      <c r="F162" s="11"/>
      <c r="G162" s="11"/>
      <c r="H162" s="11"/>
      <c r="I162" s="55"/>
      <c r="J162" s="55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</row>
    <row r="163" spans="1:41" x14ac:dyDescent="0.25">
      <c r="A163" s="11"/>
      <c r="B163" s="11"/>
      <c r="C163" s="11"/>
      <c r="D163" s="11"/>
      <c r="E163" s="11"/>
      <c r="F163" s="11"/>
      <c r="G163" s="11"/>
      <c r="H163" s="11"/>
      <c r="I163" s="55"/>
      <c r="J163" s="55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</row>
    <row r="164" spans="1:41" x14ac:dyDescent="0.25">
      <c r="A164" s="11"/>
      <c r="B164" s="11"/>
      <c r="C164" s="11"/>
      <c r="D164" s="11"/>
      <c r="E164" s="11"/>
      <c r="F164" s="11"/>
      <c r="G164" s="11"/>
      <c r="H164" s="11"/>
      <c r="I164" s="55"/>
      <c r="J164" s="55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</row>
    <row r="165" spans="1:41" x14ac:dyDescent="0.25">
      <c r="A165" s="11"/>
      <c r="B165" s="11"/>
      <c r="C165" s="11"/>
      <c r="D165" s="11"/>
      <c r="E165" s="11"/>
      <c r="F165" s="11"/>
      <c r="G165" s="11"/>
      <c r="H165" s="11"/>
      <c r="I165" s="55"/>
      <c r="J165" s="55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</row>
    <row r="166" spans="1:41" x14ac:dyDescent="0.25">
      <c r="A166" s="11"/>
      <c r="B166" s="11"/>
      <c r="C166" s="11"/>
      <c r="D166" s="11"/>
      <c r="E166" s="11"/>
      <c r="F166" s="11"/>
      <c r="G166" s="11"/>
      <c r="H166" s="11"/>
      <c r="I166" s="55"/>
      <c r="J166" s="55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</row>
    <row r="167" spans="1:41" x14ac:dyDescent="0.25">
      <c r="A167" s="11"/>
      <c r="B167" s="11"/>
      <c r="C167" s="11"/>
      <c r="D167" s="11"/>
      <c r="E167" s="11"/>
      <c r="F167" s="11"/>
      <c r="G167" s="11"/>
      <c r="H167" s="11"/>
      <c r="I167" s="55"/>
      <c r="J167" s="55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</row>
    <row r="168" spans="1:41" x14ac:dyDescent="0.25">
      <c r="A168" s="11"/>
      <c r="B168" s="11"/>
      <c r="C168" s="11"/>
      <c r="D168" s="11"/>
      <c r="E168" s="11"/>
      <c r="F168" s="11"/>
      <c r="G168" s="11"/>
      <c r="H168" s="11"/>
      <c r="I168" s="55"/>
      <c r="J168" s="55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</row>
    <row r="169" spans="1:41" x14ac:dyDescent="0.25">
      <c r="A169" s="11"/>
      <c r="B169" s="11"/>
      <c r="C169" s="11"/>
      <c r="D169" s="11"/>
      <c r="E169" s="11"/>
      <c r="F169" s="11"/>
      <c r="G169" s="11"/>
      <c r="H169" s="11"/>
      <c r="I169" s="55"/>
      <c r="J169" s="55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</row>
    <row r="170" spans="1:41" x14ac:dyDescent="0.25">
      <c r="A170" s="11"/>
      <c r="B170" s="11"/>
      <c r="C170" s="11"/>
      <c r="D170" s="11"/>
      <c r="E170" s="11"/>
      <c r="F170" s="11"/>
      <c r="G170" s="11"/>
      <c r="H170" s="11"/>
      <c r="I170" s="55"/>
      <c r="J170" s="55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</row>
    <row r="171" spans="1:41" x14ac:dyDescent="0.25">
      <c r="A171" s="11"/>
      <c r="B171" s="11"/>
      <c r="C171" s="11"/>
      <c r="D171" s="11"/>
      <c r="E171" s="11"/>
      <c r="F171" s="11"/>
      <c r="G171" s="11"/>
      <c r="H171" s="11"/>
      <c r="I171" s="55"/>
      <c r="J171" s="55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</row>
    <row r="172" spans="1:41" x14ac:dyDescent="0.25">
      <c r="A172" s="11"/>
      <c r="B172" s="11"/>
      <c r="C172" s="11"/>
      <c r="D172" s="11"/>
      <c r="E172" s="11"/>
      <c r="F172" s="11"/>
      <c r="G172" s="11"/>
      <c r="H172" s="11"/>
      <c r="I172" s="55"/>
      <c r="J172" s="55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</row>
    <row r="173" spans="1:41" x14ac:dyDescent="0.25">
      <c r="A173" s="11"/>
      <c r="B173" s="11"/>
      <c r="C173" s="11"/>
      <c r="D173" s="11"/>
      <c r="E173" s="11"/>
      <c r="F173" s="11"/>
      <c r="G173" s="11"/>
      <c r="H173" s="11"/>
      <c r="I173" s="55"/>
      <c r="J173" s="55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</row>
    <row r="174" spans="1:41" x14ac:dyDescent="0.25">
      <c r="A174" s="11"/>
      <c r="B174" s="11"/>
      <c r="C174" s="11"/>
      <c r="D174" s="11"/>
      <c r="E174" s="11"/>
      <c r="F174" s="11"/>
      <c r="G174" s="11"/>
      <c r="H174" s="11"/>
      <c r="I174" s="55"/>
      <c r="J174" s="55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</row>
    <row r="175" spans="1:41" x14ac:dyDescent="0.25">
      <c r="A175" s="11"/>
      <c r="B175" s="11"/>
      <c r="C175" s="11"/>
      <c r="D175" s="11"/>
      <c r="E175" s="11"/>
      <c r="F175" s="11"/>
      <c r="G175" s="11"/>
      <c r="H175" s="11"/>
      <c r="I175" s="55"/>
      <c r="J175" s="55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</row>
    <row r="176" spans="1:41" x14ac:dyDescent="0.25">
      <c r="A176" s="11"/>
      <c r="B176" s="11"/>
      <c r="C176" s="11"/>
      <c r="D176" s="11"/>
      <c r="E176" s="11"/>
      <c r="F176" s="11"/>
      <c r="G176" s="11"/>
      <c r="H176" s="11"/>
      <c r="I176" s="55"/>
      <c r="J176" s="55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</row>
    <row r="177" spans="1:41" x14ac:dyDescent="0.25">
      <c r="A177" s="11"/>
      <c r="B177" s="11"/>
      <c r="C177" s="11"/>
      <c r="D177" s="11"/>
      <c r="E177" s="11"/>
      <c r="F177" s="11"/>
      <c r="G177" s="11"/>
      <c r="H177" s="11"/>
      <c r="I177" s="55"/>
      <c r="J177" s="55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</row>
    <row r="178" spans="1:41" x14ac:dyDescent="0.25">
      <c r="A178" s="11"/>
      <c r="B178" s="11"/>
      <c r="C178" s="11"/>
      <c r="D178" s="11"/>
      <c r="E178" s="11"/>
      <c r="F178" s="11"/>
      <c r="G178" s="11"/>
      <c r="H178" s="11"/>
      <c r="I178" s="55"/>
      <c r="J178" s="55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</row>
    <row r="179" spans="1:41" x14ac:dyDescent="0.25">
      <c r="A179" s="11"/>
      <c r="B179" s="11"/>
      <c r="C179" s="11"/>
      <c r="D179" s="11"/>
      <c r="E179" s="11"/>
      <c r="F179" s="11"/>
      <c r="G179" s="11"/>
      <c r="H179" s="11"/>
      <c r="I179" s="55"/>
      <c r="J179" s="55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</row>
    <row r="180" spans="1:41" x14ac:dyDescent="0.25">
      <c r="A180" s="11"/>
      <c r="B180" s="11"/>
      <c r="C180" s="11"/>
      <c r="D180" s="11"/>
      <c r="E180" s="11"/>
      <c r="F180" s="11"/>
      <c r="G180" s="11"/>
      <c r="H180" s="11"/>
      <c r="I180" s="55"/>
      <c r="J180" s="55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</row>
    <row r="181" spans="1:41" x14ac:dyDescent="0.25">
      <c r="A181" s="11"/>
      <c r="B181" s="11"/>
      <c r="C181" s="11"/>
      <c r="D181" s="11"/>
      <c r="E181" s="11"/>
      <c r="F181" s="11"/>
      <c r="G181" s="11"/>
      <c r="H181" s="11"/>
      <c r="I181" s="55"/>
      <c r="J181" s="55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</row>
    <row r="182" spans="1:41" x14ac:dyDescent="0.25">
      <c r="A182" s="11"/>
      <c r="B182" s="11"/>
      <c r="C182" s="11"/>
      <c r="D182" s="11"/>
      <c r="E182" s="11"/>
      <c r="F182" s="11"/>
      <c r="G182" s="11"/>
      <c r="H182" s="11"/>
      <c r="I182" s="55"/>
      <c r="J182" s="55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</row>
    <row r="183" spans="1:41" x14ac:dyDescent="0.25">
      <c r="A183" s="11"/>
      <c r="B183" s="11"/>
      <c r="C183" s="11"/>
      <c r="D183" s="11"/>
      <c r="E183" s="11"/>
      <c r="F183" s="11"/>
      <c r="G183" s="11"/>
      <c r="H183" s="11"/>
      <c r="I183" s="55"/>
      <c r="J183" s="55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</row>
    <row r="184" spans="1:41" x14ac:dyDescent="0.25">
      <c r="A184" s="11"/>
      <c r="B184" s="11"/>
      <c r="C184" s="11"/>
      <c r="D184" s="11"/>
      <c r="E184" s="11"/>
      <c r="F184" s="11"/>
      <c r="G184" s="11"/>
      <c r="H184" s="11"/>
      <c r="I184" s="55"/>
      <c r="J184" s="55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</row>
    <row r="185" spans="1:41" x14ac:dyDescent="0.25">
      <c r="A185" s="11"/>
      <c r="B185" s="11"/>
      <c r="C185" s="11"/>
      <c r="D185" s="11"/>
      <c r="E185" s="11"/>
      <c r="F185" s="11"/>
      <c r="G185" s="11"/>
      <c r="H185" s="11"/>
      <c r="I185" s="55"/>
      <c r="J185" s="55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</row>
    <row r="186" spans="1:41" x14ac:dyDescent="0.25">
      <c r="A186" s="11"/>
      <c r="B186" s="11"/>
      <c r="C186" s="11"/>
      <c r="D186" s="11"/>
      <c r="E186" s="11"/>
      <c r="F186" s="11"/>
      <c r="G186" s="11"/>
      <c r="H186" s="11"/>
      <c r="I186" s="55"/>
      <c r="J186" s="55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</row>
    <row r="187" spans="1:41" x14ac:dyDescent="0.25">
      <c r="A187" s="11"/>
      <c r="B187" s="11"/>
      <c r="C187" s="11"/>
      <c r="D187" s="11"/>
      <c r="E187" s="11"/>
      <c r="F187" s="11"/>
      <c r="G187" s="11"/>
      <c r="H187" s="11"/>
      <c r="I187" s="55"/>
      <c r="J187" s="55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</row>
    <row r="188" spans="1:41" x14ac:dyDescent="0.25">
      <c r="A188" s="11"/>
      <c r="B188" s="11"/>
      <c r="C188" s="11"/>
      <c r="D188" s="11"/>
      <c r="E188" s="11"/>
      <c r="F188" s="11"/>
      <c r="G188" s="263"/>
      <c r="H188" s="11"/>
      <c r="I188" s="55"/>
      <c r="J188" s="55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</row>
    <row r="189" spans="1:41" x14ac:dyDescent="0.25">
      <c r="A189" s="11"/>
      <c r="B189" s="11"/>
      <c r="C189" s="11"/>
      <c r="D189" s="11"/>
      <c r="E189" s="11"/>
      <c r="F189" s="11"/>
      <c r="G189" s="11"/>
      <c r="H189" s="11"/>
      <c r="I189" s="55"/>
      <c r="J189" s="55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</row>
    <row r="190" spans="1:41" x14ac:dyDescent="0.25">
      <c r="A190" s="11"/>
      <c r="B190" s="11"/>
      <c r="C190" s="11"/>
      <c r="D190" s="11"/>
      <c r="E190" s="11"/>
      <c r="F190" s="11"/>
      <c r="G190" s="11"/>
      <c r="H190" s="11"/>
      <c r="I190" s="55"/>
      <c r="J190" s="55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</row>
    <row r="191" spans="1:41" x14ac:dyDescent="0.25">
      <c r="A191" s="11"/>
      <c r="B191" s="11"/>
      <c r="C191" s="11"/>
      <c r="D191" s="11"/>
      <c r="E191" s="11"/>
      <c r="F191" s="11"/>
      <c r="G191" s="11"/>
      <c r="H191" s="11"/>
      <c r="I191" s="55"/>
      <c r="J191" s="55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</row>
    <row r="192" spans="1:41" x14ac:dyDescent="0.25">
      <c r="A192" s="11"/>
      <c r="B192" s="11"/>
      <c r="C192" s="11"/>
      <c r="D192" s="11"/>
      <c r="E192" s="11"/>
      <c r="F192" s="11"/>
      <c r="G192" s="263"/>
      <c r="H192" s="11"/>
      <c r="I192" s="55"/>
      <c r="J192" s="55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</row>
  </sheetData>
  <sheetProtection algorithmName="SHA-512" hashValue="gip7NlPdGKj0W4FFrGAT+KVLpKCPHBEYdQTQ2YByFDwgAAATxM+lXpZHrGZf8uOIiFxPvKOFCS8M01mAMYH0zw==" saltValue="shC0iIh8o/3+VLctI2F6RQ==" spinCount="100000" sheet="1" scenarios="1"/>
  <mergeCells count="2">
    <mergeCell ref="AD31:AE31"/>
    <mergeCell ref="AG31:AH31"/>
  </mergeCells>
  <dataValidations disablePrompts="1" count="2">
    <dataValidation type="list" allowBlank="1" sqref="B85 B29 B57" xr:uid="{00000000-0002-0000-1A00-000000000000}">
      <formula1>"SELF,ALL,BAS,DEP,BASMEMBERS,MEMBERS,NOEXPAND,GDEP"</formula1>
    </dataValidation>
    <dataValidation type="list" allowBlank="1" sqref="B56 B28 B84" xr:uid="{00000000-0002-0000-1A00-000001000000}">
      <formula1>"ACCOUNT,BUSINESSUNIT,CATEGORY,DATASRC,DEPARTMENT,INTCO,MEASURES,RPTCURRENCY,TIME"</formula1>
    </dataValidation>
  </dataValidations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customProperties>
    <customPr name="EpmWorksheetKeyString_GUID" r:id="rId2"/>
    <customPr name="FPMExcelClientCellBasedFunctionStatus" r:id="rId3"/>
    <customPr name="FPMExcelClientRefreshTime" r:id="rId4"/>
  </customProperties>
  <legacyDrawing r:id="rId5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9">
    <tabColor theme="9" tint="0.39997558519241921"/>
    <pageSetUpPr fitToPage="1"/>
  </sheetPr>
  <dimension ref="A1:AO192"/>
  <sheetViews>
    <sheetView topLeftCell="K25" zoomScale="85" zoomScaleNormal="85" workbookViewId="0">
      <pane xSplit="4" ySplit="8" topLeftCell="O35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3" width="9.7109375" style="1" hidden="1" customWidth="1" outlineLevel="1"/>
    <col min="14" max="14" width="36.7109375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40" width="9.140625" style="1" hidden="1" customWidth="1" outlineLevel="1"/>
    <col min="41" max="41" width="9.140625" style="1" collapsed="1"/>
    <col min="42" max="16384" width="9.140625" style="1"/>
  </cols>
  <sheetData>
    <row r="1" spans="1:41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</row>
    <row r="2" spans="1:41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</row>
    <row r="3" spans="1:41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11"/>
      <c r="H4" s="11"/>
      <c r="I4" s="55"/>
      <c r="J4" s="55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11"/>
      <c r="H5" s="11"/>
      <c r="I5" s="55"/>
      <c r="J5" s="55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idden="1" outlineLevel="1" x14ac:dyDescent="0.25">
      <c r="A6" s="49" t="s">
        <v>52</v>
      </c>
      <c r="B6" s="52" t="s">
        <v>406</v>
      </c>
      <c r="C6" s="11" t="str">
        <f>IF(_epmOfflineCondition_,"Food &amp; Beverage Retail Shop",_xll.EVDES(B6,$B$1))</f>
        <v>Food &amp; Beverage Retail Shop</v>
      </c>
      <c r="D6" s="11"/>
      <c r="E6" s="54" t="str">
        <f>IF(_epmOfflineCondition_,"D2149",_xll.EVPRO($B$1,$B$6,$F$6))</f>
        <v>D2149</v>
      </c>
      <c r="F6" s="11" t="s">
        <v>278</v>
      </c>
      <c r="G6" s="11"/>
      <c r="H6" s="11"/>
      <c r="I6" s="55"/>
      <c r="J6" s="55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11"/>
      <c r="H7" s="11"/>
      <c r="I7" s="55"/>
      <c r="J7" s="55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11"/>
      <c r="H8" s="11"/>
      <c r="I8" s="55"/>
      <c r="J8" s="55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59" t="str">
        <f>IF(SetUp!$O$1=TRUE,"TRAILING12",IF(AA17="CURRENT","ROLLINGFORECAST","PERIODIC"))</f>
        <v>PERIODIC</v>
      </c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11"/>
      <c r="M12" s="11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  <c r="AJ12" s="11"/>
      <c r="AK12" s="11"/>
      <c r="AL12" s="11"/>
      <c r="AM12" s="11"/>
      <c r="AN12" s="11"/>
      <c r="AO12" s="11"/>
    </row>
    <row r="13" spans="1:41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11"/>
      <c r="M13" s="11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  <c r="AJ13" s="11"/>
      <c r="AK13" s="11"/>
      <c r="AL13" s="11"/>
      <c r="AM13" s="11"/>
      <c r="AN13" s="11"/>
      <c r="AO13" s="11"/>
    </row>
    <row r="14" spans="1:41" hidden="1" outlineLevel="1" x14ac:dyDescent="0.25">
      <c r="A14" s="56" t="str">
        <f>IF(_epmOfflineCondition_,"Evdre:Ok",_xll.EVDRE($B$1,A17:B24,A27:B33))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11"/>
      <c r="M14" s="11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  <c r="AJ14" s="11"/>
      <c r="AK14" s="11"/>
      <c r="AL14" s="11"/>
      <c r="AM14" s="11"/>
      <c r="AN14" s="11"/>
      <c r="AO14" s="11"/>
    </row>
    <row r="15" spans="1:41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11"/>
      <c r="M15" s="11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  <c r="AJ15" s="11"/>
      <c r="AK15" s="11"/>
      <c r="AL15" s="11"/>
      <c r="AM15" s="11"/>
      <c r="AN15" s="11"/>
      <c r="AO15" s="11"/>
    </row>
    <row r="16" spans="1:41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11"/>
      <c r="M16" s="11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  <c r="AJ16" s="11"/>
      <c r="AK16" s="11"/>
      <c r="AL16" s="11"/>
      <c r="AM16" s="11"/>
      <c r="AN16" s="11"/>
      <c r="AO16" s="11"/>
    </row>
    <row r="17" spans="1:41" hidden="1" outlineLevel="1" x14ac:dyDescent="0.25">
      <c r="A17" s="61" t="s">
        <v>2</v>
      </c>
      <c r="B17" s="62" t="str">
        <f>IF(_epmOfflineCondition_,"'FB_Retail'!$B$2:$B$10",_xll.EVRNG($B$2:$B$10))</f>
        <v>'FB_Retail'!$B$2:$B$10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11"/>
      <c r="M17" s="11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 t="str">
        <f>Z17</f>
        <v>ACTUAL_CON</v>
      </c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  <c r="AJ17" s="11"/>
      <c r="AK17" s="11"/>
      <c r="AL17" s="11"/>
      <c r="AM17" s="11"/>
      <c r="AN17" s="11"/>
      <c r="AO17" s="11"/>
    </row>
    <row r="18" spans="1:41" hidden="1" outlineLevel="1" x14ac:dyDescent="0.25">
      <c r="A18" s="61" t="s">
        <v>3</v>
      </c>
      <c r="B18" s="62" t="str">
        <f>IF(_epmOfflineCondition_,"'FB_Retail'!$O$16:$AN$18",_xll.EVRNG($O$16:$AN$18))</f>
        <v>'FB_Retail'!$O$16:$AN$18</v>
      </c>
      <c r="C18" s="11"/>
      <c r="D18" s="11"/>
      <c r="E18" s="11"/>
      <c r="F18" s="11"/>
      <c r="G18" s="11"/>
      <c r="H18" s="11"/>
      <c r="I18" s="55"/>
      <c r="J18" s="55"/>
      <c r="K18" s="11"/>
      <c r="L18" s="11"/>
      <c r="M18" s="11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11"/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  <c r="AJ18" s="11"/>
      <c r="AK18" s="11"/>
      <c r="AL18" s="11"/>
      <c r="AM18" s="11"/>
      <c r="AN18" s="11"/>
      <c r="AO18" s="11"/>
    </row>
    <row r="19" spans="1:41" hidden="1" outlineLevel="1" x14ac:dyDescent="0.25">
      <c r="A19" s="61" t="s">
        <v>4</v>
      </c>
      <c r="B19" s="62" t="str">
        <f>IF(_epmOfflineCondition_,"'FB_Retail'!$H$34:$H$43",_xll.EVRNG(H34:H43))</f>
        <v>'FB_Retail'!$H$34:$H$43</v>
      </c>
      <c r="C19" s="11"/>
      <c r="D19" s="11"/>
      <c r="E19" s="11"/>
      <c r="F19" s="11"/>
      <c r="G19" s="63" t="str">
        <f>$B$6</f>
        <v>D2149</v>
      </c>
      <c r="H19" s="63">
        <v>400000</v>
      </c>
      <c r="I19" s="64"/>
      <c r="J19" s="64"/>
      <c r="K19" s="63"/>
      <c r="L19" s="63"/>
      <c r="M19" s="63"/>
      <c r="N19" s="63" t="str">
        <f>IF(_epmOfflineCondition_,"Total Revenue",_xll.EVDES(H19))</f>
        <v>Total Revenue</v>
      </c>
      <c r="O19" s="65">
        <f>IF(_epmOfflineCondition_,0,_xll.EVGTS($B$1,1,$B$3,$B$5,$B$7,$B$9,O$16,O$17,O$18,$G$19,$H$19))</f>
        <v>0</v>
      </c>
      <c r="P19" s="65">
        <f>IF(_epmOfflineCondition_,0,_xll.EVGTS($B$1,1,$B$3,$B$5,$B$7,$B$9,P$16,P$17,P$18,$G$19,$H$19))</f>
        <v>0</v>
      </c>
      <c r="Q19" s="65">
        <f>IF(_epmOfflineCondition_,0,_xll.EVGTS($B$1,1,$B$3,$B$5,$B$7,$B$9,Q$16,Q$17,Q$18,$G$19,$H$19))</f>
        <v>0</v>
      </c>
      <c r="R19" s="65">
        <f>IF(_epmOfflineCondition_,0,_xll.EVGTS($B$1,1,$B$3,$B$5,$B$7,$B$9,R$16,R$17,R$18,$G$19,$H$19))</f>
        <v>0</v>
      </c>
      <c r="S19" s="65">
        <f>IF(_epmOfflineCondition_,0,_xll.EVGTS($B$1,1,$B$3,$B$5,$B$7,$B$9,S$16,S$17,S$18,$G$19,$H$19))</f>
        <v>0</v>
      </c>
      <c r="T19" s="65">
        <f>IF(_epmOfflineCondition_,0,_xll.EVGTS($B$1,1,$B$3,$B$5,$B$7,$B$9,T$16,T$17,T$18,$G$19,$H$19))</f>
        <v>0</v>
      </c>
      <c r="U19" s="65">
        <f>IF(_epmOfflineCondition_,0,_xll.EVGTS($B$1,1,$B$3,$B$5,$B$7,$B$9,U$16,U$17,U$18,$G$19,$H$19))</f>
        <v>0</v>
      </c>
      <c r="V19" s="65">
        <f>IF(_epmOfflineCondition_,0,_xll.EVGTS($B$1,1,$B$3,$B$5,$B$7,$B$9,V$16,V$17,V$18,$G$19,$H$19))</f>
        <v>0</v>
      </c>
      <c r="W19" s="65">
        <f>IF(_epmOfflineCondition_,0,_xll.EVGTS($B$1,1,$B$3,$B$5,$B$7,$B$9,W$16,W$17,W$18,$G$19,$H$19))</f>
        <v>0</v>
      </c>
      <c r="X19" s="65">
        <f>IF(_epmOfflineCondition_,0,_xll.EVGTS($B$1,1,$B$3,$B$5,$B$7,$B$9,X$16,X$17,X$18,$G$19,$H$19))</f>
        <v>0</v>
      </c>
      <c r="Y19" s="65">
        <f>IF(_epmOfflineCondition_,0,_xll.EVGTS($B$1,1,$B$3,$B$5,$B$7,$B$9,Y$16,Y$17,Y$18,$G$19,$H$19))</f>
        <v>0</v>
      </c>
      <c r="Z19" s="65">
        <f>IF(_epmOfflineCondition_,0,_xll.EVGTS($B$1,1,$B$3,$B$5,$B$7,$B$9,Z$16,Z$17,Z$18,$G$19,$H$19))</f>
        <v>0</v>
      </c>
      <c r="AA19" s="65">
        <f>SUM(O19:Z19)</f>
        <v>0</v>
      </c>
      <c r="AB19" s="63"/>
      <c r="AC19" s="63"/>
      <c r="AD19" s="65">
        <f>IF(_epmOfflineCondition_,0,_xll.EVGTS($B$1,1,$B$3,$B$5,$B$7,$B$9,AD$16,AD$17,AD$18,$G$19,$H$19))</f>
        <v>0</v>
      </c>
      <c r="AE19" s="63"/>
      <c r="AF19" s="63"/>
      <c r="AG19" s="65">
        <f>IF(_epmOfflineCondition_,0,_xll.EVGTS($B$1,1,$B$3,$B$5,$B$7,$B$9,AG$16,AG$17,AG$18,$G$19,$H$19))</f>
        <v>0</v>
      </c>
      <c r="AH19" s="63"/>
      <c r="AI19" s="63"/>
      <c r="AJ19" s="11"/>
      <c r="AK19" s="11"/>
      <c r="AL19" s="11"/>
      <c r="AM19" s="11"/>
      <c r="AN19" s="11"/>
      <c r="AO19" s="11"/>
    </row>
    <row r="20" spans="1:41" hidden="1" outlineLevel="1" x14ac:dyDescent="0.25">
      <c r="A20" s="61" t="s">
        <v>5</v>
      </c>
      <c r="B20" s="62"/>
      <c r="C20" s="11"/>
      <c r="D20" s="11"/>
      <c r="E20" s="11"/>
      <c r="F20" s="11"/>
      <c r="G20" s="63" t="s">
        <v>750</v>
      </c>
      <c r="H20" s="63">
        <v>900200</v>
      </c>
      <c r="I20" s="64"/>
      <c r="J20" s="64"/>
      <c r="K20" s="63"/>
      <c r="L20" s="64"/>
      <c r="M20" s="64"/>
      <c r="N20" s="63" t="str">
        <f>IF(_epmOfflineCondition_,"Total Rooms Occupied",_xll.EVDES(H20))</f>
        <v>Total Rooms Occupied</v>
      </c>
      <c r="O20" s="65">
        <f>IF(_epmOfflineCondition_,2885,_xll.EVGTS($B$1,1,$B$3,$B$5,$B$7,$B$9,O$16,O$17,O$18,$G$20,$H$20))</f>
        <v>2885</v>
      </c>
      <c r="P20" s="65">
        <f>IF(_epmOfflineCondition_,2648,_xll.EVGTS($B$1,1,$B$3,$B$5,$B$7,$B$9,P$16,P$17,P$18,$G$20,$H$20))</f>
        <v>2648</v>
      </c>
      <c r="Q20" s="65">
        <f>IF(_epmOfflineCondition_,3038,_xll.EVGTS($B$1,1,$B$3,$B$5,$B$7,$B$9,Q$16,Q$17,Q$18,$G$20,$H$20))</f>
        <v>3038</v>
      </c>
      <c r="R20" s="65">
        <f>IF(_epmOfflineCondition_,2737,_xll.EVGTS($B$1,1,$B$3,$B$5,$B$7,$B$9,R$16,R$17,R$18,$G$20,$H$20))</f>
        <v>2737</v>
      </c>
      <c r="S20" s="65">
        <f>IF(_epmOfflineCondition_,2600,_xll.EVGTS($B$1,1,$B$3,$B$5,$B$7,$B$9,S$16,S$17,S$18,$G$20,$H$20))</f>
        <v>2600</v>
      </c>
      <c r="T20" s="65">
        <f>IF(_epmOfflineCondition_,2202,_xll.EVGTS($B$1,1,$B$3,$B$5,$B$7,$B$9,T$16,T$17,T$18,$G$20,$H$20))</f>
        <v>2202</v>
      </c>
      <c r="U20" s="65">
        <f>IF(_epmOfflineCondition_,2516,_xll.EVGTS($B$1,1,$B$3,$B$5,$B$7,$B$9,U$16,U$17,U$18,$G$20,$H$20))</f>
        <v>2516</v>
      </c>
      <c r="V20" s="65">
        <f>IF(_epmOfflineCondition_,2830,_xll.EVGTS($B$1,1,$B$3,$B$5,$B$7,$B$9,V$16,V$17,V$18,$G$20,$H$20))</f>
        <v>2830</v>
      </c>
      <c r="W20" s="65">
        <f>IF(_epmOfflineCondition_,2120,_xll.EVGTS($B$1,1,$B$3,$B$5,$B$7,$B$9,W$16,W$17,W$18,$G$20,$H$20))</f>
        <v>2120</v>
      </c>
      <c r="X20" s="65">
        <f>IF(_epmOfflineCondition_,2772,_xll.EVGTS($B$1,1,$B$3,$B$5,$B$7,$B$9,X$16,X$17,X$18,$G$20,$H$20))</f>
        <v>2772</v>
      </c>
      <c r="Y20" s="65">
        <f>IF(_epmOfflineCondition_,2993,_xll.EVGTS($B$1,1,$B$3,$B$5,$B$7,$B$9,Y$16,Y$17,Y$18,$G$20,$H$20))</f>
        <v>2993</v>
      </c>
      <c r="Z20" s="65">
        <f>IF(_epmOfflineCondition_,3541,_xll.EVGTS($B$1,1,$B$3,$B$5,$B$7,$B$9,Z$16,Z$17,Z$18,$G$20,$H$20))</f>
        <v>3541</v>
      </c>
      <c r="AA20" s="65">
        <f>SUM(O20:Z20)</f>
        <v>32882</v>
      </c>
      <c r="AB20" s="63"/>
      <c r="AC20" s="63"/>
      <c r="AD20" s="65">
        <f>IF(_epmOfflineCondition_,36386,_xll.EVGTS($B$1,1,$B$3,$B$5,$B$7,$B$9,AD$16,AD$17,AD$18,$G$20,$H$20))</f>
        <v>36386</v>
      </c>
      <c r="AE20" s="63"/>
      <c r="AF20" s="63"/>
      <c r="AG20" s="65">
        <f>IF(_epmOfflineCondition_,15180,_xll.EVGTS($B$1,1,$B$3,$B$5,$B$7,$B$9,AG$16,AG$17,AG$18,$G$20,$H$20))</f>
        <v>15180</v>
      </c>
      <c r="AH20" s="63"/>
      <c r="AI20" s="63"/>
      <c r="AJ20" s="11"/>
      <c r="AK20" s="11"/>
      <c r="AL20" s="11"/>
      <c r="AM20" s="11"/>
      <c r="AN20" s="11"/>
      <c r="AO20" s="11"/>
    </row>
    <row r="21" spans="1:41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idden="1" outlineLevel="1" x14ac:dyDescent="0.25">
      <c r="A22" s="61" t="s">
        <v>7</v>
      </c>
      <c r="B22" s="62" t="str">
        <f>IF(_epmOfflineCondition_,"'FB_Retail'!$A$36:$F$40",_xll.EVRNG(A36:F40))</f>
        <v>'FB_Retail'!$A$36:$F$40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idden="1" outlineLevel="1" x14ac:dyDescent="0.25">
      <c r="A23" s="61" t="s">
        <v>47</v>
      </c>
      <c r="B23" s="62" t="str">
        <f>IF(_epmOfflineCondition_,"'FB_Retail'!$A$116:$B$137",_xll.EVRNG($A$116:$B$137))</f>
        <v>'FB_Retail'!$A$116:$B$137</v>
      </c>
      <c r="C23" s="11"/>
      <c r="D23" s="11"/>
      <c r="E23" s="11"/>
      <c r="F23" s="11"/>
      <c r="G23" s="11"/>
      <c r="H23" s="11"/>
      <c r="I23" s="55"/>
      <c r="J23" s="55"/>
      <c r="K23" s="6"/>
      <c r="L23" s="6"/>
      <c r="M23" s="6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380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22.5" x14ac:dyDescent="0.3">
      <c r="A26" s="57" t="s">
        <v>9</v>
      </c>
      <c r="B26" s="58" t="s">
        <v>10</v>
      </c>
      <c r="C26" s="11"/>
      <c r="D26" s="11"/>
      <c r="E26" s="11"/>
      <c r="F26" s="11"/>
      <c r="G26" s="11"/>
      <c r="H26" s="11"/>
      <c r="I26" s="55"/>
      <c r="J26" s="55"/>
      <c r="K26" s="11"/>
      <c r="L26" s="11"/>
      <c r="M26" s="11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8" x14ac:dyDescent="0.25">
      <c r="A27" s="61" t="s">
        <v>11</v>
      </c>
      <c r="B27" s="62" t="s">
        <v>21</v>
      </c>
      <c r="C27" s="11"/>
      <c r="D27" s="11"/>
      <c r="E27" s="11"/>
      <c r="F27" s="11"/>
      <c r="G27" s="11"/>
      <c r="H27" s="11"/>
      <c r="I27" s="55"/>
      <c r="J27" s="55"/>
      <c r="K27" s="11"/>
      <c r="L27" s="11"/>
      <c r="M27" s="11"/>
      <c r="N27" s="67" t="str">
        <f>IF(_epmOfflineCondition_,"Food &amp; Beverage Retail Shop Department",IF(_xll.EVDES(B6,$B$1)="#NODATA","",_xll.EVDES(B6,$B$1)&amp;" Department"))</f>
        <v>Food &amp; Beverage Retail Shop Department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x14ac:dyDescent="0.25">
      <c r="A28" s="61" t="s">
        <v>12</v>
      </c>
      <c r="B28" s="62" t="s">
        <v>22</v>
      </c>
      <c r="C28" s="11"/>
      <c r="D28" s="11"/>
      <c r="E28" s="11"/>
      <c r="F28" s="11"/>
      <c r="G28" s="11"/>
      <c r="H28" s="11"/>
      <c r="I28" s="55"/>
      <c r="J28" s="55"/>
      <c r="K28" s="11"/>
      <c r="L28" s="11"/>
      <c r="M28" s="11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" customHeight="1" x14ac:dyDescent="0.25">
      <c r="A29" s="61" t="s">
        <v>13</v>
      </c>
      <c r="B29" s="62" t="str">
        <f>"DEP(469000) AND "&amp;$E$6&amp;"=Y,400000"</f>
        <v>DEP(469000) AND D2149=Y,400000</v>
      </c>
      <c r="C29" s="11"/>
      <c r="D29" s="11"/>
      <c r="E29" s="11"/>
      <c r="F29" s="11"/>
      <c r="G29" s="11"/>
      <c r="H29" s="11"/>
      <c r="I29" s="55"/>
      <c r="J29" s="55"/>
      <c r="K29" s="11"/>
      <c r="L29" s="11"/>
      <c r="M29" s="11"/>
      <c r="N29" s="68" t="str">
        <f>IF(_epmOfflineCondition_,"Local Currency",_xll.EVDES(B9,B1))</f>
        <v>Local Currency</v>
      </c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x14ac:dyDescent="0.25">
      <c r="A30" s="61" t="s">
        <v>14</v>
      </c>
      <c r="B30" s="62"/>
      <c r="C30" s="11"/>
      <c r="D30" s="11"/>
      <c r="E30" s="11"/>
      <c r="F30" s="11"/>
      <c r="G30" s="11"/>
      <c r="H30" s="11"/>
      <c r="I30" s="55"/>
      <c r="J30" s="55"/>
      <c r="K30" s="11"/>
      <c r="L30" s="11"/>
      <c r="M30" s="11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  <c r="AJ30" s="69" t="s">
        <v>749</v>
      </c>
      <c r="AK30" s="70"/>
      <c r="AL30" s="71"/>
      <c r="AM30" s="70" t="s">
        <v>751</v>
      </c>
      <c r="AN30" s="70"/>
      <c r="AO30" s="11"/>
    </row>
    <row r="31" spans="1:41" x14ac:dyDescent="0.25">
      <c r="A31" s="61" t="s">
        <v>15</v>
      </c>
      <c r="B31" s="62"/>
      <c r="C31" s="11"/>
      <c r="D31" s="11"/>
      <c r="E31" s="11"/>
      <c r="F31" s="11"/>
      <c r="G31" s="72"/>
      <c r="H31" s="11"/>
      <c r="I31" s="55"/>
      <c r="J31" s="55"/>
      <c r="K31" s="55"/>
      <c r="L31" s="55"/>
      <c r="M31" s="55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  <c r="AJ31" s="73" t="str">
        <f>IF(_epmOfflineCondition_,"2019",_xll.EVPRO($B$1,AA$16,"YEAR"))</f>
        <v>2019</v>
      </c>
      <c r="AK31" s="76" t="str">
        <f>IF(_epmOfflineCondition_,"2019",_xll.EVPRO($B$1,AD$16,"YEAR"))</f>
        <v>2019</v>
      </c>
      <c r="AL31" s="76" t="str">
        <f>IF(_epmOfflineCondition_,"2018",_xll.EVPRO($B$1,AG$16,"YEAR"))</f>
        <v>2018</v>
      </c>
      <c r="AM31" s="73" t="str">
        <f>"vs "&amp;AK31</f>
        <v>vs 2019</v>
      </c>
      <c r="AN31" s="73" t="str">
        <f>"vs "&amp;AL31</f>
        <v>vs 2018</v>
      </c>
      <c r="AO31" s="11"/>
    </row>
    <row r="32" spans="1:41" s="8" customFormat="1" ht="30" customHeight="1" x14ac:dyDescent="0.25">
      <c r="A32" s="77" t="s">
        <v>16</v>
      </c>
      <c r="B32" s="78"/>
      <c r="C32" s="79"/>
      <c r="D32" s="79"/>
      <c r="E32" s="79"/>
      <c r="F32" s="79"/>
      <c r="G32" s="359"/>
      <c r="H32" s="80"/>
      <c r="I32" s="81"/>
      <c r="J32" s="81"/>
      <c r="K32" s="174" t="s">
        <v>117</v>
      </c>
      <c r="L32" s="174"/>
      <c r="M32" s="174"/>
      <c r="N32" s="82" t="s">
        <v>120</v>
      </c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  <c r="AJ32" s="83" t="str">
        <f>Z32</f>
        <v>Actual</v>
      </c>
      <c r="AK32" s="76" t="str">
        <f>AD32</f>
        <v>Budget</v>
      </c>
      <c r="AL32" s="83" t="str">
        <f>AG32</f>
        <v>Actual</v>
      </c>
      <c r="AM32" s="73" t="s">
        <v>748</v>
      </c>
      <c r="AN32" s="73" t="s">
        <v>748</v>
      </c>
      <c r="AO32" s="79"/>
    </row>
    <row r="33" spans="1:41" x14ac:dyDescent="0.25">
      <c r="A33" s="61" t="s">
        <v>17</v>
      </c>
      <c r="B33" s="62"/>
      <c r="C33" s="11"/>
      <c r="D33" s="11"/>
      <c r="E33" s="11"/>
      <c r="F33" s="11"/>
      <c r="G33" s="11"/>
      <c r="H33" s="11" t="s">
        <v>69</v>
      </c>
      <c r="I33" s="55" t="str">
        <f>IF(_epmOfflineCondition_,"B1",_xll.EVPRO($B$1,$H33,"STYLE"))</f>
        <v>B1</v>
      </c>
      <c r="J33" s="55" t="str">
        <f>IF(_epmOfflineCondition_,"Y",_xll.EVPRO($B$1,$H33,"CALC"))</f>
        <v>Y</v>
      </c>
      <c r="K33" s="11"/>
      <c r="L33" s="11"/>
      <c r="M33" s="11"/>
      <c r="N33" s="101" t="str">
        <f>IF(_epmOfflineCondition_,"Revenues",IF(_xll.EVDES(H33,$B$1)="#NODATA","",_xll.EVDES(H33,$B$1)))</f>
        <v>Revenues</v>
      </c>
      <c r="O33" s="125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7"/>
      <c r="AC33" s="11"/>
      <c r="AD33" s="125"/>
      <c r="AE33" s="126"/>
      <c r="AF33" s="127"/>
      <c r="AG33" s="125"/>
      <c r="AH33" s="126"/>
      <c r="AI33" s="127"/>
      <c r="AJ33" s="11"/>
      <c r="AK33" s="11"/>
      <c r="AL33" s="11"/>
      <c r="AM33" s="11"/>
      <c r="AN33" s="11"/>
      <c r="AO33" s="11"/>
    </row>
    <row r="34" spans="1:41" x14ac:dyDescent="0.25">
      <c r="A34" s="11"/>
      <c r="B34" s="11"/>
      <c r="C34" s="11"/>
      <c r="D34" s="11"/>
      <c r="E34" s="11"/>
      <c r="F34" s="11"/>
      <c r="G34" s="11"/>
      <c r="H34" s="84" t="s">
        <v>407</v>
      </c>
      <c r="I34" s="118" t="str">
        <f>IF(_epmOfflineCondition_,"T5",_xll.EVPRO($B$1,$H34,"STYLE"))</f>
        <v>T5</v>
      </c>
      <c r="J34" s="118" t="str">
        <f>IF(_epmOfflineCondition_,"Y",_xll.EVPRO($B$1,$H34,"CALC"))</f>
        <v>Y</v>
      </c>
      <c r="K34" s="175" t="str">
        <f t="shared" ref="K34:K43" si="0">IF(AND(I34&gt;="T5"),"&gt;","")</f>
        <v>&gt;</v>
      </c>
      <c r="L34" s="86" t="str">
        <f>IF(_epmOfflineCondition_,"469100",_xll.EVPRO($B$1,H34,"JDEID"))</f>
        <v>469100</v>
      </c>
      <c r="M34" s="86" t="str">
        <f>IF(_epmOfflineCondition_,"",IF(AND(I34="N",J34="N"),_xll.EVPRO($B$1,H34,"PSFTID"),""))</f>
        <v/>
      </c>
      <c r="N34" s="86" t="str">
        <f>IF(_epmOfflineCondition_,"Food Revenue",IF(_xll.EVDES(H34,$B$1)="#NODATA","",_xll.EVDES(H34,$B$1)))</f>
        <v>Food Revenue</v>
      </c>
      <c r="O34" s="134"/>
      <c r="P34" s="134"/>
      <c r="Q34" s="134"/>
      <c r="R34" s="134"/>
      <c r="S34" s="134"/>
      <c r="T34" s="134"/>
      <c r="U34" s="134"/>
      <c r="V34" s="134"/>
      <c r="W34" s="134"/>
      <c r="X34" s="134"/>
      <c r="Y34" s="134"/>
      <c r="Z34" s="134"/>
      <c r="AA34" s="223">
        <f t="shared" ref="AA34:AA43" si="1">IF($I34="B1","",SUM(O34:Z34))</f>
        <v>0</v>
      </c>
      <c r="AB34" s="138" t="str">
        <f t="shared" ref="AB34:AB43" si="2">IF(AA34=0,"",IFERROR(AA34/AA$19,""))</f>
        <v/>
      </c>
      <c r="AC34" s="136"/>
      <c r="AD34" s="134"/>
      <c r="AE34" s="138" t="str">
        <f t="shared" ref="AE34:AE43" si="3">IF(AD34=0,"",IFERROR(AD34/AD$19,""))</f>
        <v/>
      </c>
      <c r="AF34" s="137">
        <f t="shared" ref="AF34:AF43" si="4">IF(AND($AA34="",AD34=""),"",$AA34-AD34)</f>
        <v>0</v>
      </c>
      <c r="AG34" s="134"/>
      <c r="AH34" s="138" t="str">
        <f t="shared" ref="AH34:AH43" si="5">IF(AG34=0,"",IFERROR(AG34/AG$19,""))</f>
        <v/>
      </c>
      <c r="AI34" s="137">
        <f t="shared" ref="AI34:AI43" si="6">IF(AND($AA34="",AG34=""),"",$AA34-AG34)</f>
        <v>0</v>
      </c>
      <c r="AJ34" s="458">
        <f t="shared" ref="AJ34:AJ43" si="7">IFERROR(AA34/AA$20,0)</f>
        <v>0</v>
      </c>
      <c r="AK34" s="459">
        <f t="shared" ref="AK34:AK43" si="8">IFERROR(AD34/AD$20,0)</f>
        <v>0</v>
      </c>
      <c r="AL34" s="460">
        <f t="shared" ref="AL34:AL43" si="9">IFERROR(AG34/AG$20,0)</f>
        <v>0</v>
      </c>
      <c r="AM34" s="461">
        <f t="shared" ref="AM34:AM43" si="10">+IFERROR(ROUND(($AB34-AE34)*100,2)&amp;" pts.",0)</f>
        <v>0</v>
      </c>
      <c r="AN34" s="462">
        <f t="shared" ref="AN34:AN43" si="11">+IFERROR(ROUND(($AB34-AH34)*100,2)&amp;" pts.",0)</f>
        <v>0</v>
      </c>
      <c r="AO34" s="11"/>
    </row>
    <row r="35" spans="1:41" x14ac:dyDescent="0.25">
      <c r="A35" s="93" t="s">
        <v>92</v>
      </c>
      <c r="B35" s="94" t="s">
        <v>93</v>
      </c>
      <c r="C35" s="94" t="s">
        <v>94</v>
      </c>
      <c r="D35" s="94" t="s">
        <v>95</v>
      </c>
      <c r="E35" s="94" t="s">
        <v>96</v>
      </c>
      <c r="F35" s="95" t="s">
        <v>97</v>
      </c>
      <c r="G35" s="11"/>
      <c r="H35" s="84" t="s">
        <v>408</v>
      </c>
      <c r="I35" s="118" t="str">
        <f>IF(_epmOfflineCondition_,"T5",_xll.EVPRO($B$1,$H35,"STYLE"))</f>
        <v>T5</v>
      </c>
      <c r="J35" s="118" t="str">
        <f>IF(_epmOfflineCondition_,"Y",_xll.EVPRO($B$1,$H35,"CALC"))</f>
        <v>Y</v>
      </c>
      <c r="K35" s="175" t="str">
        <f t="shared" si="0"/>
        <v>&gt;</v>
      </c>
      <c r="L35" s="86" t="str">
        <f>IF(_epmOfflineCondition_,"469200",_xll.EVPRO($B$1,H35,"JDEID"))</f>
        <v>469200</v>
      </c>
      <c r="M35" s="86" t="str">
        <f>IF(_epmOfflineCondition_,"",IF(AND(I35="N",J35="N"),_xll.EVPRO($B$1,H35,"PSFTID"),""))</f>
        <v/>
      </c>
      <c r="N35" s="86" t="str">
        <f>IF(_epmOfflineCondition_,"Food Revenue - Retail",IF(_xll.EVDES(H35,$B$1)="#NODATA","",_xll.EVDES(H35,$B$1)))</f>
        <v>Food Revenue - Retail</v>
      </c>
      <c r="O35" s="134"/>
      <c r="P35" s="134"/>
      <c r="Q35" s="134"/>
      <c r="R35" s="134"/>
      <c r="S35" s="134"/>
      <c r="T35" s="134"/>
      <c r="U35" s="134"/>
      <c r="V35" s="134"/>
      <c r="W35" s="134"/>
      <c r="X35" s="134"/>
      <c r="Y35" s="134"/>
      <c r="Z35" s="134"/>
      <c r="AA35" s="223">
        <f t="shared" si="1"/>
        <v>0</v>
      </c>
      <c r="AB35" s="138" t="str">
        <f t="shared" si="2"/>
        <v/>
      </c>
      <c r="AC35" s="136"/>
      <c r="AD35" s="134"/>
      <c r="AE35" s="138" t="str">
        <f t="shared" si="3"/>
        <v/>
      </c>
      <c r="AF35" s="137">
        <f t="shared" si="4"/>
        <v>0</v>
      </c>
      <c r="AG35" s="134"/>
      <c r="AH35" s="138" t="str">
        <f t="shared" si="5"/>
        <v/>
      </c>
      <c r="AI35" s="137">
        <f t="shared" si="6"/>
        <v>0</v>
      </c>
      <c r="AJ35" s="458">
        <f t="shared" si="7"/>
        <v>0</v>
      </c>
      <c r="AK35" s="459">
        <f t="shared" si="8"/>
        <v>0</v>
      </c>
      <c r="AL35" s="460">
        <f t="shared" si="9"/>
        <v>0</v>
      </c>
      <c r="AM35" s="461">
        <f t="shared" si="10"/>
        <v>0</v>
      </c>
      <c r="AN35" s="462">
        <f t="shared" si="11"/>
        <v>0</v>
      </c>
      <c r="AO35" s="11"/>
    </row>
    <row r="36" spans="1:41" x14ac:dyDescent="0.25">
      <c r="A36" s="11"/>
      <c r="B36" s="11"/>
      <c r="C36" s="11"/>
      <c r="D36" s="11"/>
      <c r="E36" s="11"/>
      <c r="F36" s="11"/>
      <c r="G36" s="11"/>
      <c r="H36" s="84" t="s">
        <v>409</v>
      </c>
      <c r="I36" s="118" t="str">
        <f>IF(_epmOfflineCondition_,"T5",_xll.EVPRO($B$1,$H36,"STYLE"))</f>
        <v>T5</v>
      </c>
      <c r="J36" s="118" t="str">
        <f>IF(_epmOfflineCondition_,"Y",_xll.EVPRO($B$1,$H36,"CALC"))</f>
        <v>Y</v>
      </c>
      <c r="K36" s="175" t="str">
        <f t="shared" si="0"/>
        <v>&gt;</v>
      </c>
      <c r="L36" s="86" t="str">
        <f>IF(_epmOfflineCondition_,"469300",_xll.EVPRO($B$1,H36,"JDEID"))</f>
        <v>469300</v>
      </c>
      <c r="M36" s="86" t="str">
        <f>IF(_epmOfflineCondition_,"",IF(AND(I36="N",J36="N"),_xll.EVPRO($B$1,H36,"PSFTID"),""))</f>
        <v/>
      </c>
      <c r="N36" s="86" t="str">
        <f>IF(_epmOfflineCondition_,"Liquor Revenue - Retail",IF(_xll.EVDES(H36,$B$1)="#NODATA","",_xll.EVDES(H36,$B$1)))</f>
        <v>Liquor Revenue - Retail</v>
      </c>
      <c r="O36" s="134"/>
      <c r="P36" s="134"/>
      <c r="Q36" s="134"/>
      <c r="R36" s="134"/>
      <c r="S36" s="134"/>
      <c r="T36" s="134"/>
      <c r="U36" s="134"/>
      <c r="V36" s="134"/>
      <c r="W36" s="134"/>
      <c r="X36" s="134"/>
      <c r="Y36" s="134"/>
      <c r="Z36" s="134"/>
      <c r="AA36" s="223">
        <f t="shared" si="1"/>
        <v>0</v>
      </c>
      <c r="AB36" s="138" t="str">
        <f t="shared" si="2"/>
        <v/>
      </c>
      <c r="AC36" s="136"/>
      <c r="AD36" s="134"/>
      <c r="AE36" s="138" t="str">
        <f t="shared" si="3"/>
        <v/>
      </c>
      <c r="AF36" s="137">
        <f t="shared" si="4"/>
        <v>0</v>
      </c>
      <c r="AG36" s="134"/>
      <c r="AH36" s="138" t="str">
        <f t="shared" si="5"/>
        <v/>
      </c>
      <c r="AI36" s="137">
        <f t="shared" si="6"/>
        <v>0</v>
      </c>
      <c r="AJ36" s="458">
        <f t="shared" si="7"/>
        <v>0</v>
      </c>
      <c r="AK36" s="459">
        <f t="shared" si="8"/>
        <v>0</v>
      </c>
      <c r="AL36" s="460">
        <f t="shared" si="9"/>
        <v>0</v>
      </c>
      <c r="AM36" s="461">
        <f t="shared" si="10"/>
        <v>0</v>
      </c>
      <c r="AN36" s="462">
        <f t="shared" si="11"/>
        <v>0</v>
      </c>
      <c r="AO36" s="11"/>
    </row>
    <row r="37" spans="1:41" x14ac:dyDescent="0.25">
      <c r="A37" s="11" t="s">
        <v>105</v>
      </c>
      <c r="B37" s="11"/>
      <c r="C37" s="100" t="s">
        <v>101</v>
      </c>
      <c r="D37" s="11" t="s">
        <v>106</v>
      </c>
      <c r="E37" s="11"/>
      <c r="F37" s="11" t="s">
        <v>98</v>
      </c>
      <c r="G37" s="11"/>
      <c r="H37" s="84" t="s">
        <v>410</v>
      </c>
      <c r="I37" s="118" t="str">
        <f>IF(_epmOfflineCondition_,"T5",_xll.EVPRO($B$1,$H37,"STYLE"))</f>
        <v>T5</v>
      </c>
      <c r="J37" s="118" t="str">
        <f>IF(_epmOfflineCondition_,"Y",_xll.EVPRO($B$1,$H37,"CALC"))</f>
        <v>Y</v>
      </c>
      <c r="K37" s="175" t="str">
        <f t="shared" si="0"/>
        <v>&gt;</v>
      </c>
      <c r="L37" s="86" t="str">
        <f>IF(_epmOfflineCondition_,"469400",_xll.EVPRO($B$1,H37,"JDEID"))</f>
        <v>469400</v>
      </c>
      <c r="M37" s="86" t="str">
        <f>IF(_epmOfflineCondition_,"",IF(AND(I37="N",J37="N"),_xll.EVPRO($B$1,H37,"PSFTID"),""))</f>
        <v/>
      </c>
      <c r="N37" s="86" t="str">
        <f>IF(_epmOfflineCondition_,"Beer Revenue - Retail",IF(_xll.EVDES(H37,$B$1)="#NODATA","",_xll.EVDES(H37,$B$1)))</f>
        <v>Beer Revenue - Retail</v>
      </c>
      <c r="O37" s="134"/>
      <c r="P37" s="134"/>
      <c r="Q37" s="134"/>
      <c r="R37" s="134"/>
      <c r="S37" s="134"/>
      <c r="T37" s="134"/>
      <c r="U37" s="134"/>
      <c r="V37" s="134"/>
      <c r="W37" s="134"/>
      <c r="X37" s="134"/>
      <c r="Y37" s="134"/>
      <c r="Z37" s="134"/>
      <c r="AA37" s="223">
        <f t="shared" si="1"/>
        <v>0</v>
      </c>
      <c r="AB37" s="138" t="str">
        <f t="shared" si="2"/>
        <v/>
      </c>
      <c r="AC37" s="136"/>
      <c r="AD37" s="134"/>
      <c r="AE37" s="138" t="str">
        <f t="shared" si="3"/>
        <v/>
      </c>
      <c r="AF37" s="137">
        <f t="shared" si="4"/>
        <v>0</v>
      </c>
      <c r="AG37" s="134"/>
      <c r="AH37" s="138" t="str">
        <f t="shared" si="5"/>
        <v/>
      </c>
      <c r="AI37" s="137">
        <f t="shared" si="6"/>
        <v>0</v>
      </c>
      <c r="AJ37" s="458">
        <f t="shared" si="7"/>
        <v>0</v>
      </c>
      <c r="AK37" s="459">
        <f t="shared" si="8"/>
        <v>0</v>
      </c>
      <c r="AL37" s="460">
        <f t="shared" si="9"/>
        <v>0</v>
      </c>
      <c r="AM37" s="461">
        <f t="shared" si="10"/>
        <v>0</v>
      </c>
      <c r="AN37" s="462">
        <f t="shared" si="11"/>
        <v>0</v>
      </c>
      <c r="AO37" s="11"/>
    </row>
    <row r="38" spans="1:41" x14ac:dyDescent="0.25">
      <c r="A38" s="11" t="s">
        <v>104</v>
      </c>
      <c r="B38" s="11"/>
      <c r="C38" s="100" t="s">
        <v>101</v>
      </c>
      <c r="D38" s="11" t="s">
        <v>106</v>
      </c>
      <c r="E38" s="11"/>
      <c r="F38" s="11" t="s">
        <v>98</v>
      </c>
      <c r="G38" s="11"/>
      <c r="H38" s="84" t="s">
        <v>411</v>
      </c>
      <c r="I38" s="118" t="str">
        <f>IF(_epmOfflineCondition_,"T5",_xll.EVPRO($B$1,$H38,"STYLE"))</f>
        <v>T5</v>
      </c>
      <c r="J38" s="118" t="str">
        <f>IF(_epmOfflineCondition_,"Y",_xll.EVPRO($B$1,$H38,"CALC"))</f>
        <v>Y</v>
      </c>
      <c r="K38" s="175" t="str">
        <f t="shared" si="0"/>
        <v>&gt;</v>
      </c>
      <c r="L38" s="86" t="str">
        <f>IF(_epmOfflineCondition_,"469500",_xll.EVPRO($B$1,H38,"JDEID"))</f>
        <v>469500</v>
      </c>
      <c r="M38" s="86" t="str">
        <f>IF(_epmOfflineCondition_,"",IF(AND(I38="N",J38="N"),_xll.EVPRO($B$1,H38,"PSFTID"),""))</f>
        <v/>
      </c>
      <c r="N38" s="86" t="str">
        <f>IF(_epmOfflineCondition_,"Wine Revenue - Retail",IF(_xll.EVDES(H38,$B$1)="#NODATA","",_xll.EVDES(H38,$B$1)))</f>
        <v>Wine Revenue - Retail</v>
      </c>
      <c r="O38" s="134"/>
      <c r="P38" s="134"/>
      <c r="Q38" s="134"/>
      <c r="R38" s="134"/>
      <c r="S38" s="134"/>
      <c r="T38" s="134"/>
      <c r="U38" s="134"/>
      <c r="V38" s="134"/>
      <c r="W38" s="134"/>
      <c r="X38" s="134"/>
      <c r="Y38" s="134"/>
      <c r="Z38" s="134"/>
      <c r="AA38" s="223">
        <f t="shared" si="1"/>
        <v>0</v>
      </c>
      <c r="AB38" s="138" t="str">
        <f t="shared" si="2"/>
        <v/>
      </c>
      <c r="AC38" s="136"/>
      <c r="AD38" s="134"/>
      <c r="AE38" s="138" t="str">
        <f t="shared" si="3"/>
        <v/>
      </c>
      <c r="AF38" s="137">
        <f t="shared" si="4"/>
        <v>0</v>
      </c>
      <c r="AG38" s="134"/>
      <c r="AH38" s="138" t="str">
        <f t="shared" si="5"/>
        <v/>
      </c>
      <c r="AI38" s="137">
        <f t="shared" si="6"/>
        <v>0</v>
      </c>
      <c r="AJ38" s="458">
        <f t="shared" si="7"/>
        <v>0</v>
      </c>
      <c r="AK38" s="459">
        <f t="shared" si="8"/>
        <v>0</v>
      </c>
      <c r="AL38" s="460">
        <f t="shared" si="9"/>
        <v>0</v>
      </c>
      <c r="AM38" s="461">
        <f t="shared" si="10"/>
        <v>0</v>
      </c>
      <c r="AN38" s="462">
        <f t="shared" si="11"/>
        <v>0</v>
      </c>
      <c r="AO38" s="11"/>
    </row>
    <row r="39" spans="1:41" x14ac:dyDescent="0.25">
      <c r="A39" s="11" t="s">
        <v>108</v>
      </c>
      <c r="B39" s="11"/>
      <c r="C39" s="102" t="s">
        <v>101</v>
      </c>
      <c r="D39" s="11" t="s">
        <v>106</v>
      </c>
      <c r="E39" s="11"/>
      <c r="F39" s="11" t="s">
        <v>98</v>
      </c>
      <c r="G39" s="11"/>
      <c r="H39" s="84" t="s">
        <v>412</v>
      </c>
      <c r="I39" s="118" t="str">
        <f>IF(_epmOfflineCondition_,"T5",_xll.EVPRO($B$1,$H39,"STYLE"))</f>
        <v>T5</v>
      </c>
      <c r="J39" s="118" t="str">
        <f>IF(_epmOfflineCondition_,"Y",_xll.EVPRO($B$1,$H39,"CALC"))</f>
        <v>Y</v>
      </c>
      <c r="K39" s="175" t="str">
        <f t="shared" si="0"/>
        <v>&gt;</v>
      </c>
      <c r="L39" s="86" t="str">
        <f>IF(_epmOfflineCondition_,"469600",_xll.EVPRO($B$1,H39,"JDEID"))</f>
        <v>469600</v>
      </c>
      <c r="M39" s="86" t="str">
        <f>IF(_epmOfflineCondition_,"",IF(AND(I39="N",J39="N"),_xll.EVPRO($B$1,H39,"PSFTID"),""))</f>
        <v/>
      </c>
      <c r="N39" s="86" t="str">
        <f>IF(_epmOfflineCondition_,"Giftware Revenue - Retail",IF(_xll.EVDES(H39,$B$1)="#NODATA","",_xll.EVDES(H39,$B$1)))</f>
        <v>Giftware Revenue - Retail</v>
      </c>
      <c r="O39" s="134"/>
      <c r="P39" s="134"/>
      <c r="Q39" s="134"/>
      <c r="R39" s="134"/>
      <c r="S39" s="134"/>
      <c r="T39" s="134"/>
      <c r="U39" s="134"/>
      <c r="V39" s="134"/>
      <c r="W39" s="134"/>
      <c r="X39" s="134"/>
      <c r="Y39" s="134"/>
      <c r="Z39" s="134"/>
      <c r="AA39" s="223">
        <f t="shared" si="1"/>
        <v>0</v>
      </c>
      <c r="AB39" s="138" t="str">
        <f t="shared" si="2"/>
        <v/>
      </c>
      <c r="AC39" s="136"/>
      <c r="AD39" s="134"/>
      <c r="AE39" s="138" t="str">
        <f t="shared" si="3"/>
        <v/>
      </c>
      <c r="AF39" s="137">
        <f t="shared" si="4"/>
        <v>0</v>
      </c>
      <c r="AG39" s="134"/>
      <c r="AH39" s="138" t="str">
        <f t="shared" si="5"/>
        <v/>
      </c>
      <c r="AI39" s="137">
        <f t="shared" si="6"/>
        <v>0</v>
      </c>
      <c r="AJ39" s="458">
        <f t="shared" si="7"/>
        <v>0</v>
      </c>
      <c r="AK39" s="459">
        <f t="shared" si="8"/>
        <v>0</v>
      </c>
      <c r="AL39" s="460">
        <f t="shared" si="9"/>
        <v>0</v>
      </c>
      <c r="AM39" s="461">
        <f t="shared" si="10"/>
        <v>0</v>
      </c>
      <c r="AN39" s="462">
        <f t="shared" si="11"/>
        <v>0</v>
      </c>
      <c r="AO39" s="11"/>
    </row>
    <row r="40" spans="1:41" x14ac:dyDescent="0.25">
      <c r="A40" s="11" t="s">
        <v>108</v>
      </c>
      <c r="B40" s="11"/>
      <c r="C40" s="192" t="s">
        <v>101</v>
      </c>
      <c r="D40" s="11" t="s">
        <v>107</v>
      </c>
      <c r="E40" s="11"/>
      <c r="F40" s="11" t="s">
        <v>99</v>
      </c>
      <c r="G40" s="11"/>
      <c r="H40" s="84" t="s">
        <v>413</v>
      </c>
      <c r="I40" s="118" t="str">
        <f>IF(_epmOfflineCondition_,"T5",_xll.EVPRO($B$1,$H40,"STYLE"))</f>
        <v>T5</v>
      </c>
      <c r="J40" s="118" t="str">
        <f>IF(_epmOfflineCondition_,"Y",_xll.EVPRO($B$1,$H40,"CALC"))</f>
        <v>Y</v>
      </c>
      <c r="K40" s="175" t="str">
        <f t="shared" si="0"/>
        <v>&gt;</v>
      </c>
      <c r="L40" s="86" t="str">
        <f>IF(_epmOfflineCondition_,"469700",_xll.EVPRO($B$1,H40,"JDEID"))</f>
        <v>469700</v>
      </c>
      <c r="M40" s="86" t="str">
        <f>IF(_epmOfflineCondition_,"",IF(AND(I40="N",J40="N"),_xll.EVPRO($B$1,H40,"PSFTID"),""))</f>
        <v/>
      </c>
      <c r="N40" s="86" t="str">
        <f>IF(_epmOfflineCondition_,"Books Revenue - Retail",IF(_xll.EVDES(H40,$B$1)="#NODATA","",_xll.EVDES(H40,$B$1)))</f>
        <v>Books Revenue - Retail</v>
      </c>
      <c r="O40" s="134"/>
      <c r="P40" s="134"/>
      <c r="Q40" s="134"/>
      <c r="R40" s="134"/>
      <c r="S40" s="134"/>
      <c r="T40" s="134"/>
      <c r="U40" s="134"/>
      <c r="V40" s="134"/>
      <c r="W40" s="134"/>
      <c r="X40" s="134"/>
      <c r="Y40" s="134"/>
      <c r="Z40" s="134"/>
      <c r="AA40" s="223">
        <f t="shared" si="1"/>
        <v>0</v>
      </c>
      <c r="AB40" s="138" t="str">
        <f t="shared" si="2"/>
        <v/>
      </c>
      <c r="AC40" s="136"/>
      <c r="AD40" s="134"/>
      <c r="AE40" s="138" t="str">
        <f t="shared" si="3"/>
        <v/>
      </c>
      <c r="AF40" s="137">
        <f t="shared" si="4"/>
        <v>0</v>
      </c>
      <c r="AG40" s="134"/>
      <c r="AH40" s="138" t="str">
        <f t="shared" si="5"/>
        <v/>
      </c>
      <c r="AI40" s="137">
        <f t="shared" si="6"/>
        <v>0</v>
      </c>
      <c r="AJ40" s="458">
        <f t="shared" si="7"/>
        <v>0</v>
      </c>
      <c r="AK40" s="459">
        <f t="shared" si="8"/>
        <v>0</v>
      </c>
      <c r="AL40" s="460">
        <f t="shared" si="9"/>
        <v>0</v>
      </c>
      <c r="AM40" s="461">
        <f t="shared" si="10"/>
        <v>0</v>
      </c>
      <c r="AN40" s="462">
        <f t="shared" si="11"/>
        <v>0</v>
      </c>
      <c r="AO40" s="11"/>
    </row>
    <row r="41" spans="1:41" x14ac:dyDescent="0.25">
      <c r="A41" s="11"/>
      <c r="B41" s="11"/>
      <c r="C41" s="11"/>
      <c r="D41" s="11"/>
      <c r="E41" s="11"/>
      <c r="F41" s="11"/>
      <c r="G41" s="11"/>
      <c r="H41" s="84" t="s">
        <v>414</v>
      </c>
      <c r="I41" s="118" t="str">
        <f>IF(_epmOfflineCondition_,"T5",_xll.EVPRO($B$1,$H41,"STYLE"))</f>
        <v>T5</v>
      </c>
      <c r="J41" s="118" t="str">
        <f>IF(_epmOfflineCondition_,"Y",_xll.EVPRO($B$1,$H41,"CALC"))</f>
        <v>Y</v>
      </c>
      <c r="K41" s="175" t="str">
        <f t="shared" si="0"/>
        <v>&gt;</v>
      </c>
      <c r="L41" s="86" t="str">
        <f>IF(_epmOfflineCondition_,"469800",_xll.EVPRO($B$1,H41,"JDEID"))</f>
        <v>469800</v>
      </c>
      <c r="M41" s="86" t="str">
        <f>IF(_epmOfflineCondition_,"",IF(AND(I41="N",J41="N"),_xll.EVPRO($B$1,H41,"PSFTID"),""))</f>
        <v/>
      </c>
      <c r="N41" s="86" t="str">
        <f>IF(_epmOfflineCondition_,"Glassware Revenue - Retail",IF(_xll.EVDES(H41,$B$1)="#NODATA","",_xll.EVDES(H41,$B$1)))</f>
        <v>Glassware Revenue - Retail</v>
      </c>
      <c r="O41" s="134"/>
      <c r="P41" s="134"/>
      <c r="Q41" s="134"/>
      <c r="R41" s="134"/>
      <c r="S41" s="134"/>
      <c r="T41" s="134"/>
      <c r="U41" s="134"/>
      <c r="V41" s="134"/>
      <c r="W41" s="134"/>
      <c r="X41" s="134"/>
      <c r="Y41" s="134"/>
      <c r="Z41" s="134"/>
      <c r="AA41" s="223">
        <f t="shared" si="1"/>
        <v>0</v>
      </c>
      <c r="AB41" s="138" t="str">
        <f t="shared" si="2"/>
        <v/>
      </c>
      <c r="AC41" s="136"/>
      <c r="AD41" s="134"/>
      <c r="AE41" s="138" t="str">
        <f t="shared" si="3"/>
        <v/>
      </c>
      <c r="AF41" s="137">
        <f t="shared" si="4"/>
        <v>0</v>
      </c>
      <c r="AG41" s="134"/>
      <c r="AH41" s="138" t="str">
        <f t="shared" si="5"/>
        <v/>
      </c>
      <c r="AI41" s="137">
        <f t="shared" si="6"/>
        <v>0</v>
      </c>
      <c r="AJ41" s="458">
        <f t="shared" si="7"/>
        <v>0</v>
      </c>
      <c r="AK41" s="459">
        <f t="shared" si="8"/>
        <v>0</v>
      </c>
      <c r="AL41" s="460">
        <f t="shared" si="9"/>
        <v>0</v>
      </c>
      <c r="AM41" s="461">
        <f t="shared" si="10"/>
        <v>0</v>
      </c>
      <c r="AN41" s="462">
        <f t="shared" si="11"/>
        <v>0</v>
      </c>
      <c r="AO41" s="11"/>
    </row>
    <row r="42" spans="1:41" x14ac:dyDescent="0.25">
      <c r="A42" s="11"/>
      <c r="B42" s="11"/>
      <c r="C42" s="11"/>
      <c r="D42" s="11"/>
      <c r="E42" s="11"/>
      <c r="F42" s="11"/>
      <c r="G42" s="11"/>
      <c r="H42" s="84" t="s">
        <v>474</v>
      </c>
      <c r="I42" s="118" t="str">
        <f>IF(_epmOfflineCondition_,"N",_xll.EVPRO($B$1,$H42,"STYLE"))</f>
        <v>N</v>
      </c>
      <c r="J42" s="118" t="str">
        <f>IF(_epmOfflineCondition_,"N",_xll.EVPRO($B$1,$H42,"CALC"))</f>
        <v>N</v>
      </c>
      <c r="K42" s="175" t="str">
        <f t="shared" si="0"/>
        <v/>
      </c>
      <c r="L42" s="86" t="str">
        <f>IF(_epmOfflineCondition_,"469990",_xll.EVPRO($B$1,H42,"JDEID"))</f>
        <v>469990</v>
      </c>
      <c r="M42" s="86" t="str">
        <f>IF(_epmOfflineCondition_,"206022",IF(AND(I42="N",J42="N"),_xll.EVPRO($B$1,H42,"PSFTID"),""))</f>
        <v>206022</v>
      </c>
      <c r="N42" s="86" t="str">
        <f>IF(_epmOfflineCondition_,"F&amp;B Retail: Allowances",IF(_xll.EVDES(H42,$B$1)="#NODATA","",_xll.EVDES(H42,$B$1)))</f>
        <v>F&amp;B Retail: Allowances</v>
      </c>
      <c r="O42" s="228"/>
      <c r="P42" s="228"/>
      <c r="Q42" s="228"/>
      <c r="R42" s="228"/>
      <c r="S42" s="228"/>
      <c r="T42" s="228"/>
      <c r="U42" s="228"/>
      <c r="V42" s="228"/>
      <c r="W42" s="228"/>
      <c r="X42" s="228"/>
      <c r="Y42" s="228"/>
      <c r="Z42" s="228"/>
      <c r="AA42" s="229">
        <f t="shared" si="1"/>
        <v>0</v>
      </c>
      <c r="AB42" s="230" t="str">
        <f t="shared" si="2"/>
        <v/>
      </c>
      <c r="AC42" s="136"/>
      <c r="AD42" s="228"/>
      <c r="AE42" s="230" t="str">
        <f t="shared" si="3"/>
        <v/>
      </c>
      <c r="AF42" s="231">
        <f t="shared" si="4"/>
        <v>0</v>
      </c>
      <c r="AG42" s="228"/>
      <c r="AH42" s="230" t="str">
        <f t="shared" si="5"/>
        <v/>
      </c>
      <c r="AI42" s="231">
        <f t="shared" si="6"/>
        <v>0</v>
      </c>
      <c r="AJ42" s="467">
        <f t="shared" si="7"/>
        <v>0</v>
      </c>
      <c r="AK42" s="468">
        <f t="shared" si="8"/>
        <v>0</v>
      </c>
      <c r="AL42" s="469">
        <f t="shared" si="9"/>
        <v>0</v>
      </c>
      <c r="AM42" s="470">
        <f t="shared" si="10"/>
        <v>0</v>
      </c>
      <c r="AN42" s="471">
        <f t="shared" si="11"/>
        <v>0</v>
      </c>
      <c r="AO42" s="11"/>
    </row>
    <row r="43" spans="1:41" x14ac:dyDescent="0.25">
      <c r="A43" s="56" t="str">
        <f>IF(_epmOfflineCondition_,"Evdre:Ok",_xll.EVDRE($B$1,A46:B53,A56:B62))</f>
        <v>Evdre:Ok</v>
      </c>
      <c r="B43" s="11"/>
      <c r="C43" s="11"/>
      <c r="D43" s="11"/>
      <c r="E43" s="11"/>
      <c r="F43" s="11"/>
      <c r="G43" s="11"/>
      <c r="H43" s="84" t="s">
        <v>280</v>
      </c>
      <c r="I43" s="184" t="str">
        <f>IF(_epmOfflineCondition_,"T3",_xll.EVPRO($B$1,$H43,"STYLE"))</f>
        <v>T3</v>
      </c>
      <c r="J43" s="184" t="str">
        <f>IF(_epmOfflineCondition_,"Y",_xll.EVPRO($B$1,$H43,"CALC"))</f>
        <v>Y</v>
      </c>
      <c r="K43" s="185" t="str">
        <f t="shared" si="0"/>
        <v/>
      </c>
      <c r="L43" s="186" t="str">
        <f>IF(_epmOfflineCondition_,"400000",_xll.EVPRO($B$1,H43,"JDEID"))</f>
        <v>400000</v>
      </c>
      <c r="M43" s="186" t="str">
        <f>IF(_epmOfflineCondition_,"",IF(AND(I43="N",J43="N"),_xll.EVPRO($B$1,H43,"PSFTID"),""))</f>
        <v/>
      </c>
      <c r="N43" s="186" t="str">
        <f>IF(_epmOfflineCondition_,"Total Revenue",IF(_xll.EVDES(H43,$B$1)="#NODATA","",_xll.EVDES(H43,$B$1)))</f>
        <v>Total Revenue</v>
      </c>
      <c r="O43" s="236"/>
      <c r="P43" s="236"/>
      <c r="Q43" s="236"/>
      <c r="R43" s="236"/>
      <c r="S43" s="236"/>
      <c r="T43" s="236"/>
      <c r="U43" s="236"/>
      <c r="V43" s="236"/>
      <c r="W43" s="236"/>
      <c r="X43" s="236"/>
      <c r="Y43" s="236"/>
      <c r="Z43" s="236"/>
      <c r="AA43" s="236">
        <f t="shared" si="1"/>
        <v>0</v>
      </c>
      <c r="AB43" s="237" t="str">
        <f t="shared" si="2"/>
        <v/>
      </c>
      <c r="AC43" s="238"/>
      <c r="AD43" s="236"/>
      <c r="AE43" s="237" t="str">
        <f t="shared" si="3"/>
        <v/>
      </c>
      <c r="AF43" s="239">
        <f t="shared" si="4"/>
        <v>0</v>
      </c>
      <c r="AG43" s="236"/>
      <c r="AH43" s="237" t="str">
        <f t="shared" si="5"/>
        <v/>
      </c>
      <c r="AI43" s="239">
        <f t="shared" si="6"/>
        <v>0</v>
      </c>
      <c r="AJ43" s="215">
        <f t="shared" si="7"/>
        <v>0</v>
      </c>
      <c r="AK43" s="216">
        <f t="shared" si="8"/>
        <v>0</v>
      </c>
      <c r="AL43" s="218">
        <f t="shared" si="9"/>
        <v>0</v>
      </c>
      <c r="AM43" s="423">
        <f t="shared" si="10"/>
        <v>0</v>
      </c>
      <c r="AN43" s="474">
        <f t="shared" si="11"/>
        <v>0</v>
      </c>
      <c r="AO43" s="11"/>
    </row>
    <row r="44" spans="1:41" x14ac:dyDescent="0.25">
      <c r="A44" s="11"/>
      <c r="B44" s="11"/>
      <c r="C44" s="11"/>
      <c r="D44" s="11"/>
      <c r="E44" s="11"/>
      <c r="F44" s="11"/>
      <c r="G44" s="11"/>
      <c r="H44" s="11"/>
      <c r="I44" s="55"/>
      <c r="J44" s="55"/>
      <c r="K44" s="11"/>
      <c r="L44" s="11"/>
      <c r="M44" s="11"/>
      <c r="N44" s="11"/>
      <c r="O44" s="199"/>
      <c r="P44" s="200"/>
      <c r="Q44" s="200"/>
      <c r="R44" s="200"/>
      <c r="S44" s="200"/>
      <c r="T44" s="200"/>
      <c r="U44" s="200"/>
      <c r="V44" s="200"/>
      <c r="W44" s="200"/>
      <c r="X44" s="200"/>
      <c r="Y44" s="200"/>
      <c r="Z44" s="200"/>
      <c r="AA44" s="200"/>
      <c r="AB44" s="114"/>
      <c r="AC44" s="11"/>
      <c r="AD44" s="199"/>
      <c r="AE44" s="200"/>
      <c r="AF44" s="114"/>
      <c r="AG44" s="199"/>
      <c r="AH44" s="200"/>
      <c r="AI44" s="114"/>
      <c r="AJ44" s="11"/>
      <c r="AK44" s="11"/>
      <c r="AL44" s="11"/>
      <c r="AM44" s="11"/>
      <c r="AN44" s="11"/>
      <c r="AO44" s="11"/>
    </row>
    <row r="45" spans="1:41" x14ac:dyDescent="0.25">
      <c r="A45" s="57" t="s">
        <v>0</v>
      </c>
      <c r="B45" s="58" t="s">
        <v>1</v>
      </c>
      <c r="C45" s="11"/>
      <c r="D45" s="11"/>
      <c r="E45" s="11"/>
      <c r="F45" s="11"/>
      <c r="G45" s="11"/>
      <c r="H45" s="11" t="s">
        <v>281</v>
      </c>
      <c r="I45" s="55" t="str">
        <f>IF(_epmOfflineCondition_,"B1",_xll.EVPRO($B$1,$H45,"STYLE"))</f>
        <v>B1</v>
      </c>
      <c r="J45" s="55" t="str">
        <f>IF(_epmOfflineCondition_,"Y",_xll.EVPRO($B$1,$H45,"CALC"))</f>
        <v>Y</v>
      </c>
      <c r="K45" s="11"/>
      <c r="L45" s="11"/>
      <c r="M45" s="11"/>
      <c r="N45" s="101" t="str">
        <f>IF(_epmOfflineCondition_,"Cost of Sales",IF(_xll.EVDES(H45,$B$1)="#NODATA","",_xll.EVDES(H45,$B$1)))</f>
        <v>Cost of Sales</v>
      </c>
      <c r="O45" s="199"/>
      <c r="P45" s="200"/>
      <c r="Q45" s="200"/>
      <c r="R45" s="200"/>
      <c r="S45" s="200"/>
      <c r="T45" s="200"/>
      <c r="U45" s="200"/>
      <c r="V45" s="200"/>
      <c r="W45" s="200"/>
      <c r="X45" s="200"/>
      <c r="Y45" s="200"/>
      <c r="Z45" s="200"/>
      <c r="AA45" s="200"/>
      <c r="AB45" s="114"/>
      <c r="AC45" s="11"/>
      <c r="AD45" s="199"/>
      <c r="AE45" s="200"/>
      <c r="AF45" s="114"/>
      <c r="AG45" s="199"/>
      <c r="AH45" s="200"/>
      <c r="AI45" s="114"/>
      <c r="AJ45" s="11"/>
      <c r="AK45" s="11"/>
      <c r="AL45" s="11"/>
      <c r="AM45" s="11"/>
      <c r="AN45" s="11"/>
      <c r="AO45" s="11"/>
    </row>
    <row r="46" spans="1:41" x14ac:dyDescent="0.25">
      <c r="A46" s="61" t="s">
        <v>2</v>
      </c>
      <c r="B46" s="62" t="str">
        <f>IF(_epmOfflineCondition_,"'FB_Retail'!$B$2:$B$10",_xll.EVRNG($B$2:$B$10))</f>
        <v>'FB_Retail'!$B$2:$B$10</v>
      </c>
      <c r="C46" s="11"/>
      <c r="D46" s="11"/>
      <c r="E46" s="11"/>
      <c r="F46" s="11"/>
      <c r="G46" s="11"/>
      <c r="H46" s="84" t="s">
        <v>415</v>
      </c>
      <c r="I46" s="118" t="str">
        <f>IF(_epmOfflineCondition_,"N",_xll.EVPRO($B$1,$H46,"STYLE"))</f>
        <v>N</v>
      </c>
      <c r="J46" s="118" t="str">
        <f>IF(_epmOfflineCondition_,"N",_xll.EVPRO($B$1,$H46,"CALC"))</f>
        <v>N</v>
      </c>
      <c r="K46" s="175" t="str">
        <f t="shared" ref="K46:K56" si="12">IF(AND(I46&gt;="T5"),"&gt;","")</f>
        <v/>
      </c>
      <c r="L46" s="86" t="str">
        <f>IF(_epmOfflineCondition_,"569100",_xll.EVPRO($B$1,H46,"JDEID"))</f>
        <v>569100</v>
      </c>
      <c r="M46" s="86" t="str">
        <f>IF(_epmOfflineCondition_,"301010",IF(AND(I46="N",J46="N"),_xll.EVPRO($B$1,H46,"PSFTID"),""))</f>
        <v>301010</v>
      </c>
      <c r="N46" s="86" t="str">
        <f>IF(_epmOfflineCondition_,"Food COS",IF(_xll.EVDES(H46,$B$1)="#NODATA","",_xll.EVDES(H46,$B$1)))</f>
        <v>Food COS</v>
      </c>
      <c r="O46" s="134"/>
      <c r="P46" s="134"/>
      <c r="Q46" s="134"/>
      <c r="R46" s="134"/>
      <c r="S46" s="134"/>
      <c r="T46" s="134"/>
      <c r="U46" s="134"/>
      <c r="V46" s="134"/>
      <c r="W46" s="134"/>
      <c r="X46" s="134"/>
      <c r="Y46" s="134"/>
      <c r="Z46" s="134"/>
      <c r="AA46" s="134">
        <f t="shared" ref="AA46:AA54" si="13">IF($I46="B1","",SUM(O46:Z46))</f>
        <v>0</v>
      </c>
      <c r="AB46" s="138" t="str">
        <f>IF(_epmOfflineCondition_,"",IF(AA46=0,"",IFERROR(AA46/_xll.EVGTS($B$1,1,_xll.EVPRO($B$1,$H46,"COSBASIS"),$B$3,$B$5,$B$6,$B$7,$B$9,AA$16,AA$17,AA$11),"")))</f>
        <v/>
      </c>
      <c r="AC46" s="136"/>
      <c r="AD46" s="134"/>
      <c r="AE46" s="138" t="str">
        <f>IF(_epmOfflineCondition_,"",IF(AD46=0,"",IFERROR(AD46/_xll.EVGTS($B$1,1,_xll.EVPRO($B$1,$H46,"COSBASIS"),$B$3,$B$5,$B$6,$B$7,$B$9,AD$16,AD$17,AD$18),"")))</f>
        <v/>
      </c>
      <c r="AF46" s="137">
        <f t="shared" ref="AF46:AF56" si="14">IF(AND($AA46="",AD46=""),"",$AA46-AD46)</f>
        <v>0</v>
      </c>
      <c r="AG46" s="134"/>
      <c r="AH46" s="138" t="str">
        <f>IF(_epmOfflineCondition_,"",IF(AG46=0,"",IFERROR(AG46/_xll.EVGTS($B$1,1,_xll.EVPRO($B$1,$H46,"COSBASIS"),$B$3,$B$5,$B$6,$B$7,$B$9,AG$16,AG$17,AG$18),"")))</f>
        <v/>
      </c>
      <c r="AI46" s="137">
        <f t="shared" ref="AI46:AI56" si="15">IF(AND($AA46="",AG46=""),"",$AA46-AG46)</f>
        <v>0</v>
      </c>
      <c r="AJ46" s="458">
        <f t="shared" ref="AJ46:AJ56" si="16">IFERROR(AA46/AA$20,0)</f>
        <v>0</v>
      </c>
      <c r="AK46" s="459">
        <f t="shared" ref="AK46:AK56" si="17">IFERROR(AD46/AD$20,0)</f>
        <v>0</v>
      </c>
      <c r="AL46" s="460">
        <f t="shared" ref="AL46:AL56" si="18">IFERROR(AG46/AG$20,0)</f>
        <v>0</v>
      </c>
      <c r="AM46" s="461">
        <f t="shared" ref="AM46:AM56" si="19">+IFERROR(ROUND(($AB46-AE46)*100,2)&amp;" pts.",0)</f>
        <v>0</v>
      </c>
      <c r="AN46" s="462">
        <f t="shared" ref="AN46:AN56" si="20">+IFERROR(ROUND(($AB46-AH46)*100,2)&amp;" pts.",0)</f>
        <v>0</v>
      </c>
      <c r="AO46" s="11"/>
    </row>
    <row r="47" spans="1:41" x14ac:dyDescent="0.25">
      <c r="A47" s="61" t="s">
        <v>3</v>
      </c>
      <c r="B47" s="62" t="str">
        <f>IF(_epmOfflineCondition_,"'FB_Retail'!$O$16:$AN$18",_xll.EVRNG($O$16:$AN$18))</f>
        <v>'FB_Retail'!$O$16:$AN$18</v>
      </c>
      <c r="C47" s="11"/>
      <c r="D47" s="11"/>
      <c r="E47" s="11"/>
      <c r="F47" s="11"/>
      <c r="G47" s="11"/>
      <c r="H47" s="84" t="s">
        <v>416</v>
      </c>
      <c r="I47" s="118" t="str">
        <f>IF(_epmOfflineCondition_,"N",_xll.EVPRO($B$1,$H47,"STYLE"))</f>
        <v>N</v>
      </c>
      <c r="J47" s="118" t="str">
        <f>IF(_epmOfflineCondition_,"N",_xll.EVPRO($B$1,$H47,"CALC"))</f>
        <v>N</v>
      </c>
      <c r="K47" s="175" t="str">
        <f t="shared" si="12"/>
        <v/>
      </c>
      <c r="L47" s="86" t="str">
        <f>IF(_epmOfflineCondition_,"569200",_xll.EVPRO($B$1,H47,"JDEID"))</f>
        <v>569200</v>
      </c>
      <c r="M47" s="86" t="str">
        <f>IF(_epmOfflineCondition_,"301010",IF(AND(I47="N",J47="N"),_xll.EVPRO($B$1,H47,"PSFTID"),""))</f>
        <v>301010</v>
      </c>
      <c r="N47" s="86" t="str">
        <f>IF(_epmOfflineCondition_,"Food Retail COS",IF(_xll.EVDES(H47,$B$1)="#NODATA","",_xll.EVDES(H47,$B$1)))</f>
        <v>Food Retail COS</v>
      </c>
      <c r="O47" s="134"/>
      <c r="P47" s="134"/>
      <c r="Q47" s="134"/>
      <c r="R47" s="134"/>
      <c r="S47" s="134"/>
      <c r="T47" s="134"/>
      <c r="U47" s="134"/>
      <c r="V47" s="134"/>
      <c r="W47" s="134"/>
      <c r="X47" s="134"/>
      <c r="Y47" s="134"/>
      <c r="Z47" s="134"/>
      <c r="AA47" s="134">
        <f t="shared" si="13"/>
        <v>0</v>
      </c>
      <c r="AB47" s="138" t="str">
        <f>IF(_epmOfflineCondition_,"",IF(AA47=0,"",IFERROR(AA47/_xll.EVGTS($B$1,1,_xll.EVPRO($B$1,$H47,"COSBASIS"),$B$3,$B$5,$B$6,$B$7,$B$9,AA$16,AA$17,AA$11),"")))</f>
        <v/>
      </c>
      <c r="AC47" s="136"/>
      <c r="AD47" s="134"/>
      <c r="AE47" s="138" t="str">
        <f>IF(_epmOfflineCondition_,"",IF(AD47=0,"",IFERROR(AD47/_xll.EVGTS($B$1,1,_xll.EVPRO($B$1,$H47,"COSBASIS"),$B$3,$B$5,$B$6,$B$7,$B$9,AD$16,AD$17,AD$18),"")))</f>
        <v/>
      </c>
      <c r="AF47" s="137">
        <f t="shared" si="14"/>
        <v>0</v>
      </c>
      <c r="AG47" s="134"/>
      <c r="AH47" s="138" t="str">
        <f>IF(_epmOfflineCondition_,"",IF(AG47=0,"",IFERROR(AG47/_xll.EVGTS($B$1,1,_xll.EVPRO($B$1,$H47,"COSBASIS"),$B$3,$B$5,$B$6,$B$7,$B$9,AG$16,AG$17,AG$18),"")))</f>
        <v/>
      </c>
      <c r="AI47" s="137">
        <f t="shared" si="15"/>
        <v>0</v>
      </c>
      <c r="AJ47" s="458">
        <f t="shared" si="16"/>
        <v>0</v>
      </c>
      <c r="AK47" s="459">
        <f t="shared" si="17"/>
        <v>0</v>
      </c>
      <c r="AL47" s="460">
        <f t="shared" si="18"/>
        <v>0</v>
      </c>
      <c r="AM47" s="461">
        <f t="shared" si="19"/>
        <v>0</v>
      </c>
      <c r="AN47" s="462">
        <f t="shared" si="20"/>
        <v>0</v>
      </c>
      <c r="AO47" s="11"/>
    </row>
    <row r="48" spans="1:41" x14ac:dyDescent="0.25">
      <c r="A48" s="61" t="s">
        <v>4</v>
      </c>
      <c r="B48" s="62" t="str">
        <f>IF(_epmOfflineCondition_,"'FB_Retail'!$H$46:$H$54",_xll.EVRNG(H46:H54))</f>
        <v>'FB_Retail'!$H$46:$H$54</v>
      </c>
      <c r="C48" s="11"/>
      <c r="D48" s="11"/>
      <c r="E48" s="11"/>
      <c r="F48" s="11"/>
      <c r="G48" s="11"/>
      <c r="H48" s="84" t="s">
        <v>417</v>
      </c>
      <c r="I48" s="118" t="str">
        <f>IF(_epmOfflineCondition_,"N",_xll.EVPRO($B$1,$H48,"STYLE"))</f>
        <v>N</v>
      </c>
      <c r="J48" s="118" t="str">
        <f>IF(_epmOfflineCondition_,"N",_xll.EVPRO($B$1,$H48,"CALC"))</f>
        <v>N</v>
      </c>
      <c r="K48" s="175" t="str">
        <f t="shared" si="12"/>
        <v/>
      </c>
      <c r="L48" s="86" t="str">
        <f>IF(_epmOfflineCondition_,"569300",_xll.EVPRO($B$1,H48,"JDEID"))</f>
        <v>569300</v>
      </c>
      <c r="M48" s="86" t="str">
        <f>IF(_epmOfflineCondition_,"301090",IF(AND(I48="N",J48="N"),_xll.EVPRO($B$1,H48,"PSFTID"),""))</f>
        <v>301090</v>
      </c>
      <c r="N48" s="86" t="str">
        <f>IF(_epmOfflineCondition_,"Liquor Retail COS",IF(_xll.EVDES(H48,$B$1)="#NODATA","",_xll.EVDES(H48,$B$1)))</f>
        <v>Liquor Retail COS</v>
      </c>
      <c r="O48" s="134"/>
      <c r="P48" s="134"/>
      <c r="Q48" s="134"/>
      <c r="R48" s="134"/>
      <c r="S48" s="134"/>
      <c r="T48" s="134"/>
      <c r="U48" s="134"/>
      <c r="V48" s="134"/>
      <c r="W48" s="134"/>
      <c r="X48" s="134"/>
      <c r="Y48" s="134"/>
      <c r="Z48" s="134"/>
      <c r="AA48" s="134">
        <f t="shared" si="13"/>
        <v>0</v>
      </c>
      <c r="AB48" s="138" t="str">
        <f>IF(_epmOfflineCondition_,"",IF(AA48=0,"",IFERROR(AA48/_xll.EVGTS($B$1,1,_xll.EVPRO($B$1,$H48,"COSBASIS"),$B$3,$B$5,$B$6,$B$7,$B$9,AA$16,AA$17,AA$11),"")))</f>
        <v/>
      </c>
      <c r="AC48" s="136"/>
      <c r="AD48" s="134"/>
      <c r="AE48" s="138" t="str">
        <f>IF(_epmOfflineCondition_,"",IF(AD48=0,"",IFERROR(AD48/_xll.EVGTS($B$1,1,_xll.EVPRO($B$1,$H48,"COSBASIS"),$B$3,$B$5,$B$6,$B$7,$B$9,AD$16,AD$17,AD$18),"")))</f>
        <v/>
      </c>
      <c r="AF48" s="137">
        <f t="shared" si="14"/>
        <v>0</v>
      </c>
      <c r="AG48" s="134"/>
      <c r="AH48" s="138" t="str">
        <f>IF(_epmOfflineCondition_,"",IF(AG48=0,"",IFERROR(AG48/_xll.EVGTS($B$1,1,_xll.EVPRO($B$1,$H48,"COSBASIS"),$B$3,$B$5,$B$6,$B$7,$B$9,AG$16,AG$17,AG$18),"")))</f>
        <v/>
      </c>
      <c r="AI48" s="137">
        <f t="shared" si="15"/>
        <v>0</v>
      </c>
      <c r="AJ48" s="458">
        <f t="shared" si="16"/>
        <v>0</v>
      </c>
      <c r="AK48" s="459">
        <f t="shared" si="17"/>
        <v>0</v>
      </c>
      <c r="AL48" s="460">
        <f t="shared" si="18"/>
        <v>0</v>
      </c>
      <c r="AM48" s="461">
        <f t="shared" si="19"/>
        <v>0</v>
      </c>
      <c r="AN48" s="462">
        <f t="shared" si="20"/>
        <v>0</v>
      </c>
      <c r="AO48" s="11"/>
    </row>
    <row r="49" spans="1:41" x14ac:dyDescent="0.25">
      <c r="A49" s="61" t="s">
        <v>5</v>
      </c>
      <c r="B49" s="62"/>
      <c r="C49" s="11"/>
      <c r="D49" s="11"/>
      <c r="E49" s="11"/>
      <c r="F49" s="380"/>
      <c r="G49" s="11"/>
      <c r="H49" s="84" t="s">
        <v>418</v>
      </c>
      <c r="I49" s="118" t="str">
        <f>IF(_epmOfflineCondition_,"N",_xll.EVPRO($B$1,$H49,"STYLE"))</f>
        <v>N</v>
      </c>
      <c r="J49" s="118" t="str">
        <f>IF(_epmOfflineCondition_,"N",_xll.EVPRO($B$1,$H49,"CALC"))</f>
        <v>N</v>
      </c>
      <c r="K49" s="175" t="str">
        <f t="shared" si="12"/>
        <v/>
      </c>
      <c r="L49" s="86" t="str">
        <f>IF(_epmOfflineCondition_,"569400",_xll.EVPRO($B$1,H49,"JDEID"))</f>
        <v>569400</v>
      </c>
      <c r="M49" s="86" t="str">
        <f>IF(_epmOfflineCondition_,"302050",IF(AND(I49="N",J49="N"),_xll.EVPRO($B$1,H49,"PSFTID"),""))</f>
        <v>302050</v>
      </c>
      <c r="N49" s="86" t="str">
        <f>IF(_epmOfflineCondition_,"Beer Retail COS",IF(_xll.EVDES(H49,$B$1)="#NODATA","",_xll.EVDES(H49,$B$1)))</f>
        <v>Beer Retail COS</v>
      </c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  <c r="AA49" s="134">
        <f t="shared" si="13"/>
        <v>0</v>
      </c>
      <c r="AB49" s="138" t="str">
        <f>IF(_epmOfflineCondition_,"",IF(AA49=0,"",IFERROR(AA49/_xll.EVGTS($B$1,1,_xll.EVPRO($B$1,$H49,"COSBASIS"),$B$3,$B$5,$B$6,$B$7,$B$9,AA$16,AA$17,AA$11),"")))</f>
        <v/>
      </c>
      <c r="AC49" s="136"/>
      <c r="AD49" s="134"/>
      <c r="AE49" s="138" t="str">
        <f>IF(_epmOfflineCondition_,"",IF(AD49=0,"",IFERROR(AD49/_xll.EVGTS($B$1,1,_xll.EVPRO($B$1,$H49,"COSBASIS"),$B$3,$B$5,$B$6,$B$7,$B$9,AD$16,AD$17,AD$18),"")))</f>
        <v/>
      </c>
      <c r="AF49" s="137">
        <f t="shared" si="14"/>
        <v>0</v>
      </c>
      <c r="AG49" s="134"/>
      <c r="AH49" s="138" t="str">
        <f>IF(_epmOfflineCondition_,"",IF(AG49=0,"",IFERROR(AG49/_xll.EVGTS($B$1,1,_xll.EVPRO($B$1,$H49,"COSBASIS"),$B$3,$B$5,$B$6,$B$7,$B$9,AG$16,AG$17,AG$18),"")))</f>
        <v/>
      </c>
      <c r="AI49" s="137">
        <f t="shared" si="15"/>
        <v>0</v>
      </c>
      <c r="AJ49" s="458">
        <f t="shared" si="16"/>
        <v>0</v>
      </c>
      <c r="AK49" s="459">
        <f t="shared" si="17"/>
        <v>0</v>
      </c>
      <c r="AL49" s="460">
        <f t="shared" si="18"/>
        <v>0</v>
      </c>
      <c r="AM49" s="461">
        <f t="shared" si="19"/>
        <v>0</v>
      </c>
      <c r="AN49" s="462">
        <f t="shared" si="20"/>
        <v>0</v>
      </c>
      <c r="AO49" s="11"/>
    </row>
    <row r="50" spans="1:41" x14ac:dyDescent="0.25">
      <c r="A50" s="61" t="s">
        <v>6</v>
      </c>
      <c r="B50" s="62"/>
      <c r="C50" s="11"/>
      <c r="D50" s="11"/>
      <c r="E50" s="11"/>
      <c r="F50" s="380"/>
      <c r="G50" s="11"/>
      <c r="H50" s="84" t="s">
        <v>419</v>
      </c>
      <c r="I50" s="118" t="str">
        <f>IF(_epmOfflineCondition_,"N",_xll.EVPRO($B$1,$H50,"STYLE"))</f>
        <v>N</v>
      </c>
      <c r="J50" s="118" t="str">
        <f>IF(_epmOfflineCondition_,"N",_xll.EVPRO($B$1,$H50,"CALC"))</f>
        <v>N</v>
      </c>
      <c r="K50" s="175" t="str">
        <f t="shared" si="12"/>
        <v/>
      </c>
      <c r="L50" s="86" t="str">
        <f>IF(_epmOfflineCondition_,"569500",_xll.EVPRO($B$1,H50,"JDEID"))</f>
        <v>569500</v>
      </c>
      <c r="M50" s="86" t="str">
        <f>IF(_epmOfflineCondition_,"302055",IF(AND(I50="N",J50="N"),_xll.EVPRO($B$1,H50,"PSFTID"),""))</f>
        <v>302055</v>
      </c>
      <c r="N50" s="86" t="str">
        <f>IF(_epmOfflineCondition_,"Wine Retail COS",IF(_xll.EVDES(H50,$B$1)="#NODATA","",_xll.EVDES(H50,$B$1)))</f>
        <v>Wine Retail COS</v>
      </c>
      <c r="O50" s="134"/>
      <c r="P50" s="134"/>
      <c r="Q50" s="134"/>
      <c r="R50" s="134"/>
      <c r="S50" s="134"/>
      <c r="T50" s="134"/>
      <c r="U50" s="134"/>
      <c r="V50" s="134"/>
      <c r="W50" s="134"/>
      <c r="X50" s="134"/>
      <c r="Y50" s="134"/>
      <c r="Z50" s="134"/>
      <c r="AA50" s="134">
        <f t="shared" si="13"/>
        <v>0</v>
      </c>
      <c r="AB50" s="138" t="str">
        <f>IF(_epmOfflineCondition_,"",IF(AA50=0,"",IFERROR(AA50/_xll.EVGTS($B$1,1,_xll.EVPRO($B$1,$H50,"COSBASIS"),$B$3,$B$5,$B$6,$B$7,$B$9,AA$16,AA$17,AA$11),"")))</f>
        <v/>
      </c>
      <c r="AC50" s="136"/>
      <c r="AD50" s="134"/>
      <c r="AE50" s="138" t="str">
        <f>IF(_epmOfflineCondition_,"",IF(AD50=0,"",IFERROR(AD50/_xll.EVGTS($B$1,1,_xll.EVPRO($B$1,$H50,"COSBASIS"),$B$3,$B$5,$B$6,$B$7,$B$9,AD$16,AD$17,AD$18),"")))</f>
        <v/>
      </c>
      <c r="AF50" s="137">
        <f t="shared" si="14"/>
        <v>0</v>
      </c>
      <c r="AG50" s="134"/>
      <c r="AH50" s="138" t="str">
        <f>IF(_epmOfflineCondition_,"",IF(AG50=0,"",IFERROR(AG50/_xll.EVGTS($B$1,1,_xll.EVPRO($B$1,$H50,"COSBASIS"),$B$3,$B$5,$B$6,$B$7,$B$9,AG$16,AG$17,AG$18),"")))</f>
        <v/>
      </c>
      <c r="AI50" s="137">
        <f t="shared" si="15"/>
        <v>0</v>
      </c>
      <c r="AJ50" s="458">
        <f t="shared" si="16"/>
        <v>0</v>
      </c>
      <c r="AK50" s="459">
        <f t="shared" si="17"/>
        <v>0</v>
      </c>
      <c r="AL50" s="460">
        <f t="shared" si="18"/>
        <v>0</v>
      </c>
      <c r="AM50" s="461">
        <f t="shared" si="19"/>
        <v>0</v>
      </c>
      <c r="AN50" s="462">
        <f t="shared" si="20"/>
        <v>0</v>
      </c>
      <c r="AO50" s="11"/>
    </row>
    <row r="51" spans="1:41" x14ac:dyDescent="0.25">
      <c r="A51" s="61" t="s">
        <v>7</v>
      </c>
      <c r="B51" s="62" t="str">
        <f>IF(_epmOfflineCondition_,"'FB_Retail'!$A$65:$F$68",_xll.EVRNG(A65:F68))</f>
        <v>'FB_Retail'!$A$65:$F$68</v>
      </c>
      <c r="C51" s="11"/>
      <c r="D51" s="11"/>
      <c r="E51" s="11"/>
      <c r="F51" s="380"/>
      <c r="G51" s="11"/>
      <c r="H51" s="84" t="s">
        <v>420</v>
      </c>
      <c r="I51" s="118" t="str">
        <f>IF(_epmOfflineCondition_,"N",_xll.EVPRO($B$1,$H51,"STYLE"))</f>
        <v>N</v>
      </c>
      <c r="J51" s="118" t="str">
        <f>IF(_epmOfflineCondition_,"N",_xll.EVPRO($B$1,$H51,"CALC"))</f>
        <v>N</v>
      </c>
      <c r="K51" s="175" t="str">
        <f t="shared" si="12"/>
        <v/>
      </c>
      <c r="L51" s="86" t="str">
        <f>IF(_epmOfflineCondition_,"569600",_xll.EVPRO($B$1,H51,"JDEID"))</f>
        <v>569600</v>
      </c>
      <c r="M51" s="86" t="str">
        <f>IF(_epmOfflineCondition_,"306099",IF(AND(I51="N",J51="N"),_xll.EVPRO($B$1,H51,"PSFTID"),""))</f>
        <v>306099</v>
      </c>
      <c r="N51" s="86" t="str">
        <f>IF(_epmOfflineCondition_,"Giftware Retail COS",IF(_xll.EVDES(H51,$B$1)="#NODATA","",_xll.EVDES(H51,$B$1)))</f>
        <v>Giftware Retail COS</v>
      </c>
      <c r="O51" s="134"/>
      <c r="P51" s="134"/>
      <c r="Q51" s="134"/>
      <c r="R51" s="134"/>
      <c r="S51" s="134"/>
      <c r="T51" s="134"/>
      <c r="U51" s="134"/>
      <c r="V51" s="134"/>
      <c r="W51" s="134"/>
      <c r="X51" s="134"/>
      <c r="Y51" s="134"/>
      <c r="Z51" s="134"/>
      <c r="AA51" s="134">
        <f t="shared" si="13"/>
        <v>0</v>
      </c>
      <c r="AB51" s="138" t="str">
        <f>IF(_epmOfflineCondition_,"",IF(AA51=0,"",IFERROR(AA51/_xll.EVGTS($B$1,1,_xll.EVPRO($B$1,$H51,"COSBASIS"),$B$3,$B$5,$B$6,$B$7,$B$9,AA$16,AA$17,AA$11),"")))</f>
        <v/>
      </c>
      <c r="AC51" s="136"/>
      <c r="AD51" s="134"/>
      <c r="AE51" s="138" t="str">
        <f>IF(_epmOfflineCondition_,"",IF(AD51=0,"",IFERROR(AD51/_xll.EVGTS($B$1,1,_xll.EVPRO($B$1,$H51,"COSBASIS"),$B$3,$B$5,$B$6,$B$7,$B$9,AD$16,AD$17,AD$18),"")))</f>
        <v/>
      </c>
      <c r="AF51" s="137">
        <f t="shared" si="14"/>
        <v>0</v>
      </c>
      <c r="AG51" s="134"/>
      <c r="AH51" s="138" t="str">
        <f>IF(_epmOfflineCondition_,"",IF(AG51=0,"",IFERROR(AG51/_xll.EVGTS($B$1,1,_xll.EVPRO($B$1,$H51,"COSBASIS"),$B$3,$B$5,$B$6,$B$7,$B$9,AG$16,AG$17,AG$18),"")))</f>
        <v/>
      </c>
      <c r="AI51" s="137">
        <f t="shared" si="15"/>
        <v>0</v>
      </c>
      <c r="AJ51" s="458">
        <f t="shared" si="16"/>
        <v>0</v>
      </c>
      <c r="AK51" s="459">
        <f t="shared" si="17"/>
        <v>0</v>
      </c>
      <c r="AL51" s="460">
        <f t="shared" si="18"/>
        <v>0</v>
      </c>
      <c r="AM51" s="461">
        <f t="shared" si="19"/>
        <v>0</v>
      </c>
      <c r="AN51" s="462">
        <f t="shared" si="20"/>
        <v>0</v>
      </c>
      <c r="AO51" s="11"/>
    </row>
    <row r="52" spans="1:41" x14ac:dyDescent="0.25">
      <c r="A52" s="61" t="s">
        <v>47</v>
      </c>
      <c r="B52" s="62" t="str">
        <f>IF(_epmOfflineCondition_,"'FB_Retail'!$A$116:$B$137",_xll.EVRNG($A$116:$B$137))</f>
        <v>'FB_Retail'!$A$116:$B$137</v>
      </c>
      <c r="C52" s="11"/>
      <c r="D52" s="11"/>
      <c r="E52" s="11"/>
      <c r="F52" s="11"/>
      <c r="G52" s="11"/>
      <c r="H52" s="84" t="s">
        <v>421</v>
      </c>
      <c r="I52" s="118" t="str">
        <f>IF(_epmOfflineCondition_,"N",_xll.EVPRO($B$1,$H52,"STYLE"))</f>
        <v>N</v>
      </c>
      <c r="J52" s="118" t="str">
        <f>IF(_epmOfflineCondition_,"N",_xll.EVPRO($B$1,$H52,"CALC"))</f>
        <v>N</v>
      </c>
      <c r="K52" s="175" t="str">
        <f t="shared" si="12"/>
        <v/>
      </c>
      <c r="L52" s="86" t="str">
        <f>IF(_epmOfflineCondition_,"569700",_xll.EVPRO($B$1,H52,"JDEID"))</f>
        <v>569700</v>
      </c>
      <c r="M52" s="86" t="str">
        <f>IF(_epmOfflineCondition_,"NA",IF(AND(I52="N",J52="N"),_xll.EVPRO($B$1,H52,"PSFTID"),""))</f>
        <v>NA</v>
      </c>
      <c r="N52" s="86" t="str">
        <f>IF(_epmOfflineCondition_,"Books Retail COS",IF(_xll.EVDES(H52,$B$1)="#NODATA","",_xll.EVDES(H52,$B$1)))</f>
        <v>Books Retail COS</v>
      </c>
      <c r="O52" s="134"/>
      <c r="P52" s="134"/>
      <c r="Q52" s="134"/>
      <c r="R52" s="134"/>
      <c r="S52" s="134"/>
      <c r="T52" s="134"/>
      <c r="U52" s="134"/>
      <c r="V52" s="134"/>
      <c r="W52" s="134"/>
      <c r="X52" s="134"/>
      <c r="Y52" s="134"/>
      <c r="Z52" s="134"/>
      <c r="AA52" s="134">
        <f t="shared" si="13"/>
        <v>0</v>
      </c>
      <c r="AB52" s="138" t="str">
        <f>IF(_epmOfflineCondition_,"",IF(AA52=0,"",IFERROR(AA52/_xll.EVGTS($B$1,1,_xll.EVPRO($B$1,$H52,"COSBASIS"),$B$3,$B$5,$B$6,$B$7,$B$9,AA$16,AA$17,AA$11),"")))</f>
        <v/>
      </c>
      <c r="AC52" s="136"/>
      <c r="AD52" s="134"/>
      <c r="AE52" s="138" t="str">
        <f>IF(_epmOfflineCondition_,"",IF(AD52=0,"",IFERROR(AD52/_xll.EVGTS($B$1,1,_xll.EVPRO($B$1,$H52,"COSBASIS"),$B$3,$B$5,$B$6,$B$7,$B$9,AD$16,AD$17,AD$18),"")))</f>
        <v/>
      </c>
      <c r="AF52" s="137">
        <f t="shared" si="14"/>
        <v>0</v>
      </c>
      <c r="AG52" s="134"/>
      <c r="AH52" s="138" t="str">
        <f>IF(_epmOfflineCondition_,"",IF(AG52=0,"",IFERROR(AG52/_xll.EVGTS($B$1,1,_xll.EVPRO($B$1,$H52,"COSBASIS"),$B$3,$B$5,$B$6,$B$7,$B$9,AG$16,AG$17,AG$18),"")))</f>
        <v/>
      </c>
      <c r="AI52" s="137">
        <f t="shared" si="15"/>
        <v>0</v>
      </c>
      <c r="AJ52" s="458">
        <f t="shared" si="16"/>
        <v>0</v>
      </c>
      <c r="AK52" s="459">
        <f t="shared" si="17"/>
        <v>0</v>
      </c>
      <c r="AL52" s="460">
        <f t="shared" si="18"/>
        <v>0</v>
      </c>
      <c r="AM52" s="461">
        <f t="shared" si="19"/>
        <v>0</v>
      </c>
      <c r="AN52" s="462">
        <f t="shared" si="20"/>
        <v>0</v>
      </c>
      <c r="AO52" s="11"/>
    </row>
    <row r="53" spans="1:41" x14ac:dyDescent="0.25">
      <c r="A53" s="61" t="s">
        <v>8</v>
      </c>
      <c r="B53" s="62"/>
      <c r="C53" s="11"/>
      <c r="D53" s="11"/>
      <c r="E53" s="11"/>
      <c r="F53" s="11"/>
      <c r="G53" s="11"/>
      <c r="H53" s="84" t="s">
        <v>422</v>
      </c>
      <c r="I53" s="118" t="str">
        <f>IF(_epmOfflineCondition_,"N",_xll.EVPRO($B$1,$H53,"STYLE"))</f>
        <v>N</v>
      </c>
      <c r="J53" s="118" t="str">
        <f>IF(_epmOfflineCondition_,"N",_xll.EVPRO($B$1,$H53,"CALC"))</f>
        <v>N</v>
      </c>
      <c r="K53" s="175" t="str">
        <f t="shared" si="12"/>
        <v/>
      </c>
      <c r="L53" s="86" t="str">
        <f>IF(_epmOfflineCondition_,"569800",_xll.EVPRO($B$1,H53,"JDEID"))</f>
        <v>569800</v>
      </c>
      <c r="M53" s="86" t="str">
        <f>IF(_epmOfflineCondition_,"NA",IF(AND(I53="N",J53="N"),_xll.EVPRO($B$1,H53,"PSFTID"),""))</f>
        <v>NA</v>
      </c>
      <c r="N53" s="86" t="str">
        <f>IF(_epmOfflineCondition_,"Glassware Retail COS",IF(_xll.EVDES(H53,$B$1)="#NODATA","",_xll.EVDES(H53,$B$1)))</f>
        <v>Glassware Retail COS</v>
      </c>
      <c r="O53" s="228"/>
      <c r="P53" s="228"/>
      <c r="Q53" s="228"/>
      <c r="R53" s="228"/>
      <c r="S53" s="228"/>
      <c r="T53" s="228"/>
      <c r="U53" s="228"/>
      <c r="V53" s="228"/>
      <c r="W53" s="228"/>
      <c r="X53" s="228"/>
      <c r="Y53" s="228"/>
      <c r="Z53" s="228"/>
      <c r="AA53" s="228">
        <f t="shared" si="13"/>
        <v>0</v>
      </c>
      <c r="AB53" s="230" t="str">
        <f>IF(_epmOfflineCondition_,"",IF(AA53=0,"",IFERROR(AA53/_xll.EVGTS($B$1,1,_xll.EVPRO($B$1,$H53,"COSBASIS"),$B$3,$B$5,$B$6,$B$7,$B$9,AA$16,AA$17,AA$11),"")))</f>
        <v/>
      </c>
      <c r="AC53" s="136"/>
      <c r="AD53" s="228"/>
      <c r="AE53" s="230" t="str">
        <f>IF(_epmOfflineCondition_,"",IF(AD53=0,"",IFERROR(AD53/_xll.EVGTS($B$1,1,_xll.EVPRO($B$1,$H53,"COSBASIS"),$B$3,$B$5,$B$6,$B$7,$B$9,AD$16,AD$17,AD$18),"")))</f>
        <v/>
      </c>
      <c r="AF53" s="231">
        <f t="shared" si="14"/>
        <v>0</v>
      </c>
      <c r="AG53" s="228"/>
      <c r="AH53" s="230" t="str">
        <f>IF(_epmOfflineCondition_,"",IF(AG53=0,"",IFERROR(AG53/_xll.EVGTS($B$1,1,_xll.EVPRO($B$1,$H53,"COSBASIS"),$B$3,$B$5,$B$6,$B$7,$B$9,AG$16,AG$17,AG$18),"")))</f>
        <v/>
      </c>
      <c r="AI53" s="231">
        <f t="shared" si="15"/>
        <v>0</v>
      </c>
      <c r="AJ53" s="467">
        <f t="shared" si="16"/>
        <v>0</v>
      </c>
      <c r="AK53" s="468">
        <f t="shared" si="17"/>
        <v>0</v>
      </c>
      <c r="AL53" s="469">
        <f t="shared" si="18"/>
        <v>0</v>
      </c>
      <c r="AM53" s="470">
        <f t="shared" si="19"/>
        <v>0</v>
      </c>
      <c r="AN53" s="471">
        <f t="shared" si="20"/>
        <v>0</v>
      </c>
      <c r="AO53" s="11"/>
    </row>
    <row r="54" spans="1:41" x14ac:dyDescent="0.25">
      <c r="A54" s="11"/>
      <c r="B54" s="11"/>
      <c r="C54" s="11"/>
      <c r="D54" s="11"/>
      <c r="E54" s="11"/>
      <c r="F54" s="11"/>
      <c r="G54" s="11"/>
      <c r="H54" s="84" t="s">
        <v>289</v>
      </c>
      <c r="I54" s="184" t="str">
        <f>IF(_epmOfflineCondition_,"T3",_xll.EVPRO($B$1,$H54,"STYLE"))</f>
        <v>T3</v>
      </c>
      <c r="J54" s="184" t="str">
        <f>IF(_epmOfflineCondition_,"Y",_xll.EVPRO($B$1,$H54,"CALC"))</f>
        <v>Y</v>
      </c>
      <c r="K54" s="185" t="str">
        <f t="shared" si="12"/>
        <v/>
      </c>
      <c r="L54" s="186" t="str">
        <f>IF(_epmOfflineCondition_,"500001",_xll.EVPRO($B$1,H54,"JDEID"))</f>
        <v>500001</v>
      </c>
      <c r="M54" s="186" t="str">
        <f>IF(_epmOfflineCondition_,"",IF(AND(I54="N",J54="N"),_xll.EVPRO($B$1,H54,"PSFTID"),""))</f>
        <v/>
      </c>
      <c r="N54" s="186" t="str">
        <f>IF(_epmOfflineCondition_,"Total Cost of Sales",IF(_xll.EVDES(H54,$B$1)="#NODATA","",_xll.EVDES(H54,$B$1)))</f>
        <v>Total Cost of Sales</v>
      </c>
      <c r="O54" s="236"/>
      <c r="P54" s="236"/>
      <c r="Q54" s="236"/>
      <c r="R54" s="236"/>
      <c r="S54" s="236"/>
      <c r="T54" s="236"/>
      <c r="U54" s="236"/>
      <c r="V54" s="236"/>
      <c r="W54" s="236"/>
      <c r="X54" s="236"/>
      <c r="Y54" s="236"/>
      <c r="Z54" s="236"/>
      <c r="AA54" s="236">
        <f t="shared" si="13"/>
        <v>0</v>
      </c>
      <c r="AB54" s="237" t="str">
        <f>IF(_epmOfflineCondition_,"",IF(AA54=0,"",IFERROR(AA54/_xll.EVGTS($B$1,1,_xll.EVPRO($B$1,$H54,"COSBASIS"),$B$3,$B$5,$B$6,$B$7,$B$9,AA$16,AA$17,AA$11),"")))</f>
        <v/>
      </c>
      <c r="AC54" s="238"/>
      <c r="AD54" s="236"/>
      <c r="AE54" s="237" t="str">
        <f>IF(_epmOfflineCondition_,"",IF(AD54=0,"",IFERROR(AD54/_xll.EVGTS($B$1,1,_xll.EVPRO($B$1,$H54,"COSBASIS"),$B$3,$B$5,$B$6,$B$7,$B$9,AD$16,AD$17,AD$18),"")))</f>
        <v/>
      </c>
      <c r="AF54" s="239">
        <f t="shared" si="14"/>
        <v>0</v>
      </c>
      <c r="AG54" s="236"/>
      <c r="AH54" s="237" t="str">
        <f>IF(_epmOfflineCondition_,"",IF(AG54=0,"",IFERROR(AG54/_xll.EVGTS($B$1,1,_xll.EVPRO($B$1,$H54,"COSBASIS"),$B$3,$B$5,$B$6,$B$7,$B$9,AG$16,AG$17,AG$18),"")))</f>
        <v/>
      </c>
      <c r="AI54" s="239">
        <f t="shared" si="15"/>
        <v>0</v>
      </c>
      <c r="AJ54" s="215">
        <f t="shared" si="16"/>
        <v>0</v>
      </c>
      <c r="AK54" s="216">
        <f t="shared" si="17"/>
        <v>0</v>
      </c>
      <c r="AL54" s="218">
        <f t="shared" si="18"/>
        <v>0</v>
      </c>
      <c r="AM54" s="423">
        <f t="shared" si="19"/>
        <v>0</v>
      </c>
      <c r="AN54" s="474">
        <f t="shared" si="20"/>
        <v>0</v>
      </c>
      <c r="AO54" s="11"/>
    </row>
    <row r="55" spans="1:41" x14ac:dyDescent="0.25">
      <c r="A55" s="57" t="s">
        <v>9</v>
      </c>
      <c r="B55" s="58" t="s">
        <v>10</v>
      </c>
      <c r="C55" s="11"/>
      <c r="D55" s="11"/>
      <c r="E55" s="11"/>
      <c r="F55" s="11"/>
      <c r="G55" s="11"/>
      <c r="H55" s="181" t="s">
        <v>175</v>
      </c>
      <c r="I55" s="85" t="str">
        <f>IF(_epmOfflineCondition_,"B1",_xll.EVPRO($B$1,$H55,"STYLE"))</f>
        <v>B1</v>
      </c>
      <c r="J55" s="85" t="str">
        <f>IF(_epmOfflineCondition_,"Y",_xll.EVPRO($B$1,$H55,"CALC"))</f>
        <v>Y</v>
      </c>
      <c r="K55" s="261" t="str">
        <f t="shared" si="12"/>
        <v/>
      </c>
      <c r="L55" s="261"/>
      <c r="M55" s="261"/>
      <c r="N55" s="102" t="str">
        <f>IF(_epmOfflineCondition_,"BLANKROW",IF(_xll.EVDES(H55,$B$1)="#NODATA","",_xll.EVDES(H55,$B$1)))</f>
        <v>BLANKROW</v>
      </c>
      <c r="O55" s="201"/>
      <c r="P55" s="201"/>
      <c r="Q55" s="201"/>
      <c r="R55" s="201"/>
      <c r="S55" s="201"/>
      <c r="T55" s="201"/>
      <c r="U55" s="201"/>
      <c r="V55" s="201"/>
      <c r="W55" s="201"/>
      <c r="X55" s="201"/>
      <c r="Y55" s="201"/>
      <c r="Z55" s="201"/>
      <c r="AA55" s="201"/>
      <c r="AB55" s="202" t="str">
        <f>IF(_epmOfflineCondition_,"",IF(O55=0,"",IFERROR(O55/_xll.EVGTS($B$1,1,INDEX($C$143:$C$166,MATCH($H55,$A$143:$A$166,0)),$B$3,$B$5,$B$6,$B$7,$B$9,O$16,O$17,O$18),"")))</f>
        <v/>
      </c>
      <c r="AC55" s="11"/>
      <c r="AD55" s="201"/>
      <c r="AE55" s="202" t="str">
        <f>IF(_epmOfflineCondition_,"",IF(AD55=0,"",IFERROR(AD55/_xll.EVGTS($B$1,1,INDEX($C$143:$C$166,MATCH($H55,$A$143:$A$166,0)),$B$3,$B$5,$B$6,$B$7,$B$9,AD$16,AD$17,AD$18),"")))</f>
        <v/>
      </c>
      <c r="AF55" s="203" t="str">
        <f t="shared" si="14"/>
        <v/>
      </c>
      <c r="AG55" s="201"/>
      <c r="AH55" s="202" t="str">
        <f>IF(_epmOfflineCondition_,"",IF(AG55=0,"",IFERROR(AG55/_xll.EVGTS($B$1,1,INDEX($C$143:$C$166,MATCH($H55,$A$143:$A$166,0)),$B$3,$B$5,$B$6,$B$7,$B$9,AG$16,AG$17,AG$18),"")))</f>
        <v/>
      </c>
      <c r="AI55" s="203" t="str">
        <f t="shared" si="15"/>
        <v/>
      </c>
      <c r="AJ55" s="518">
        <f t="shared" si="16"/>
        <v>0</v>
      </c>
      <c r="AK55" s="519">
        <f t="shared" si="17"/>
        <v>0</v>
      </c>
      <c r="AL55" s="520">
        <f t="shared" si="18"/>
        <v>0</v>
      </c>
      <c r="AM55" s="521">
        <f t="shared" si="19"/>
        <v>0</v>
      </c>
      <c r="AN55" s="522">
        <f t="shared" si="20"/>
        <v>0</v>
      </c>
      <c r="AO55" s="11"/>
    </row>
    <row r="56" spans="1:41" x14ac:dyDescent="0.25">
      <c r="A56" s="61" t="s">
        <v>11</v>
      </c>
      <c r="B56" s="62" t="s">
        <v>21</v>
      </c>
      <c r="C56" s="11"/>
      <c r="D56" s="11"/>
      <c r="E56" s="11"/>
      <c r="F56" s="11"/>
      <c r="G56" s="72"/>
      <c r="H56" s="181" t="s">
        <v>292</v>
      </c>
      <c r="I56" s="85" t="str">
        <f>IF(_epmOfflineCondition_,"T3",_xll.EVPRO($B$1,$H56,"STYLE"))</f>
        <v>T3</v>
      </c>
      <c r="J56" s="85" t="str">
        <f>IF(_epmOfflineCondition_,"Y",_xll.EVPRO($B$1,$H56,"CALC"))</f>
        <v>Y</v>
      </c>
      <c r="K56" s="261" t="str">
        <f t="shared" si="12"/>
        <v/>
      </c>
      <c r="L56" s="261"/>
      <c r="M56" s="261"/>
      <c r="N56" s="102" t="str">
        <f>IF(_epmOfflineCondition_,"Gross Profit",IF(_xll.EVDES(H56,$B$1)="#NODATA","",_xll.EVDES(H56,$B$1)))</f>
        <v>Gross Profit</v>
      </c>
      <c r="O56" s="119">
        <f t="shared" ref="O56:Z56" si="21">SUMIF($H$34:$H$54,"400000",O34:O54)-SUMIF($H$34:$H$54,"500001",O34:O54)</f>
        <v>0</v>
      </c>
      <c r="P56" s="119">
        <f t="shared" si="21"/>
        <v>0</v>
      </c>
      <c r="Q56" s="119">
        <f t="shared" si="21"/>
        <v>0</v>
      </c>
      <c r="R56" s="119">
        <f t="shared" si="21"/>
        <v>0</v>
      </c>
      <c r="S56" s="119">
        <f t="shared" si="21"/>
        <v>0</v>
      </c>
      <c r="T56" s="119">
        <f t="shared" si="21"/>
        <v>0</v>
      </c>
      <c r="U56" s="119">
        <f t="shared" si="21"/>
        <v>0</v>
      </c>
      <c r="V56" s="119">
        <f t="shared" si="21"/>
        <v>0</v>
      </c>
      <c r="W56" s="119">
        <f t="shared" si="21"/>
        <v>0</v>
      </c>
      <c r="X56" s="119">
        <f t="shared" si="21"/>
        <v>0</v>
      </c>
      <c r="Y56" s="119">
        <f t="shared" si="21"/>
        <v>0</v>
      </c>
      <c r="Z56" s="119">
        <f t="shared" si="21"/>
        <v>0</v>
      </c>
      <c r="AA56" s="119">
        <f>IF($I56="B1","",SUM(O56:Z56))</f>
        <v>0</v>
      </c>
      <c r="AB56" s="188" t="str">
        <f>IF(AA56=0,"",IFERROR(AA56/AA$19,""))</f>
        <v/>
      </c>
      <c r="AC56" s="11"/>
      <c r="AD56" s="119">
        <f>SUMIF($H$34:$H$54,"400000",AD34:AD54)-SUMIF($H$34:$H$54,"500001",AD34:AD54)</f>
        <v>0</v>
      </c>
      <c r="AE56" s="188" t="str">
        <f>IF(AD56=0,"",IFERROR(AD56/AD$19,""))</f>
        <v/>
      </c>
      <c r="AF56" s="121">
        <f t="shared" si="14"/>
        <v>0</v>
      </c>
      <c r="AG56" s="119">
        <f>SUMIF($H$34:$H$54,"400000",AG34:AG54)-SUMIF($H$34:$H$54,"500001",AG34:AG54)</f>
        <v>0</v>
      </c>
      <c r="AH56" s="188" t="str">
        <f>IF(AG56=0,"",IFERROR(AG56/AG$19,""))</f>
        <v/>
      </c>
      <c r="AI56" s="121">
        <f t="shared" si="15"/>
        <v>0</v>
      </c>
      <c r="AJ56" s="384">
        <f t="shared" si="16"/>
        <v>0</v>
      </c>
      <c r="AK56" s="385">
        <f t="shared" si="17"/>
        <v>0</v>
      </c>
      <c r="AL56" s="386">
        <f t="shared" si="18"/>
        <v>0</v>
      </c>
      <c r="AM56" s="387">
        <f t="shared" si="19"/>
        <v>0</v>
      </c>
      <c r="AN56" s="539">
        <f t="shared" si="20"/>
        <v>0</v>
      </c>
      <c r="AO56" s="11"/>
    </row>
    <row r="57" spans="1:41" x14ac:dyDescent="0.25">
      <c r="A57" s="61" t="s">
        <v>12</v>
      </c>
      <c r="B57" s="62" t="s">
        <v>22</v>
      </c>
      <c r="C57" s="11"/>
      <c r="D57" s="11"/>
      <c r="E57" s="11"/>
      <c r="F57" s="11"/>
      <c r="G57" s="11"/>
      <c r="H57" s="11"/>
      <c r="I57" s="55"/>
      <c r="J57" s="55"/>
      <c r="K57" s="11"/>
      <c r="L57" s="11"/>
      <c r="M57" s="11"/>
      <c r="N57" s="11"/>
      <c r="O57" s="389"/>
      <c r="P57" s="390"/>
      <c r="Q57" s="390"/>
      <c r="R57" s="390"/>
      <c r="S57" s="390"/>
      <c r="T57" s="390"/>
      <c r="U57" s="390"/>
      <c r="V57" s="390"/>
      <c r="W57" s="390"/>
      <c r="X57" s="390"/>
      <c r="Y57" s="390"/>
      <c r="Z57" s="390"/>
      <c r="AA57" s="390"/>
      <c r="AB57" s="114"/>
      <c r="AC57" s="11"/>
      <c r="AD57" s="389"/>
      <c r="AE57" s="200"/>
      <c r="AF57" s="114"/>
      <c r="AG57" s="200"/>
      <c r="AH57" s="200"/>
      <c r="AI57" s="114"/>
      <c r="AJ57" s="11"/>
      <c r="AK57" s="11"/>
      <c r="AL57" s="11"/>
      <c r="AM57" s="11"/>
      <c r="AN57" s="11"/>
      <c r="AO57" s="11"/>
    </row>
    <row r="58" spans="1:41" x14ac:dyDescent="0.25">
      <c r="A58" s="61" t="s">
        <v>13</v>
      </c>
      <c r="B58" s="62" t="str">
        <f>"DEP(569000) AND "&amp;$E$6&amp;"=Y,500001"</f>
        <v>DEP(569000) AND D2149=Y,500001</v>
      </c>
      <c r="C58" s="11"/>
      <c r="D58" s="11"/>
      <c r="E58" s="11"/>
      <c r="F58" s="11"/>
      <c r="G58" s="11"/>
      <c r="H58" s="11" t="s">
        <v>73</v>
      </c>
      <c r="I58" s="55" t="str">
        <f>IF(_epmOfflineCondition_,"B1",_xll.EVPRO($B$1,$H58,"STYLE"))</f>
        <v>B1</v>
      </c>
      <c r="J58" s="55" t="str">
        <f>IF(_epmOfflineCondition_,"Y",_xll.EVPRO($B$1,$H58,"CALC"))</f>
        <v>Y</v>
      </c>
      <c r="K58" s="11"/>
      <c r="L58" s="11"/>
      <c r="M58" s="11"/>
      <c r="N58" s="101" t="str">
        <f>IF(_epmOfflineCondition_,"Labor &amp; Related Expenses",IF(_xll.EVDES(H58,$B$1)="#NODATA","",_xll.EVDES(H58,$B$1)))</f>
        <v>Labor &amp; Related Expenses</v>
      </c>
      <c r="O58" s="199"/>
      <c r="P58" s="200"/>
      <c r="Q58" s="200"/>
      <c r="R58" s="200"/>
      <c r="S58" s="200"/>
      <c r="T58" s="200"/>
      <c r="U58" s="200"/>
      <c r="V58" s="200"/>
      <c r="W58" s="200"/>
      <c r="X58" s="200"/>
      <c r="Y58" s="200"/>
      <c r="Z58" s="200"/>
      <c r="AA58" s="200"/>
      <c r="AB58" s="406"/>
      <c r="AC58" s="11"/>
      <c r="AD58" s="407"/>
      <c r="AE58" s="408"/>
      <c r="AF58" s="114"/>
      <c r="AG58" s="200"/>
      <c r="AH58" s="408"/>
      <c r="AI58" s="114"/>
      <c r="AJ58" s="11"/>
      <c r="AK58" s="11"/>
      <c r="AL58" s="11"/>
      <c r="AM58" s="11"/>
      <c r="AN58" s="11"/>
      <c r="AO58" s="11"/>
    </row>
    <row r="59" spans="1:41" x14ac:dyDescent="0.25">
      <c r="A59" s="61" t="s">
        <v>14</v>
      </c>
      <c r="B59" s="62"/>
      <c r="C59" s="11"/>
      <c r="D59" s="11"/>
      <c r="E59" s="11"/>
      <c r="F59" s="11"/>
      <c r="G59" s="11"/>
      <c r="H59" s="11" t="s">
        <v>74</v>
      </c>
      <c r="I59" s="55" t="str">
        <f>IF(_epmOfflineCondition_,"B1",_xll.EVPRO($B$1,$H59,"STYLE"))</f>
        <v>B1</v>
      </c>
      <c r="J59" s="55" t="str">
        <f>IF(_epmOfflineCondition_,"Y",_xll.EVPRO($B$1,$H59,"CALC"))</f>
        <v>Y</v>
      </c>
      <c r="K59" s="11"/>
      <c r="L59" s="11"/>
      <c r="M59" s="11"/>
      <c r="N59" s="49" t="str">
        <f>IF(_epmOfflineCondition_,"Salaries &amp; Wages",IF(_xll.EVDES(H59,$B$1)="#NODATA","",_xll.EVDES(H59,$B$1)))</f>
        <v>Salaries &amp; Wages</v>
      </c>
      <c r="O59" s="115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7"/>
      <c r="AC59" s="11"/>
      <c r="AD59" s="115"/>
      <c r="AE59" s="116"/>
      <c r="AF59" s="117"/>
      <c r="AG59" s="116"/>
      <c r="AH59" s="116"/>
      <c r="AI59" s="117"/>
      <c r="AJ59" s="11"/>
      <c r="AK59" s="11"/>
      <c r="AL59" s="11"/>
      <c r="AM59" s="11"/>
      <c r="AN59" s="11"/>
      <c r="AO59" s="11"/>
    </row>
    <row r="60" spans="1:41" hidden="1" x14ac:dyDescent="0.25">
      <c r="A60" s="61" t="s">
        <v>15</v>
      </c>
      <c r="B60" s="62"/>
      <c r="C60" s="11"/>
      <c r="D60" s="11"/>
      <c r="E60" s="11"/>
      <c r="F60" s="11"/>
      <c r="G60" s="11"/>
      <c r="H60" s="84" t="s">
        <v>668</v>
      </c>
      <c r="I60" s="118" t="str">
        <f>IF(_epmOfflineCondition_,"",_xll.EVPRO($B$1,$H60,"STYLE"))</f>
        <v/>
      </c>
      <c r="J60" s="118" t="str">
        <f>IF(_epmOfflineCondition_,"",_xll.EVPRO($B$1,$H60,"CALC"))</f>
        <v/>
      </c>
      <c r="K60" s="175" t="str">
        <f>IF(AND(I60&gt;="T3"),"&gt;","")</f>
        <v/>
      </c>
      <c r="L60" s="86" t="str">
        <f>IF(_epmOfflineCondition_,"",_xll.EVPRO($B$1,H60,"JDEID"))</f>
        <v/>
      </c>
      <c r="M60" s="86" t="str">
        <f>IF(_epmOfflineCondition_,"",IF(AND(I60="N",J60="N"),_xll.EVPRO($B$1,H60,"PSFTID"),""))</f>
        <v/>
      </c>
      <c r="N60" s="86" t="str">
        <f>IF(_epmOfflineCondition_,"",IF(_xll.EVDES(H60,$B$1)="#NODATA","",_xll.EVDES(H60,$B$1)))</f>
        <v/>
      </c>
      <c r="O60" s="240"/>
      <c r="P60" s="240"/>
      <c r="Q60" s="240"/>
      <c r="R60" s="240"/>
      <c r="S60" s="240"/>
      <c r="T60" s="240"/>
      <c r="U60" s="240"/>
      <c r="V60" s="240"/>
      <c r="W60" s="240"/>
      <c r="X60" s="240"/>
      <c r="Y60" s="240"/>
      <c r="Z60" s="240"/>
      <c r="AA60" s="240">
        <f>IF($I60="B1","",SUM(O60:Z60))</f>
        <v>0</v>
      </c>
      <c r="AB60" s="242" t="str">
        <f>IF(AA60=0,"",IFERROR(AA60/AA$19,""))</f>
        <v/>
      </c>
      <c r="AC60" s="136"/>
      <c r="AD60" s="240"/>
      <c r="AE60" s="242" t="str">
        <f>IF(AD60=0,"",IFERROR(AD60/AD$19,""))</f>
        <v/>
      </c>
      <c r="AF60" s="243">
        <f>IF(AND($AA60="",AD60=""),"",$AA60-AD60)</f>
        <v>0</v>
      </c>
      <c r="AG60" s="240"/>
      <c r="AH60" s="242" t="str">
        <f>IF(AG60=0,"",IFERROR(AG60/AG$19,""))</f>
        <v/>
      </c>
      <c r="AI60" s="243">
        <f>IF(AND($AA60="",AG60=""),"",$AA60-AG60)</f>
        <v>0</v>
      </c>
      <c r="AJ60" s="458">
        <f>IFERROR(AA60/AA$20,0)</f>
        <v>0</v>
      </c>
      <c r="AK60" s="459">
        <f>IFERROR(AD60/AD$20,0)</f>
        <v>0</v>
      </c>
      <c r="AL60" s="460">
        <f>IFERROR(AG60/AG$20,0)</f>
        <v>0</v>
      </c>
      <c r="AM60" s="461">
        <f>+IFERROR(ROUND(($AB60-AE60)*100,2)&amp;" pts.",0)</f>
        <v>0</v>
      </c>
      <c r="AN60" s="462">
        <f>+IFERROR(ROUND(($AB60-AH60)*100,2)&amp;" pts.",0)</f>
        <v>0</v>
      </c>
      <c r="AO60" s="11"/>
    </row>
    <row r="61" spans="1:41" hidden="1" x14ac:dyDescent="0.25">
      <c r="A61" s="61" t="s">
        <v>16</v>
      </c>
      <c r="B61" s="62"/>
      <c r="C61" s="11"/>
      <c r="D61" s="11"/>
      <c r="E61" s="11"/>
      <c r="F61" s="11"/>
      <c r="G61" s="11"/>
      <c r="H61" s="84"/>
      <c r="I61" s="118" t="str">
        <f>IF(_epmOfflineCondition_,"",_xll.EVPRO($B$1,$H61,"STYLE"))</f>
        <v/>
      </c>
      <c r="J61" s="118" t="str">
        <f>IF(_epmOfflineCondition_,"",_xll.EVPRO($B$1,$H61,"CALC"))</f>
        <v/>
      </c>
      <c r="K61" s="175" t="str">
        <f>IF(AND(I61&gt;="T3"),"&gt;","")</f>
        <v/>
      </c>
      <c r="L61" s="86" t="str">
        <f>IF(_epmOfflineCondition_,"",_xll.EVPRO($B$1,H61,"JDEID"))</f>
        <v/>
      </c>
      <c r="M61" s="86" t="str">
        <f>IF(_epmOfflineCondition_,"",IF(AND(I61="N",J61="N"),_xll.EVPRO($B$1,H61,"PSFTID"),""))</f>
        <v/>
      </c>
      <c r="N61" s="86" t="str">
        <f>IF(_epmOfflineCondition_,"",IF(_xll.EVDES(H61,$B$1)="#NODATA","",_xll.EVDES(H61,$B$1)))</f>
        <v/>
      </c>
      <c r="O61" s="240"/>
      <c r="P61" s="240"/>
      <c r="Q61" s="240"/>
      <c r="R61" s="240"/>
      <c r="S61" s="240"/>
      <c r="T61" s="240"/>
      <c r="U61" s="240"/>
      <c r="V61" s="240"/>
      <c r="W61" s="240"/>
      <c r="X61" s="240"/>
      <c r="Y61" s="240"/>
      <c r="Z61" s="240"/>
      <c r="AA61" s="240">
        <f>IF($I61="B1","",SUM(O61:Z61))</f>
        <v>0</v>
      </c>
      <c r="AB61" s="242" t="str">
        <f>IF(AA61=0,"",IFERROR(AA61/AA$19,""))</f>
        <v/>
      </c>
      <c r="AC61" s="136"/>
      <c r="AD61" s="240"/>
      <c r="AE61" s="242" t="str">
        <f>IF(AD61=0,"",IFERROR(AD61/AD$19,""))</f>
        <v/>
      </c>
      <c r="AF61" s="243">
        <f>IF(AND($AA61="",AD61=""),"",$AA61-AD61)</f>
        <v>0</v>
      </c>
      <c r="AG61" s="240"/>
      <c r="AH61" s="242" t="str">
        <f>IF(AG61=0,"",IFERROR(AG61/AG$19,""))</f>
        <v/>
      </c>
      <c r="AI61" s="243">
        <f>IF(AND($AA61="",AG61=""),"",$AA61-AG61)</f>
        <v>0</v>
      </c>
      <c r="AJ61" s="458">
        <f>IFERROR(AA61/AA$20,0)</f>
        <v>0</v>
      </c>
      <c r="AK61" s="459">
        <f>IFERROR(AD61/AD$20,0)</f>
        <v>0</v>
      </c>
      <c r="AL61" s="460">
        <f>IFERROR(AG61/AG$20,0)</f>
        <v>0</v>
      </c>
      <c r="AM61" s="461">
        <f>+IFERROR(ROUND(($AB61-AE61)*100,2)&amp;" pts.",0)</f>
        <v>0</v>
      </c>
      <c r="AN61" s="462">
        <f>+IFERROR(ROUND(($AB61-AH61)*100,2)&amp;" pts.",0)</f>
        <v>0</v>
      </c>
      <c r="AO61" s="11"/>
    </row>
    <row r="62" spans="1:41" x14ac:dyDescent="0.25">
      <c r="A62" s="61" t="s">
        <v>17</v>
      </c>
      <c r="B62" s="62"/>
      <c r="C62" s="11"/>
      <c r="D62" s="11"/>
      <c r="E62" s="11"/>
      <c r="F62" s="11"/>
      <c r="G62" s="11"/>
      <c r="H62" s="84" t="s">
        <v>75</v>
      </c>
      <c r="I62" s="85" t="str">
        <f>IF(_epmOfflineCondition_,"B1",_xll.EVPRO($B$1,$H62,"STYLE"))</f>
        <v>B1</v>
      </c>
      <c r="J62" s="85" t="str">
        <f>IF(_epmOfflineCondition_,"Y",_xll.EVPRO($B$1,$H62,"CALC"))</f>
        <v>Y</v>
      </c>
      <c r="K62" s="261" t="str">
        <f>IF(AND(I62&gt;="T3"),"&gt;","")</f>
        <v/>
      </c>
      <c r="L62" s="102" t="str">
        <f>IF(_epmOfflineCondition_,"",_xll.EVPRO($B$1,H62,"JDEID"))</f>
        <v/>
      </c>
      <c r="M62" s="86" t="str">
        <f>IF(_epmOfflineCondition_,"",IF(AND(I62="N",J62="N"),_xll.EVPRO($B$1,H62,"PSFTID"),""))</f>
        <v/>
      </c>
      <c r="N62" s="102" t="str">
        <f>IF(_epmOfflineCondition_,"Non-Management",IF(_xll.EVDES(H62,$B$1)="#NODATA","",_xll.EVDES(H62,$B$1)))</f>
        <v>Non-Management</v>
      </c>
      <c r="O62" s="193"/>
      <c r="P62" s="193"/>
      <c r="Q62" s="193"/>
      <c r="R62" s="193"/>
      <c r="S62" s="193"/>
      <c r="T62" s="193"/>
      <c r="U62" s="193"/>
      <c r="V62" s="193"/>
      <c r="W62" s="193"/>
      <c r="X62" s="193"/>
      <c r="Y62" s="193"/>
      <c r="Z62" s="193"/>
      <c r="AA62" s="193" t="str">
        <f>IF($I62="B1","",SUM(O62:Z62))</f>
        <v/>
      </c>
      <c r="AB62" s="194" t="str">
        <f>IF(AA62=0,"",IFERROR(AA62/AA$19,""))</f>
        <v/>
      </c>
      <c r="AC62" s="11"/>
      <c r="AD62" s="193"/>
      <c r="AE62" s="194" t="str">
        <f>IF(AD62=0,"",IFERROR(AD62/AD$19,""))</f>
        <v/>
      </c>
      <c r="AF62" s="195" t="str">
        <f>IF(AND($AA62="",AD62=""),"",$AA62-AD62)</f>
        <v/>
      </c>
      <c r="AG62" s="193"/>
      <c r="AH62" s="194" t="str">
        <f>IF(AG62=0,"",IFERROR(AG62/AG$19,""))</f>
        <v/>
      </c>
      <c r="AI62" s="195" t="str">
        <f>IF(AND($AA62="",AG62=""),"",$AA62-AG62)</f>
        <v/>
      </c>
      <c r="AJ62" s="393">
        <f>IFERROR(AA62/AA$20,0)</f>
        <v>0</v>
      </c>
      <c r="AK62" s="394">
        <f>IFERROR(AD62/AD$20,0)</f>
        <v>0</v>
      </c>
      <c r="AL62" s="395">
        <f>IFERROR(AG62/AG$20,0)</f>
        <v>0</v>
      </c>
      <c r="AM62" s="396">
        <f>+IFERROR(ROUND(($AB62-AE62)*100,2)&amp;" pts.",0)</f>
        <v>0</v>
      </c>
      <c r="AN62" s="397">
        <f>+IFERROR(ROUND(($AB62-AH62)*100,2)&amp;" pts.",0)</f>
        <v>0</v>
      </c>
      <c r="AO62" s="11"/>
    </row>
    <row r="63" spans="1:41" hidden="1" x14ac:dyDescent="0.25">
      <c r="A63" s="11"/>
      <c r="B63" s="11"/>
      <c r="C63" s="11"/>
      <c r="D63" s="11"/>
      <c r="E63" s="11"/>
      <c r="F63" s="11"/>
      <c r="G63" s="11"/>
      <c r="H63" s="84" t="s">
        <v>668</v>
      </c>
      <c r="I63" s="118" t="str">
        <f>IF(_epmOfflineCondition_,"",_xll.EVPRO($B$1,$H63,"STYLE"))</f>
        <v/>
      </c>
      <c r="J63" s="118" t="str">
        <f>IF(_epmOfflineCondition_,"",_xll.EVPRO($B$1,$H63,"CALC"))</f>
        <v/>
      </c>
      <c r="K63" s="175" t="str">
        <f>IF(AND(I63&gt;="T3"),"&gt;","")</f>
        <v/>
      </c>
      <c r="L63" s="86" t="str">
        <f>IF(_epmOfflineCondition_,"",_xll.EVPRO($B$1,H63,"JDEID"))</f>
        <v/>
      </c>
      <c r="M63" s="86" t="str">
        <f>IF(_epmOfflineCondition_,"",IF(AND(I63="N",J63="N"),_xll.EVPRO($B$1,H63,"PSFTID"),""))</f>
        <v/>
      </c>
      <c r="N63" s="86" t="str">
        <f>IF(_epmOfflineCondition_,"",IF(_xll.EVDES(H63,$B$1)="#NODATA","",_xll.EVDES(H63,$B$1)))</f>
        <v/>
      </c>
      <c r="O63" s="248"/>
      <c r="P63" s="248"/>
      <c r="Q63" s="248"/>
      <c r="R63" s="248"/>
      <c r="S63" s="248"/>
      <c r="T63" s="248"/>
      <c r="U63" s="248"/>
      <c r="V63" s="248"/>
      <c r="W63" s="248"/>
      <c r="X63" s="248"/>
      <c r="Y63" s="248"/>
      <c r="Z63" s="248"/>
      <c r="AA63" s="248">
        <f>IF($I63="B1","",SUM(O63:Z63))</f>
        <v>0</v>
      </c>
      <c r="AB63" s="249" t="str">
        <f>IF(AA63=0,"",IFERROR(AA63/AA$19,""))</f>
        <v/>
      </c>
      <c r="AC63" s="136"/>
      <c r="AD63" s="248"/>
      <c r="AE63" s="249" t="str">
        <f>IF(AD63=0,"",IFERROR(AD63/AD$19,""))</f>
        <v/>
      </c>
      <c r="AF63" s="250">
        <f>IF(AND($AA63="",AD63=""),"",$AA63-AD63)</f>
        <v>0</v>
      </c>
      <c r="AG63" s="248"/>
      <c r="AH63" s="249" t="str">
        <f>IF(AG63=0,"",IFERROR(AG63/AG$19,""))</f>
        <v/>
      </c>
      <c r="AI63" s="250">
        <f>IF(AND($AA63="",AG63=""),"",$AA63-AG63)</f>
        <v>0</v>
      </c>
      <c r="AJ63" s="458">
        <f>IFERROR(AA63/AA$20,0)</f>
        <v>0</v>
      </c>
      <c r="AK63" s="459">
        <f>IFERROR(AD63/AD$20,0)</f>
        <v>0</v>
      </c>
      <c r="AL63" s="460">
        <f>IFERROR(AG63/AG$20,0)</f>
        <v>0</v>
      </c>
      <c r="AM63" s="461">
        <f>+IFERROR(ROUND(($AB63-AE63)*100,2)&amp;" pts.",0)</f>
        <v>0</v>
      </c>
      <c r="AN63" s="462">
        <f>+IFERROR(ROUND(($AB63-AH63)*100,2)&amp;" pts.",0)</f>
        <v>0</v>
      </c>
      <c r="AO63" s="11"/>
    </row>
    <row r="64" spans="1:41" hidden="1" x14ac:dyDescent="0.25">
      <c r="A64" s="93" t="s">
        <v>92</v>
      </c>
      <c r="B64" s="94" t="s">
        <v>93</v>
      </c>
      <c r="C64" s="94" t="s">
        <v>94</v>
      </c>
      <c r="D64" s="94" t="s">
        <v>95</v>
      </c>
      <c r="E64" s="94" t="s">
        <v>96</v>
      </c>
      <c r="F64" s="95" t="s">
        <v>97</v>
      </c>
      <c r="G64" s="11"/>
      <c r="H64" s="84"/>
      <c r="I64" s="118" t="str">
        <f>IF(_epmOfflineCondition_,"",_xll.EVPRO($B$1,$H64,"STYLE"))</f>
        <v/>
      </c>
      <c r="J64" s="118" t="str">
        <f>IF(_epmOfflineCondition_,"",_xll.EVPRO($B$1,$H64,"CALC"))</f>
        <v/>
      </c>
      <c r="K64" s="175" t="str">
        <f>IF(AND(I64&gt;="T3"),"&gt;","")</f>
        <v/>
      </c>
      <c r="L64" s="86" t="str">
        <f>IF(_epmOfflineCondition_,"",_xll.EVPRO($B$1,H64,"JDEID"))</f>
        <v/>
      </c>
      <c r="M64" s="86" t="str">
        <f>IF(_epmOfflineCondition_,"",IF(AND(I64="N",J64="N"),_xll.EVPRO($B$1,H64,"PSFTID"),""))</f>
        <v/>
      </c>
      <c r="N64" s="86" t="str">
        <f>IF(_epmOfflineCondition_,"",IF(_xll.EVDES(H64,$B$1)="#NODATA","",_xll.EVDES(H64,$B$1)))</f>
        <v/>
      </c>
      <c r="O64" s="248"/>
      <c r="P64" s="248"/>
      <c r="Q64" s="248"/>
      <c r="R64" s="248"/>
      <c r="S64" s="248"/>
      <c r="T64" s="248"/>
      <c r="U64" s="248"/>
      <c r="V64" s="248"/>
      <c r="W64" s="248"/>
      <c r="X64" s="248"/>
      <c r="Y64" s="248"/>
      <c r="Z64" s="248"/>
      <c r="AA64" s="248">
        <f>IF($I64="B1","",SUM(O64:Z64))</f>
        <v>0</v>
      </c>
      <c r="AB64" s="249" t="str">
        <f>IF(AA64=0,"",IFERROR(AA64/AA$19,""))</f>
        <v/>
      </c>
      <c r="AC64" s="136"/>
      <c r="AD64" s="248"/>
      <c r="AE64" s="249" t="str">
        <f>IF(AD64=0,"",IFERROR(AD64/AD$19,""))</f>
        <v/>
      </c>
      <c r="AF64" s="250">
        <f>IF(AND($AA64="",AD64=""),"",$AA64-AD64)</f>
        <v>0</v>
      </c>
      <c r="AG64" s="248"/>
      <c r="AH64" s="249" t="str">
        <f>IF(AG64=0,"",IFERROR(AG64/AG$19,""))</f>
        <v/>
      </c>
      <c r="AI64" s="250">
        <f>IF(AND($AA64="",AG64=""),"",$AA64-AG64)</f>
        <v>0</v>
      </c>
      <c r="AJ64" s="458">
        <f>IFERROR(AA64/AA$20,0)</f>
        <v>0</v>
      </c>
      <c r="AK64" s="459">
        <f>IFERROR(AD64/AD$20,0)</f>
        <v>0</v>
      </c>
      <c r="AL64" s="460">
        <f>IFERROR(AG64/AG$20,0)</f>
        <v>0</v>
      </c>
      <c r="AM64" s="461">
        <f>+IFERROR(ROUND(($AB64-AE64)*100,2)&amp;" pts.",0)</f>
        <v>0</v>
      </c>
      <c r="AN64" s="462">
        <f>+IFERROR(ROUND(($AB64-AH64)*100,2)&amp;" pts.",0)</f>
        <v>0</v>
      </c>
      <c r="AO64" s="11"/>
    </row>
    <row r="65" spans="1:41" x14ac:dyDescent="0.25">
      <c r="A65" s="11"/>
      <c r="B65" s="11"/>
      <c r="C65" s="11"/>
      <c r="D65" s="11"/>
      <c r="E65" s="11"/>
      <c r="F65" s="11"/>
      <c r="G65" s="11"/>
      <c r="H65" s="11"/>
      <c r="I65" s="55"/>
      <c r="J65" s="55"/>
      <c r="K65" s="11"/>
      <c r="L65" s="11"/>
      <c r="M65" s="11"/>
      <c r="N65" s="11"/>
      <c r="O65" s="125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  <c r="AA65" s="126"/>
      <c r="AB65" s="127"/>
      <c r="AC65" s="11"/>
      <c r="AD65" s="125"/>
      <c r="AE65" s="126"/>
      <c r="AF65" s="127"/>
      <c r="AG65" s="125"/>
      <c r="AH65" s="126"/>
      <c r="AI65" s="127"/>
      <c r="AJ65" s="11"/>
      <c r="AK65" s="11"/>
      <c r="AL65" s="11"/>
      <c r="AM65" s="11"/>
      <c r="AN65" s="11"/>
      <c r="AO65" s="11"/>
    </row>
    <row r="66" spans="1:41" x14ac:dyDescent="0.25">
      <c r="A66" s="11" t="s">
        <v>105</v>
      </c>
      <c r="B66" s="11"/>
      <c r="C66" s="100" t="s">
        <v>101</v>
      </c>
      <c r="D66" s="11" t="s">
        <v>106</v>
      </c>
      <c r="E66" s="11"/>
      <c r="F66" s="11" t="s">
        <v>98</v>
      </c>
      <c r="G66" s="11"/>
      <c r="H66" s="11" t="s">
        <v>82</v>
      </c>
      <c r="I66" s="55" t="str">
        <f>IF(_epmOfflineCondition_,"B1",_xll.EVPRO($B$1,$H66,"STYLE"))</f>
        <v>B1</v>
      </c>
      <c r="J66" s="55" t="str">
        <f>IF(_epmOfflineCondition_,"Y",_xll.EVPRO($B$1,$H66,"CALC"))</f>
        <v>Y</v>
      </c>
      <c r="K66" s="11"/>
      <c r="L66" s="11"/>
      <c r="M66" s="11"/>
      <c r="N66" s="101" t="str">
        <f>IF(_epmOfflineCondition_,"Other Expenses",IF(_xll.EVDES(H66,$B$1)="#NODATA","",_xll.EVDES(H66,$B$1)))</f>
        <v>Other Expenses</v>
      </c>
      <c r="O66" s="115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7"/>
      <c r="AC66" s="11"/>
      <c r="AD66" s="115"/>
      <c r="AE66" s="116"/>
      <c r="AF66" s="117"/>
      <c r="AG66" s="115"/>
      <c r="AH66" s="116"/>
      <c r="AI66" s="117"/>
      <c r="AJ66" s="11"/>
      <c r="AK66" s="11"/>
      <c r="AL66" s="11"/>
      <c r="AM66" s="11"/>
      <c r="AN66" s="11"/>
      <c r="AO66" s="11"/>
    </row>
    <row r="67" spans="1:41" hidden="1" x14ac:dyDescent="0.25">
      <c r="A67" s="11" t="s">
        <v>108</v>
      </c>
      <c r="B67" s="11"/>
      <c r="C67" s="102" t="s">
        <v>101</v>
      </c>
      <c r="D67" s="11" t="s">
        <v>106</v>
      </c>
      <c r="E67" s="11"/>
      <c r="F67" s="11" t="s">
        <v>98</v>
      </c>
      <c r="G67" s="11"/>
      <c r="H67" s="84" t="s">
        <v>668</v>
      </c>
      <c r="I67" s="118" t="str">
        <f>IF(_epmOfflineCondition_,"",_xll.EVPRO($B$1,$H67,"STYLE"))</f>
        <v/>
      </c>
      <c r="J67" s="118" t="str">
        <f>IF(_epmOfflineCondition_,"",_xll.EVPRO($B$1,$H67,"CALC"))</f>
        <v/>
      </c>
      <c r="K67" s="175" t="str">
        <f>IF(AND(I67&lt;&gt;"B1",J67="Y"),"&gt;","")</f>
        <v/>
      </c>
      <c r="L67" s="86" t="str">
        <f>IF(_epmOfflineCondition_,"",_xll.EVPRO($B$1,H67,"JDEID"))</f>
        <v/>
      </c>
      <c r="M67" s="86" t="str">
        <f>IF(_epmOfflineCondition_,"",IF(AND(I67="N",J67="N"),_xll.EVPRO($B$1,H67,"PSFTID"),""))</f>
        <v/>
      </c>
      <c r="N67" s="86" t="str">
        <f>IF(_epmOfflineCondition_,"",IF(_xll.EVDES(H67,$B$1)="#NODATA","",_xll.EVDES(H67,$B$1)))</f>
        <v/>
      </c>
      <c r="O67" s="134"/>
      <c r="P67" s="134"/>
      <c r="Q67" s="134"/>
      <c r="R67" s="134"/>
      <c r="S67" s="134"/>
      <c r="T67" s="134"/>
      <c r="U67" s="134"/>
      <c r="V67" s="134"/>
      <c r="W67" s="134"/>
      <c r="X67" s="134"/>
      <c r="Y67" s="134"/>
      <c r="Z67" s="134"/>
      <c r="AA67" s="134">
        <f>IF($I67="B1","",SUM(O67:Z67))</f>
        <v>0</v>
      </c>
      <c r="AB67" s="138" t="str">
        <f>IF(AA67=0,"",IFERROR(AA67/AA$19,""))</f>
        <v/>
      </c>
      <c r="AC67" s="136"/>
      <c r="AD67" s="134"/>
      <c r="AE67" s="138" t="str">
        <f>IF(AD67=0,"",IFERROR(AD67/AD$19,""))</f>
        <v/>
      </c>
      <c r="AF67" s="137">
        <f>IF(AND($AA67="",AD67=""),"",$AA67-AD67)</f>
        <v>0</v>
      </c>
      <c r="AG67" s="134"/>
      <c r="AH67" s="138" t="str">
        <f>IF(AG67=0,"",IFERROR(AG67/AG$19,""))</f>
        <v/>
      </c>
      <c r="AI67" s="137">
        <f>IF(AND($AA67="",AG67=""),"",$AA67-AG67)</f>
        <v>0</v>
      </c>
      <c r="AJ67" s="458">
        <f>IFERROR(AA67/AA$20,0)</f>
        <v>0</v>
      </c>
      <c r="AK67" s="459">
        <f>IFERROR(AD67/AD$20,0)</f>
        <v>0</v>
      </c>
      <c r="AL67" s="460">
        <f>IFERROR(AG67/AG$20,0)</f>
        <v>0</v>
      </c>
      <c r="AM67" s="461">
        <f>+IFERROR(ROUND(($AB67-AE67)*100,2)&amp;" pts.",0)</f>
        <v>0</v>
      </c>
      <c r="AN67" s="462">
        <f>+IFERROR(ROUND(($AB67-AH67)*100,2)&amp;" pts.",0)</f>
        <v>0</v>
      </c>
      <c r="AO67" s="11"/>
    </row>
    <row r="68" spans="1:41" hidden="1" x14ac:dyDescent="0.25">
      <c r="A68" s="11" t="s">
        <v>108</v>
      </c>
      <c r="B68" s="11"/>
      <c r="C68" s="192" t="s">
        <v>101</v>
      </c>
      <c r="D68" s="11" t="s">
        <v>107</v>
      </c>
      <c r="E68" s="11"/>
      <c r="F68" s="11" t="s">
        <v>99</v>
      </c>
      <c r="G68" s="11"/>
      <c r="H68" s="84"/>
      <c r="I68" s="118" t="str">
        <f>IF(_epmOfflineCondition_,"",_xll.EVPRO($B$1,$H68,"STYLE"))</f>
        <v/>
      </c>
      <c r="J68" s="118" t="str">
        <f>IF(_epmOfflineCondition_,"",_xll.EVPRO($B$1,$H68,"CALC"))</f>
        <v/>
      </c>
      <c r="K68" s="175" t="str">
        <f>IF(AND(I68&lt;&gt;"B1",J68="Y"),"&gt;","")</f>
        <v/>
      </c>
      <c r="L68" s="86" t="str">
        <f>IF(_epmOfflineCondition_,"",_xll.EVPRO($B$1,H68,"JDEID"))</f>
        <v/>
      </c>
      <c r="M68" s="86" t="str">
        <f>IF(_epmOfflineCondition_,"",IF(AND(I68="N",J68="N"),_xll.EVPRO($B$1,H68,"PSFTID"),""))</f>
        <v/>
      </c>
      <c r="N68" s="86" t="str">
        <f>IF(_epmOfflineCondition_,"",IF(_xll.EVDES(H68,$B$1)="#NODATA","",_xll.EVDES(H68,$B$1)))</f>
        <v/>
      </c>
      <c r="O68" s="134"/>
      <c r="P68" s="134"/>
      <c r="Q68" s="134"/>
      <c r="R68" s="134"/>
      <c r="S68" s="134"/>
      <c r="T68" s="134"/>
      <c r="U68" s="134"/>
      <c r="V68" s="134"/>
      <c r="W68" s="134"/>
      <c r="X68" s="134"/>
      <c r="Y68" s="134"/>
      <c r="Z68" s="134"/>
      <c r="AA68" s="134">
        <f>IF($I68="B1","",SUM(O68:Z68))</f>
        <v>0</v>
      </c>
      <c r="AB68" s="138" t="str">
        <f>IF(AA68=0,"",IFERROR(AA68/AA$19,""))</f>
        <v/>
      </c>
      <c r="AC68" s="136"/>
      <c r="AD68" s="134"/>
      <c r="AE68" s="138" t="str">
        <f>IF(AD68=0,"",IFERROR(AD68/AD$19,""))</f>
        <v/>
      </c>
      <c r="AF68" s="137">
        <f>IF(AND($AA68="",AD68=""),"",$AA68-AD68)</f>
        <v>0</v>
      </c>
      <c r="AG68" s="134"/>
      <c r="AH68" s="138" t="str">
        <f>IF(AG68=0,"",IFERROR(AG68/AG$19,""))</f>
        <v/>
      </c>
      <c r="AI68" s="137">
        <f>IF(AND($AA68="",AG68=""),"",$AA68-AG68)</f>
        <v>0</v>
      </c>
      <c r="AJ68" s="458">
        <f>IFERROR(AA68/AA$20,0)</f>
        <v>0</v>
      </c>
      <c r="AK68" s="459">
        <f>IFERROR(AD68/AD$20,0)</f>
        <v>0</v>
      </c>
      <c r="AL68" s="460">
        <f>IFERROR(AG68/AG$20,0)</f>
        <v>0</v>
      </c>
      <c r="AM68" s="461">
        <f>+IFERROR(ROUND(($AB68-AE68)*100,2)&amp;" pts.",0)</f>
        <v>0</v>
      </c>
      <c r="AN68" s="462">
        <f>+IFERROR(ROUND(($AB68-AH68)*100,2)&amp;" pts.",0)</f>
        <v>0</v>
      </c>
      <c r="AO68" s="11"/>
    </row>
    <row r="69" spans="1:41" x14ac:dyDescent="0.25">
      <c r="A69" s="11"/>
      <c r="B69" s="11"/>
      <c r="C69" s="11"/>
      <c r="D69" s="11"/>
      <c r="E69" s="11"/>
      <c r="F69" s="11"/>
      <c r="G69" s="11"/>
      <c r="H69" s="84" t="s">
        <v>79</v>
      </c>
      <c r="I69" s="132" t="str">
        <f>IF(_epmOfflineCondition_,"T3",_xll.EVPRO($B$1,$H69,"STYLE"))</f>
        <v>T3</v>
      </c>
      <c r="J69" s="132" t="str">
        <f>IF(_epmOfflineCondition_,"Y",_xll.EVPRO($B$1,$H69,"CALC"))</f>
        <v>Y</v>
      </c>
      <c r="K69" s="100"/>
      <c r="L69" s="100"/>
      <c r="M69" s="100"/>
      <c r="N69" s="102" t="str">
        <f>IF(_epmOfflineCondition_,"Total Operations Expense",IF(_xll.EVDES(H69,$B$1)="#NODATA","",_xll.EVDES(H69,$B$1)))</f>
        <v>Total Operations Expense</v>
      </c>
      <c r="O69" s="146"/>
      <c r="P69" s="146"/>
      <c r="Q69" s="146"/>
      <c r="R69" s="146"/>
      <c r="S69" s="146"/>
      <c r="T69" s="146"/>
      <c r="U69" s="146"/>
      <c r="V69" s="146"/>
      <c r="W69" s="146"/>
      <c r="X69" s="146"/>
      <c r="Y69" s="146"/>
      <c r="Z69" s="146"/>
      <c r="AA69" s="146">
        <f>IF($I69="B1","",SUM(O69:Z69))</f>
        <v>0</v>
      </c>
      <c r="AB69" s="147" t="str">
        <f>IF(AA69=0,"",IFERROR(AA69/AA$19,""))</f>
        <v/>
      </c>
      <c r="AC69" s="136"/>
      <c r="AD69" s="146"/>
      <c r="AE69" s="147" t="str">
        <f>IF(AD69=0,"",IFERROR(AD69/AD$19,""))</f>
        <v/>
      </c>
      <c r="AF69" s="148">
        <f>IF(AND($AA69="",AD69=""),"",$AA69-AD69)</f>
        <v>0</v>
      </c>
      <c r="AG69" s="146"/>
      <c r="AH69" s="147" t="str">
        <f>IF(AG69=0,"",IFERROR(AG69/AG$19,""))</f>
        <v/>
      </c>
      <c r="AI69" s="148">
        <f>IF(AND($AA69="",AG69=""),"",$AA69-AG69)</f>
        <v>0</v>
      </c>
      <c r="AJ69" s="431">
        <f>IFERROR(AA69/AA$20,0)</f>
        <v>0</v>
      </c>
      <c r="AK69" s="432">
        <f>IFERROR(AD69/AD$20,0)</f>
        <v>0</v>
      </c>
      <c r="AL69" s="433">
        <f>IFERROR(AG69/AG$20,0)</f>
        <v>0</v>
      </c>
      <c r="AM69" s="434">
        <f>+IFERROR(ROUND(($AB69-AE69)*100,2)&amp;" pts.",0)</f>
        <v>0</v>
      </c>
      <c r="AN69" s="550">
        <f>+IFERROR(ROUND(($AB69-AH69)*100,2)&amp;" pts.",0)</f>
        <v>0</v>
      </c>
      <c r="AO69" s="11"/>
    </row>
    <row r="70" spans="1:41" x14ac:dyDescent="0.25">
      <c r="A70" s="11"/>
      <c r="B70" s="11"/>
      <c r="C70" s="204"/>
      <c r="D70" s="11"/>
      <c r="E70" s="11"/>
      <c r="F70" s="11"/>
      <c r="G70" s="11"/>
      <c r="H70" s="11"/>
      <c r="I70" s="55"/>
      <c r="J70" s="55"/>
      <c r="K70" s="11"/>
      <c r="L70" s="11"/>
      <c r="M70" s="11"/>
      <c r="N70" s="11"/>
      <c r="O70" s="136"/>
      <c r="P70" s="136"/>
      <c r="Q70" s="136"/>
      <c r="R70" s="136"/>
      <c r="S70" s="136"/>
      <c r="T70" s="136"/>
      <c r="U70" s="136"/>
      <c r="V70" s="136"/>
      <c r="W70" s="136"/>
      <c r="X70" s="136"/>
      <c r="Y70" s="136"/>
      <c r="Z70" s="136"/>
      <c r="AA70" s="136"/>
      <c r="AB70" s="136"/>
      <c r="AC70" s="136"/>
      <c r="AD70" s="136"/>
      <c r="AE70" s="136"/>
      <c r="AF70" s="136"/>
      <c r="AG70" s="136"/>
      <c r="AH70" s="136"/>
      <c r="AI70" s="136"/>
      <c r="AJ70" s="136"/>
      <c r="AK70" s="136"/>
      <c r="AL70" s="136"/>
      <c r="AM70" s="136"/>
      <c r="AN70" s="136"/>
      <c r="AO70" s="11"/>
    </row>
    <row r="71" spans="1:41" x14ac:dyDescent="0.25">
      <c r="A71" s="56" t="str">
        <f>IF(_epmOfflineCondition_,"Evdre:Ok",_xll.EVDRE($B$1,A74:B81,A84:B90))</f>
        <v>Evdre:Ok</v>
      </c>
      <c r="B71" s="11"/>
      <c r="C71" s="11"/>
      <c r="D71" s="11"/>
      <c r="E71" s="11"/>
      <c r="F71" s="11"/>
      <c r="G71" s="11"/>
      <c r="H71" s="84" t="s">
        <v>80</v>
      </c>
      <c r="I71" s="132" t="str">
        <f>IF(_epmOfflineCondition_,"T3",_xll.EVPRO($B$1,$H71,"STYLE"))</f>
        <v>T3</v>
      </c>
      <c r="J71" s="132" t="str">
        <f>IF(_epmOfflineCondition_,"Y",_xll.EVPRO($B$1,$H71,"CALC"))</f>
        <v>Y</v>
      </c>
      <c r="K71" s="102"/>
      <c r="L71" s="102"/>
      <c r="M71" s="102"/>
      <c r="N71" s="102" t="str">
        <f>IF(_epmOfflineCondition_,"Total Expenses",IF(_xll.EVDES(H71,$B$1)="#NODATA","",_xll.EVDES(H71,$B$1)))</f>
        <v>Total Expenses</v>
      </c>
      <c r="O71" s="210"/>
      <c r="P71" s="210"/>
      <c r="Q71" s="210"/>
      <c r="R71" s="210"/>
      <c r="S71" s="210"/>
      <c r="T71" s="210"/>
      <c r="U71" s="210"/>
      <c r="V71" s="210"/>
      <c r="W71" s="210"/>
      <c r="X71" s="210"/>
      <c r="Y71" s="210"/>
      <c r="Z71" s="210"/>
      <c r="AA71" s="210">
        <f>IF($I71="B1","",SUM(O71:Z71))</f>
        <v>0</v>
      </c>
      <c r="AB71" s="211" t="str">
        <f>IF(AA71=0,"",IFERROR(AA71/AA$19,""))</f>
        <v/>
      </c>
      <c r="AC71" s="136"/>
      <c r="AD71" s="210"/>
      <c r="AE71" s="211" t="str">
        <f>IF(AD71=0,"",IFERROR(AD71/AD$19,""))</f>
        <v/>
      </c>
      <c r="AF71" s="212">
        <f>IF(AND($AA71="",AD71=""),"",$AA71-AD71)</f>
        <v>0</v>
      </c>
      <c r="AG71" s="213"/>
      <c r="AH71" s="214" t="str">
        <f>IF(AG71=0,"",IFERROR(AG71/AG$19,""))</f>
        <v/>
      </c>
      <c r="AI71" s="212">
        <f>IF(AND($AA71="",AG71=""),"",$AA71-AG71)</f>
        <v>0</v>
      </c>
      <c r="AJ71" s="437">
        <f>IFERROR(AA71/AA$20,0)</f>
        <v>0</v>
      </c>
      <c r="AK71" s="438">
        <f>IFERROR(AD71/AD$20,0)</f>
        <v>0</v>
      </c>
      <c r="AL71" s="439">
        <f>IFERROR(AG71/AG$20,0)</f>
        <v>0</v>
      </c>
      <c r="AM71" s="440">
        <f>+IFERROR(ROUND(($AB71-AE71)*100,2)&amp;" pts.",0)</f>
        <v>0</v>
      </c>
      <c r="AN71" s="551">
        <f>+IFERROR(ROUND(($AB71-AH71)*100,2)&amp;" pts.",0)</f>
        <v>0</v>
      </c>
      <c r="AO71" s="11"/>
    </row>
    <row r="72" spans="1:41" ht="15.75" thickBot="1" x14ac:dyDescent="0.3">
      <c r="A72" s="11"/>
      <c r="B72" s="11"/>
      <c r="C72" s="11"/>
      <c r="D72" s="11"/>
      <c r="E72" s="11"/>
      <c r="F72" s="11"/>
      <c r="G72" s="11"/>
      <c r="H72" s="84" t="s">
        <v>81</v>
      </c>
      <c r="I72" s="132" t="str">
        <f>IF(_epmOfflineCondition_,"T3",_xll.EVPRO($B$1,$H72,"STYLE"))</f>
        <v>T3</v>
      </c>
      <c r="J72" s="132" t="str">
        <f>IF(_epmOfflineCondition_,"Y",_xll.EVPRO($B$1,$H72,"CALC"))</f>
        <v>Y</v>
      </c>
      <c r="K72" s="102"/>
      <c r="L72" s="102"/>
      <c r="M72" s="102"/>
      <c r="N72" s="102" t="str">
        <f>IF(_epmOfflineCondition_,"Department Profit (Loss)",IF(_xll.EVDES(H72,$B$1)="#NODATA","",_xll.EVDES(H72,$B$1)))</f>
        <v>Department Profit (Loss)</v>
      </c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>
        <f>IF($I72="B1","",SUM(O72:Z72))</f>
        <v>0</v>
      </c>
      <c r="AB72" s="162" t="str">
        <f>IF(AA72=0,"",IFERROR(AA72/AA$19,""))</f>
        <v/>
      </c>
      <c r="AC72" s="136"/>
      <c r="AD72" s="161"/>
      <c r="AE72" s="162" t="str">
        <f>IF(AD72=0,"",IFERROR(AD72/AD$19,""))</f>
        <v/>
      </c>
      <c r="AF72" s="163">
        <f>IF(AND($AA72="",AD72=""),"",$AA72-AD72)</f>
        <v>0</v>
      </c>
      <c r="AG72" s="161"/>
      <c r="AH72" s="162" t="str">
        <f>IF(AG72=0,"",IFERROR(AG72/AG$19,""))</f>
        <v/>
      </c>
      <c r="AI72" s="163">
        <f>IF(AND($AA72="",AG72=""),"",$AA72-AG72)</f>
        <v>0</v>
      </c>
      <c r="AJ72" s="442">
        <f>IFERROR(AA72/AA$20,0)</f>
        <v>0</v>
      </c>
      <c r="AK72" s="443">
        <f>IFERROR(AD72/AD$20,0)</f>
        <v>0</v>
      </c>
      <c r="AL72" s="444">
        <f>IFERROR(AG72/AG$20,0)</f>
        <v>0</v>
      </c>
      <c r="AM72" s="445">
        <f>+IFERROR(ROUND(($AB72-AE72)*100,2)&amp;" pts.",0)</f>
        <v>0</v>
      </c>
      <c r="AN72" s="552">
        <f>+IFERROR(ROUND(($AB72-AH72)*100,2)&amp;" pts.",0)</f>
        <v>0</v>
      </c>
      <c r="AO72" s="11"/>
    </row>
    <row r="73" spans="1:41" ht="15.75" thickTop="1" x14ac:dyDescent="0.25">
      <c r="A73" s="57" t="s">
        <v>0</v>
      </c>
      <c r="B73" s="58" t="s">
        <v>1</v>
      </c>
      <c r="C73" s="11"/>
      <c r="D73" s="11"/>
      <c r="E73" s="11"/>
      <c r="F73" s="11"/>
      <c r="G73" s="11"/>
      <c r="H73" s="11"/>
      <c r="I73" s="55"/>
      <c r="J73" s="55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</row>
    <row r="74" spans="1:41" x14ac:dyDescent="0.25">
      <c r="A74" s="61" t="s">
        <v>2</v>
      </c>
      <c r="B74" s="62" t="str">
        <f>IF(_epmOfflineCondition_,"'FB_Retail'!$B$2:$B$10",_xll.EVRNG($B$2:$B$10))</f>
        <v>'FB_Retail'!$B$2:$B$10</v>
      </c>
      <c r="C74" s="11"/>
      <c r="D74" s="11"/>
      <c r="E74" s="11"/>
      <c r="F74" s="11"/>
      <c r="G74" s="11"/>
      <c r="H74" s="11"/>
      <c r="I74" s="55"/>
      <c r="J74" s="55"/>
      <c r="K74" s="11"/>
      <c r="L74" s="11"/>
      <c r="M74" s="11"/>
      <c r="N74" s="100" t="str">
        <f>N71&amp;" - Check"</f>
        <v>Total Expenses - Check</v>
      </c>
      <c r="O74" s="205">
        <f t="shared" ref="O74:AA74" si="22">SUMIF($H$34:$H$72,"600000",O$34:O$72)+SUMIF($H$34:$H$72,"700000",O$34:O$72)-SUMIF($H$34:$H$72,"TOTDEPTEXP",O$34:O$72)</f>
        <v>0</v>
      </c>
      <c r="P74" s="205">
        <f t="shared" si="22"/>
        <v>0</v>
      </c>
      <c r="Q74" s="205">
        <f t="shared" si="22"/>
        <v>0</v>
      </c>
      <c r="R74" s="205">
        <f t="shared" si="22"/>
        <v>0</v>
      </c>
      <c r="S74" s="205">
        <f t="shared" si="22"/>
        <v>0</v>
      </c>
      <c r="T74" s="205">
        <f t="shared" si="22"/>
        <v>0</v>
      </c>
      <c r="U74" s="205">
        <f t="shared" si="22"/>
        <v>0</v>
      </c>
      <c r="V74" s="205">
        <f t="shared" si="22"/>
        <v>0</v>
      </c>
      <c r="W74" s="205">
        <f t="shared" si="22"/>
        <v>0</v>
      </c>
      <c r="X74" s="205">
        <f t="shared" si="22"/>
        <v>0</v>
      </c>
      <c r="Y74" s="205">
        <f t="shared" si="22"/>
        <v>0</v>
      </c>
      <c r="Z74" s="205">
        <f t="shared" si="22"/>
        <v>0</v>
      </c>
      <c r="AA74" s="205">
        <f t="shared" si="22"/>
        <v>0</v>
      </c>
      <c r="AB74" s="96"/>
      <c r="AC74" s="11"/>
      <c r="AD74" s="205">
        <f>SUMIF($H$34:$H$72,"600000",AD$34:AD$72)+SUMIF($H$34:$H$72,"700000",AD$34:AD$72)-SUMIF($H$34:$H$72,"TOTDEPTEXP",AD$34:AD$72)</f>
        <v>0</v>
      </c>
      <c r="AE74" s="96"/>
      <c r="AF74" s="87"/>
      <c r="AG74" s="205">
        <f>SUMIF($H$34:$H$72,"600000",AG$34:AG$72)+SUMIF($H$34:$H$72,"700000",AG$34:AG$72)-SUMIF($H$34:$H$72,"TOTDEPTEXP",AG$34:AG$72)</f>
        <v>0</v>
      </c>
      <c r="AH74" s="96"/>
      <c r="AI74" s="87"/>
      <c r="AJ74" s="11"/>
      <c r="AK74" s="11"/>
      <c r="AL74" s="11"/>
      <c r="AM74" s="11"/>
      <c r="AN74" s="11"/>
      <c r="AO74" s="11"/>
    </row>
    <row r="75" spans="1:41" x14ac:dyDescent="0.25">
      <c r="A75" s="61" t="s">
        <v>3</v>
      </c>
      <c r="B75" s="62" t="str">
        <f>IF(_epmOfflineCondition_,"'FB_Retail'!$O$16:$AN$18",_xll.EVRNG($O$16:$AN$18))</f>
        <v>'FB_Retail'!$O$16:$AN$18</v>
      </c>
      <c r="C75" s="11"/>
      <c r="D75" s="11"/>
      <c r="E75" s="11"/>
      <c r="F75" s="11"/>
      <c r="G75" s="11"/>
      <c r="H75" s="11"/>
      <c r="I75" s="55"/>
      <c r="J75" s="55"/>
      <c r="K75" s="11"/>
      <c r="L75" s="11"/>
      <c r="M75" s="11"/>
      <c r="N75" s="100" t="str">
        <f>N72&amp;" - Check"</f>
        <v>Department Profit (Loss) - Check</v>
      </c>
      <c r="O75" s="205">
        <f t="shared" ref="O75:AA75" si="23">SUMIF($H$34:$H$72,"KPI_GP",O$34:O$72)-SUMIF($H$34:$H$72,"TOTDEPTEXP",O$34:O$72)-SUMIF($H$34:$H$72,"TOTDEPTPL",O$34:O$72)</f>
        <v>0</v>
      </c>
      <c r="P75" s="205">
        <f t="shared" si="23"/>
        <v>0</v>
      </c>
      <c r="Q75" s="205">
        <f t="shared" si="23"/>
        <v>0</v>
      </c>
      <c r="R75" s="205">
        <f t="shared" si="23"/>
        <v>0</v>
      </c>
      <c r="S75" s="205">
        <f t="shared" si="23"/>
        <v>0</v>
      </c>
      <c r="T75" s="205">
        <f t="shared" si="23"/>
        <v>0</v>
      </c>
      <c r="U75" s="205">
        <f t="shared" si="23"/>
        <v>0</v>
      </c>
      <c r="V75" s="205">
        <f t="shared" si="23"/>
        <v>0</v>
      </c>
      <c r="W75" s="205">
        <f t="shared" si="23"/>
        <v>0</v>
      </c>
      <c r="X75" s="205">
        <f t="shared" si="23"/>
        <v>0</v>
      </c>
      <c r="Y75" s="205">
        <f t="shared" si="23"/>
        <v>0</v>
      </c>
      <c r="Z75" s="205">
        <f t="shared" si="23"/>
        <v>0</v>
      </c>
      <c r="AA75" s="205">
        <f t="shared" si="23"/>
        <v>0</v>
      </c>
      <c r="AB75" s="96"/>
      <c r="AC75" s="11"/>
      <c r="AD75" s="205">
        <f>SUMIF($H$34:$H$72,"KPI_GP",AD$34:AD$72)-SUMIF($H$34:$H$72,"TOTDEPTEXP",AD$34:AD$72)-SUMIF($H$34:$H$72,"TOTDEPTPL",AD$34:AD$72)</f>
        <v>0</v>
      </c>
      <c r="AE75" s="96"/>
      <c r="AF75" s="87"/>
      <c r="AG75" s="205">
        <f>SUMIF($H$34:$H$72,"KPI_GP",AG$34:AG$72)-SUMIF($H$34:$H$72,"TOTDEPTEXP",AG$34:AG$72)-SUMIF($H$34:$H$72,"TOTDEPTPL",AG$34:AG$72)</f>
        <v>0</v>
      </c>
      <c r="AH75" s="96"/>
      <c r="AI75" s="87"/>
      <c r="AJ75" s="11"/>
      <c r="AK75" s="11"/>
      <c r="AL75" s="11"/>
      <c r="AM75" s="11"/>
      <c r="AN75" s="11"/>
      <c r="AO75" s="11"/>
    </row>
    <row r="76" spans="1:41" x14ac:dyDescent="0.25">
      <c r="A76" s="61" t="s">
        <v>4</v>
      </c>
      <c r="B76" s="62" t="str">
        <f>IF(_epmOfflineCondition_,"'FB_Retail'!$H$60:$H$61,'FB_Retail'!$H$63:$H$64,'FB_Retail'!$H$67:$H$68",_xll.EVRNG(H60:H61,H63:H64,H67:H68))</f>
        <v>'FB_Retail'!$H$60:$H$61,'FB_Retail'!$H$63:$H$64,'FB_Retail'!$H$67:$H$68</v>
      </c>
      <c r="C76" s="11"/>
      <c r="D76" s="11"/>
      <c r="E76" s="11"/>
      <c r="F76" s="11"/>
      <c r="G76" s="11"/>
      <c r="H76" s="11"/>
      <c r="I76" s="55"/>
      <c r="J76" s="55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</row>
    <row r="77" spans="1:41" x14ac:dyDescent="0.25">
      <c r="A77" s="61" t="s">
        <v>5</v>
      </c>
      <c r="B77" s="62"/>
      <c r="C77" s="11"/>
      <c r="D77" s="11"/>
      <c r="E77" s="11"/>
      <c r="F77" s="11"/>
      <c r="G77" s="11"/>
      <c r="H77" s="11"/>
      <c r="I77" s="55"/>
      <c r="J77" s="55"/>
      <c r="K77" s="11"/>
      <c r="L77" s="11"/>
      <c r="M77" s="11"/>
      <c r="N77" s="11"/>
      <c r="O77" s="133"/>
      <c r="P77" s="133"/>
      <c r="Q77" s="133"/>
      <c r="R77" s="133"/>
      <c r="S77" s="133"/>
      <c r="T77" s="133"/>
      <c r="U77" s="133"/>
      <c r="V77" s="133"/>
      <c r="W77" s="133"/>
      <c r="X77" s="133"/>
      <c r="Y77" s="133"/>
      <c r="Z77" s="133"/>
      <c r="AA77" s="133"/>
      <c r="AB77" s="11"/>
      <c r="AC77" s="11"/>
      <c r="AD77" s="133"/>
      <c r="AE77" s="11"/>
      <c r="AF77" s="11"/>
      <c r="AG77" s="133"/>
      <c r="AH77" s="11"/>
      <c r="AI77" s="11"/>
      <c r="AJ77" s="11"/>
      <c r="AK77" s="11"/>
      <c r="AL77" s="11"/>
      <c r="AM77" s="11"/>
      <c r="AN77" s="11"/>
      <c r="AO77" s="11"/>
    </row>
    <row r="78" spans="1:41" x14ac:dyDescent="0.25">
      <c r="A78" s="61" t="s">
        <v>6</v>
      </c>
      <c r="B78" s="62"/>
      <c r="C78" s="11"/>
      <c r="D78" s="11"/>
      <c r="E78" s="11"/>
      <c r="F78" s="11"/>
      <c r="G78" s="11"/>
      <c r="H78" s="11"/>
      <c r="I78" s="55"/>
      <c r="J78" s="55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  <row r="79" spans="1:41" x14ac:dyDescent="0.25">
      <c r="A79" s="61" t="s">
        <v>7</v>
      </c>
      <c r="B79" s="62" t="str">
        <f>IF(_epmOfflineCondition_,"'FB_Retail'!$A$93:$F$99",_xll.EVRNG(A93:F99))</f>
        <v>'FB_Retail'!$A$93:$F$99</v>
      </c>
      <c r="C79" s="11"/>
      <c r="D79" s="11"/>
      <c r="E79" s="11"/>
      <c r="F79" s="11"/>
      <c r="G79" s="11"/>
      <c r="H79" s="11"/>
      <c r="I79" s="55"/>
      <c r="J79" s="55"/>
      <c r="K79" s="11"/>
      <c r="L79" s="11"/>
      <c r="M79" s="11"/>
      <c r="N79" s="11"/>
      <c r="O79" s="133"/>
      <c r="P79" s="133"/>
      <c r="Q79" s="133"/>
      <c r="R79" s="133"/>
      <c r="S79" s="133"/>
      <c r="T79" s="133"/>
      <c r="U79" s="133"/>
      <c r="V79" s="133"/>
      <c r="W79" s="133"/>
      <c r="X79" s="133"/>
      <c r="Y79" s="133"/>
      <c r="Z79" s="133"/>
      <c r="AA79" s="133"/>
      <c r="AB79" s="11"/>
      <c r="AC79" s="11"/>
      <c r="AD79" s="133"/>
      <c r="AE79" s="11"/>
      <c r="AF79" s="11"/>
      <c r="AG79" s="133"/>
      <c r="AH79" s="11"/>
      <c r="AI79" s="11"/>
      <c r="AJ79" s="11"/>
      <c r="AK79" s="11"/>
      <c r="AL79" s="11"/>
      <c r="AM79" s="11"/>
      <c r="AN79" s="11"/>
      <c r="AO79" s="11"/>
    </row>
    <row r="80" spans="1:41" x14ac:dyDescent="0.25">
      <c r="A80" s="61" t="s">
        <v>47</v>
      </c>
      <c r="B80" s="62" t="str">
        <f>IF(_epmOfflineCondition_,"'FB_Retail'!$A$116:$B$137",_xll.EVRNG($A$116:$B$137))</f>
        <v>'FB_Retail'!$A$116:$B$137</v>
      </c>
      <c r="C80" s="11"/>
      <c r="D80" s="11"/>
      <c r="E80" s="11"/>
      <c r="F80" s="11"/>
      <c r="G80" s="11"/>
      <c r="H80" s="11"/>
      <c r="I80" s="55"/>
      <c r="J80" s="55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x14ac:dyDescent="0.25">
      <c r="A81" s="61" t="s">
        <v>8</v>
      </c>
      <c r="B81" s="62"/>
      <c r="C81" s="11"/>
      <c r="D81" s="11"/>
      <c r="E81" s="11"/>
      <c r="F81" s="11"/>
      <c r="G81" s="11"/>
      <c r="H81" s="11"/>
      <c r="I81" s="55"/>
      <c r="J81" s="55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</row>
    <row r="82" spans="1:41" x14ac:dyDescent="0.25">
      <c r="A82" s="11"/>
      <c r="B82" s="11"/>
      <c r="C82" s="11"/>
      <c r="D82" s="11"/>
      <c r="E82" s="11"/>
      <c r="F82" s="11"/>
      <c r="G82" s="11"/>
      <c r="H82" s="55"/>
      <c r="I82" s="55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x14ac:dyDescent="0.25">
      <c r="A83" s="57" t="s">
        <v>9</v>
      </c>
      <c r="B83" s="58" t="s">
        <v>10</v>
      </c>
      <c r="C83" s="11"/>
      <c r="D83" s="11"/>
      <c r="E83" s="11"/>
      <c r="F83" s="11"/>
      <c r="G83" s="11"/>
      <c r="H83" s="55"/>
      <c r="I83" s="55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x14ac:dyDescent="0.25">
      <c r="A84" s="61" t="s">
        <v>11</v>
      </c>
      <c r="B84" s="62" t="s">
        <v>21</v>
      </c>
      <c r="C84" s="11"/>
      <c r="D84" s="11"/>
      <c r="E84" s="11"/>
      <c r="F84" s="11"/>
      <c r="G84" s="11"/>
      <c r="H84" s="55"/>
      <c r="I84" s="55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x14ac:dyDescent="0.25">
      <c r="A85" s="61" t="s">
        <v>12</v>
      </c>
      <c r="B85" s="62" t="s">
        <v>22</v>
      </c>
      <c r="C85" s="11"/>
      <c r="D85" s="11"/>
      <c r="E85" s="11"/>
      <c r="F85" s="11"/>
      <c r="G85" s="11"/>
      <c r="H85" s="55"/>
      <c r="I85" s="55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x14ac:dyDescent="0.25">
      <c r="A86" s="61" t="s">
        <v>13</v>
      </c>
      <c r="B86" s="62" t="s">
        <v>738</v>
      </c>
      <c r="C86" s="11"/>
      <c r="D86" s="11"/>
      <c r="E86" s="11"/>
      <c r="F86" s="11"/>
      <c r="G86" s="11"/>
      <c r="H86" s="55"/>
      <c r="I86" s="55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x14ac:dyDescent="0.25">
      <c r="A87" s="61" t="s">
        <v>14</v>
      </c>
      <c r="B87" s="62"/>
      <c r="C87" s="11"/>
      <c r="D87" s="11"/>
      <c r="E87" s="11"/>
      <c r="F87" s="11"/>
      <c r="G87" s="11"/>
      <c r="H87" s="55"/>
      <c r="I87" s="55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x14ac:dyDescent="0.25">
      <c r="A88" s="61" t="s">
        <v>15</v>
      </c>
      <c r="B88" s="62"/>
      <c r="C88" s="11"/>
      <c r="D88" s="11"/>
      <c r="E88" s="11"/>
      <c r="F88" s="11"/>
      <c r="G88" s="11"/>
      <c r="H88" s="55"/>
      <c r="I88" s="55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x14ac:dyDescent="0.25">
      <c r="A89" s="61" t="s">
        <v>16</v>
      </c>
      <c r="B89" s="62" t="s">
        <v>78</v>
      </c>
      <c r="C89" s="11"/>
      <c r="D89" s="11"/>
      <c r="E89" s="11"/>
      <c r="F89" s="11"/>
      <c r="G89" s="72"/>
      <c r="H89" s="55"/>
      <c r="I89" s="55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x14ac:dyDescent="0.25">
      <c r="A90" s="61" t="s">
        <v>17</v>
      </c>
      <c r="B90" s="62"/>
      <c r="C90" s="11"/>
      <c r="D90" s="11"/>
      <c r="E90" s="11"/>
      <c r="F90" s="11"/>
      <c r="G90" s="11"/>
      <c r="H90" s="55"/>
      <c r="I90" s="55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x14ac:dyDescent="0.25">
      <c r="A91" s="11"/>
      <c r="B91" s="11"/>
      <c r="C91" s="11"/>
      <c r="D91" s="11"/>
      <c r="E91" s="11"/>
      <c r="F91" s="11"/>
      <c r="G91" s="11"/>
      <c r="H91" s="55"/>
      <c r="I91" s="55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x14ac:dyDescent="0.25">
      <c r="A92" s="93" t="s">
        <v>92</v>
      </c>
      <c r="B92" s="94" t="s">
        <v>93</v>
      </c>
      <c r="C92" s="94" t="s">
        <v>94</v>
      </c>
      <c r="D92" s="94" t="s">
        <v>95</v>
      </c>
      <c r="E92" s="94" t="s">
        <v>96</v>
      </c>
      <c r="F92" s="95" t="s">
        <v>97</v>
      </c>
      <c r="G92" s="11"/>
      <c r="H92" s="55"/>
      <c r="I92" s="55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x14ac:dyDescent="0.25">
      <c r="A93" s="11"/>
      <c r="B93" s="11"/>
      <c r="C93" s="11"/>
      <c r="D93" s="11"/>
      <c r="E93" s="11"/>
      <c r="F93" s="11"/>
      <c r="G93" s="11"/>
      <c r="H93" s="55"/>
      <c r="I93" s="55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x14ac:dyDescent="0.25">
      <c r="A94" s="11" t="s">
        <v>108</v>
      </c>
      <c r="B94" s="11"/>
      <c r="C94" s="100" t="s">
        <v>101</v>
      </c>
      <c r="D94" s="11" t="s">
        <v>106</v>
      </c>
      <c r="E94" s="11"/>
      <c r="F94" s="11" t="s">
        <v>98</v>
      </c>
      <c r="G94" s="11"/>
      <c r="H94" s="55"/>
      <c r="I94" s="55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x14ac:dyDescent="0.25">
      <c r="A95" s="11" t="s">
        <v>100</v>
      </c>
      <c r="B95" s="11"/>
      <c r="C95" s="49" t="s">
        <v>101</v>
      </c>
      <c r="D95" s="11" t="s">
        <v>106</v>
      </c>
      <c r="E95" s="11"/>
      <c r="F95" s="11" t="s">
        <v>98</v>
      </c>
      <c r="G95" s="11"/>
      <c r="H95" s="55"/>
      <c r="I95" s="55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x14ac:dyDescent="0.25">
      <c r="A96" s="11" t="s">
        <v>109</v>
      </c>
      <c r="B96" s="11"/>
      <c r="C96" s="102" t="s">
        <v>101</v>
      </c>
      <c r="D96" s="11" t="s">
        <v>106</v>
      </c>
      <c r="E96" s="11"/>
      <c r="F96" s="11" t="s">
        <v>98</v>
      </c>
      <c r="G96" s="11"/>
      <c r="H96" s="55"/>
      <c r="I96" s="55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x14ac:dyDescent="0.25">
      <c r="A97" s="11" t="s">
        <v>109</v>
      </c>
      <c r="B97" s="11"/>
      <c r="C97" s="192" t="s">
        <v>101</v>
      </c>
      <c r="D97" s="11" t="s">
        <v>107</v>
      </c>
      <c r="E97" s="11"/>
      <c r="F97" s="11" t="s">
        <v>99</v>
      </c>
      <c r="G97" s="11"/>
      <c r="H97" s="55"/>
      <c r="I97" s="55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x14ac:dyDescent="0.25">
      <c r="A98" s="11" t="s">
        <v>110</v>
      </c>
      <c r="B98" s="11"/>
      <c r="C98" s="102" t="s">
        <v>101</v>
      </c>
      <c r="D98" s="11" t="s">
        <v>106</v>
      </c>
      <c r="E98" s="11"/>
      <c r="F98" s="11" t="s">
        <v>98</v>
      </c>
      <c r="G98" s="11"/>
      <c r="H98" s="55"/>
      <c r="I98" s="55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x14ac:dyDescent="0.25">
      <c r="A99" s="11" t="s">
        <v>110</v>
      </c>
      <c r="B99" s="11"/>
      <c r="C99" s="105" t="s">
        <v>101</v>
      </c>
      <c r="D99" s="11" t="s">
        <v>107</v>
      </c>
      <c r="E99" s="11"/>
      <c r="F99" s="11" t="s">
        <v>99</v>
      </c>
      <c r="G99" s="11"/>
      <c r="H99" s="55"/>
      <c r="I99" s="55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x14ac:dyDescent="0.25">
      <c r="A100" s="11"/>
      <c r="B100" s="11"/>
      <c r="C100" s="204"/>
      <c r="D100" s="11"/>
      <c r="E100" s="11"/>
      <c r="F100" s="11"/>
      <c r="G100" s="11"/>
      <c r="H100" s="55"/>
      <c r="I100" s="55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x14ac:dyDescent="0.25">
      <c r="A101" s="11"/>
      <c r="B101" s="11"/>
      <c r="C101" s="11"/>
      <c r="D101" s="11"/>
      <c r="E101" s="11"/>
      <c r="F101" s="11"/>
      <c r="G101" s="11"/>
      <c r="H101" s="55"/>
      <c r="I101" s="55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x14ac:dyDescent="0.25">
      <c r="A102" s="56" t="str">
        <f>IF(_epmOfflineCondition_,"Evdre:Ok",_xll.EVDRE($B$1,A105:B112))</f>
        <v>Evdre:Ok</v>
      </c>
      <c r="B102" s="11" t="s">
        <v>737</v>
      </c>
      <c r="C102" s="11"/>
      <c r="D102" s="11"/>
      <c r="E102" s="11"/>
      <c r="F102" s="11"/>
      <c r="G102" s="11"/>
      <c r="H102" s="55"/>
      <c r="I102" s="55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x14ac:dyDescent="0.25">
      <c r="A103" s="11"/>
      <c r="B103" s="11"/>
      <c r="C103" s="11"/>
      <c r="D103" s="11"/>
      <c r="E103" s="11"/>
      <c r="F103" s="11"/>
      <c r="G103" s="72"/>
      <c r="H103" s="55"/>
      <c r="I103" s="55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x14ac:dyDescent="0.25">
      <c r="A104" s="57" t="s">
        <v>0</v>
      </c>
      <c r="B104" s="58" t="s">
        <v>1</v>
      </c>
      <c r="C104" s="11"/>
      <c r="D104" s="11"/>
      <c r="E104" s="11"/>
      <c r="F104" s="11"/>
      <c r="G104" s="11"/>
      <c r="H104" s="55"/>
      <c r="I104" s="55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x14ac:dyDescent="0.25">
      <c r="A105" s="61" t="s">
        <v>2</v>
      </c>
      <c r="B105" s="62" t="str">
        <f>IF(_epmOfflineCondition_,"'FB_Retail'!$B$2:$B$10",_xll.EVRNG($B$2:$B$10))</f>
        <v>'FB_Retail'!$B$2:$B$10</v>
      </c>
      <c r="C105" s="11"/>
      <c r="D105" s="11"/>
      <c r="E105" s="11"/>
      <c r="F105" s="11"/>
      <c r="G105" s="11"/>
      <c r="H105" s="11"/>
      <c r="I105" s="55"/>
      <c r="J105" s="55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x14ac:dyDescent="0.25">
      <c r="A106" s="61" t="s">
        <v>3</v>
      </c>
      <c r="B106" s="62" t="str">
        <f>IF(_epmOfflineCondition_,"'FB_Retail'!$O$16:$AN$18",_xll.EVRNG($O$16:$AN$18))</f>
        <v>'FB_Retail'!$O$16:$AN$18</v>
      </c>
      <c r="C106" s="11"/>
      <c r="D106" s="11"/>
      <c r="E106" s="11"/>
      <c r="F106" s="11"/>
      <c r="G106" s="11"/>
      <c r="H106" s="11"/>
      <c r="I106" s="55"/>
      <c r="J106" s="55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x14ac:dyDescent="0.25">
      <c r="A107" s="61" t="s">
        <v>4</v>
      </c>
      <c r="B107" s="62" t="str">
        <f>IF(_epmOfflineCondition_,"'FB_Retail'!$H$69:$H$72",_xll.EVRNG(H69:H72))</f>
        <v>'FB_Retail'!$H$69:$H$72</v>
      </c>
      <c r="C107" s="11"/>
      <c r="D107" s="11"/>
      <c r="E107" s="11"/>
      <c r="F107" s="11"/>
      <c r="G107" s="11"/>
      <c r="H107" s="11"/>
      <c r="I107" s="55"/>
      <c r="J107" s="55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x14ac:dyDescent="0.25">
      <c r="A108" s="61" t="s">
        <v>5</v>
      </c>
      <c r="B108" s="62"/>
      <c r="C108" s="11"/>
      <c r="D108" s="11"/>
      <c r="E108" s="11"/>
      <c r="F108" s="11"/>
      <c r="G108" s="11"/>
      <c r="H108" s="11"/>
      <c r="I108" s="55"/>
      <c r="J108" s="55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x14ac:dyDescent="0.25">
      <c r="A109" s="61" t="s">
        <v>6</v>
      </c>
      <c r="B109" s="62"/>
      <c r="C109" s="11"/>
      <c r="D109" s="11"/>
      <c r="E109" s="11"/>
      <c r="F109" s="11"/>
      <c r="G109" s="72"/>
      <c r="H109" s="11"/>
      <c r="I109" s="55"/>
      <c r="J109" s="55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x14ac:dyDescent="0.25">
      <c r="A110" s="61" t="s">
        <v>7</v>
      </c>
      <c r="B110" s="62"/>
      <c r="C110" s="11"/>
      <c r="D110" s="11"/>
      <c r="E110" s="11"/>
      <c r="F110" s="11"/>
      <c r="G110" s="11"/>
      <c r="H110" s="11"/>
      <c r="I110" s="55"/>
      <c r="J110" s="55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x14ac:dyDescent="0.25">
      <c r="A111" s="61" t="s">
        <v>47</v>
      </c>
      <c r="B111" s="62" t="str">
        <f>IF(_epmOfflineCondition_,"'FB_Retail'!$A$116:$B$137",_xll.EVRNG($A$116:$B$137))</f>
        <v>'FB_Retail'!$A$116:$B$137</v>
      </c>
      <c r="C111" s="11"/>
      <c r="D111" s="11"/>
      <c r="E111" s="11"/>
      <c r="F111" s="11"/>
      <c r="G111" s="11"/>
      <c r="H111" s="11"/>
      <c r="I111" s="55"/>
      <c r="J111" s="55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x14ac:dyDescent="0.25">
      <c r="A112" s="61" t="s">
        <v>8</v>
      </c>
      <c r="B112" s="62"/>
      <c r="C112" s="11"/>
      <c r="D112" s="11"/>
      <c r="E112" s="11"/>
      <c r="F112" s="11"/>
      <c r="G112" s="11"/>
      <c r="H112" s="11"/>
      <c r="I112" s="55"/>
      <c r="J112" s="55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x14ac:dyDescent="0.25">
      <c r="A113" s="11"/>
      <c r="B113" s="11"/>
      <c r="C113" s="11"/>
      <c r="D113" s="11"/>
      <c r="E113" s="11"/>
      <c r="F113" s="11"/>
      <c r="G113" s="11"/>
      <c r="H113" s="11"/>
      <c r="I113" s="55"/>
      <c r="J113" s="55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  <row r="114" spans="1:41" x14ac:dyDescent="0.25">
      <c r="A114" s="11"/>
      <c r="B114" s="11"/>
      <c r="C114" s="11"/>
      <c r="D114" s="11"/>
      <c r="E114" s="11"/>
      <c r="F114" s="11"/>
      <c r="G114" s="11"/>
      <c r="H114" s="11"/>
      <c r="I114" s="55"/>
      <c r="J114" s="55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x14ac:dyDescent="0.25">
      <c r="A115" s="57" t="s">
        <v>23</v>
      </c>
      <c r="B115" s="58" t="s">
        <v>24</v>
      </c>
      <c r="C115" s="11"/>
      <c r="D115" s="11"/>
      <c r="E115" s="11"/>
      <c r="F115" s="11"/>
      <c r="G115" s="11"/>
      <c r="H115" s="11"/>
      <c r="I115" s="55"/>
      <c r="J115" s="55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x14ac:dyDescent="0.25">
      <c r="A116" s="61" t="s">
        <v>25</v>
      </c>
      <c r="B116" s="62"/>
      <c r="C116" s="11"/>
      <c r="D116" s="11"/>
      <c r="E116" s="11"/>
      <c r="F116" s="11"/>
      <c r="G116" s="11"/>
      <c r="H116" s="11"/>
      <c r="I116" s="55"/>
      <c r="J116" s="55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x14ac:dyDescent="0.25">
      <c r="A117" s="61" t="s">
        <v>26</v>
      </c>
      <c r="B117" s="62"/>
      <c r="C117" s="11"/>
      <c r="D117" s="11"/>
      <c r="E117" s="11"/>
      <c r="F117" s="11"/>
      <c r="G117" s="11"/>
      <c r="H117" s="11"/>
      <c r="I117" s="55"/>
      <c r="J117" s="55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x14ac:dyDescent="0.25">
      <c r="A118" s="61" t="s">
        <v>27</v>
      </c>
      <c r="B118" s="62"/>
      <c r="C118" s="11"/>
      <c r="D118" s="11"/>
      <c r="E118" s="11"/>
      <c r="F118" s="11"/>
      <c r="G118" s="11"/>
      <c r="H118" s="11"/>
      <c r="I118" s="55"/>
      <c r="J118" s="55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x14ac:dyDescent="0.25">
      <c r="A119" s="61" t="s">
        <v>28</v>
      </c>
      <c r="B119" s="62"/>
      <c r="C119" s="11"/>
      <c r="D119" s="11"/>
      <c r="E119" s="11"/>
      <c r="F119" s="11"/>
      <c r="G119" s="11"/>
      <c r="H119" s="11"/>
      <c r="I119" s="55"/>
      <c r="J119" s="55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x14ac:dyDescent="0.25">
      <c r="A120" s="61" t="s">
        <v>29</v>
      </c>
      <c r="B120" s="62"/>
      <c r="C120" s="11"/>
      <c r="D120" s="11"/>
      <c r="E120" s="11"/>
      <c r="F120" s="11"/>
      <c r="G120" s="11"/>
      <c r="H120" s="11"/>
      <c r="I120" s="55"/>
      <c r="J120" s="55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x14ac:dyDescent="0.25">
      <c r="A121" s="61" t="s">
        <v>30</v>
      </c>
      <c r="B121" s="62" t="s">
        <v>78</v>
      </c>
      <c r="C121" s="11"/>
      <c r="D121" s="11"/>
      <c r="E121" s="11"/>
      <c r="F121" s="11"/>
      <c r="G121" s="11"/>
      <c r="H121" s="11"/>
      <c r="I121" s="55"/>
      <c r="J121" s="55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x14ac:dyDescent="0.25">
      <c r="A122" s="61" t="s">
        <v>31</v>
      </c>
      <c r="B122" s="62" t="s">
        <v>78</v>
      </c>
      <c r="C122" s="11"/>
      <c r="D122" s="11"/>
      <c r="E122" s="11"/>
      <c r="F122" s="11"/>
      <c r="G122" s="11"/>
      <c r="H122" s="11"/>
      <c r="I122" s="55"/>
      <c r="J122" s="55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x14ac:dyDescent="0.25">
      <c r="A123" s="61" t="s">
        <v>32</v>
      </c>
      <c r="B123" s="62"/>
      <c r="C123" s="11"/>
      <c r="D123" s="11"/>
      <c r="E123" s="11"/>
      <c r="F123" s="11"/>
      <c r="G123" s="11"/>
      <c r="H123" s="11"/>
      <c r="I123" s="55"/>
      <c r="J123" s="55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x14ac:dyDescent="0.25">
      <c r="A124" s="61" t="s">
        <v>33</v>
      </c>
      <c r="B124" s="62"/>
      <c r="C124" s="11"/>
      <c r="D124" s="11"/>
      <c r="E124" s="11"/>
      <c r="F124" s="11"/>
      <c r="G124" s="11"/>
      <c r="H124" s="11"/>
      <c r="I124" s="55"/>
      <c r="J124" s="55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x14ac:dyDescent="0.25">
      <c r="A125" s="61" t="s">
        <v>34</v>
      </c>
      <c r="B125" s="62"/>
      <c r="C125" s="11"/>
      <c r="D125" s="11"/>
      <c r="E125" s="11"/>
      <c r="F125" s="11"/>
      <c r="G125" s="11"/>
      <c r="H125" s="11"/>
      <c r="I125" s="55"/>
      <c r="J125" s="55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x14ac:dyDescent="0.25">
      <c r="A126" s="61" t="s">
        <v>35</v>
      </c>
      <c r="B126" s="62"/>
      <c r="C126" s="11"/>
      <c r="D126" s="11"/>
      <c r="E126" s="11"/>
      <c r="F126" s="11"/>
      <c r="G126" s="11"/>
      <c r="H126" s="11"/>
      <c r="I126" s="55"/>
      <c r="J126" s="55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x14ac:dyDescent="0.25">
      <c r="A127" s="61" t="s">
        <v>36</v>
      </c>
      <c r="B127" s="62"/>
      <c r="C127" s="11"/>
      <c r="D127" s="11"/>
      <c r="E127" s="11"/>
      <c r="F127" s="11"/>
      <c r="G127" s="11"/>
      <c r="H127" s="11"/>
      <c r="I127" s="55"/>
      <c r="J127" s="55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x14ac:dyDescent="0.25">
      <c r="A128" s="61" t="s">
        <v>37</v>
      </c>
      <c r="B128" s="62"/>
      <c r="C128" s="11"/>
      <c r="D128" s="11"/>
      <c r="E128" s="11"/>
      <c r="F128" s="11"/>
      <c r="G128" s="11"/>
      <c r="H128" s="11"/>
      <c r="I128" s="55"/>
      <c r="J128" s="55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</row>
    <row r="129" spans="1:41" x14ac:dyDescent="0.25">
      <c r="A129" s="61" t="s">
        <v>38</v>
      </c>
      <c r="B129" s="62"/>
      <c r="C129" s="11"/>
      <c r="D129" s="11"/>
      <c r="E129" s="11"/>
      <c r="F129" s="11"/>
      <c r="G129" s="11"/>
      <c r="H129" s="11"/>
      <c r="I129" s="55"/>
      <c r="J129" s="55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x14ac:dyDescent="0.25">
      <c r="A130" s="61" t="s">
        <v>39</v>
      </c>
      <c r="B130" s="62"/>
      <c r="C130" s="11"/>
      <c r="D130" s="11"/>
      <c r="E130" s="11"/>
      <c r="F130" s="11"/>
      <c r="G130" s="11"/>
      <c r="H130" s="11"/>
      <c r="I130" s="55"/>
      <c r="J130" s="55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x14ac:dyDescent="0.25">
      <c r="A131" s="61" t="s">
        <v>40</v>
      </c>
      <c r="B131" s="62"/>
      <c r="C131" s="11"/>
      <c r="D131" s="11"/>
      <c r="E131" s="11"/>
      <c r="F131" s="11"/>
      <c r="G131" s="11"/>
      <c r="H131" s="11"/>
      <c r="I131" s="55"/>
      <c r="J131" s="55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x14ac:dyDescent="0.25">
      <c r="A132" s="61" t="s">
        <v>41</v>
      </c>
      <c r="B132" s="62"/>
      <c r="C132" s="11"/>
      <c r="D132" s="11"/>
      <c r="E132" s="11"/>
      <c r="F132" s="11"/>
      <c r="G132" s="11"/>
      <c r="H132" s="11"/>
      <c r="I132" s="55"/>
      <c r="J132" s="55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x14ac:dyDescent="0.25">
      <c r="A133" s="61" t="s">
        <v>42</v>
      </c>
      <c r="B133" s="62"/>
      <c r="C133" s="11"/>
      <c r="D133" s="11"/>
      <c r="E133" s="11"/>
      <c r="F133" s="11"/>
      <c r="G133" s="11"/>
      <c r="H133" s="11"/>
      <c r="I133" s="55"/>
      <c r="J133" s="55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x14ac:dyDescent="0.25">
      <c r="A134" s="61" t="s">
        <v>43</v>
      </c>
      <c r="B134" s="62"/>
      <c r="C134" s="11"/>
      <c r="D134" s="11"/>
      <c r="E134" s="11"/>
      <c r="F134" s="11"/>
      <c r="G134" s="11"/>
      <c r="H134" s="11"/>
      <c r="I134" s="55"/>
      <c r="J134" s="55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x14ac:dyDescent="0.25">
      <c r="A135" s="61" t="s">
        <v>44</v>
      </c>
      <c r="B135" s="62"/>
      <c r="C135" s="11"/>
      <c r="D135" s="11"/>
      <c r="E135" s="11"/>
      <c r="F135" s="11"/>
      <c r="G135" s="11"/>
      <c r="H135" s="11"/>
      <c r="I135" s="55"/>
      <c r="J135" s="55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x14ac:dyDescent="0.25">
      <c r="A136" s="61" t="s">
        <v>45</v>
      </c>
      <c r="B136" s="62"/>
      <c r="C136" s="11"/>
      <c r="D136" s="11"/>
      <c r="E136" s="11"/>
      <c r="F136" s="11"/>
      <c r="G136" s="11"/>
      <c r="H136" s="11"/>
      <c r="I136" s="55"/>
      <c r="J136" s="55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x14ac:dyDescent="0.25">
      <c r="A137" s="61" t="s">
        <v>46</v>
      </c>
      <c r="B137" s="62"/>
      <c r="C137" s="11"/>
      <c r="D137" s="11"/>
      <c r="E137" s="11"/>
      <c r="F137" s="11"/>
      <c r="G137" s="11"/>
      <c r="H137" s="11"/>
      <c r="I137" s="55"/>
      <c r="J137" s="55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x14ac:dyDescent="0.25">
      <c r="A138" s="11"/>
      <c r="B138" s="11"/>
      <c r="C138" s="11"/>
      <c r="D138" s="11"/>
      <c r="E138" s="11"/>
      <c r="F138" s="11"/>
      <c r="G138" s="11"/>
      <c r="H138" s="11"/>
      <c r="I138" s="55"/>
      <c r="J138" s="55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x14ac:dyDescent="0.25">
      <c r="A139" s="11"/>
      <c r="B139" s="11"/>
      <c r="C139" s="11"/>
      <c r="D139" s="11"/>
      <c r="E139" s="11"/>
      <c r="F139" s="11"/>
      <c r="G139" s="11"/>
      <c r="H139" s="11"/>
      <c r="I139" s="55"/>
      <c r="J139" s="55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x14ac:dyDescent="0.25">
      <c r="A140" s="11"/>
      <c r="B140" s="11"/>
      <c r="C140" s="11"/>
      <c r="D140" s="11"/>
      <c r="E140" s="11"/>
      <c r="F140" s="11"/>
      <c r="G140" s="11"/>
      <c r="H140" s="11"/>
      <c r="I140" s="55"/>
      <c r="J140" s="55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</row>
    <row r="141" spans="1:41" x14ac:dyDescent="0.25">
      <c r="A141" s="11"/>
      <c r="B141" s="11"/>
      <c r="C141" s="11"/>
      <c r="D141" s="11"/>
      <c r="E141" s="11"/>
      <c r="F141" s="11"/>
      <c r="G141" s="11"/>
      <c r="H141" s="11"/>
      <c r="I141" s="55"/>
      <c r="J141" s="55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x14ac:dyDescent="0.25">
      <c r="A142" s="11"/>
      <c r="B142" s="11"/>
      <c r="C142" s="11"/>
      <c r="D142" s="11"/>
      <c r="E142" s="11"/>
      <c r="F142" s="11"/>
      <c r="G142" s="11"/>
      <c r="H142" s="11"/>
      <c r="I142" s="55"/>
      <c r="J142" s="55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</row>
    <row r="143" spans="1:41" x14ac:dyDescent="0.25">
      <c r="A143" s="11"/>
      <c r="B143" s="11"/>
      <c r="C143" s="11"/>
      <c r="D143" s="11"/>
      <c r="E143" s="11"/>
      <c r="F143" s="11"/>
      <c r="G143" s="11"/>
      <c r="H143" s="11"/>
      <c r="I143" s="55"/>
      <c r="J143" s="55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x14ac:dyDescent="0.25">
      <c r="A144" s="11"/>
      <c r="B144" s="11"/>
      <c r="C144" s="11"/>
      <c r="D144" s="11"/>
      <c r="E144" s="11"/>
      <c r="F144" s="11"/>
      <c r="G144" s="11"/>
      <c r="H144" s="11"/>
      <c r="I144" s="55"/>
      <c r="J144" s="55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</row>
    <row r="145" spans="1:41" x14ac:dyDescent="0.25">
      <c r="A145" s="11"/>
      <c r="B145" s="11"/>
      <c r="C145" s="11"/>
      <c r="D145" s="11"/>
      <c r="E145" s="11"/>
      <c r="F145" s="11"/>
      <c r="G145" s="11"/>
      <c r="H145" s="11"/>
      <c r="I145" s="263"/>
      <c r="J145" s="11"/>
      <c r="K145" s="263"/>
      <c r="L145" s="263"/>
      <c r="M145" s="263"/>
      <c r="N145" s="11"/>
      <c r="O145" s="263"/>
      <c r="P145" s="263"/>
      <c r="Q145" s="263"/>
      <c r="R145" s="263"/>
      <c r="S145" s="263"/>
      <c r="T145" s="263"/>
      <c r="U145" s="263"/>
      <c r="V145" s="263"/>
      <c r="W145" s="263"/>
      <c r="X145" s="263"/>
      <c r="Y145" s="263"/>
      <c r="Z145" s="263"/>
      <c r="AA145" s="263"/>
      <c r="AB145" s="11"/>
      <c r="AC145" s="11"/>
      <c r="AD145" s="263"/>
      <c r="AE145" s="11"/>
      <c r="AF145" s="263"/>
      <c r="AG145" s="11"/>
      <c r="AH145" s="263"/>
      <c r="AI145" s="11"/>
      <c r="AJ145" s="11"/>
      <c r="AK145" s="11"/>
      <c r="AL145" s="11"/>
      <c r="AM145" s="11"/>
      <c r="AN145" s="11"/>
      <c r="AO145" s="11"/>
    </row>
    <row r="146" spans="1:41" x14ac:dyDescent="0.25">
      <c r="A146" s="11"/>
      <c r="B146" s="11"/>
      <c r="C146" s="11"/>
      <c r="D146" s="11"/>
      <c r="E146" s="11"/>
      <c r="F146" s="11"/>
      <c r="G146" s="11"/>
      <c r="H146" s="11"/>
      <c r="I146" s="55"/>
      <c r="J146" s="55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</row>
    <row r="147" spans="1:41" x14ac:dyDescent="0.25">
      <c r="A147" s="11"/>
      <c r="B147" s="11"/>
      <c r="C147" s="11"/>
      <c r="D147" s="11"/>
      <c r="E147" s="11"/>
      <c r="F147" s="11"/>
      <c r="G147" s="11"/>
      <c r="H147" s="11"/>
      <c r="I147" s="55"/>
      <c r="J147" s="55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</row>
    <row r="148" spans="1:41" x14ac:dyDescent="0.25">
      <c r="A148" s="11"/>
      <c r="B148" s="11"/>
      <c r="C148" s="11"/>
      <c r="D148" s="11"/>
      <c r="E148" s="11"/>
      <c r="F148" s="11"/>
      <c r="G148" s="11"/>
      <c r="H148" s="11"/>
      <c r="I148" s="55"/>
      <c r="J148" s="55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x14ac:dyDescent="0.25">
      <c r="A149" s="11"/>
      <c r="B149" s="11"/>
      <c r="C149" s="11"/>
      <c r="D149" s="11"/>
      <c r="E149" s="11"/>
      <c r="F149" s="11"/>
      <c r="G149" s="11"/>
      <c r="H149" s="11"/>
      <c r="I149" s="263"/>
      <c r="J149" s="11"/>
      <c r="K149" s="263"/>
      <c r="L149" s="263"/>
      <c r="M149" s="263"/>
      <c r="N149" s="11"/>
      <c r="O149" s="263"/>
      <c r="P149" s="263"/>
      <c r="Q149" s="263"/>
      <c r="R149" s="263"/>
      <c r="S149" s="263"/>
      <c r="T149" s="263"/>
      <c r="U149" s="263"/>
      <c r="V149" s="263"/>
      <c r="W149" s="263"/>
      <c r="X149" s="263"/>
      <c r="Y149" s="263"/>
      <c r="Z149" s="263"/>
      <c r="AA149" s="263"/>
      <c r="AB149" s="11"/>
      <c r="AC149" s="11"/>
      <c r="AD149" s="263"/>
      <c r="AE149" s="11"/>
      <c r="AF149" s="263"/>
      <c r="AG149" s="11"/>
      <c r="AH149" s="263"/>
      <c r="AI149" s="11"/>
      <c r="AJ149" s="11"/>
      <c r="AK149" s="11"/>
      <c r="AL149" s="11"/>
      <c r="AM149" s="11"/>
      <c r="AN149" s="11"/>
      <c r="AO149" s="11"/>
    </row>
    <row r="150" spans="1:41" x14ac:dyDescent="0.25">
      <c r="A150" s="11"/>
      <c r="B150" s="11"/>
      <c r="C150" s="11"/>
      <c r="D150" s="11"/>
      <c r="E150" s="11"/>
      <c r="F150" s="11"/>
      <c r="G150" s="11"/>
      <c r="H150" s="11"/>
      <c r="I150" s="55"/>
      <c r="J150" s="55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x14ac:dyDescent="0.25">
      <c r="A151" s="11"/>
      <c r="B151" s="11"/>
      <c r="C151" s="11"/>
      <c r="D151" s="11"/>
      <c r="E151" s="11"/>
      <c r="F151" s="11"/>
      <c r="G151" s="11"/>
      <c r="H151" s="11"/>
      <c r="I151" s="55"/>
      <c r="J151" s="55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</row>
    <row r="152" spans="1:41" x14ac:dyDescent="0.25">
      <c r="A152" s="11"/>
      <c r="B152" s="11"/>
      <c r="C152" s="11"/>
      <c r="D152" s="11"/>
      <c r="E152" s="11"/>
      <c r="F152" s="11"/>
      <c r="G152" s="11"/>
      <c r="H152" s="11"/>
      <c r="I152" s="55"/>
      <c r="J152" s="55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x14ac:dyDescent="0.25">
      <c r="A153" s="11"/>
      <c r="B153" s="11"/>
      <c r="C153" s="11"/>
      <c r="D153" s="11"/>
      <c r="E153" s="11"/>
      <c r="F153" s="11"/>
      <c r="G153" s="11"/>
      <c r="H153" s="11"/>
      <c r="I153" s="55"/>
      <c r="J153" s="55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x14ac:dyDescent="0.25">
      <c r="A154" s="11"/>
      <c r="B154" s="11"/>
      <c r="C154" s="11"/>
      <c r="D154" s="11"/>
      <c r="E154" s="263"/>
      <c r="F154" s="11"/>
      <c r="G154" s="11"/>
      <c r="H154" s="11"/>
      <c r="I154" s="55"/>
      <c r="J154" s="55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x14ac:dyDescent="0.25">
      <c r="A155" s="11"/>
      <c r="B155" s="11"/>
      <c r="C155" s="11"/>
      <c r="D155" s="11"/>
      <c r="E155" s="11"/>
      <c r="F155" s="11"/>
      <c r="G155" s="11"/>
      <c r="H155" s="11"/>
      <c r="I155" s="55"/>
      <c r="J155" s="55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x14ac:dyDescent="0.25">
      <c r="A156" s="11"/>
      <c r="B156" s="11"/>
      <c r="C156" s="11"/>
      <c r="D156" s="11"/>
      <c r="E156" s="11"/>
      <c r="F156" s="11"/>
      <c r="G156" s="11"/>
      <c r="H156" s="11"/>
      <c r="I156" s="55"/>
      <c r="J156" s="55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x14ac:dyDescent="0.25">
      <c r="A157" s="11"/>
      <c r="B157" s="11"/>
      <c r="C157" s="11"/>
      <c r="D157" s="11"/>
      <c r="E157" s="11"/>
      <c r="F157" s="11"/>
      <c r="G157" s="11"/>
      <c r="H157" s="11"/>
      <c r="I157" s="55"/>
      <c r="J157" s="55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</row>
    <row r="158" spans="1:41" x14ac:dyDescent="0.25">
      <c r="A158" s="11"/>
      <c r="B158" s="11"/>
      <c r="C158" s="11"/>
      <c r="D158" s="11"/>
      <c r="E158" s="263"/>
      <c r="F158" s="11"/>
      <c r="G158" s="11"/>
      <c r="H158" s="11"/>
      <c r="I158" s="55"/>
      <c r="J158" s="55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</row>
    <row r="159" spans="1:41" x14ac:dyDescent="0.25">
      <c r="A159" s="11"/>
      <c r="B159" s="11"/>
      <c r="C159" s="11"/>
      <c r="D159" s="11"/>
      <c r="E159" s="11"/>
      <c r="F159" s="11"/>
      <c r="G159" s="11"/>
      <c r="H159" s="11"/>
      <c r="I159" s="55"/>
      <c r="J159" s="55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</row>
    <row r="160" spans="1:41" x14ac:dyDescent="0.25">
      <c r="A160" s="11"/>
      <c r="B160" s="11"/>
      <c r="C160" s="11"/>
      <c r="D160" s="11"/>
      <c r="E160" s="11"/>
      <c r="F160" s="11"/>
      <c r="G160" s="11"/>
      <c r="H160" s="11"/>
      <c r="I160" s="55"/>
      <c r="J160" s="55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</row>
    <row r="161" spans="1:41" x14ac:dyDescent="0.25">
      <c r="A161" s="11"/>
      <c r="B161" s="11"/>
      <c r="C161" s="11"/>
      <c r="D161" s="11"/>
      <c r="E161" s="11"/>
      <c r="F161" s="11"/>
      <c r="G161" s="11"/>
      <c r="H161" s="11"/>
      <c r="I161" s="55"/>
      <c r="J161" s="55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</row>
    <row r="162" spans="1:41" x14ac:dyDescent="0.25">
      <c r="A162" s="11"/>
      <c r="B162" s="11"/>
      <c r="C162" s="11"/>
      <c r="D162" s="11"/>
      <c r="E162" s="11"/>
      <c r="F162" s="11"/>
      <c r="G162" s="11"/>
      <c r="H162" s="11"/>
      <c r="I162" s="55"/>
      <c r="J162" s="55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</row>
    <row r="163" spans="1:41" x14ac:dyDescent="0.25">
      <c r="A163" s="11"/>
      <c r="B163" s="11"/>
      <c r="C163" s="11"/>
      <c r="D163" s="11"/>
      <c r="E163" s="11"/>
      <c r="F163" s="11"/>
      <c r="G163" s="11"/>
      <c r="H163" s="11"/>
      <c r="I163" s="55"/>
      <c r="J163" s="55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</row>
    <row r="164" spans="1:41" x14ac:dyDescent="0.25">
      <c r="A164" s="11"/>
      <c r="B164" s="11"/>
      <c r="C164" s="11"/>
      <c r="D164" s="11"/>
      <c r="E164" s="11"/>
      <c r="F164" s="11"/>
      <c r="G164" s="11"/>
      <c r="H164" s="11"/>
      <c r="I164" s="55"/>
      <c r="J164" s="55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</row>
    <row r="165" spans="1:41" x14ac:dyDescent="0.25">
      <c r="A165" s="11"/>
      <c r="B165" s="11"/>
      <c r="C165" s="11"/>
      <c r="D165" s="11"/>
      <c r="E165" s="11"/>
      <c r="F165" s="11"/>
      <c r="G165" s="11"/>
      <c r="H165" s="11"/>
      <c r="I165" s="55"/>
      <c r="J165" s="55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</row>
    <row r="166" spans="1:41" x14ac:dyDescent="0.25">
      <c r="A166" s="11"/>
      <c r="B166" s="11"/>
      <c r="C166" s="11"/>
      <c r="D166" s="11"/>
      <c r="E166" s="11"/>
      <c r="F166" s="11"/>
      <c r="G166" s="11"/>
      <c r="H166" s="11"/>
      <c r="I166" s="55"/>
      <c r="J166" s="55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</row>
    <row r="167" spans="1:41" x14ac:dyDescent="0.25">
      <c r="A167" s="11"/>
      <c r="B167" s="11"/>
      <c r="C167" s="11"/>
      <c r="D167" s="11"/>
      <c r="E167" s="11"/>
      <c r="F167" s="11"/>
      <c r="G167" s="11"/>
      <c r="H167" s="11"/>
      <c r="I167" s="55"/>
      <c r="J167" s="55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</row>
    <row r="168" spans="1:41" x14ac:dyDescent="0.25">
      <c r="A168" s="11"/>
      <c r="B168" s="11"/>
      <c r="C168" s="11"/>
      <c r="D168" s="11"/>
      <c r="E168" s="11"/>
      <c r="F168" s="11"/>
      <c r="G168" s="11"/>
      <c r="H168" s="11"/>
      <c r="I168" s="55"/>
      <c r="J168" s="55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</row>
    <row r="169" spans="1:41" x14ac:dyDescent="0.25">
      <c r="A169" s="11"/>
      <c r="B169" s="11"/>
      <c r="C169" s="11"/>
      <c r="D169" s="11"/>
      <c r="E169" s="11"/>
      <c r="F169" s="11"/>
      <c r="G169" s="11"/>
      <c r="H169" s="11"/>
      <c r="I169" s="55"/>
      <c r="J169" s="55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</row>
    <row r="170" spans="1:41" x14ac:dyDescent="0.25">
      <c r="A170" s="11"/>
      <c r="B170" s="11"/>
      <c r="C170" s="11"/>
      <c r="D170" s="11"/>
      <c r="E170" s="11"/>
      <c r="F170" s="11"/>
      <c r="G170" s="11"/>
      <c r="H170" s="11"/>
      <c r="I170" s="55"/>
      <c r="J170" s="55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</row>
    <row r="171" spans="1:41" x14ac:dyDescent="0.25">
      <c r="A171" s="11"/>
      <c r="B171" s="11"/>
      <c r="C171" s="11"/>
      <c r="D171" s="11"/>
      <c r="E171" s="11"/>
      <c r="F171" s="11"/>
      <c r="G171" s="11"/>
      <c r="H171" s="11"/>
      <c r="I171" s="55"/>
      <c r="J171" s="55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</row>
    <row r="172" spans="1:41" x14ac:dyDescent="0.25">
      <c r="A172" s="11"/>
      <c r="B172" s="11"/>
      <c r="C172" s="11"/>
      <c r="D172" s="11"/>
      <c r="E172" s="11"/>
      <c r="F172" s="11"/>
      <c r="G172" s="11"/>
      <c r="H172" s="11"/>
      <c r="I172" s="55"/>
      <c r="J172" s="55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</row>
    <row r="173" spans="1:41" x14ac:dyDescent="0.25">
      <c r="A173" s="11"/>
      <c r="B173" s="11"/>
      <c r="C173" s="11"/>
      <c r="D173" s="11"/>
      <c r="E173" s="11"/>
      <c r="F173" s="11"/>
      <c r="G173" s="11"/>
      <c r="H173" s="11"/>
      <c r="I173" s="55"/>
      <c r="J173" s="55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</row>
    <row r="174" spans="1:41" x14ac:dyDescent="0.25">
      <c r="A174" s="11"/>
      <c r="B174" s="11"/>
      <c r="C174" s="11"/>
      <c r="D174" s="11"/>
      <c r="E174" s="11"/>
      <c r="F174" s="11"/>
      <c r="G174" s="11"/>
      <c r="H174" s="11"/>
      <c r="I174" s="55"/>
      <c r="J174" s="55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</row>
    <row r="175" spans="1:41" x14ac:dyDescent="0.25">
      <c r="A175" s="11"/>
      <c r="B175" s="11"/>
      <c r="C175" s="11"/>
      <c r="D175" s="11"/>
      <c r="E175" s="11"/>
      <c r="F175" s="11"/>
      <c r="G175" s="11"/>
      <c r="H175" s="11"/>
      <c r="I175" s="55"/>
      <c r="J175" s="55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</row>
    <row r="176" spans="1:41" x14ac:dyDescent="0.25">
      <c r="A176" s="11"/>
      <c r="B176" s="11"/>
      <c r="C176" s="11"/>
      <c r="D176" s="11"/>
      <c r="E176" s="11"/>
      <c r="F176" s="11"/>
      <c r="G176" s="11"/>
      <c r="H176" s="11"/>
      <c r="I176" s="55"/>
      <c r="J176" s="55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</row>
    <row r="177" spans="1:41" x14ac:dyDescent="0.25">
      <c r="A177" s="11"/>
      <c r="B177" s="11"/>
      <c r="C177" s="11"/>
      <c r="D177" s="11"/>
      <c r="E177" s="11"/>
      <c r="F177" s="11"/>
      <c r="G177" s="11"/>
      <c r="H177" s="11"/>
      <c r="I177" s="55"/>
      <c r="J177" s="55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</row>
    <row r="178" spans="1:41" x14ac:dyDescent="0.25">
      <c r="A178" s="11"/>
      <c r="B178" s="11"/>
      <c r="C178" s="11"/>
      <c r="D178" s="11"/>
      <c r="E178" s="11"/>
      <c r="F178" s="11"/>
      <c r="G178" s="11"/>
      <c r="H178" s="11"/>
      <c r="I178" s="55"/>
      <c r="J178" s="55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</row>
    <row r="179" spans="1:41" x14ac:dyDescent="0.25">
      <c r="A179" s="11"/>
      <c r="B179" s="11"/>
      <c r="C179" s="11"/>
      <c r="D179" s="11"/>
      <c r="E179" s="11"/>
      <c r="F179" s="11"/>
      <c r="G179" s="11"/>
      <c r="H179" s="11"/>
      <c r="I179" s="55"/>
      <c r="J179" s="55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</row>
    <row r="180" spans="1:41" x14ac:dyDescent="0.25">
      <c r="A180" s="11"/>
      <c r="B180" s="11"/>
      <c r="C180" s="11"/>
      <c r="D180" s="11"/>
      <c r="E180" s="11"/>
      <c r="F180" s="11"/>
      <c r="G180" s="11"/>
      <c r="H180" s="11"/>
      <c r="I180" s="55"/>
      <c r="J180" s="55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</row>
    <row r="181" spans="1:41" x14ac:dyDescent="0.25">
      <c r="A181" s="11"/>
      <c r="B181" s="11"/>
      <c r="C181" s="11"/>
      <c r="D181" s="11"/>
      <c r="E181" s="11"/>
      <c r="F181" s="11"/>
      <c r="G181" s="11"/>
      <c r="H181" s="11"/>
      <c r="I181" s="55"/>
      <c r="J181" s="55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</row>
    <row r="182" spans="1:41" x14ac:dyDescent="0.25">
      <c r="A182" s="11"/>
      <c r="B182" s="11"/>
      <c r="C182" s="11"/>
      <c r="D182" s="11"/>
      <c r="E182" s="11"/>
      <c r="F182" s="11"/>
      <c r="G182" s="11"/>
      <c r="H182" s="11"/>
      <c r="I182" s="55"/>
      <c r="J182" s="55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</row>
    <row r="183" spans="1:41" x14ac:dyDescent="0.25">
      <c r="A183" s="11"/>
      <c r="B183" s="11"/>
      <c r="C183" s="11"/>
      <c r="D183" s="11"/>
      <c r="E183" s="11"/>
      <c r="F183" s="11"/>
      <c r="G183" s="11"/>
      <c r="H183" s="11"/>
      <c r="I183" s="55"/>
      <c r="J183" s="55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</row>
    <row r="184" spans="1:41" x14ac:dyDescent="0.25">
      <c r="A184" s="11"/>
      <c r="B184" s="11"/>
      <c r="C184" s="11"/>
      <c r="D184" s="11"/>
      <c r="E184" s="11"/>
      <c r="F184" s="11"/>
      <c r="G184" s="11"/>
      <c r="H184" s="11"/>
      <c r="I184" s="55"/>
      <c r="J184" s="55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</row>
    <row r="185" spans="1:41" x14ac:dyDescent="0.25">
      <c r="A185" s="11"/>
      <c r="B185" s="11"/>
      <c r="C185" s="11"/>
      <c r="D185" s="11"/>
      <c r="E185" s="11"/>
      <c r="F185" s="11"/>
      <c r="G185" s="11"/>
      <c r="H185" s="11"/>
      <c r="I185" s="55"/>
      <c r="J185" s="55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</row>
    <row r="186" spans="1:41" x14ac:dyDescent="0.25">
      <c r="A186" s="11"/>
      <c r="B186" s="11"/>
      <c r="C186" s="11"/>
      <c r="D186" s="11"/>
      <c r="E186" s="11"/>
      <c r="F186" s="11"/>
      <c r="G186" s="11"/>
      <c r="H186" s="11"/>
      <c r="I186" s="55"/>
      <c r="J186" s="55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</row>
    <row r="187" spans="1:41" x14ac:dyDescent="0.25">
      <c r="A187" s="11"/>
      <c r="B187" s="11"/>
      <c r="C187" s="11"/>
      <c r="D187" s="11"/>
      <c r="E187" s="11"/>
      <c r="F187" s="11"/>
      <c r="G187" s="11"/>
      <c r="H187" s="11"/>
      <c r="I187" s="55"/>
      <c r="J187" s="55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</row>
    <row r="188" spans="1:41" x14ac:dyDescent="0.25">
      <c r="A188" s="11"/>
      <c r="B188" s="11"/>
      <c r="C188" s="11"/>
      <c r="D188" s="11"/>
      <c r="E188" s="11"/>
      <c r="F188" s="11"/>
      <c r="G188" s="263"/>
      <c r="H188" s="11"/>
      <c r="I188" s="55"/>
      <c r="J188" s="55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</row>
    <row r="189" spans="1:41" x14ac:dyDescent="0.25">
      <c r="A189" s="11"/>
      <c r="B189" s="11"/>
      <c r="C189" s="11"/>
      <c r="D189" s="11"/>
      <c r="E189" s="11"/>
      <c r="F189" s="11"/>
      <c r="G189" s="11"/>
      <c r="H189" s="11"/>
      <c r="I189" s="55"/>
      <c r="J189" s="55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</row>
    <row r="190" spans="1:41" x14ac:dyDescent="0.25">
      <c r="A190" s="11"/>
      <c r="B190" s="11"/>
      <c r="C190" s="11"/>
      <c r="D190" s="11"/>
      <c r="E190" s="11"/>
      <c r="F190" s="11"/>
      <c r="G190" s="11"/>
      <c r="H190" s="11"/>
      <c r="I190" s="55"/>
      <c r="J190" s="55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</row>
    <row r="191" spans="1:41" x14ac:dyDescent="0.25">
      <c r="A191" s="11"/>
      <c r="B191" s="11"/>
      <c r="C191" s="11"/>
      <c r="D191" s="11"/>
      <c r="E191" s="11"/>
      <c r="F191" s="11"/>
      <c r="G191" s="11"/>
      <c r="H191" s="11"/>
      <c r="I191" s="55"/>
      <c r="J191" s="55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</row>
    <row r="192" spans="1:41" x14ac:dyDescent="0.25">
      <c r="A192" s="11"/>
      <c r="B192" s="11"/>
      <c r="C192" s="11"/>
      <c r="D192" s="11"/>
      <c r="E192" s="11"/>
      <c r="F192" s="11"/>
      <c r="G192" s="263"/>
      <c r="H192" s="11"/>
      <c r="I192" s="55"/>
      <c r="J192" s="55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</row>
  </sheetData>
  <sheetProtection algorithmName="SHA-512" hashValue="GkbQVCpdBbpjxA8axYOOIo0Sbp6dJ1jdd6/1yJhT06Bv2Xk2/i8P6vR1Mn2PSq79csUT/XwrwV7bo5EYlAdhUw==" saltValue="R16qH2/pc7rd6Ecvq1vR8A==" spinCount="100000" sheet="1" scenarios="1"/>
  <mergeCells count="2">
    <mergeCell ref="AD31:AE31"/>
    <mergeCell ref="AG31:AH31"/>
  </mergeCells>
  <dataValidations disablePrompts="1" count="2">
    <dataValidation type="list" allowBlank="1" sqref="B57 B28 B85" xr:uid="{00000000-0002-0000-1B00-000000000000}">
      <formula1>"ACCOUNT,BUSINESSUNIT,CATEGORY,DATASRC,DEPARTMENT,INTCO,MEASURES,RPTCURRENCY,TIME"</formula1>
    </dataValidation>
    <dataValidation type="list" allowBlank="1" sqref="B58 B29 B86" xr:uid="{00000000-0002-0000-1B00-000001000000}">
      <formula1>"SELF,ALL,BAS,DEP,BASMEMBERS,MEMBERS,NOEXPAND,GDEP"</formula1>
    </dataValidation>
  </dataValidations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customProperties>
    <customPr name="EpmWorksheetKeyString_GUID" r:id="rId2"/>
    <customPr name="FPMExcelClientCellBasedFunctionStatus" r:id="rId3"/>
    <customPr name="FPMExcelClientRefreshTime" r:id="rId4"/>
  </customProperties>
  <legacyDrawing r:id="rId5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0">
    <tabColor theme="9" tint="0.39997558519241921"/>
    <pageSetUpPr fitToPage="1"/>
  </sheetPr>
  <dimension ref="A1:AO194"/>
  <sheetViews>
    <sheetView topLeftCell="K25" zoomScale="85" zoomScaleNormal="85" workbookViewId="0">
      <pane xSplit="4" ySplit="8" topLeftCell="O33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3" width="9.7109375" style="1" hidden="1" customWidth="1" outlineLevel="1"/>
    <col min="14" max="14" width="36.7109375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40" width="0" style="1" hidden="1" customWidth="1" outlineLevel="1"/>
    <col min="41" max="41" width="9.140625" style="1" collapsed="1"/>
    <col min="42" max="16384" width="9.140625" style="1"/>
  </cols>
  <sheetData>
    <row r="1" spans="1:41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</row>
    <row r="2" spans="1:41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</row>
    <row r="3" spans="1:41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11"/>
      <c r="H4" s="11"/>
      <c r="I4" s="55"/>
      <c r="J4" s="55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11"/>
      <c r="H5" s="11"/>
      <c r="I5" s="55"/>
      <c r="J5" s="55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idden="1" outlineLevel="1" x14ac:dyDescent="0.25">
      <c r="A6" s="49" t="s">
        <v>52</v>
      </c>
      <c r="B6" s="52" t="s">
        <v>423</v>
      </c>
      <c r="C6" s="11" t="str">
        <f>IF(_epmOfflineCondition_,"Minor Operated Departments",_xll.EVDES(B6,$B$1))</f>
        <v>Minor Operated Departments</v>
      </c>
      <c r="D6" s="11"/>
      <c r="E6" s="54" t="str">
        <f>IF(_epmOfflineCondition_,"D1138",_xll.EVPRO($B$1,$B$6,$F$6))</f>
        <v>D1138</v>
      </c>
      <c r="F6" s="11" t="s">
        <v>278</v>
      </c>
      <c r="G6" s="11"/>
      <c r="H6" s="11"/>
      <c r="I6" s="55"/>
      <c r="J6" s="55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11"/>
      <c r="H7" s="11"/>
      <c r="I7" s="55"/>
      <c r="J7" s="55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11"/>
      <c r="H8" s="11"/>
      <c r="I8" s="55"/>
      <c r="J8" s="55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11"/>
      <c r="M12" s="11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  <c r="AJ12" s="11"/>
      <c r="AK12" s="11"/>
      <c r="AL12" s="11"/>
      <c r="AM12" s="11"/>
      <c r="AN12" s="11"/>
      <c r="AO12" s="11"/>
    </row>
    <row r="13" spans="1:41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11"/>
      <c r="M13" s="11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  <c r="AJ13" s="11"/>
      <c r="AK13" s="11"/>
      <c r="AL13" s="11"/>
      <c r="AM13" s="11"/>
      <c r="AN13" s="11"/>
      <c r="AO13" s="11"/>
    </row>
    <row r="14" spans="1:41" hidden="1" outlineLevel="1" x14ac:dyDescent="0.25">
      <c r="A14" s="56" t="str">
        <f>IF(_epmOfflineCondition_,"Evdre:Ok",_xll.EVDRE($B$1,A17:B24,A27:B33))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11"/>
      <c r="M14" s="11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  <c r="AJ14" s="11"/>
      <c r="AK14" s="11"/>
      <c r="AL14" s="11"/>
      <c r="AM14" s="11"/>
      <c r="AN14" s="11"/>
      <c r="AO14" s="11"/>
    </row>
    <row r="15" spans="1:41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11"/>
      <c r="M15" s="11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  <c r="AJ15" s="11"/>
      <c r="AK15" s="11"/>
      <c r="AL15" s="11"/>
      <c r="AM15" s="11"/>
      <c r="AN15" s="11"/>
      <c r="AO15" s="11"/>
    </row>
    <row r="16" spans="1:41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11"/>
      <c r="M16" s="11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  <c r="AJ16" s="11"/>
      <c r="AK16" s="11"/>
      <c r="AL16" s="11"/>
      <c r="AM16" s="11"/>
      <c r="AN16" s="11"/>
      <c r="AO16" s="11"/>
    </row>
    <row r="17" spans="1:41" hidden="1" outlineLevel="1" x14ac:dyDescent="0.25">
      <c r="A17" s="61" t="s">
        <v>2</v>
      </c>
      <c r="B17" s="62" t="str">
        <f>IF(_epmOfflineCondition_,"'Minor_Op'!$B$2:$B$10",_xll.EVRNG($B$2:$B$10))</f>
        <v>'Minor_Op'!$B$2:$B$10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11"/>
      <c r="M17" s="11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 t="str">
        <f>Z17</f>
        <v>ACTUAL_CON</v>
      </c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  <c r="AJ17" s="11"/>
      <c r="AK17" s="11"/>
      <c r="AL17" s="11"/>
      <c r="AM17" s="11"/>
      <c r="AN17" s="11"/>
      <c r="AO17" s="11"/>
    </row>
    <row r="18" spans="1:41" hidden="1" outlineLevel="1" x14ac:dyDescent="0.25">
      <c r="A18" s="61" t="s">
        <v>3</v>
      </c>
      <c r="B18" s="62" t="str">
        <f>IF(_epmOfflineCondition_,"'Minor_Op'!$O$16:$AN$18",_xll.EVRNG($O$16:$AN$18))</f>
        <v>'Minor_Op'!$O$16:$AN$18</v>
      </c>
      <c r="C18" s="11"/>
      <c r="D18" s="11"/>
      <c r="E18" s="11"/>
      <c r="F18" s="11"/>
      <c r="G18" s="11"/>
      <c r="H18" s="11"/>
      <c r="I18" s="55"/>
      <c r="J18" s="55"/>
      <c r="K18" s="11"/>
      <c r="L18" s="11"/>
      <c r="M18" s="11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59" t="str">
        <f>IF(SetUp!$O$1=TRUE,"TRAILING12",IF(AA17="CURRENT","ROLLINGFORECAST","PERIODIC"))</f>
        <v>PERIODIC</v>
      </c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  <c r="AJ18" s="11"/>
      <c r="AK18" s="11"/>
      <c r="AL18" s="11"/>
      <c r="AM18" s="11"/>
      <c r="AN18" s="11"/>
      <c r="AO18" s="11"/>
    </row>
    <row r="19" spans="1:41" hidden="1" outlineLevel="1" x14ac:dyDescent="0.25">
      <c r="A19" s="61" t="s">
        <v>4</v>
      </c>
      <c r="B19" s="62" t="str">
        <f>IF(_epmOfflineCondition_,"'Minor_Op'!$H$34:$H$53,'Minor_Op'!$H$56:$H$74",_xll.EVRNG(H34:H53,H56:H74))</f>
        <v>'Minor_Op'!$H$34:$H$53,'Minor_Op'!$H$56:$H$74</v>
      </c>
      <c r="C19" s="11"/>
      <c r="D19" s="11"/>
      <c r="E19" s="11"/>
      <c r="F19" s="11"/>
      <c r="G19" s="63" t="str">
        <f>$B$6</f>
        <v>D1138</v>
      </c>
      <c r="H19" s="63">
        <v>400000</v>
      </c>
      <c r="I19" s="64"/>
      <c r="J19" s="64"/>
      <c r="K19" s="63"/>
      <c r="L19" s="63"/>
      <c r="M19" s="63"/>
      <c r="N19" s="63" t="str">
        <f>IF(_epmOfflineCondition_,"Total Revenue",_xll.EVDES(H19))</f>
        <v>Total Revenue</v>
      </c>
      <c r="O19" s="65">
        <f>IF(_epmOfflineCondition_,650.64,_xll.EVGTS($B$1,1,$B$3,$B$5,$B$7,$B$9,O$16,O$17,O$18,$G$19,$H$19))</f>
        <v>650.64</v>
      </c>
      <c r="P19" s="65">
        <f>IF(_epmOfflineCondition_,2173.44,_xll.EVGTS($B$1,1,$B$3,$B$5,$B$7,$B$9,P$16,P$17,P$18,$G$19,$H$19))</f>
        <v>2173.44</v>
      </c>
      <c r="Q19" s="65">
        <f>IF(_epmOfflineCondition_,1091.9,_xll.EVGTS($B$1,1,$B$3,$B$5,$B$7,$B$9,Q$16,Q$17,Q$18,$G$19,$H$19))</f>
        <v>1091.9000000000001</v>
      </c>
      <c r="R19" s="65">
        <f>IF(_epmOfflineCondition_,1243.84,_xll.EVGTS($B$1,1,$B$3,$B$5,$B$7,$B$9,R$16,R$17,R$18,$G$19,$H$19))</f>
        <v>1243.8399999999999</v>
      </c>
      <c r="S19" s="65">
        <f>IF(_epmOfflineCondition_,599.47,_xll.EVGTS($B$1,1,$B$3,$B$5,$B$7,$B$9,S$16,S$17,S$18,$G$19,$H$19))</f>
        <v>599.47</v>
      </c>
      <c r="T19" s="65">
        <f>IF(_epmOfflineCondition_,590.08,_xll.EVGTS($B$1,1,$B$3,$B$5,$B$7,$B$9,T$16,T$17,T$18,$G$19,$H$19))</f>
        <v>590.08000000000004</v>
      </c>
      <c r="U19" s="65">
        <f>IF(_epmOfflineCondition_,1323.15,_xll.EVGTS($B$1,1,$B$3,$B$5,$B$7,$B$9,U$16,U$17,U$18,$G$19,$H$19))</f>
        <v>1323.15</v>
      </c>
      <c r="V19" s="65">
        <f>IF(_epmOfflineCondition_,923.7,_xll.EVGTS($B$1,1,$B$3,$B$5,$B$7,$B$9,V$16,V$17,V$18,$G$19,$H$19))</f>
        <v>923.7</v>
      </c>
      <c r="W19" s="65">
        <f>IF(_epmOfflineCondition_,1343.75,_xll.EVGTS($B$1,1,$B$3,$B$5,$B$7,$B$9,W$16,W$17,W$18,$G$19,$H$19))</f>
        <v>1343.75</v>
      </c>
      <c r="X19" s="65">
        <f>IF(_epmOfflineCondition_,1512.65,_xll.EVGTS($B$1,1,$B$3,$B$5,$B$7,$B$9,X$16,X$17,X$18,$G$19,$H$19))</f>
        <v>1512.65</v>
      </c>
      <c r="Y19" s="65">
        <f>IF(_epmOfflineCondition_,1276.44,_xll.EVGTS($B$1,1,$B$3,$B$5,$B$7,$B$9,Y$16,Y$17,Y$18,$G$19,$H$19))</f>
        <v>1276.44</v>
      </c>
      <c r="Z19" s="65">
        <f>IF(_epmOfflineCondition_,1010.29,_xll.EVGTS($B$1,1,$B$3,$B$5,$B$7,$B$9,Z$16,Z$17,Z$18,$G$19,$H$19))</f>
        <v>1010.29</v>
      </c>
      <c r="AA19" s="65">
        <f>SUM(O19:Z19)</f>
        <v>13739.350000000002</v>
      </c>
      <c r="AB19" s="63"/>
      <c r="AC19" s="63"/>
      <c r="AD19" s="65">
        <f>IF(_epmOfflineCondition_,9096.5,_xll.EVGTS($B$1,1,$B$3,$B$5,$B$7,$B$9,AD$16,AD$17,AD$18,$G$19,$H$19))</f>
        <v>9096.5</v>
      </c>
      <c r="AE19" s="63"/>
      <c r="AF19" s="63"/>
      <c r="AG19" s="65">
        <f>IF(_epmOfflineCondition_,3772.89,_xll.EVGTS($B$1,1,$B$3,$B$5,$B$7,$B$9,AG$16,AG$17,AG$18,$G$19,$H$19))</f>
        <v>3772.89</v>
      </c>
      <c r="AH19" s="63"/>
      <c r="AI19" s="63"/>
      <c r="AJ19" s="11"/>
      <c r="AK19" s="11"/>
      <c r="AL19" s="11"/>
      <c r="AM19" s="11"/>
      <c r="AN19" s="11"/>
      <c r="AO19" s="11"/>
    </row>
    <row r="20" spans="1:41" hidden="1" outlineLevel="1" x14ac:dyDescent="0.25">
      <c r="A20" s="61" t="s">
        <v>5</v>
      </c>
      <c r="B20" s="62"/>
      <c r="C20" s="11"/>
      <c r="D20" s="11"/>
      <c r="E20" s="11"/>
      <c r="F20" s="11"/>
      <c r="G20" s="63" t="s">
        <v>750</v>
      </c>
      <c r="H20" s="63">
        <v>900200</v>
      </c>
      <c r="I20" s="64"/>
      <c r="J20" s="64"/>
      <c r="K20" s="63"/>
      <c r="L20" s="64"/>
      <c r="M20" s="64"/>
      <c r="N20" s="63" t="str">
        <f>IF(_epmOfflineCondition_,"Total Rooms Occupied",_xll.EVDES(H20))</f>
        <v>Total Rooms Occupied</v>
      </c>
      <c r="O20" s="65">
        <f>IF(_epmOfflineCondition_,2885,_xll.EVGTS($B$1,1,$B$3,$B$5,$B$7,$B$9,O$16,O$17,O$18,$G$20,$H$20))</f>
        <v>2885</v>
      </c>
      <c r="P20" s="65">
        <f>IF(_epmOfflineCondition_,2648,_xll.EVGTS($B$1,1,$B$3,$B$5,$B$7,$B$9,P$16,P$17,P$18,$G$20,$H$20))</f>
        <v>2648</v>
      </c>
      <c r="Q20" s="65">
        <f>IF(_epmOfflineCondition_,3038,_xll.EVGTS($B$1,1,$B$3,$B$5,$B$7,$B$9,Q$16,Q$17,Q$18,$G$20,$H$20))</f>
        <v>3038</v>
      </c>
      <c r="R20" s="65">
        <f>IF(_epmOfflineCondition_,2737,_xll.EVGTS($B$1,1,$B$3,$B$5,$B$7,$B$9,R$16,R$17,R$18,$G$20,$H$20))</f>
        <v>2737</v>
      </c>
      <c r="S20" s="65">
        <f>IF(_epmOfflineCondition_,2600,_xll.EVGTS($B$1,1,$B$3,$B$5,$B$7,$B$9,S$16,S$17,S$18,$G$20,$H$20))</f>
        <v>2600</v>
      </c>
      <c r="T20" s="65">
        <f>IF(_epmOfflineCondition_,2202,_xll.EVGTS($B$1,1,$B$3,$B$5,$B$7,$B$9,T$16,T$17,T$18,$G$20,$H$20))</f>
        <v>2202</v>
      </c>
      <c r="U20" s="65">
        <f>IF(_epmOfflineCondition_,2516,_xll.EVGTS($B$1,1,$B$3,$B$5,$B$7,$B$9,U$16,U$17,U$18,$G$20,$H$20))</f>
        <v>2516</v>
      </c>
      <c r="V20" s="65">
        <f>IF(_epmOfflineCondition_,2830,_xll.EVGTS($B$1,1,$B$3,$B$5,$B$7,$B$9,V$16,V$17,V$18,$G$20,$H$20))</f>
        <v>2830</v>
      </c>
      <c r="W20" s="65">
        <f>IF(_epmOfflineCondition_,2120,_xll.EVGTS($B$1,1,$B$3,$B$5,$B$7,$B$9,W$16,W$17,W$18,$G$20,$H$20))</f>
        <v>2120</v>
      </c>
      <c r="X20" s="65">
        <f>IF(_epmOfflineCondition_,2772,_xll.EVGTS($B$1,1,$B$3,$B$5,$B$7,$B$9,X$16,X$17,X$18,$G$20,$H$20))</f>
        <v>2772</v>
      </c>
      <c r="Y20" s="65">
        <f>IF(_epmOfflineCondition_,2993,_xll.EVGTS($B$1,1,$B$3,$B$5,$B$7,$B$9,Y$16,Y$17,Y$18,$G$20,$H$20))</f>
        <v>2993</v>
      </c>
      <c r="Z20" s="65">
        <f>IF(_epmOfflineCondition_,3541,_xll.EVGTS($B$1,1,$B$3,$B$5,$B$7,$B$9,Z$16,Z$17,Z$18,$G$20,$H$20))</f>
        <v>3541</v>
      </c>
      <c r="AA20" s="65">
        <f>SUM(O20:Z20)</f>
        <v>32882</v>
      </c>
      <c r="AB20" s="63"/>
      <c r="AC20" s="63"/>
      <c r="AD20" s="65">
        <f>IF(_epmOfflineCondition_,36386,_xll.EVGTS($B$1,1,$B$3,$B$5,$B$7,$B$9,AD$16,AD$17,AD$18,$G$20,$H$20))</f>
        <v>36386</v>
      </c>
      <c r="AE20" s="63"/>
      <c r="AF20" s="63"/>
      <c r="AG20" s="65">
        <f>IF(_epmOfflineCondition_,15180,_xll.EVGTS($B$1,1,$B$3,$B$5,$B$7,$B$9,AG$16,AG$17,AG$18,$G$20,$H$20))</f>
        <v>15180</v>
      </c>
      <c r="AH20" s="63"/>
      <c r="AI20" s="63"/>
      <c r="AJ20" s="11"/>
      <c r="AK20" s="11"/>
      <c r="AL20" s="11"/>
      <c r="AM20" s="11"/>
      <c r="AN20" s="11"/>
      <c r="AO20" s="11"/>
    </row>
    <row r="21" spans="1:41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idden="1" outlineLevel="1" x14ac:dyDescent="0.25">
      <c r="A22" s="61" t="s">
        <v>7</v>
      </c>
      <c r="B22" s="62" t="str">
        <f>IF(_epmOfflineCondition_,"'Minor_Op'!$A$58:$F$62",_xll.EVRNG(A58:F62))</f>
        <v>'Minor_Op'!$A$58:$F$62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idden="1" outlineLevel="1" x14ac:dyDescent="0.25">
      <c r="A23" s="61" t="s">
        <v>47</v>
      </c>
      <c r="B23" s="62" t="str">
        <f>IF(_epmOfflineCondition_,"'Minor_Op'!$A$79:$B$100",_xll.EVRNG($A$79:$B$100))</f>
        <v>'Minor_Op'!$A$79:$B$100</v>
      </c>
      <c r="C23" s="11"/>
      <c r="D23" s="11"/>
      <c r="E23" s="11"/>
      <c r="F23" s="11"/>
      <c r="G23" s="11"/>
      <c r="H23" s="11"/>
      <c r="I23" s="55"/>
      <c r="J23" s="55"/>
      <c r="K23" s="6"/>
      <c r="L23" s="6"/>
      <c r="M23" s="6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380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22.5" x14ac:dyDescent="0.3">
      <c r="A26" s="57" t="s">
        <v>9</v>
      </c>
      <c r="B26" s="58" t="s">
        <v>10</v>
      </c>
      <c r="C26" s="11"/>
      <c r="D26" s="11"/>
      <c r="E26" s="11"/>
      <c r="F26" s="11"/>
      <c r="G26" s="11"/>
      <c r="H26" s="11"/>
      <c r="I26" s="55"/>
      <c r="J26" s="55"/>
      <c r="K26" s="11"/>
      <c r="L26" s="11"/>
      <c r="M26" s="11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8" x14ac:dyDescent="0.25">
      <c r="A27" s="61" t="s">
        <v>11</v>
      </c>
      <c r="B27" s="62" t="s">
        <v>21</v>
      </c>
      <c r="C27" s="11"/>
      <c r="D27" s="11"/>
      <c r="E27" s="11"/>
      <c r="F27" s="11"/>
      <c r="G27" s="11"/>
      <c r="H27" s="11"/>
      <c r="I27" s="55"/>
      <c r="J27" s="55"/>
      <c r="K27" s="11"/>
      <c r="L27" s="11"/>
      <c r="M27" s="11"/>
      <c r="N27" s="67" t="str">
        <f>IF(_epmOfflineCondition_,"Minor Operated Departments",IF(_xll.EVDES(B6,$B$1)="#NODATA","",_xll.EVDES(B6,$B$1)))</f>
        <v>Minor Operated Departments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x14ac:dyDescent="0.25">
      <c r="A28" s="61" t="s">
        <v>12</v>
      </c>
      <c r="B28" s="62" t="s">
        <v>22</v>
      </c>
      <c r="C28" s="11"/>
      <c r="D28" s="11"/>
      <c r="E28" s="11"/>
      <c r="F28" s="11"/>
      <c r="G28" s="11"/>
      <c r="H28" s="11"/>
      <c r="I28" s="55"/>
      <c r="J28" s="55"/>
      <c r="K28" s="11"/>
      <c r="L28" s="11"/>
      <c r="M28" s="11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" customHeight="1" x14ac:dyDescent="0.25">
      <c r="A29" s="61" t="s">
        <v>13</v>
      </c>
      <c r="B29" s="62" t="str">
        <f>"DEP(450000) AND "&amp;$E$6&amp;"=Y,400000|DEP(550000) AND "&amp;$E$6&amp;"=Y,500001"</f>
        <v>DEP(450000) AND D1138=Y,400000|DEP(550000) AND D1138=Y,500001</v>
      </c>
      <c r="C29" s="11"/>
      <c r="D29" s="11"/>
      <c r="E29" s="11"/>
      <c r="F29" s="11"/>
      <c r="G29" s="11"/>
      <c r="H29" s="11"/>
      <c r="I29" s="55"/>
      <c r="J29" s="55"/>
      <c r="K29" s="11"/>
      <c r="L29" s="11"/>
      <c r="M29" s="11"/>
      <c r="N29" s="68" t="str">
        <f>IF(_epmOfflineCondition_,"Local Currency",_xll.EVDES(B9,B1))</f>
        <v>Local Currency</v>
      </c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x14ac:dyDescent="0.25">
      <c r="A30" s="61" t="s">
        <v>14</v>
      </c>
      <c r="B30" s="62"/>
      <c r="C30" s="11"/>
      <c r="D30" s="11"/>
      <c r="E30" s="11"/>
      <c r="F30" s="11"/>
      <c r="G30" s="11"/>
      <c r="H30" s="11"/>
      <c r="I30" s="55"/>
      <c r="J30" s="55"/>
      <c r="K30" s="11"/>
      <c r="L30" s="11"/>
      <c r="M30" s="11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  <c r="AJ30" s="69" t="s">
        <v>749</v>
      </c>
      <c r="AK30" s="70"/>
      <c r="AL30" s="71"/>
      <c r="AM30" s="70" t="s">
        <v>751</v>
      </c>
      <c r="AN30" s="70"/>
      <c r="AO30" s="11"/>
    </row>
    <row r="31" spans="1:41" x14ac:dyDescent="0.25">
      <c r="A31" s="61" t="s">
        <v>15</v>
      </c>
      <c r="B31" s="62"/>
      <c r="C31" s="11"/>
      <c r="D31" s="11"/>
      <c r="E31" s="11"/>
      <c r="F31" s="11"/>
      <c r="G31" s="72"/>
      <c r="H31" s="11"/>
      <c r="I31" s="55"/>
      <c r="J31" s="55"/>
      <c r="K31" s="55"/>
      <c r="L31" s="55"/>
      <c r="M31" s="55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  <c r="AJ31" s="73" t="str">
        <f>IF(_epmOfflineCondition_,"2019",_xll.EVPRO($B$1,AA$16,"YEAR"))</f>
        <v>2019</v>
      </c>
      <c r="AK31" s="76" t="str">
        <f>IF(_epmOfflineCondition_,"2019",_xll.EVPRO($B$1,AD$16,"YEAR"))</f>
        <v>2019</v>
      </c>
      <c r="AL31" s="76" t="str">
        <f>IF(_epmOfflineCondition_,"2018",_xll.EVPRO($B$1,AG$16,"YEAR"))</f>
        <v>2018</v>
      </c>
      <c r="AM31" s="73" t="str">
        <f>"vs "&amp;AK31</f>
        <v>vs 2019</v>
      </c>
      <c r="AN31" s="73" t="str">
        <f>"vs "&amp;AL31</f>
        <v>vs 2018</v>
      </c>
      <c r="AO31" s="11"/>
    </row>
    <row r="32" spans="1:41" s="8" customFormat="1" ht="30" customHeight="1" x14ac:dyDescent="0.25">
      <c r="A32" s="77" t="s">
        <v>16</v>
      </c>
      <c r="B32" s="78"/>
      <c r="C32" s="79"/>
      <c r="D32" s="79"/>
      <c r="E32" s="79"/>
      <c r="F32" s="79"/>
      <c r="G32" s="359"/>
      <c r="H32" s="80"/>
      <c r="I32" s="81"/>
      <c r="J32" s="81"/>
      <c r="K32" s="174" t="s">
        <v>117</v>
      </c>
      <c r="L32" s="174"/>
      <c r="M32" s="174"/>
      <c r="N32" s="82" t="s">
        <v>120</v>
      </c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  <c r="AJ32" s="83" t="str">
        <f>Z32</f>
        <v>Actual</v>
      </c>
      <c r="AK32" s="76" t="str">
        <f>AD32</f>
        <v>Budget</v>
      </c>
      <c r="AL32" s="83" t="str">
        <f>AG32</f>
        <v>Actual</v>
      </c>
      <c r="AM32" s="73" t="s">
        <v>748</v>
      </c>
      <c r="AN32" s="73" t="s">
        <v>748</v>
      </c>
      <c r="AO32" s="79"/>
    </row>
    <row r="33" spans="1:41" x14ac:dyDescent="0.25">
      <c r="A33" s="61" t="s">
        <v>17</v>
      </c>
      <c r="B33" s="62"/>
      <c r="C33" s="11"/>
      <c r="D33" s="11"/>
      <c r="E33" s="11"/>
      <c r="F33" s="11"/>
      <c r="G33" s="11"/>
      <c r="H33" s="11" t="s">
        <v>69</v>
      </c>
      <c r="I33" s="55" t="str">
        <f>IF(_epmOfflineCondition_,"B1",_xll.EVPRO($B$1,$H33,"STYLE"))</f>
        <v>B1</v>
      </c>
      <c r="J33" s="55" t="str">
        <f>IF(_epmOfflineCondition_,"Y",_xll.EVPRO($B$1,$H33,"CALC"))</f>
        <v>Y</v>
      </c>
      <c r="K33" s="11"/>
      <c r="L33" s="11"/>
      <c r="M33" s="11"/>
      <c r="N33" s="101" t="str">
        <f>IF(_epmOfflineCondition_,"Revenues",IF(_xll.EVDES(H33,$B$1)="#NODATA","",_xll.EVDES(H33,$B$1)))</f>
        <v>Revenues</v>
      </c>
      <c r="O33" s="125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7"/>
      <c r="AC33" s="11"/>
      <c r="AD33" s="125"/>
      <c r="AE33" s="126"/>
      <c r="AF33" s="127"/>
      <c r="AG33" s="125"/>
      <c r="AH33" s="126"/>
      <c r="AI33" s="127"/>
      <c r="AJ33" s="11"/>
      <c r="AK33" s="11"/>
      <c r="AL33" s="11"/>
      <c r="AM33" s="11"/>
      <c r="AN33" s="11"/>
      <c r="AO33" s="11"/>
    </row>
    <row r="34" spans="1:41" x14ac:dyDescent="0.25">
      <c r="A34" s="11"/>
      <c r="B34" s="11"/>
      <c r="C34" s="11"/>
      <c r="D34" s="11"/>
      <c r="E34" s="11"/>
      <c r="F34" s="11"/>
      <c r="G34" s="11"/>
      <c r="H34" s="84" t="s">
        <v>424</v>
      </c>
      <c r="I34" s="118" t="str">
        <f>IF(_epmOfflineCondition_,"T5",_xll.EVPRO($B$1,$H34,"STYLE"))</f>
        <v>T5</v>
      </c>
      <c r="J34" s="118" t="str">
        <f>IF(_epmOfflineCondition_,"Y",_xll.EVPRO($B$1,$H34,"CALC"))</f>
        <v>Y</v>
      </c>
      <c r="K34" s="175" t="str">
        <f t="shared" ref="K34:K53" si="0">IF(AND(I34&gt;="T5"),"&gt;","")</f>
        <v>&gt;</v>
      </c>
      <c r="L34" s="86" t="str">
        <f>IF(_epmOfflineCondition_,"410000",_xll.EVPRO($B$1,H34,"JDEID"))</f>
        <v>410000</v>
      </c>
      <c r="M34" s="86" t="str">
        <f>IF(_epmOfflineCondition_,"",IF(AND(I34="N",J34="N"),_xll.EVPRO($B$1,H34,"PSFTID"),""))</f>
        <v/>
      </c>
      <c r="N34" s="86" t="str">
        <f>IF(_epmOfflineCondition_,"Total Guest Communication Rev",IF(_xll.EVDES(H34,$B$1)="#NODATA","",_xll.EVDES(H34,$B$1)))</f>
        <v>Total Guest Communication Rev</v>
      </c>
      <c r="O34" s="134">
        <v>190.74</v>
      </c>
      <c r="P34" s="134">
        <v>122.92</v>
      </c>
      <c r="Q34" s="134">
        <v>169.25</v>
      </c>
      <c r="R34" s="134">
        <v>7.16</v>
      </c>
      <c r="S34" s="134">
        <v>97.05</v>
      </c>
      <c r="T34" s="134">
        <v>28.76</v>
      </c>
      <c r="U34" s="134">
        <v>230.91</v>
      </c>
      <c r="V34" s="134">
        <v>553.4</v>
      </c>
      <c r="W34" s="134">
        <v>134.02000000000001</v>
      </c>
      <c r="X34" s="134">
        <v>163.22999999999999</v>
      </c>
      <c r="Y34" s="134">
        <v>471.94</v>
      </c>
      <c r="Z34" s="134">
        <v>200.29</v>
      </c>
      <c r="AA34" s="223">
        <f t="shared" ref="AA34:AA53" si="1">IF($I34="B1","",SUM(O34:Z34))</f>
        <v>2369.67</v>
      </c>
      <c r="AB34" s="138">
        <f t="shared" ref="AB34:AB53" si="2">IF(AA34=0,"",IFERROR(AA34/AA$19,""))</f>
        <v>0.17247322471587082</v>
      </c>
      <c r="AC34" s="136"/>
      <c r="AD34" s="134">
        <v>2547.02</v>
      </c>
      <c r="AE34" s="138">
        <f t="shared" ref="AE34:AE53" si="3">IF(AD34=0,"",IFERROR(AD34/AD$19,""))</f>
        <v>0.27999999999999997</v>
      </c>
      <c r="AF34" s="137">
        <f t="shared" ref="AF34:AF53" si="4">IF(AND($AA34="",AD34=""),"",$AA34-AD34)</f>
        <v>-177.34999999999991</v>
      </c>
      <c r="AG34" s="134">
        <v>1195.17</v>
      </c>
      <c r="AH34" s="138">
        <f t="shared" ref="AH34:AH53" si="5">IF(AG34=0,"",IFERROR(AG34/AG$19,""))</f>
        <v>0.31677838473954983</v>
      </c>
      <c r="AI34" s="137">
        <f t="shared" ref="AI34:AI53" si="6">IF(AND($AA34="",AG34=""),"",$AA34-AG34)</f>
        <v>1174.5</v>
      </c>
      <c r="AJ34" s="458">
        <f t="shared" ref="AJ34:AJ53" si="7">IFERROR(AA34/AA$20,0)</f>
        <v>7.2065871905601847E-2</v>
      </c>
      <c r="AK34" s="459">
        <f t="shared" ref="AK34:AK53" si="8">IFERROR(AD34/AD$20,0)</f>
        <v>6.9999999999999993E-2</v>
      </c>
      <c r="AL34" s="460">
        <f t="shared" ref="AL34:AL53" si="9">IFERROR(AG34/AG$20,0)</f>
        <v>7.8733201581027673E-2</v>
      </c>
      <c r="AM34" s="461" t="str">
        <f t="shared" ref="AM34:AM53" si="10">+IFERROR(ROUND(($AB34-AE34)*100,2)&amp;" pts.",0)</f>
        <v>-10.75 pts.</v>
      </c>
      <c r="AN34" s="462" t="str">
        <f t="shared" ref="AN34:AN53" si="11">+IFERROR(ROUND(($AB34-AH34)*100,2)&amp;" pts.",0)</f>
        <v>-14.43 pts.</v>
      </c>
      <c r="AO34" s="11"/>
    </row>
    <row r="35" spans="1:41" x14ac:dyDescent="0.25">
      <c r="A35" s="11"/>
      <c r="B35" s="11"/>
      <c r="C35" s="11"/>
      <c r="D35" s="11"/>
      <c r="E35" s="11"/>
      <c r="F35" s="11"/>
      <c r="G35" s="11"/>
      <c r="H35" s="84" t="s">
        <v>425</v>
      </c>
      <c r="I35" s="118" t="str">
        <f>IF(_epmOfflineCondition_,"T5",_xll.EVPRO($B$1,$H35,"STYLE"))</f>
        <v>T5</v>
      </c>
      <c r="J35" s="118" t="str">
        <f>IF(_epmOfflineCondition_,"Y",_xll.EVPRO($B$1,$H35,"CALC"))</f>
        <v>Y</v>
      </c>
      <c r="K35" s="175" t="str">
        <f t="shared" si="0"/>
        <v>&gt;</v>
      </c>
      <c r="L35" s="86" t="str">
        <f>IF(_epmOfflineCondition_,"450100",_xll.EVPRO($B$1,H35,"JDEID"))</f>
        <v>450100</v>
      </c>
      <c r="M35" s="86" t="str">
        <f>IF(_epmOfflineCondition_,"",IF(AND(I35="N",J35="N"),_xll.EVPRO($B$1,H35,"PSFTID"),""))</f>
        <v/>
      </c>
      <c r="N35" s="86" t="str">
        <f>IF(_epmOfflineCondition_,"In Room Movies",IF(_xll.EVDES(H35,$B$1)="#NODATA","",_xll.EVDES(H35,$B$1)))</f>
        <v>In Room Movies</v>
      </c>
      <c r="O35" s="134"/>
      <c r="P35" s="134"/>
      <c r="Q35" s="134"/>
      <c r="R35" s="134"/>
      <c r="S35" s="134"/>
      <c r="T35" s="134"/>
      <c r="U35" s="134"/>
      <c r="V35" s="134"/>
      <c r="W35" s="134"/>
      <c r="X35" s="134"/>
      <c r="Y35" s="134"/>
      <c r="Z35" s="134"/>
      <c r="AA35" s="223">
        <f t="shared" si="1"/>
        <v>0</v>
      </c>
      <c r="AB35" s="138" t="str">
        <f t="shared" si="2"/>
        <v/>
      </c>
      <c r="AC35" s="136"/>
      <c r="AD35" s="134"/>
      <c r="AE35" s="138" t="str">
        <f t="shared" si="3"/>
        <v/>
      </c>
      <c r="AF35" s="137">
        <f t="shared" si="4"/>
        <v>0</v>
      </c>
      <c r="AG35" s="134"/>
      <c r="AH35" s="138" t="str">
        <f t="shared" si="5"/>
        <v/>
      </c>
      <c r="AI35" s="137">
        <f t="shared" si="6"/>
        <v>0</v>
      </c>
      <c r="AJ35" s="458">
        <f t="shared" si="7"/>
        <v>0</v>
      </c>
      <c r="AK35" s="459">
        <f t="shared" si="8"/>
        <v>0</v>
      </c>
      <c r="AL35" s="460">
        <f t="shared" si="9"/>
        <v>0</v>
      </c>
      <c r="AM35" s="461">
        <f t="shared" si="10"/>
        <v>0</v>
      </c>
      <c r="AN35" s="462">
        <f t="shared" si="11"/>
        <v>0</v>
      </c>
      <c r="AO35" s="11"/>
    </row>
    <row r="36" spans="1:41" x14ac:dyDescent="0.25">
      <c r="A36" s="56" t="str">
        <f>IF(_epmOfflineCondition_,"Evdre:Ok",_xll.EVDRE($B$1,A39:B46,A49:B55))</f>
        <v>Evdre:Ok</v>
      </c>
      <c r="B36" s="11"/>
      <c r="C36" s="11"/>
      <c r="D36" s="11"/>
      <c r="E36" s="11"/>
      <c r="F36" s="11"/>
      <c r="G36" s="11"/>
      <c r="H36" s="84" t="s">
        <v>426</v>
      </c>
      <c r="I36" s="118" t="str">
        <f>IF(_epmOfflineCondition_,"T5",_xll.EVPRO($B$1,$H36,"STYLE"))</f>
        <v>T5</v>
      </c>
      <c r="J36" s="118" t="str">
        <f>IF(_epmOfflineCondition_,"Y",_xll.EVPRO($B$1,$H36,"CALC"))</f>
        <v>Y</v>
      </c>
      <c r="K36" s="175" t="str">
        <f t="shared" si="0"/>
        <v>&gt;</v>
      </c>
      <c r="L36" s="86" t="str">
        <f>IF(_epmOfflineCondition_,"450150",_xll.EVPRO($B$1,H36,"JDEID"))</f>
        <v>450150</v>
      </c>
      <c r="M36" s="86" t="str">
        <f>IF(_epmOfflineCondition_,"",IF(AND(I36="N",J36="N"),_xll.EVPRO($B$1,H36,"PSFTID"),""))</f>
        <v/>
      </c>
      <c r="N36" s="86" t="str">
        <f>IF(_epmOfflineCondition_,"Guest Laundry &amp; Dry Cleaning",IF(_xll.EVDES(H36,$B$1)="#NODATA","",_xll.EVDES(H36,$B$1)))</f>
        <v>Guest Laundry &amp; Dry Cleaning</v>
      </c>
      <c r="O36" s="134">
        <v>459.9</v>
      </c>
      <c r="P36" s="134">
        <v>374.52</v>
      </c>
      <c r="Q36" s="134">
        <v>597.65</v>
      </c>
      <c r="R36" s="134">
        <v>317.68</v>
      </c>
      <c r="S36" s="134">
        <v>300.42</v>
      </c>
      <c r="T36" s="134">
        <v>386.32</v>
      </c>
      <c r="U36" s="134">
        <v>267.24</v>
      </c>
      <c r="V36" s="134">
        <v>160.30000000000001</v>
      </c>
      <c r="W36" s="134">
        <v>604.73</v>
      </c>
      <c r="X36" s="134">
        <v>884.42</v>
      </c>
      <c r="Y36" s="134">
        <v>204.5</v>
      </c>
      <c r="Z36" s="134">
        <v>396</v>
      </c>
      <c r="AA36" s="223">
        <f t="shared" si="1"/>
        <v>4953.68</v>
      </c>
      <c r="AB36" s="138">
        <f t="shared" si="2"/>
        <v>0.36054689632333403</v>
      </c>
      <c r="AC36" s="136"/>
      <c r="AD36" s="134">
        <v>4002.46</v>
      </c>
      <c r="AE36" s="138">
        <f t="shared" si="3"/>
        <v>0.44</v>
      </c>
      <c r="AF36" s="137">
        <f t="shared" si="4"/>
        <v>951.22000000000025</v>
      </c>
      <c r="AG36" s="134">
        <v>2230.7199999999998</v>
      </c>
      <c r="AH36" s="138">
        <f t="shared" si="5"/>
        <v>0.59124967862831934</v>
      </c>
      <c r="AI36" s="137">
        <f t="shared" si="6"/>
        <v>2722.9600000000005</v>
      </c>
      <c r="AJ36" s="458">
        <f t="shared" si="7"/>
        <v>0.15065020375889546</v>
      </c>
      <c r="AK36" s="459">
        <f t="shared" si="8"/>
        <v>0.11</v>
      </c>
      <c r="AL36" s="460">
        <f t="shared" si="9"/>
        <v>0.14695125164690381</v>
      </c>
      <c r="AM36" s="461" t="str">
        <f t="shared" si="10"/>
        <v>-7.95 pts.</v>
      </c>
      <c r="AN36" s="462" t="str">
        <f t="shared" si="11"/>
        <v>-23.07 pts.</v>
      </c>
      <c r="AO36" s="11"/>
    </row>
    <row r="37" spans="1:41" x14ac:dyDescent="0.25">
      <c r="A37" s="11"/>
      <c r="B37" s="11"/>
      <c r="C37" s="11"/>
      <c r="D37" s="11"/>
      <c r="E37" s="11"/>
      <c r="F37" s="11"/>
      <c r="G37" s="11"/>
      <c r="H37" s="84" t="s">
        <v>427</v>
      </c>
      <c r="I37" s="118" t="str">
        <f>IF(_epmOfflineCondition_,"T5",_xll.EVPRO($B$1,$H37,"STYLE"))</f>
        <v>T5</v>
      </c>
      <c r="J37" s="118" t="str">
        <f>IF(_epmOfflineCondition_,"Y",_xll.EVPRO($B$1,$H37,"CALC"))</f>
        <v>Y</v>
      </c>
      <c r="K37" s="175" t="str">
        <f t="shared" si="0"/>
        <v>&gt;</v>
      </c>
      <c r="L37" s="86" t="str">
        <f>IF(_epmOfflineCondition_,"450200",_xll.EVPRO($B$1,H37,"JDEID"))</f>
        <v>450200</v>
      </c>
      <c r="M37" s="86" t="str">
        <f>IF(_epmOfflineCondition_,"",IF(AND(I37="N",J37="N"),_xll.EVPRO($B$1,H37,"PSFTID"),""))</f>
        <v/>
      </c>
      <c r="N37" s="86" t="str">
        <f>IF(_epmOfflineCondition_,"In Room Fax",IF(_xll.EVDES(H37,$B$1)="#NODATA","",_xll.EVDES(H37,$B$1)))</f>
        <v>In Room Fax</v>
      </c>
      <c r="O37" s="134"/>
      <c r="P37" s="134"/>
      <c r="Q37" s="134"/>
      <c r="R37" s="134"/>
      <c r="S37" s="134"/>
      <c r="T37" s="134"/>
      <c r="U37" s="134"/>
      <c r="V37" s="134"/>
      <c r="W37" s="134"/>
      <c r="X37" s="134"/>
      <c r="Y37" s="134"/>
      <c r="Z37" s="134"/>
      <c r="AA37" s="223">
        <f t="shared" si="1"/>
        <v>0</v>
      </c>
      <c r="AB37" s="138" t="str">
        <f t="shared" si="2"/>
        <v/>
      </c>
      <c r="AC37" s="136"/>
      <c r="AD37" s="134"/>
      <c r="AE37" s="138" t="str">
        <f t="shared" si="3"/>
        <v/>
      </c>
      <c r="AF37" s="137">
        <f t="shared" si="4"/>
        <v>0</v>
      </c>
      <c r="AG37" s="134"/>
      <c r="AH37" s="138" t="str">
        <f t="shared" si="5"/>
        <v/>
      </c>
      <c r="AI37" s="137">
        <f t="shared" si="6"/>
        <v>0</v>
      </c>
      <c r="AJ37" s="458">
        <f t="shared" si="7"/>
        <v>0</v>
      </c>
      <c r="AK37" s="459">
        <f t="shared" si="8"/>
        <v>0</v>
      </c>
      <c r="AL37" s="460">
        <f t="shared" si="9"/>
        <v>0</v>
      </c>
      <c r="AM37" s="461">
        <f t="shared" si="10"/>
        <v>0</v>
      </c>
      <c r="AN37" s="462">
        <f t="shared" si="11"/>
        <v>0</v>
      </c>
      <c r="AO37" s="11"/>
    </row>
    <row r="38" spans="1:41" x14ac:dyDescent="0.25">
      <c r="A38" s="57" t="s">
        <v>0</v>
      </c>
      <c r="B38" s="58" t="s">
        <v>1</v>
      </c>
      <c r="C38" s="11"/>
      <c r="D38" s="11"/>
      <c r="E38" s="11"/>
      <c r="F38" s="11"/>
      <c r="G38" s="11"/>
      <c r="H38" s="84" t="s">
        <v>428</v>
      </c>
      <c r="I38" s="118" t="str">
        <f>IF(_epmOfflineCondition_,"T5",_xll.EVPRO($B$1,$H38,"STYLE"))</f>
        <v>T5</v>
      </c>
      <c r="J38" s="118" t="str">
        <f>IF(_epmOfflineCondition_,"Y",_xll.EVPRO($B$1,$H38,"CALC"))</f>
        <v>Y</v>
      </c>
      <c r="K38" s="175" t="str">
        <f t="shared" si="0"/>
        <v>&gt;</v>
      </c>
      <c r="L38" s="86" t="str">
        <f>IF(_epmOfflineCondition_,"450250",_xll.EVPRO($B$1,H38,"JDEID"))</f>
        <v>450250</v>
      </c>
      <c r="M38" s="86" t="str">
        <f>IF(_epmOfflineCondition_,"",IF(AND(I38="N",J38="N"),_xll.EVPRO($B$1,H38,"PSFTID"),""))</f>
        <v/>
      </c>
      <c r="N38" s="86" t="str">
        <f>IF(_epmOfflineCondition_,"In Room Items",IF(_xll.EVDES(H38,$B$1)="#NODATA","",_xll.EVDES(H38,$B$1)))</f>
        <v>In Room Items</v>
      </c>
      <c r="O38" s="134"/>
      <c r="P38" s="134">
        <v>1676</v>
      </c>
      <c r="Q38" s="134">
        <v>325</v>
      </c>
      <c r="R38" s="134">
        <v>919</v>
      </c>
      <c r="S38" s="134">
        <v>202</v>
      </c>
      <c r="T38" s="134">
        <v>175</v>
      </c>
      <c r="U38" s="134">
        <v>825</v>
      </c>
      <c r="V38" s="134">
        <v>210</v>
      </c>
      <c r="W38" s="134">
        <v>605</v>
      </c>
      <c r="X38" s="134">
        <v>465</v>
      </c>
      <c r="Y38" s="134">
        <v>600</v>
      </c>
      <c r="Z38" s="134">
        <v>414</v>
      </c>
      <c r="AA38" s="223">
        <f t="shared" si="1"/>
        <v>6416</v>
      </c>
      <c r="AB38" s="138">
        <f t="shared" si="2"/>
        <v>0.46697987896079501</v>
      </c>
      <c r="AC38" s="136"/>
      <c r="AD38" s="134">
        <v>2547.02</v>
      </c>
      <c r="AE38" s="138">
        <f t="shared" si="3"/>
        <v>0.27999999999999997</v>
      </c>
      <c r="AF38" s="137">
        <f t="shared" si="4"/>
        <v>3868.98</v>
      </c>
      <c r="AG38" s="134">
        <v>197</v>
      </c>
      <c r="AH38" s="138">
        <f t="shared" si="5"/>
        <v>5.2214615321411438E-2</v>
      </c>
      <c r="AI38" s="137">
        <f t="shared" si="6"/>
        <v>6219</v>
      </c>
      <c r="AJ38" s="458">
        <f t="shared" si="7"/>
        <v>0.1951219512195122</v>
      </c>
      <c r="AK38" s="459">
        <f t="shared" si="8"/>
        <v>6.9999999999999993E-2</v>
      </c>
      <c r="AL38" s="460">
        <f t="shared" si="9"/>
        <v>1.2977602108036891E-2</v>
      </c>
      <c r="AM38" s="461" t="str">
        <f t="shared" si="10"/>
        <v>18.7 pts.</v>
      </c>
      <c r="AN38" s="462" t="str">
        <f t="shared" si="11"/>
        <v>41.48 pts.</v>
      </c>
      <c r="AO38" s="11"/>
    </row>
    <row r="39" spans="1:41" x14ac:dyDescent="0.25">
      <c r="A39" s="61" t="s">
        <v>2</v>
      </c>
      <c r="B39" s="62" t="str">
        <f>IF(_epmOfflineCondition_,"'Minor_Op'!$B$2:$B$10",_xll.EVRNG($B$2:$B$10))</f>
        <v>'Minor_Op'!$B$2:$B$10</v>
      </c>
      <c r="C39" s="11"/>
      <c r="D39" s="11"/>
      <c r="E39" s="11"/>
      <c r="F39" s="11"/>
      <c r="G39" s="11"/>
      <c r="H39" s="84" t="s">
        <v>429</v>
      </c>
      <c r="I39" s="118" t="str">
        <f>IF(_epmOfflineCondition_,"T5",_xll.EVPRO($B$1,$H39,"STYLE"))</f>
        <v>T5</v>
      </c>
      <c r="J39" s="118" t="str">
        <f>IF(_epmOfflineCondition_,"Y",_xll.EVPRO($B$1,$H39,"CALC"))</f>
        <v>Y</v>
      </c>
      <c r="K39" s="175" t="str">
        <f t="shared" si="0"/>
        <v>&gt;</v>
      </c>
      <c r="L39" s="86" t="str">
        <f>IF(_epmOfflineCondition_,"450300",_xll.EVPRO($B$1,H39,"JDEID"))</f>
        <v>450300</v>
      </c>
      <c r="M39" s="86" t="str">
        <f>IF(_epmOfflineCondition_,"",IF(AND(I39="N",J39="N"),_xll.EVPRO($B$1,H39,"PSFTID"),""))</f>
        <v/>
      </c>
      <c r="N39" s="86" t="str">
        <f>IF(_epmOfflineCondition_,"Massage Services",IF(_xll.EVDES(H39,$B$1)="#NODATA","",_xll.EVDES(H39,$B$1)))</f>
        <v>Massage Services</v>
      </c>
      <c r="O39" s="134"/>
      <c r="P39" s="134"/>
      <c r="Q39" s="134"/>
      <c r="R39" s="134"/>
      <c r="S39" s="134"/>
      <c r="T39" s="134"/>
      <c r="U39" s="134"/>
      <c r="V39" s="134"/>
      <c r="W39" s="134"/>
      <c r="X39" s="134"/>
      <c r="Y39" s="134"/>
      <c r="Z39" s="134"/>
      <c r="AA39" s="223">
        <f t="shared" si="1"/>
        <v>0</v>
      </c>
      <c r="AB39" s="138" t="str">
        <f t="shared" si="2"/>
        <v/>
      </c>
      <c r="AC39" s="136"/>
      <c r="AD39" s="134"/>
      <c r="AE39" s="138" t="str">
        <f t="shared" si="3"/>
        <v/>
      </c>
      <c r="AF39" s="137">
        <f t="shared" si="4"/>
        <v>0</v>
      </c>
      <c r="AG39" s="134"/>
      <c r="AH39" s="138" t="str">
        <f t="shared" si="5"/>
        <v/>
      </c>
      <c r="AI39" s="137">
        <f t="shared" si="6"/>
        <v>0</v>
      </c>
      <c r="AJ39" s="458">
        <f t="shared" si="7"/>
        <v>0</v>
      </c>
      <c r="AK39" s="459">
        <f t="shared" si="8"/>
        <v>0</v>
      </c>
      <c r="AL39" s="460">
        <f t="shared" si="9"/>
        <v>0</v>
      </c>
      <c r="AM39" s="461">
        <f t="shared" si="10"/>
        <v>0</v>
      </c>
      <c r="AN39" s="462">
        <f t="shared" si="11"/>
        <v>0</v>
      </c>
      <c r="AO39" s="11"/>
    </row>
    <row r="40" spans="1:41" x14ac:dyDescent="0.25">
      <c r="A40" s="61" t="s">
        <v>3</v>
      </c>
      <c r="B40" s="62" t="str">
        <f>IF(_epmOfflineCondition_,"'Minor_Op'!$O$16:$AN$18",_xll.EVRNG($O$16:$AN$18))</f>
        <v>'Minor_Op'!$O$16:$AN$18</v>
      </c>
      <c r="C40" s="11"/>
      <c r="D40" s="11"/>
      <c r="E40" s="11"/>
      <c r="F40" s="11"/>
      <c r="G40" s="11"/>
      <c r="H40" s="84" t="s">
        <v>430</v>
      </c>
      <c r="I40" s="118" t="str">
        <f>IF(_epmOfflineCondition_,"T5",_xll.EVPRO($B$1,$H40,"STYLE"))</f>
        <v>T5</v>
      </c>
      <c r="J40" s="118" t="str">
        <f>IF(_epmOfflineCondition_,"Y",_xll.EVPRO($B$1,$H40,"CALC"))</f>
        <v>Y</v>
      </c>
      <c r="K40" s="175" t="str">
        <f t="shared" si="0"/>
        <v>&gt;</v>
      </c>
      <c r="L40" s="86" t="str">
        <f>IF(_epmOfflineCondition_,"450350",_xll.EVPRO($B$1,H40,"JDEID"))</f>
        <v>450350</v>
      </c>
      <c r="M40" s="86" t="str">
        <f>IF(_epmOfflineCondition_,"",IF(AND(I40="N",J40="N"),_xll.EVPRO($B$1,H40,"PSFTID"),""))</f>
        <v/>
      </c>
      <c r="N40" s="86" t="str">
        <f>IF(_epmOfflineCondition_,"Gym Passes",IF(_xll.EVDES(H40,$B$1)="#NODATA","",_xll.EVDES(H40,$B$1)))</f>
        <v>Gym Passes</v>
      </c>
      <c r="O40" s="134"/>
      <c r="P40" s="134"/>
      <c r="Q40" s="134"/>
      <c r="R40" s="134"/>
      <c r="S40" s="134"/>
      <c r="T40" s="134"/>
      <c r="U40" s="134"/>
      <c r="V40" s="134"/>
      <c r="W40" s="134"/>
      <c r="X40" s="134"/>
      <c r="Y40" s="134"/>
      <c r="Z40" s="134"/>
      <c r="AA40" s="223">
        <f t="shared" si="1"/>
        <v>0</v>
      </c>
      <c r="AB40" s="138" t="str">
        <f t="shared" si="2"/>
        <v/>
      </c>
      <c r="AC40" s="136"/>
      <c r="AD40" s="134"/>
      <c r="AE40" s="138" t="str">
        <f t="shared" si="3"/>
        <v/>
      </c>
      <c r="AF40" s="137">
        <f t="shared" si="4"/>
        <v>0</v>
      </c>
      <c r="AG40" s="134"/>
      <c r="AH40" s="138" t="str">
        <f t="shared" si="5"/>
        <v/>
      </c>
      <c r="AI40" s="137">
        <f t="shared" si="6"/>
        <v>0</v>
      </c>
      <c r="AJ40" s="458">
        <f t="shared" si="7"/>
        <v>0</v>
      </c>
      <c r="AK40" s="459">
        <f t="shared" si="8"/>
        <v>0</v>
      </c>
      <c r="AL40" s="460">
        <f t="shared" si="9"/>
        <v>0</v>
      </c>
      <c r="AM40" s="461">
        <f t="shared" si="10"/>
        <v>0</v>
      </c>
      <c r="AN40" s="462">
        <f t="shared" si="11"/>
        <v>0</v>
      </c>
      <c r="AO40" s="11"/>
    </row>
    <row r="41" spans="1:41" x14ac:dyDescent="0.25">
      <c r="A41" s="61" t="s">
        <v>4</v>
      </c>
      <c r="B41" s="62" t="str">
        <f>IF(_epmOfflineCondition_,"'Minor_Op'!$H$77:$H$94",_xll.EVRNG(H77:H94))</f>
        <v>'Minor_Op'!$H$77:$H$94</v>
      </c>
      <c r="C41" s="11"/>
      <c r="D41" s="11"/>
      <c r="E41" s="11"/>
      <c r="F41" s="11"/>
      <c r="G41" s="11"/>
      <c r="H41" s="84" t="s">
        <v>475</v>
      </c>
      <c r="I41" s="118" t="str">
        <f>IF(_epmOfflineCondition_,"N",_xll.EVPRO($B$1,$H41,"STYLE"))</f>
        <v>N</v>
      </c>
      <c r="J41" s="118" t="str">
        <f>IF(_epmOfflineCondition_,"N",_xll.EVPRO($B$1,$H41,"CALC"))</f>
        <v>N</v>
      </c>
      <c r="K41" s="175" t="str">
        <f t="shared" si="0"/>
        <v/>
      </c>
      <c r="L41" s="86" t="str">
        <f>IF(_epmOfflineCondition_,"450375",_xll.EVPRO($B$1,H41,"JDEID"))</f>
        <v>450375</v>
      </c>
      <c r="M41" s="86" t="str">
        <f>IF(_epmOfflineCondition_,"207005",IF(AND(I41="N",J41="N"),_xll.EVPRO($B$1,H41,"PSFTID"),""))</f>
        <v>207005</v>
      </c>
      <c r="N41" s="86" t="str">
        <f>IF(_epmOfflineCondition_,"Shared Facilities &amp; Services Revenue",IF(_xll.EVDES(H41,$B$1)="#NODATA","",_xll.EVDES(H41,$B$1)))</f>
        <v>Shared Facilities &amp; Services Revenue</v>
      </c>
      <c r="O41" s="134"/>
      <c r="P41" s="134"/>
      <c r="Q41" s="134"/>
      <c r="R41" s="134"/>
      <c r="S41" s="134"/>
      <c r="T41" s="134"/>
      <c r="U41" s="134"/>
      <c r="V41" s="134"/>
      <c r="W41" s="134"/>
      <c r="X41" s="134"/>
      <c r="Y41" s="134"/>
      <c r="Z41" s="134"/>
      <c r="AA41" s="223">
        <f t="shared" si="1"/>
        <v>0</v>
      </c>
      <c r="AB41" s="138" t="str">
        <f t="shared" si="2"/>
        <v/>
      </c>
      <c r="AC41" s="136"/>
      <c r="AD41" s="134"/>
      <c r="AE41" s="138" t="str">
        <f t="shared" si="3"/>
        <v/>
      </c>
      <c r="AF41" s="137">
        <f t="shared" si="4"/>
        <v>0</v>
      </c>
      <c r="AG41" s="134"/>
      <c r="AH41" s="138" t="str">
        <f t="shared" si="5"/>
        <v/>
      </c>
      <c r="AI41" s="137">
        <f t="shared" si="6"/>
        <v>0</v>
      </c>
      <c r="AJ41" s="458">
        <f t="shared" si="7"/>
        <v>0</v>
      </c>
      <c r="AK41" s="459">
        <f t="shared" si="8"/>
        <v>0</v>
      </c>
      <c r="AL41" s="460">
        <f t="shared" si="9"/>
        <v>0</v>
      </c>
      <c r="AM41" s="461">
        <f t="shared" si="10"/>
        <v>0</v>
      </c>
      <c r="AN41" s="462">
        <f t="shared" si="11"/>
        <v>0</v>
      </c>
      <c r="AO41" s="11"/>
    </row>
    <row r="42" spans="1:41" x14ac:dyDescent="0.25">
      <c r="A42" s="61" t="s">
        <v>5</v>
      </c>
      <c r="B42" s="62"/>
      <c r="C42" s="11"/>
      <c r="D42" s="11"/>
      <c r="E42" s="11"/>
      <c r="F42" s="11"/>
      <c r="G42" s="11"/>
      <c r="H42" s="84" t="s">
        <v>476</v>
      </c>
      <c r="I42" s="118" t="str">
        <f>IF(_epmOfflineCondition_,"T5",_xll.EVPRO($B$1,$H42,"STYLE"))</f>
        <v>T5</v>
      </c>
      <c r="J42" s="118" t="str">
        <f>IF(_epmOfflineCondition_,"Y",_xll.EVPRO($B$1,$H42,"CALC"))</f>
        <v>Y</v>
      </c>
      <c r="K42" s="175" t="str">
        <f t="shared" si="0"/>
        <v>&gt;</v>
      </c>
      <c r="L42" s="86" t="str">
        <f>IF(_epmOfflineCondition_,"450380",_xll.EVPRO($B$1,H42,"JDEID"))</f>
        <v>450380</v>
      </c>
      <c r="M42" s="86" t="str">
        <f>IF(_epmOfflineCondition_,"",IF(AND(I42="N",J42="N"),_xll.EVPRO($B$1,H42,"PSFTID"),""))</f>
        <v/>
      </c>
      <c r="N42" s="86" t="str">
        <f>IF(_epmOfflineCondition_,"Retail Kiosk",IF(_xll.EVDES(H42,$B$1)="#NODATA","",_xll.EVDES(H42,$B$1)))</f>
        <v>Retail Kiosk</v>
      </c>
      <c r="O42" s="134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223">
        <f t="shared" si="1"/>
        <v>0</v>
      </c>
      <c r="AB42" s="138" t="str">
        <f t="shared" si="2"/>
        <v/>
      </c>
      <c r="AC42" s="136"/>
      <c r="AD42" s="134"/>
      <c r="AE42" s="138" t="str">
        <f t="shared" si="3"/>
        <v/>
      </c>
      <c r="AF42" s="137">
        <f t="shared" si="4"/>
        <v>0</v>
      </c>
      <c r="AG42" s="134"/>
      <c r="AH42" s="138" t="str">
        <f t="shared" si="5"/>
        <v/>
      </c>
      <c r="AI42" s="137">
        <f t="shared" si="6"/>
        <v>0</v>
      </c>
      <c r="AJ42" s="458">
        <f t="shared" si="7"/>
        <v>0</v>
      </c>
      <c r="AK42" s="459">
        <f t="shared" si="8"/>
        <v>0</v>
      </c>
      <c r="AL42" s="460">
        <f t="shared" si="9"/>
        <v>0</v>
      </c>
      <c r="AM42" s="461">
        <f t="shared" si="10"/>
        <v>0</v>
      </c>
      <c r="AN42" s="462">
        <f t="shared" si="11"/>
        <v>0</v>
      </c>
      <c r="AO42" s="11"/>
    </row>
    <row r="43" spans="1:41" x14ac:dyDescent="0.25">
      <c r="A43" s="61" t="s">
        <v>6</v>
      </c>
      <c r="B43" s="62"/>
      <c r="C43" s="11"/>
      <c r="D43" s="11"/>
      <c r="E43" s="11"/>
      <c r="F43" s="11"/>
      <c r="G43" s="11"/>
      <c r="H43" s="84" t="s">
        <v>477</v>
      </c>
      <c r="I43" s="118" t="str">
        <f>IF(_epmOfflineCondition_,"T5",_xll.EVPRO($B$1,$H43,"STYLE"))</f>
        <v>T5</v>
      </c>
      <c r="J43" s="118" t="str">
        <f>IF(_epmOfflineCondition_,"Y",_xll.EVPRO($B$1,$H43,"CALC"))</f>
        <v>Y</v>
      </c>
      <c r="K43" s="175" t="str">
        <f t="shared" si="0"/>
        <v>&gt;</v>
      </c>
      <c r="L43" s="86" t="str">
        <f>IF(_epmOfflineCondition_,"450385",_xll.EVPRO($B$1,H43,"JDEID"))</f>
        <v>450385</v>
      </c>
      <c r="M43" s="86" t="str">
        <f>IF(_epmOfflineCondition_,"",IF(AND(I43="N",J43="N"),_xll.EVPRO($B$1,H43,"PSFTID"),""))</f>
        <v/>
      </c>
      <c r="N43" s="86" t="str">
        <f>IF(_epmOfflineCondition_,"Vending Machines",IF(_xll.EVDES(H43,$B$1)="#NODATA","",_xll.EVDES(H43,$B$1)))</f>
        <v>Vending Machines</v>
      </c>
      <c r="O43" s="134"/>
      <c r="P43" s="134"/>
      <c r="Q43" s="134"/>
      <c r="R43" s="134"/>
      <c r="S43" s="134"/>
      <c r="T43" s="134"/>
      <c r="U43" s="134"/>
      <c r="V43" s="134"/>
      <c r="W43" s="134"/>
      <c r="X43" s="134"/>
      <c r="Y43" s="134"/>
      <c r="Z43" s="134"/>
      <c r="AA43" s="223">
        <f t="shared" si="1"/>
        <v>0</v>
      </c>
      <c r="AB43" s="138" t="str">
        <f t="shared" si="2"/>
        <v/>
      </c>
      <c r="AC43" s="136"/>
      <c r="AD43" s="134"/>
      <c r="AE43" s="138" t="str">
        <f t="shared" si="3"/>
        <v/>
      </c>
      <c r="AF43" s="137">
        <f t="shared" si="4"/>
        <v>0</v>
      </c>
      <c r="AG43" s="134"/>
      <c r="AH43" s="138" t="str">
        <f t="shared" si="5"/>
        <v/>
      </c>
      <c r="AI43" s="137">
        <f t="shared" si="6"/>
        <v>0</v>
      </c>
      <c r="AJ43" s="458">
        <f t="shared" si="7"/>
        <v>0</v>
      </c>
      <c r="AK43" s="459">
        <f t="shared" si="8"/>
        <v>0</v>
      </c>
      <c r="AL43" s="460">
        <f t="shared" si="9"/>
        <v>0</v>
      </c>
      <c r="AM43" s="461">
        <f t="shared" si="10"/>
        <v>0</v>
      </c>
      <c r="AN43" s="462">
        <f t="shared" si="11"/>
        <v>0</v>
      </c>
      <c r="AO43" s="11"/>
    </row>
    <row r="44" spans="1:41" x14ac:dyDescent="0.25">
      <c r="A44" s="61" t="s">
        <v>7</v>
      </c>
      <c r="B44" s="62" t="str">
        <f>IF(_epmOfflineCondition_,"'Minor_Op'!$A$58:$F$62",_xll.EVRNG(A58:F62))</f>
        <v>'Minor_Op'!$A$58:$F$62</v>
      </c>
      <c r="C44" s="11"/>
      <c r="D44" s="11"/>
      <c r="E44" s="11"/>
      <c r="F44" s="11"/>
      <c r="G44" s="11"/>
      <c r="H44" s="84" t="s">
        <v>478</v>
      </c>
      <c r="I44" s="118" t="str">
        <f>IF(_epmOfflineCondition_,"T5",_xll.EVPRO($B$1,$H44,"STYLE"))</f>
        <v>T5</v>
      </c>
      <c r="J44" s="118" t="str">
        <f>IF(_epmOfflineCondition_,"Y",_xll.EVPRO($B$1,$H44,"CALC"))</f>
        <v>Y</v>
      </c>
      <c r="K44" s="175" t="str">
        <f t="shared" si="0"/>
        <v>&gt;</v>
      </c>
      <c r="L44" s="86" t="str">
        <f>IF(_epmOfflineCondition_,"450390",_xll.EVPRO($B$1,H44,"JDEID"))</f>
        <v>450390</v>
      </c>
      <c r="M44" s="86" t="str">
        <f>IF(_epmOfflineCondition_,"",IF(AND(I44="N",J44="N"),_xll.EVPRO($B$1,H44,"PSFTID"),""))</f>
        <v/>
      </c>
      <c r="N44" s="86" t="str">
        <f>IF(_epmOfflineCondition_,"Laundry Machines",IF(_xll.EVDES(H44,$B$1)="#NODATA","",_xll.EVDES(H44,$B$1)))</f>
        <v>Laundry Machines</v>
      </c>
      <c r="O44" s="134"/>
      <c r="P44" s="134"/>
      <c r="Q44" s="134"/>
      <c r="R44" s="134"/>
      <c r="S44" s="134"/>
      <c r="T44" s="134"/>
      <c r="U44" s="134"/>
      <c r="V44" s="134"/>
      <c r="W44" s="134"/>
      <c r="X44" s="134"/>
      <c r="Y44" s="134"/>
      <c r="Z44" s="134"/>
      <c r="AA44" s="223">
        <f t="shared" si="1"/>
        <v>0</v>
      </c>
      <c r="AB44" s="138" t="str">
        <f t="shared" si="2"/>
        <v/>
      </c>
      <c r="AC44" s="136"/>
      <c r="AD44" s="134"/>
      <c r="AE44" s="138" t="str">
        <f t="shared" si="3"/>
        <v/>
      </c>
      <c r="AF44" s="137">
        <f t="shared" si="4"/>
        <v>0</v>
      </c>
      <c r="AG44" s="134"/>
      <c r="AH44" s="138" t="str">
        <f t="shared" si="5"/>
        <v/>
      </c>
      <c r="AI44" s="137">
        <f t="shared" si="6"/>
        <v>0</v>
      </c>
      <c r="AJ44" s="458">
        <f t="shared" si="7"/>
        <v>0</v>
      </c>
      <c r="AK44" s="459">
        <f t="shared" si="8"/>
        <v>0</v>
      </c>
      <c r="AL44" s="460">
        <f t="shared" si="9"/>
        <v>0</v>
      </c>
      <c r="AM44" s="461">
        <f t="shared" si="10"/>
        <v>0</v>
      </c>
      <c r="AN44" s="462">
        <f t="shared" si="11"/>
        <v>0</v>
      </c>
      <c r="AO44" s="11"/>
    </row>
    <row r="45" spans="1:41" x14ac:dyDescent="0.25">
      <c r="A45" s="61" t="s">
        <v>47</v>
      </c>
      <c r="B45" s="62" t="str">
        <f>IF(_epmOfflineCondition_,"'Minor_Op'!$A$79:$B$100",_xll.EVRNG($A$79:$B$100))</f>
        <v>'Minor_Op'!$A$79:$B$100</v>
      </c>
      <c r="C45" s="11"/>
      <c r="D45" s="11"/>
      <c r="E45" s="11"/>
      <c r="F45" s="11"/>
      <c r="G45" s="11"/>
      <c r="H45" s="84" t="s">
        <v>479</v>
      </c>
      <c r="I45" s="118" t="str">
        <f>IF(_epmOfflineCondition_,"T5",_xll.EVPRO($B$1,$H45,"STYLE"))</f>
        <v>T5</v>
      </c>
      <c r="J45" s="118" t="str">
        <f>IF(_epmOfflineCondition_,"Y",_xll.EVPRO($B$1,$H45,"CALC"))</f>
        <v>Y</v>
      </c>
      <c r="K45" s="175" t="str">
        <f t="shared" si="0"/>
        <v>&gt;</v>
      </c>
      <c r="L45" s="86" t="str">
        <f>IF(_epmOfflineCondition_,"450395",_xll.EVPRO($B$1,H45,"JDEID"))</f>
        <v>450395</v>
      </c>
      <c r="M45" s="86" t="str">
        <f>IF(_epmOfflineCondition_,"",IF(AND(I45="N",J45="N"),_xll.EVPRO($B$1,H45,"PSFTID"),""))</f>
        <v/>
      </c>
      <c r="N45" s="86" t="str">
        <f>IF(_epmOfflineCondition_,"Occasional F&amp;B",IF(_xll.EVDES(H45,$B$1)="#NODATA","",_xll.EVDES(H45,$B$1)))</f>
        <v>Occasional F&amp;B</v>
      </c>
      <c r="O45" s="134"/>
      <c r="P45" s="134"/>
      <c r="Q45" s="134"/>
      <c r="R45" s="134"/>
      <c r="S45" s="134"/>
      <c r="T45" s="134"/>
      <c r="U45" s="134"/>
      <c r="V45" s="134"/>
      <c r="W45" s="134"/>
      <c r="X45" s="134"/>
      <c r="Y45" s="134"/>
      <c r="Z45" s="134"/>
      <c r="AA45" s="223">
        <f t="shared" si="1"/>
        <v>0</v>
      </c>
      <c r="AB45" s="138" t="str">
        <f t="shared" si="2"/>
        <v/>
      </c>
      <c r="AC45" s="136"/>
      <c r="AD45" s="134"/>
      <c r="AE45" s="138" t="str">
        <f t="shared" si="3"/>
        <v/>
      </c>
      <c r="AF45" s="137">
        <f t="shared" si="4"/>
        <v>0</v>
      </c>
      <c r="AG45" s="134"/>
      <c r="AH45" s="138" t="str">
        <f t="shared" si="5"/>
        <v/>
      </c>
      <c r="AI45" s="137">
        <f t="shared" si="6"/>
        <v>0</v>
      </c>
      <c r="AJ45" s="458">
        <f t="shared" si="7"/>
        <v>0</v>
      </c>
      <c r="AK45" s="459">
        <f t="shared" si="8"/>
        <v>0</v>
      </c>
      <c r="AL45" s="460">
        <f t="shared" si="9"/>
        <v>0</v>
      </c>
      <c r="AM45" s="461">
        <f t="shared" si="10"/>
        <v>0</v>
      </c>
      <c r="AN45" s="462">
        <f t="shared" si="11"/>
        <v>0</v>
      </c>
      <c r="AO45" s="11"/>
    </row>
    <row r="46" spans="1:41" x14ac:dyDescent="0.25">
      <c r="A46" s="61" t="s">
        <v>8</v>
      </c>
      <c r="B46" s="62"/>
      <c r="C46" s="11"/>
      <c r="D46" s="11"/>
      <c r="E46" s="11"/>
      <c r="F46" s="11"/>
      <c r="G46" s="11"/>
      <c r="H46" s="84" t="s">
        <v>431</v>
      </c>
      <c r="I46" s="118" t="str">
        <f>IF(_epmOfflineCondition_,"T5",_xll.EVPRO($B$1,$H46,"STYLE"))</f>
        <v>T5</v>
      </c>
      <c r="J46" s="118" t="str">
        <f>IF(_epmOfflineCondition_,"Y",_xll.EVPRO($B$1,$H46,"CALC"))</f>
        <v>Y</v>
      </c>
      <c r="K46" s="175" t="str">
        <f t="shared" si="0"/>
        <v>&gt;</v>
      </c>
      <c r="L46" s="86" t="str">
        <f>IF(_epmOfflineCondition_,"450400",_xll.EVPRO($B$1,H46,"JDEID"))</f>
        <v>450400</v>
      </c>
      <c r="M46" s="86" t="str">
        <f>IF(_epmOfflineCondition_,"",IF(AND(I46="N",J46="N"),_xll.EVPRO($B$1,H46,"PSFTID"),""))</f>
        <v/>
      </c>
      <c r="N46" s="86" t="str">
        <f>IF(_epmOfflineCondition_,"Other 1",IF(_xll.EVDES(H46,$B$1)="#NODATA","",_xll.EVDES(H46,$B$1)))</f>
        <v>Other 1</v>
      </c>
      <c r="O46" s="134"/>
      <c r="P46" s="134"/>
      <c r="Q46" s="134"/>
      <c r="R46" s="134"/>
      <c r="S46" s="134"/>
      <c r="T46" s="134"/>
      <c r="U46" s="134"/>
      <c r="V46" s="134"/>
      <c r="W46" s="134"/>
      <c r="X46" s="134"/>
      <c r="Y46" s="134"/>
      <c r="Z46" s="134"/>
      <c r="AA46" s="223">
        <f t="shared" si="1"/>
        <v>0</v>
      </c>
      <c r="AB46" s="138" t="str">
        <f t="shared" si="2"/>
        <v/>
      </c>
      <c r="AC46" s="136"/>
      <c r="AD46" s="134"/>
      <c r="AE46" s="138" t="str">
        <f t="shared" si="3"/>
        <v/>
      </c>
      <c r="AF46" s="137">
        <f t="shared" si="4"/>
        <v>0</v>
      </c>
      <c r="AG46" s="134">
        <v>150</v>
      </c>
      <c r="AH46" s="138">
        <f t="shared" si="5"/>
        <v>3.9757321310719372E-2</v>
      </c>
      <c r="AI46" s="137">
        <f t="shared" si="6"/>
        <v>-150</v>
      </c>
      <c r="AJ46" s="458">
        <f t="shared" si="7"/>
        <v>0</v>
      </c>
      <c r="AK46" s="459">
        <f t="shared" si="8"/>
        <v>0</v>
      </c>
      <c r="AL46" s="460">
        <f t="shared" si="9"/>
        <v>9.881422924901186E-3</v>
      </c>
      <c r="AM46" s="461">
        <f t="shared" si="10"/>
        <v>0</v>
      </c>
      <c r="AN46" s="462">
        <f t="shared" si="11"/>
        <v>0</v>
      </c>
      <c r="AO46" s="11"/>
    </row>
    <row r="47" spans="1:41" x14ac:dyDescent="0.25">
      <c r="A47" s="11"/>
      <c r="B47" s="11"/>
      <c r="C47" s="11"/>
      <c r="D47" s="11"/>
      <c r="E47" s="11"/>
      <c r="F47" s="11"/>
      <c r="G47" s="11"/>
      <c r="H47" s="84" t="s">
        <v>432</v>
      </c>
      <c r="I47" s="118" t="str">
        <f>IF(_epmOfflineCondition_,"T5",_xll.EVPRO($B$1,$H47,"STYLE"))</f>
        <v>T5</v>
      </c>
      <c r="J47" s="118" t="str">
        <f>IF(_epmOfflineCondition_,"Y",_xll.EVPRO($B$1,$H47,"CALC"))</f>
        <v>Y</v>
      </c>
      <c r="K47" s="175" t="str">
        <f t="shared" si="0"/>
        <v>&gt;</v>
      </c>
      <c r="L47" s="86" t="str">
        <f>IF(_epmOfflineCondition_,"450450",_xll.EVPRO($B$1,H47,"JDEID"))</f>
        <v>450450</v>
      </c>
      <c r="M47" s="86" t="str">
        <f>IF(_epmOfflineCondition_,"",IF(AND(I47="N",J47="N"),_xll.EVPRO($B$1,H47,"PSFTID"),""))</f>
        <v/>
      </c>
      <c r="N47" s="86" t="str">
        <f>IF(_epmOfflineCondition_,"Other 2",IF(_xll.EVDES(H47,$B$1)="#NODATA","",_xll.EVDES(H47,$B$1)))</f>
        <v>Other 2</v>
      </c>
      <c r="O47" s="134"/>
      <c r="P47" s="134"/>
      <c r="Q47" s="134"/>
      <c r="R47" s="134"/>
      <c r="S47" s="134"/>
      <c r="T47" s="134"/>
      <c r="U47" s="134"/>
      <c r="V47" s="134"/>
      <c r="W47" s="134"/>
      <c r="X47" s="134"/>
      <c r="Y47" s="134"/>
      <c r="Z47" s="134"/>
      <c r="AA47" s="223">
        <f t="shared" si="1"/>
        <v>0</v>
      </c>
      <c r="AB47" s="138" t="str">
        <f t="shared" si="2"/>
        <v/>
      </c>
      <c r="AC47" s="136"/>
      <c r="AD47" s="134"/>
      <c r="AE47" s="138" t="str">
        <f t="shared" si="3"/>
        <v/>
      </c>
      <c r="AF47" s="137">
        <f t="shared" si="4"/>
        <v>0</v>
      </c>
      <c r="AG47" s="134"/>
      <c r="AH47" s="138" t="str">
        <f t="shared" si="5"/>
        <v/>
      </c>
      <c r="AI47" s="137">
        <f t="shared" si="6"/>
        <v>0</v>
      </c>
      <c r="AJ47" s="458">
        <f t="shared" si="7"/>
        <v>0</v>
      </c>
      <c r="AK47" s="459">
        <f t="shared" si="8"/>
        <v>0</v>
      </c>
      <c r="AL47" s="460">
        <f t="shared" si="9"/>
        <v>0</v>
      </c>
      <c r="AM47" s="461">
        <f t="shared" si="10"/>
        <v>0</v>
      </c>
      <c r="AN47" s="462">
        <f t="shared" si="11"/>
        <v>0</v>
      </c>
      <c r="AO47" s="11"/>
    </row>
    <row r="48" spans="1:41" x14ac:dyDescent="0.25">
      <c r="A48" s="57" t="s">
        <v>9</v>
      </c>
      <c r="B48" s="58" t="s">
        <v>10</v>
      </c>
      <c r="C48" s="11"/>
      <c r="D48" s="11"/>
      <c r="E48" s="11"/>
      <c r="F48" s="11"/>
      <c r="G48" s="11"/>
      <c r="H48" s="84" t="s">
        <v>433</v>
      </c>
      <c r="I48" s="118" t="str">
        <f>IF(_epmOfflineCondition_,"T5",_xll.EVPRO($B$1,$H48,"STYLE"))</f>
        <v>T5</v>
      </c>
      <c r="J48" s="118" t="str">
        <f>IF(_epmOfflineCondition_,"Y",_xll.EVPRO($B$1,$H48,"CALC"))</f>
        <v>Y</v>
      </c>
      <c r="K48" s="175" t="str">
        <f t="shared" si="0"/>
        <v>&gt;</v>
      </c>
      <c r="L48" s="86" t="str">
        <f>IF(_epmOfflineCondition_,"450500",_xll.EVPRO($B$1,H48,"JDEID"))</f>
        <v>450500</v>
      </c>
      <c r="M48" s="86" t="str">
        <f>IF(_epmOfflineCondition_,"",IF(AND(I48="N",J48="N"),_xll.EVPRO($B$1,H48,"PSFTID"),""))</f>
        <v/>
      </c>
      <c r="N48" s="86" t="str">
        <f>IF(_epmOfflineCondition_,"Other 3",IF(_xll.EVDES(H48,$B$1)="#NODATA","",_xll.EVDES(H48,$B$1)))</f>
        <v>Other 3</v>
      </c>
      <c r="O48" s="134"/>
      <c r="P48" s="134"/>
      <c r="Q48" s="134"/>
      <c r="R48" s="134"/>
      <c r="S48" s="134"/>
      <c r="T48" s="134"/>
      <c r="U48" s="134"/>
      <c r="V48" s="134"/>
      <c r="W48" s="134"/>
      <c r="X48" s="134"/>
      <c r="Y48" s="134"/>
      <c r="Z48" s="134"/>
      <c r="AA48" s="223">
        <f t="shared" si="1"/>
        <v>0</v>
      </c>
      <c r="AB48" s="138" t="str">
        <f t="shared" si="2"/>
        <v/>
      </c>
      <c r="AC48" s="136"/>
      <c r="AD48" s="134"/>
      <c r="AE48" s="138" t="str">
        <f t="shared" si="3"/>
        <v/>
      </c>
      <c r="AF48" s="137">
        <f t="shared" si="4"/>
        <v>0</v>
      </c>
      <c r="AG48" s="134"/>
      <c r="AH48" s="138" t="str">
        <f t="shared" si="5"/>
        <v/>
      </c>
      <c r="AI48" s="137">
        <f t="shared" si="6"/>
        <v>0</v>
      </c>
      <c r="AJ48" s="458">
        <f t="shared" si="7"/>
        <v>0</v>
      </c>
      <c r="AK48" s="459">
        <f t="shared" si="8"/>
        <v>0</v>
      </c>
      <c r="AL48" s="460">
        <f t="shared" si="9"/>
        <v>0</v>
      </c>
      <c r="AM48" s="461">
        <f t="shared" si="10"/>
        <v>0</v>
      </c>
      <c r="AN48" s="462">
        <f t="shared" si="11"/>
        <v>0</v>
      </c>
      <c r="AO48" s="11"/>
    </row>
    <row r="49" spans="1:41" x14ac:dyDescent="0.25">
      <c r="A49" s="61" t="s">
        <v>11</v>
      </c>
      <c r="B49" s="62" t="s">
        <v>21</v>
      </c>
      <c r="C49" s="11"/>
      <c r="D49" s="11"/>
      <c r="E49" s="11"/>
      <c r="F49" s="11"/>
      <c r="G49" s="11"/>
      <c r="H49" s="84" t="s">
        <v>434</v>
      </c>
      <c r="I49" s="118" t="str">
        <f>IF(_epmOfflineCondition_,"T5",_xll.EVPRO($B$1,$H49,"STYLE"))</f>
        <v>T5</v>
      </c>
      <c r="J49" s="118" t="str">
        <f>IF(_epmOfflineCondition_,"Y",_xll.EVPRO($B$1,$H49,"CALC"))</f>
        <v>Y</v>
      </c>
      <c r="K49" s="175" t="str">
        <f t="shared" si="0"/>
        <v>&gt;</v>
      </c>
      <c r="L49" s="86" t="str">
        <f>IF(_epmOfflineCondition_,"450550",_xll.EVPRO($B$1,H49,"JDEID"))</f>
        <v>450550</v>
      </c>
      <c r="M49" s="86" t="str">
        <f>IF(_epmOfflineCondition_,"",IF(AND(I49="N",J49="N"),_xll.EVPRO($B$1,H49,"PSFTID"),""))</f>
        <v/>
      </c>
      <c r="N49" s="86" t="str">
        <f>IF(_epmOfflineCondition_,"Other 4",IF(_xll.EVDES(H49,$B$1)="#NODATA","",_xll.EVDES(H49,$B$1)))</f>
        <v>Other 4</v>
      </c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  <c r="AA49" s="223">
        <f t="shared" si="1"/>
        <v>0</v>
      </c>
      <c r="AB49" s="138" t="str">
        <f t="shared" si="2"/>
        <v/>
      </c>
      <c r="AC49" s="136"/>
      <c r="AD49" s="134"/>
      <c r="AE49" s="138" t="str">
        <f t="shared" si="3"/>
        <v/>
      </c>
      <c r="AF49" s="137">
        <f t="shared" si="4"/>
        <v>0</v>
      </c>
      <c r="AG49" s="134"/>
      <c r="AH49" s="138" t="str">
        <f t="shared" si="5"/>
        <v/>
      </c>
      <c r="AI49" s="137">
        <f t="shared" si="6"/>
        <v>0</v>
      </c>
      <c r="AJ49" s="458">
        <f t="shared" si="7"/>
        <v>0</v>
      </c>
      <c r="AK49" s="459">
        <f t="shared" si="8"/>
        <v>0</v>
      </c>
      <c r="AL49" s="460">
        <f t="shared" si="9"/>
        <v>0</v>
      </c>
      <c r="AM49" s="461">
        <f t="shared" si="10"/>
        <v>0</v>
      </c>
      <c r="AN49" s="462">
        <f t="shared" si="11"/>
        <v>0</v>
      </c>
      <c r="AO49" s="11"/>
    </row>
    <row r="50" spans="1:41" x14ac:dyDescent="0.25">
      <c r="A50" s="61" t="s">
        <v>12</v>
      </c>
      <c r="B50" s="62" t="s">
        <v>22</v>
      </c>
      <c r="C50" s="11"/>
      <c r="D50" s="11"/>
      <c r="E50" s="11"/>
      <c r="F50" s="11"/>
      <c r="G50" s="11"/>
      <c r="H50" s="84" t="s">
        <v>435</v>
      </c>
      <c r="I50" s="118" t="str">
        <f>IF(_epmOfflineCondition_,"T5",_xll.EVPRO($B$1,$H50,"STYLE"))</f>
        <v>T5</v>
      </c>
      <c r="J50" s="118" t="str">
        <f>IF(_epmOfflineCondition_,"Y",_xll.EVPRO($B$1,$H50,"CALC"))</f>
        <v>Y</v>
      </c>
      <c r="K50" s="175" t="str">
        <f t="shared" si="0"/>
        <v>&gt;</v>
      </c>
      <c r="L50" s="86" t="str">
        <f>IF(_epmOfflineCondition_,"450600",_xll.EVPRO($B$1,H50,"JDEID"))</f>
        <v>450600</v>
      </c>
      <c r="M50" s="86" t="str">
        <f>IF(_epmOfflineCondition_,"",IF(AND(I50="N",J50="N"),_xll.EVPRO($B$1,H50,"PSFTID"),""))</f>
        <v/>
      </c>
      <c r="N50" s="86" t="str">
        <f>IF(_epmOfflineCondition_,"Other 5",IF(_xll.EVDES(H50,$B$1)="#NODATA","",_xll.EVDES(H50,$B$1)))</f>
        <v>Other 5</v>
      </c>
      <c r="O50" s="134"/>
      <c r="P50" s="134"/>
      <c r="Q50" s="134"/>
      <c r="R50" s="134"/>
      <c r="S50" s="134"/>
      <c r="T50" s="134"/>
      <c r="U50" s="134"/>
      <c r="V50" s="134"/>
      <c r="W50" s="134"/>
      <c r="X50" s="134"/>
      <c r="Y50" s="134"/>
      <c r="Z50" s="134"/>
      <c r="AA50" s="223">
        <f t="shared" si="1"/>
        <v>0</v>
      </c>
      <c r="AB50" s="138" t="str">
        <f t="shared" si="2"/>
        <v/>
      </c>
      <c r="AC50" s="136"/>
      <c r="AD50" s="134"/>
      <c r="AE50" s="138" t="str">
        <f t="shared" si="3"/>
        <v/>
      </c>
      <c r="AF50" s="137">
        <f t="shared" si="4"/>
        <v>0</v>
      </c>
      <c r="AG50" s="134"/>
      <c r="AH50" s="138" t="str">
        <f t="shared" si="5"/>
        <v/>
      </c>
      <c r="AI50" s="137">
        <f t="shared" si="6"/>
        <v>0</v>
      </c>
      <c r="AJ50" s="458">
        <f t="shared" si="7"/>
        <v>0</v>
      </c>
      <c r="AK50" s="459">
        <f t="shared" si="8"/>
        <v>0</v>
      </c>
      <c r="AL50" s="460">
        <f t="shared" si="9"/>
        <v>0</v>
      </c>
      <c r="AM50" s="461">
        <f t="shared" si="10"/>
        <v>0</v>
      </c>
      <c r="AN50" s="462">
        <f t="shared" si="11"/>
        <v>0</v>
      </c>
      <c r="AO50" s="11"/>
    </row>
    <row r="51" spans="1:41" x14ac:dyDescent="0.25">
      <c r="A51" s="61" t="s">
        <v>13</v>
      </c>
      <c r="B51" s="62" t="str">
        <f>"DEP(450000) AND "&amp;$E$6&amp;"=Y AND ID&lt;&gt;ALLOW_MOP"</f>
        <v>DEP(450000) AND D1138=Y AND ID&lt;&gt;ALLOW_MOP</v>
      </c>
      <c r="C51" s="11"/>
      <c r="D51" s="11"/>
      <c r="E51" s="11"/>
      <c r="F51" s="11"/>
      <c r="G51" s="11"/>
      <c r="H51" s="84" t="s">
        <v>436</v>
      </c>
      <c r="I51" s="118" t="str">
        <f>IF(_epmOfflineCondition_,"T5",_xll.EVPRO($B$1,$H51,"STYLE"))</f>
        <v>T5</v>
      </c>
      <c r="J51" s="118" t="str">
        <f>IF(_epmOfflineCondition_,"Y",_xll.EVPRO($B$1,$H51,"CALC"))</f>
        <v>Y</v>
      </c>
      <c r="K51" s="175" t="str">
        <f t="shared" si="0"/>
        <v>&gt;</v>
      </c>
      <c r="L51" s="86" t="str">
        <f>IF(_epmOfflineCondition_,"450650",_xll.EVPRO($B$1,H51,"JDEID"))</f>
        <v>450650</v>
      </c>
      <c r="M51" s="86" t="str">
        <f>IF(_epmOfflineCondition_,"",IF(AND(I51="N",J51="N"),_xll.EVPRO($B$1,H51,"PSFTID"),""))</f>
        <v/>
      </c>
      <c r="N51" s="86" t="str">
        <f>IF(_epmOfflineCondition_,"Other 6",IF(_xll.EVDES(H51,$B$1)="#NODATA","",_xll.EVDES(H51,$B$1)))</f>
        <v>Other 6</v>
      </c>
      <c r="O51" s="134"/>
      <c r="P51" s="134"/>
      <c r="Q51" s="134"/>
      <c r="R51" s="134"/>
      <c r="S51" s="134"/>
      <c r="T51" s="134"/>
      <c r="U51" s="134"/>
      <c r="V51" s="134"/>
      <c r="W51" s="134"/>
      <c r="X51" s="134"/>
      <c r="Y51" s="134"/>
      <c r="Z51" s="134"/>
      <c r="AA51" s="223">
        <f t="shared" si="1"/>
        <v>0</v>
      </c>
      <c r="AB51" s="138" t="str">
        <f t="shared" si="2"/>
        <v/>
      </c>
      <c r="AC51" s="136"/>
      <c r="AD51" s="134"/>
      <c r="AE51" s="138" t="str">
        <f t="shared" si="3"/>
        <v/>
      </c>
      <c r="AF51" s="137">
        <f t="shared" si="4"/>
        <v>0</v>
      </c>
      <c r="AG51" s="134"/>
      <c r="AH51" s="138" t="str">
        <f t="shared" si="5"/>
        <v/>
      </c>
      <c r="AI51" s="137">
        <f t="shared" si="6"/>
        <v>0</v>
      </c>
      <c r="AJ51" s="458">
        <f t="shared" si="7"/>
        <v>0</v>
      </c>
      <c r="AK51" s="459">
        <f t="shared" si="8"/>
        <v>0</v>
      </c>
      <c r="AL51" s="460">
        <f t="shared" si="9"/>
        <v>0</v>
      </c>
      <c r="AM51" s="461">
        <f t="shared" si="10"/>
        <v>0</v>
      </c>
      <c r="AN51" s="462">
        <f t="shared" si="11"/>
        <v>0</v>
      </c>
      <c r="AO51" s="11"/>
    </row>
    <row r="52" spans="1:41" x14ac:dyDescent="0.25">
      <c r="A52" s="61" t="s">
        <v>14</v>
      </c>
      <c r="B52" s="62"/>
      <c r="C52" s="11"/>
      <c r="D52" s="11"/>
      <c r="E52" s="11"/>
      <c r="F52" s="11"/>
      <c r="G52" s="11"/>
      <c r="H52" s="84" t="s">
        <v>480</v>
      </c>
      <c r="I52" s="118" t="str">
        <f>IF(_epmOfflineCondition_,"T5",_xll.EVPRO($B$1,$H52,"STYLE"))</f>
        <v>T5</v>
      </c>
      <c r="J52" s="118" t="str">
        <f>IF(_epmOfflineCondition_,"Y",_xll.EVPRO($B$1,$H52,"CALC"))</f>
        <v>Y</v>
      </c>
      <c r="K52" s="175" t="str">
        <f t="shared" si="0"/>
        <v>&gt;</v>
      </c>
      <c r="L52" s="86" t="str">
        <f>IF(_epmOfflineCondition_,"",_xll.EVPRO($B$1,H52,"JDEID"))</f>
        <v/>
      </c>
      <c r="M52" s="86" t="str">
        <f>IF(_epmOfflineCondition_,"",IF(AND(I52="N",J52="N"),_xll.EVPRO($B$1,H52,"PSFTID"),""))</f>
        <v/>
      </c>
      <c r="N52" s="86" t="str">
        <f>IF(_epmOfflineCondition_,"Minor Operated: Allowances",IF(_xll.EVDES(H52,$B$1)="#NODATA","",_xll.EVDES(H52,$B$1)))</f>
        <v>Minor Operated: Allowances</v>
      </c>
      <c r="O52" s="228"/>
      <c r="P52" s="228"/>
      <c r="Q52" s="228"/>
      <c r="R52" s="228"/>
      <c r="S52" s="228"/>
      <c r="T52" s="228"/>
      <c r="U52" s="228"/>
      <c r="V52" s="228"/>
      <c r="W52" s="228"/>
      <c r="X52" s="228"/>
      <c r="Y52" s="228"/>
      <c r="Z52" s="228"/>
      <c r="AA52" s="229">
        <f t="shared" si="1"/>
        <v>0</v>
      </c>
      <c r="AB52" s="230" t="str">
        <f t="shared" si="2"/>
        <v/>
      </c>
      <c r="AC52" s="136"/>
      <c r="AD52" s="228"/>
      <c r="AE52" s="230" t="str">
        <f t="shared" si="3"/>
        <v/>
      </c>
      <c r="AF52" s="231">
        <f t="shared" si="4"/>
        <v>0</v>
      </c>
      <c r="AG52" s="228"/>
      <c r="AH52" s="230" t="str">
        <f t="shared" si="5"/>
        <v/>
      </c>
      <c r="AI52" s="231">
        <f t="shared" si="6"/>
        <v>0</v>
      </c>
      <c r="AJ52" s="467">
        <f t="shared" si="7"/>
        <v>0</v>
      </c>
      <c r="AK52" s="468">
        <f t="shared" si="8"/>
        <v>0</v>
      </c>
      <c r="AL52" s="469">
        <f t="shared" si="9"/>
        <v>0</v>
      </c>
      <c r="AM52" s="470">
        <f t="shared" si="10"/>
        <v>0</v>
      </c>
      <c r="AN52" s="471">
        <f t="shared" si="11"/>
        <v>0</v>
      </c>
      <c r="AO52" s="11"/>
    </row>
    <row r="53" spans="1:41" x14ac:dyDescent="0.25">
      <c r="A53" s="61" t="s">
        <v>15</v>
      </c>
      <c r="B53" s="62"/>
      <c r="C53" s="11"/>
      <c r="D53" s="11"/>
      <c r="E53" s="11"/>
      <c r="F53" s="11"/>
      <c r="G53" s="11"/>
      <c r="H53" s="84" t="s">
        <v>280</v>
      </c>
      <c r="I53" s="184" t="str">
        <f>IF(_epmOfflineCondition_,"T3",_xll.EVPRO($B$1,$H53,"STYLE"))</f>
        <v>T3</v>
      </c>
      <c r="J53" s="184" t="str">
        <f>IF(_epmOfflineCondition_,"Y",_xll.EVPRO($B$1,$H53,"CALC"))</f>
        <v>Y</v>
      </c>
      <c r="K53" s="185" t="str">
        <f t="shared" si="0"/>
        <v/>
      </c>
      <c r="L53" s="186" t="str">
        <f>IF(_epmOfflineCondition_,"400000",_xll.EVPRO($B$1,H53,"JDEID"))</f>
        <v>400000</v>
      </c>
      <c r="M53" s="186" t="str">
        <f>IF(_epmOfflineCondition_,"",IF(AND(I53="N",J53="N"),_xll.EVPRO($B$1,H53,"PSFTID"),""))</f>
        <v/>
      </c>
      <c r="N53" s="186" t="str">
        <f>IF(_epmOfflineCondition_,"Total Revenue",IF(_xll.EVDES(H53,$B$1)="#NODATA","",_xll.EVDES(H53,$B$1)))</f>
        <v>Total Revenue</v>
      </c>
      <c r="O53" s="236">
        <v>650.64</v>
      </c>
      <c r="P53" s="236">
        <v>2173.44</v>
      </c>
      <c r="Q53" s="236">
        <v>1091.9000000000001</v>
      </c>
      <c r="R53" s="236">
        <v>1243.8399999999999</v>
      </c>
      <c r="S53" s="236">
        <v>599.47</v>
      </c>
      <c r="T53" s="236">
        <v>590.08000000000004</v>
      </c>
      <c r="U53" s="236">
        <v>1323.15</v>
      </c>
      <c r="V53" s="236">
        <v>923.7</v>
      </c>
      <c r="W53" s="236">
        <v>1343.75</v>
      </c>
      <c r="X53" s="236">
        <v>1512.65</v>
      </c>
      <c r="Y53" s="236">
        <v>1276.44</v>
      </c>
      <c r="Z53" s="236">
        <v>1010.29</v>
      </c>
      <c r="AA53" s="236">
        <f t="shared" si="1"/>
        <v>13739.350000000002</v>
      </c>
      <c r="AB53" s="237">
        <f t="shared" si="2"/>
        <v>1</v>
      </c>
      <c r="AC53" s="238"/>
      <c r="AD53" s="236">
        <v>9096.5</v>
      </c>
      <c r="AE53" s="237">
        <f t="shared" si="3"/>
        <v>1</v>
      </c>
      <c r="AF53" s="239">
        <f t="shared" si="4"/>
        <v>4642.8500000000022</v>
      </c>
      <c r="AG53" s="236">
        <v>3772.89</v>
      </c>
      <c r="AH53" s="237">
        <f t="shared" si="5"/>
        <v>1</v>
      </c>
      <c r="AI53" s="239">
        <f t="shared" si="6"/>
        <v>9966.4600000000028</v>
      </c>
      <c r="AJ53" s="215">
        <f t="shared" si="7"/>
        <v>0.41783802688400956</v>
      </c>
      <c r="AK53" s="216">
        <f t="shared" si="8"/>
        <v>0.25</v>
      </c>
      <c r="AL53" s="218">
        <f t="shared" si="9"/>
        <v>0.24854347826086956</v>
      </c>
      <c r="AM53" s="423" t="str">
        <f t="shared" si="10"/>
        <v>0 pts.</v>
      </c>
      <c r="AN53" s="474" t="str">
        <f t="shared" si="11"/>
        <v>0 pts.</v>
      </c>
      <c r="AO53" s="11"/>
    </row>
    <row r="54" spans="1:41" x14ac:dyDescent="0.25">
      <c r="A54" s="61" t="s">
        <v>16</v>
      </c>
      <c r="B54" s="62"/>
      <c r="C54" s="11"/>
      <c r="D54" s="11"/>
      <c r="E54" s="11"/>
      <c r="F54" s="11"/>
      <c r="G54" s="11"/>
      <c r="H54" s="11"/>
      <c r="I54" s="55"/>
      <c r="J54" s="55"/>
      <c r="K54" s="11"/>
      <c r="L54" s="11"/>
      <c r="M54" s="11"/>
      <c r="N54" s="11"/>
      <c r="O54" s="199"/>
      <c r="P54" s="200"/>
      <c r="Q54" s="200"/>
      <c r="R54" s="200"/>
      <c r="S54" s="200"/>
      <c r="T54" s="200"/>
      <c r="U54" s="200"/>
      <c r="V54" s="200"/>
      <c r="W54" s="200"/>
      <c r="X54" s="200"/>
      <c r="Y54" s="200"/>
      <c r="Z54" s="200"/>
      <c r="AA54" s="200"/>
      <c r="AB54" s="114"/>
      <c r="AC54" s="11"/>
      <c r="AD54" s="199"/>
      <c r="AE54" s="200"/>
      <c r="AF54" s="114"/>
      <c r="AG54" s="199"/>
      <c r="AH54" s="200"/>
      <c r="AI54" s="114"/>
      <c r="AJ54" s="11"/>
      <c r="AK54" s="11"/>
      <c r="AL54" s="11"/>
      <c r="AM54" s="11"/>
      <c r="AN54" s="11"/>
      <c r="AO54" s="11"/>
    </row>
    <row r="55" spans="1:41" x14ac:dyDescent="0.25">
      <c r="A55" s="61" t="s">
        <v>17</v>
      </c>
      <c r="B55" s="62"/>
      <c r="C55" s="11"/>
      <c r="D55" s="11"/>
      <c r="E55" s="11"/>
      <c r="F55" s="11"/>
      <c r="G55" s="11"/>
      <c r="H55" s="11" t="s">
        <v>281</v>
      </c>
      <c r="I55" s="55" t="str">
        <f>IF(_epmOfflineCondition_,"B1",_xll.EVPRO($B$1,$H55,"STYLE"))</f>
        <v>B1</v>
      </c>
      <c r="J55" s="55" t="str">
        <f>IF(_epmOfflineCondition_,"Y",_xll.EVPRO($B$1,$H55,"CALC"))</f>
        <v>Y</v>
      </c>
      <c r="K55" s="11"/>
      <c r="L55" s="11"/>
      <c r="M55" s="11"/>
      <c r="N55" s="101" t="str">
        <f>IF(_epmOfflineCondition_,"Cost of Sales",IF(_xll.EVDES(H55,$B$1)="#NODATA","",_xll.EVDES(H55,$B$1)))</f>
        <v>Cost of Sales</v>
      </c>
      <c r="O55" s="199"/>
      <c r="P55" s="200"/>
      <c r="Q55" s="200"/>
      <c r="R55" s="200"/>
      <c r="S55" s="200"/>
      <c r="T55" s="200"/>
      <c r="U55" s="200"/>
      <c r="V55" s="200"/>
      <c r="W55" s="200"/>
      <c r="X55" s="200"/>
      <c r="Y55" s="200"/>
      <c r="Z55" s="200"/>
      <c r="AA55" s="200"/>
      <c r="AB55" s="114"/>
      <c r="AC55" s="11"/>
      <c r="AD55" s="199"/>
      <c r="AE55" s="200"/>
      <c r="AF55" s="114"/>
      <c r="AG55" s="199"/>
      <c r="AH55" s="200"/>
      <c r="AI55" s="114"/>
      <c r="AJ55" s="11"/>
      <c r="AK55" s="11"/>
      <c r="AL55" s="11"/>
      <c r="AM55" s="11"/>
      <c r="AN55" s="11"/>
      <c r="AO55" s="11"/>
    </row>
    <row r="56" spans="1:41" x14ac:dyDescent="0.25">
      <c r="A56" s="11"/>
      <c r="B56" s="11"/>
      <c r="C56" s="11"/>
      <c r="D56" s="11"/>
      <c r="E56" s="11"/>
      <c r="F56" s="11"/>
      <c r="G56" s="72"/>
      <c r="H56" s="84" t="s">
        <v>437</v>
      </c>
      <c r="I56" s="118" t="str">
        <f>IF(_epmOfflineCondition_,"T5",_xll.EVPRO($B$1,$H56,"STYLE"))</f>
        <v>T5</v>
      </c>
      <c r="J56" s="118" t="str">
        <f>IF(_epmOfflineCondition_,"Y",_xll.EVPRO($B$1,$H56,"CALC"))</f>
        <v>Y</v>
      </c>
      <c r="K56" s="175" t="str">
        <f t="shared" ref="K56:K74" si="12">IF(AND(I56&gt;="T5"),"&gt;","")</f>
        <v>&gt;</v>
      </c>
      <c r="L56" s="86" t="str">
        <f>IF(_epmOfflineCondition_,"510000",_xll.EVPRO($B$1,H56,"JDEID"))</f>
        <v>510000</v>
      </c>
      <c r="M56" s="86" t="str">
        <f>IF(_epmOfflineCondition_,"",IF(AND(I56="N",J56="N"),_xll.EVPRO($B$1,H56,"PSFTID"),""))</f>
        <v/>
      </c>
      <c r="N56" s="86" t="str">
        <f>IF(_epmOfflineCondition_,"Total Guest Communication COS",IF(_xll.EVDES(H56,$B$1)="#NODATA","",_xll.EVDES(H56,$B$1)))</f>
        <v>Total Guest Communication COS</v>
      </c>
      <c r="O56" s="134">
        <v>23</v>
      </c>
      <c r="P56" s="134">
        <v>23</v>
      </c>
      <c r="Q56" s="134">
        <v>23</v>
      </c>
      <c r="R56" s="134">
        <v>23</v>
      </c>
      <c r="S56" s="134">
        <v>23</v>
      </c>
      <c r="T56" s="134">
        <v>16.82</v>
      </c>
      <c r="U56" s="134">
        <v>134</v>
      </c>
      <c r="V56" s="134">
        <v>259.52999999999997</v>
      </c>
      <c r="W56" s="134">
        <v>77.72</v>
      </c>
      <c r="X56" s="134">
        <v>94.54</v>
      </c>
      <c r="Y56" s="134">
        <v>273.76</v>
      </c>
      <c r="Z56" s="134">
        <v>116</v>
      </c>
      <c r="AA56" s="223">
        <f t="shared" ref="AA56:AA74" si="13">IF($I56="B1","",SUM(O56:Z56))</f>
        <v>1087.3699999999999</v>
      </c>
      <c r="AB56" s="138">
        <f>IF(_epmOfflineCondition_,0.458869800436348,IF(AA56=0,"",IFERROR(AA56/_xll.EVGTS($B$1,1,_xll.EVPRO($B$1,$H56,"COSBASIS"),$B$3,$B$5,$B$6,$B$7,$B$9,AA$16,AA$17,AA$18),"")))</f>
        <v>0.45886980043634801</v>
      </c>
      <c r="AC56" s="136"/>
      <c r="AD56" s="134">
        <v>1477.2716</v>
      </c>
      <c r="AE56" s="138">
        <f>IF(_epmOfflineCondition_,0.58,IF(AD56=0,"",IFERROR(AD56/_xll.EVGTS($B$1,1,_xll.EVPRO($B$1,$H56,"COSBASIS"),$B$3,$B$5,$B$6,$B$7,$B$9,AD$16,AD$17,AD$18),"")))</f>
        <v>0.57999999999999996</v>
      </c>
      <c r="AF56" s="137">
        <f t="shared" ref="AF56:AF74" si="14">IF(AND($AA56="",AD56=""),"",$AA56-AD56)</f>
        <v>-389.90160000000014</v>
      </c>
      <c r="AG56" s="134">
        <v>299</v>
      </c>
      <c r="AH56" s="138">
        <f>IF(_epmOfflineCondition_,0.250173615468929,IF(AG56=0,"",IFERROR(AG56/_xll.EVGTS($B$1,1,_xll.EVPRO($B$1,$H56,"COSBASIS"),$B$3,$B$5,$B$6,$B$7,$B$9,AG$16,AG$17,AG$18),"")))</f>
        <v>0.25017361546892902</v>
      </c>
      <c r="AI56" s="137">
        <f t="shared" ref="AI56:AI74" si="15">IF(AND($AA56="",AG56=""),"",$AA56-AG56)</f>
        <v>788.36999999999989</v>
      </c>
      <c r="AJ56" s="458">
        <f t="shared" ref="AJ56:AJ74" si="16">IFERROR(AA56/AA$20,0)</f>
        <v>3.3068852259594911E-2</v>
      </c>
      <c r="AK56" s="459">
        <f t="shared" ref="AK56:AK74" si="17">IFERROR(AD56/AD$20,0)</f>
        <v>4.0600000000000004E-2</v>
      </c>
      <c r="AL56" s="460">
        <f t="shared" ref="AL56:AL74" si="18">IFERROR(AG56/AG$20,0)</f>
        <v>1.9696969696969695E-2</v>
      </c>
      <c r="AM56" s="461" t="str">
        <f t="shared" ref="AM56:AM74" si="19">+IFERROR(ROUND(($AB56-AE56)*100,2)&amp;" pts.",0)</f>
        <v>-12.11 pts.</v>
      </c>
      <c r="AN56" s="462" t="str">
        <f t="shared" ref="AN56:AN74" si="20">+IFERROR(ROUND(($AB56-AH56)*100,2)&amp;" pts.",0)</f>
        <v>20.87 pts.</v>
      </c>
      <c r="AO56" s="11"/>
    </row>
    <row r="57" spans="1:41" x14ac:dyDescent="0.25">
      <c r="A57" s="93" t="s">
        <v>92</v>
      </c>
      <c r="B57" s="94" t="s">
        <v>93</v>
      </c>
      <c r="C57" s="94" t="s">
        <v>94</v>
      </c>
      <c r="D57" s="94" t="s">
        <v>95</v>
      </c>
      <c r="E57" s="94" t="s">
        <v>96</v>
      </c>
      <c r="F57" s="95" t="s">
        <v>97</v>
      </c>
      <c r="G57" s="11"/>
      <c r="H57" s="84" t="s">
        <v>438</v>
      </c>
      <c r="I57" s="118" t="str">
        <f>IF(_epmOfflineCondition_,"N",_xll.EVPRO($B$1,$H57,"STYLE"))</f>
        <v>N</v>
      </c>
      <c r="J57" s="118" t="str">
        <f>IF(_epmOfflineCondition_,"N",_xll.EVPRO($B$1,$H57,"CALC"))</f>
        <v>N</v>
      </c>
      <c r="K57" s="175" t="str">
        <f t="shared" si="12"/>
        <v/>
      </c>
      <c r="L57" s="86" t="str">
        <f>IF(_epmOfflineCondition_,"550100",_xll.EVPRO($B$1,H57,"JDEID"))</f>
        <v>550100</v>
      </c>
      <c r="M57" s="86" t="str">
        <f>IF(_epmOfflineCondition_,"306025",IF(AND(I57="N",J57="N"),_xll.EVPRO($B$1,H57,"PSFTID"),""))</f>
        <v>306025</v>
      </c>
      <c r="N57" s="86" t="str">
        <f>IF(_epmOfflineCondition_,"In Room Movie Cost of Sales",IF(_xll.EVDES(H57,$B$1)="#NODATA","",_xll.EVDES(H57,$B$1)))</f>
        <v>In Room Movie Cost of Sales</v>
      </c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223">
        <f t="shared" si="13"/>
        <v>0</v>
      </c>
      <c r="AB57" s="138" t="str">
        <f>IF(_epmOfflineCondition_,"",IF(AA57=0,"",IFERROR(AA57/_xll.EVGTS($B$1,1,_xll.EVPRO($B$1,$H57,"COSBASIS"),$B$3,$B$5,$B$6,$B$7,$B$9,AA$16,AA$17,AA$18),"")))</f>
        <v/>
      </c>
      <c r="AC57" s="136"/>
      <c r="AD57" s="134"/>
      <c r="AE57" s="138" t="str">
        <f>IF(_epmOfflineCondition_,"",IF(AD57=0,"",IFERROR(AD57/_xll.EVGTS($B$1,1,_xll.EVPRO($B$1,$H57,"COSBASIS"),$B$3,$B$5,$B$6,$B$7,$B$9,AD$16,AD$17,AD$18),"")))</f>
        <v/>
      </c>
      <c r="AF57" s="137">
        <f t="shared" si="14"/>
        <v>0</v>
      </c>
      <c r="AG57" s="134"/>
      <c r="AH57" s="138" t="str">
        <f>IF(_epmOfflineCondition_,"",IF(AG57=0,"",IFERROR(AG57/_xll.EVGTS($B$1,1,_xll.EVPRO($B$1,$H57,"COSBASIS"),$B$3,$B$5,$B$6,$B$7,$B$9,AG$16,AG$17,AG$18),"")))</f>
        <v/>
      </c>
      <c r="AI57" s="137">
        <f t="shared" si="15"/>
        <v>0</v>
      </c>
      <c r="AJ57" s="458">
        <f t="shared" si="16"/>
        <v>0</v>
      </c>
      <c r="AK57" s="459">
        <f t="shared" si="17"/>
        <v>0</v>
      </c>
      <c r="AL57" s="460">
        <f t="shared" si="18"/>
        <v>0</v>
      </c>
      <c r="AM57" s="461">
        <f t="shared" si="19"/>
        <v>0</v>
      </c>
      <c r="AN57" s="462">
        <f t="shared" si="20"/>
        <v>0</v>
      </c>
      <c r="AO57" s="11"/>
    </row>
    <row r="58" spans="1:41" x14ac:dyDescent="0.25">
      <c r="A58" s="11"/>
      <c r="B58" s="11"/>
      <c r="C58" s="11"/>
      <c r="D58" s="11"/>
      <c r="E58" s="11"/>
      <c r="F58" s="11"/>
      <c r="G58" s="11"/>
      <c r="H58" s="84" t="s">
        <v>439</v>
      </c>
      <c r="I58" s="118" t="str">
        <f>IF(_epmOfflineCondition_,"N",_xll.EVPRO($B$1,$H58,"STYLE"))</f>
        <v>N</v>
      </c>
      <c r="J58" s="118" t="str">
        <f>IF(_epmOfflineCondition_,"N",_xll.EVPRO($B$1,$H58,"CALC"))</f>
        <v>N</v>
      </c>
      <c r="K58" s="175" t="str">
        <f t="shared" si="12"/>
        <v/>
      </c>
      <c r="L58" s="86" t="str">
        <f>IF(_epmOfflineCondition_,"550150",_xll.EVPRO($B$1,H58,"JDEID"))</f>
        <v>550150</v>
      </c>
      <c r="M58" s="86" t="str">
        <f>IF(_epmOfflineCondition_,"307065",IF(AND(I58="N",J58="N"),_xll.EVPRO($B$1,H58,"PSFTID"),""))</f>
        <v>307065</v>
      </c>
      <c r="N58" s="86" t="str">
        <f>IF(_epmOfflineCondition_,"Guest Laundry Cost of Sales",IF(_xll.EVDES(H58,$B$1)="#NODATA","",_xll.EVDES(H58,$B$1)))</f>
        <v>Guest Laundry Cost of Sales</v>
      </c>
      <c r="O58" s="134">
        <v>367.92</v>
      </c>
      <c r="P58" s="134">
        <v>152.16</v>
      </c>
      <c r="Q58" s="134">
        <v>577.21</v>
      </c>
      <c r="R58" s="134">
        <v>336.11</v>
      </c>
      <c r="S58" s="134">
        <v>240.33</v>
      </c>
      <c r="T58" s="134">
        <v>309.06</v>
      </c>
      <c r="U58" s="134">
        <v>213.8</v>
      </c>
      <c r="V58" s="134"/>
      <c r="W58" s="134"/>
      <c r="X58" s="134">
        <v>1335.52</v>
      </c>
      <c r="Y58" s="134">
        <v>181.08</v>
      </c>
      <c r="Z58" s="134">
        <v>300.58</v>
      </c>
      <c r="AA58" s="223">
        <f t="shared" si="13"/>
        <v>4013.77</v>
      </c>
      <c r="AB58" s="138">
        <f>IF(_epmOfflineCondition_,0.810260250964939,IF(AA58=0,"",IFERROR(AA58/_xll.EVGTS($B$1,1,_xll.EVPRO($B$1,$H58,"COSBASIS"),$B$3,$B$5,$B$6,$B$7,$B$9,AA$16,AA$17,AA$18),"")))</f>
        <v>0.81026025096493903</v>
      </c>
      <c r="AC58" s="136"/>
      <c r="AD58" s="134">
        <v>2965.8228600000002</v>
      </c>
      <c r="AE58" s="138">
        <f>IF(_epmOfflineCondition_,0.741,IF(AD58=0,"",IFERROR(AD58/_xll.EVGTS($B$1,1,_xll.EVPRO($B$1,$H58,"COSBASIS"),$B$3,$B$5,$B$6,$B$7,$B$9,AD$16,AD$17,AD$18),"")))</f>
        <v>0.74099999999999999</v>
      </c>
      <c r="AF58" s="137">
        <f t="shared" si="14"/>
        <v>1047.9471399999998</v>
      </c>
      <c r="AG58" s="134">
        <v>1682.78</v>
      </c>
      <c r="AH58" s="138">
        <f>IF(_epmOfflineCondition_,0.754366303256348,IF(AG58=0,"",IFERROR(AG58/_xll.EVGTS($B$1,1,_xll.EVPRO($B$1,$H58,"COSBASIS"),$B$3,$B$5,$B$6,$B$7,$B$9,AG$16,AG$17,AG$18),"")))</f>
        <v>0.75436630325634801</v>
      </c>
      <c r="AI58" s="137">
        <f t="shared" si="15"/>
        <v>2330.9899999999998</v>
      </c>
      <c r="AJ58" s="458">
        <f t="shared" si="16"/>
        <v>0.12206587190560185</v>
      </c>
      <c r="AK58" s="459">
        <f t="shared" si="17"/>
        <v>8.1509999999999999E-2</v>
      </c>
      <c r="AL58" s="460">
        <f t="shared" si="18"/>
        <v>0.11085507246376812</v>
      </c>
      <c r="AM58" s="461" t="str">
        <f t="shared" si="19"/>
        <v>6.93 pts.</v>
      </c>
      <c r="AN58" s="462" t="str">
        <f t="shared" si="20"/>
        <v>5.59 pts.</v>
      </c>
      <c r="AO58" s="11"/>
    </row>
    <row r="59" spans="1:41" x14ac:dyDescent="0.25">
      <c r="A59" s="11" t="s">
        <v>105</v>
      </c>
      <c r="B59" s="11"/>
      <c r="C59" s="100" t="s">
        <v>101</v>
      </c>
      <c r="D59" s="11" t="s">
        <v>106</v>
      </c>
      <c r="E59" s="11"/>
      <c r="F59" s="11" t="s">
        <v>98</v>
      </c>
      <c r="G59" s="11"/>
      <c r="H59" s="84" t="s">
        <v>440</v>
      </c>
      <c r="I59" s="118" t="str">
        <f>IF(_epmOfflineCondition_,"N",_xll.EVPRO($B$1,$H59,"STYLE"))</f>
        <v>N</v>
      </c>
      <c r="J59" s="118" t="str">
        <f>IF(_epmOfflineCondition_,"N",_xll.EVPRO($B$1,$H59,"CALC"))</f>
        <v>N</v>
      </c>
      <c r="K59" s="175" t="str">
        <f t="shared" si="12"/>
        <v/>
      </c>
      <c r="L59" s="86" t="str">
        <f>IF(_epmOfflineCondition_,"550200",_xll.EVPRO($B$1,H59,"JDEID"))</f>
        <v>550200</v>
      </c>
      <c r="M59" s="86" t="str">
        <f>IF(_epmOfflineCondition_,"306099",IF(AND(I59="N",J59="N"),_xll.EVPRO($B$1,H59,"PSFTID"),""))</f>
        <v>306099</v>
      </c>
      <c r="N59" s="86" t="str">
        <f>IF(_epmOfflineCondition_,"In Room Fax Cost of Sales",IF(_xll.EVDES(H59,$B$1)="#NODATA","",_xll.EVDES(H59,$B$1)))</f>
        <v>In Room Fax Cost of Sales</v>
      </c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223">
        <f t="shared" si="13"/>
        <v>0</v>
      </c>
      <c r="AB59" s="138" t="str">
        <f>IF(_epmOfflineCondition_,"",IF(AA59=0,"",IFERROR(AA59/_xll.EVGTS($B$1,1,_xll.EVPRO($B$1,$H59,"COSBASIS"),$B$3,$B$5,$B$6,$B$7,$B$9,AA$16,AA$17,AA$18),"")))</f>
        <v/>
      </c>
      <c r="AC59" s="136"/>
      <c r="AD59" s="134"/>
      <c r="AE59" s="138" t="str">
        <f>IF(_epmOfflineCondition_,"",IF(AD59=0,"",IFERROR(AD59/_xll.EVGTS($B$1,1,_xll.EVPRO($B$1,$H59,"COSBASIS"),$B$3,$B$5,$B$6,$B$7,$B$9,AD$16,AD$17,AD$18),"")))</f>
        <v/>
      </c>
      <c r="AF59" s="137">
        <f t="shared" si="14"/>
        <v>0</v>
      </c>
      <c r="AG59" s="134"/>
      <c r="AH59" s="138" t="str">
        <f>IF(_epmOfflineCondition_,"",IF(AG59=0,"",IFERROR(AG59/_xll.EVGTS($B$1,1,_xll.EVPRO($B$1,$H59,"COSBASIS"),$B$3,$B$5,$B$6,$B$7,$B$9,AG$16,AG$17,AG$18),"")))</f>
        <v/>
      </c>
      <c r="AI59" s="137">
        <f t="shared" si="15"/>
        <v>0</v>
      </c>
      <c r="AJ59" s="458">
        <f t="shared" si="16"/>
        <v>0</v>
      </c>
      <c r="AK59" s="459">
        <f t="shared" si="17"/>
        <v>0</v>
      </c>
      <c r="AL59" s="460">
        <f t="shared" si="18"/>
        <v>0</v>
      </c>
      <c r="AM59" s="461">
        <f t="shared" si="19"/>
        <v>0</v>
      </c>
      <c r="AN59" s="462">
        <f t="shared" si="20"/>
        <v>0</v>
      </c>
      <c r="AO59" s="11"/>
    </row>
    <row r="60" spans="1:41" x14ac:dyDescent="0.25">
      <c r="A60" s="11" t="s">
        <v>104</v>
      </c>
      <c r="B60" s="11"/>
      <c r="C60" s="100" t="s">
        <v>101</v>
      </c>
      <c r="D60" s="11" t="s">
        <v>106</v>
      </c>
      <c r="E60" s="11"/>
      <c r="F60" s="11" t="s">
        <v>98</v>
      </c>
      <c r="G60" s="11"/>
      <c r="H60" s="84" t="s">
        <v>441</v>
      </c>
      <c r="I60" s="118" t="str">
        <f>IF(_epmOfflineCondition_,"N",_xll.EVPRO($B$1,$H60,"STYLE"))</f>
        <v>N</v>
      </c>
      <c r="J60" s="118" t="str">
        <f>IF(_epmOfflineCondition_,"N",_xll.EVPRO($B$1,$H60,"CALC"))</f>
        <v>N</v>
      </c>
      <c r="K60" s="175" t="str">
        <f t="shared" si="12"/>
        <v/>
      </c>
      <c r="L60" s="86" t="str">
        <f>IF(_epmOfflineCondition_,"550250",_xll.EVPRO($B$1,H60,"JDEID"))</f>
        <v>550250</v>
      </c>
      <c r="M60" s="86" t="str">
        <f>IF(_epmOfflineCondition_,"306055",IF(AND(I60="N",J60="N"),_xll.EVPRO($B$1,H60,"PSFTID"),""))</f>
        <v>306055</v>
      </c>
      <c r="N60" s="86" t="str">
        <f>IF(_epmOfflineCondition_,"In Room Item Cost of Sales",IF(_xll.EVDES(H60,$B$1)="#NODATA","",_xll.EVDES(H60,$B$1)))</f>
        <v>In Room Item Cost of Sales</v>
      </c>
      <c r="O60" s="134"/>
      <c r="P60" s="134"/>
      <c r="Q60" s="134"/>
      <c r="R60" s="134"/>
      <c r="S60" s="134"/>
      <c r="T60" s="134"/>
      <c r="U60" s="134"/>
      <c r="V60" s="134"/>
      <c r="W60" s="134"/>
      <c r="X60" s="134"/>
      <c r="Y60" s="134"/>
      <c r="Z60" s="134"/>
      <c r="AA60" s="223">
        <f t="shared" si="13"/>
        <v>0</v>
      </c>
      <c r="AB60" s="138" t="str">
        <f>IF(_epmOfflineCondition_,"",IF(AA60=0,"",IFERROR(AA60/_xll.EVGTS($B$1,1,_xll.EVPRO($B$1,$H60,"COSBASIS"),$B$3,$B$5,$B$6,$B$7,$B$9,AA$16,AA$17,AA$18),"")))</f>
        <v/>
      </c>
      <c r="AC60" s="136"/>
      <c r="AD60" s="134"/>
      <c r="AE60" s="138" t="str">
        <f>IF(_epmOfflineCondition_,"",IF(AD60=0,"",IFERROR(AD60/_xll.EVGTS($B$1,1,_xll.EVPRO($B$1,$H60,"COSBASIS"),$B$3,$B$5,$B$6,$B$7,$B$9,AD$16,AD$17,AD$18),"")))</f>
        <v/>
      </c>
      <c r="AF60" s="137">
        <f t="shared" si="14"/>
        <v>0</v>
      </c>
      <c r="AG60" s="134"/>
      <c r="AH60" s="138" t="str">
        <f>IF(_epmOfflineCondition_,"",IF(AG60=0,"",IFERROR(AG60/_xll.EVGTS($B$1,1,_xll.EVPRO($B$1,$H60,"COSBASIS"),$B$3,$B$5,$B$6,$B$7,$B$9,AG$16,AG$17,AG$18),"")))</f>
        <v/>
      </c>
      <c r="AI60" s="137">
        <f t="shared" si="15"/>
        <v>0</v>
      </c>
      <c r="AJ60" s="458">
        <f t="shared" si="16"/>
        <v>0</v>
      </c>
      <c r="AK60" s="459">
        <f t="shared" si="17"/>
        <v>0</v>
      </c>
      <c r="AL60" s="460">
        <f t="shared" si="18"/>
        <v>0</v>
      </c>
      <c r="AM60" s="461">
        <f t="shared" si="19"/>
        <v>0</v>
      </c>
      <c r="AN60" s="462">
        <f t="shared" si="20"/>
        <v>0</v>
      </c>
      <c r="AO60" s="11"/>
    </row>
    <row r="61" spans="1:41" x14ac:dyDescent="0.25">
      <c r="A61" s="11" t="s">
        <v>108</v>
      </c>
      <c r="B61" s="11"/>
      <c r="C61" s="102" t="s">
        <v>101</v>
      </c>
      <c r="D61" s="11" t="s">
        <v>106</v>
      </c>
      <c r="E61" s="11"/>
      <c r="F61" s="11" t="s">
        <v>98</v>
      </c>
      <c r="G61" s="11"/>
      <c r="H61" s="84" t="s">
        <v>442</v>
      </c>
      <c r="I61" s="118" t="str">
        <f>IF(_epmOfflineCondition_,"N",_xll.EVPRO($B$1,$H61,"STYLE"))</f>
        <v>N</v>
      </c>
      <c r="J61" s="118" t="str">
        <f>IF(_epmOfflineCondition_,"N",_xll.EVPRO($B$1,$H61,"CALC"))</f>
        <v>N</v>
      </c>
      <c r="K61" s="175" t="str">
        <f t="shared" si="12"/>
        <v/>
      </c>
      <c r="L61" s="86" t="str">
        <f>IF(_epmOfflineCondition_,"550300",_xll.EVPRO($B$1,H61,"JDEID"))</f>
        <v>550300</v>
      </c>
      <c r="M61" s="86" t="str">
        <f>IF(_epmOfflineCondition_,"305015",IF(AND(I61="N",J61="N"),_xll.EVPRO($B$1,H61,"PSFTID"),""))</f>
        <v>305015</v>
      </c>
      <c r="N61" s="86" t="str">
        <f>IF(_epmOfflineCondition_,"Massage Cost of Sales",IF(_xll.EVDES(H61,$B$1)="#NODATA","",_xll.EVDES(H61,$B$1)))</f>
        <v>Massage Cost of Sales</v>
      </c>
      <c r="O61" s="134"/>
      <c r="P61" s="134"/>
      <c r="Q61" s="134"/>
      <c r="R61" s="134"/>
      <c r="S61" s="134"/>
      <c r="T61" s="134"/>
      <c r="U61" s="134"/>
      <c r="V61" s="134"/>
      <c r="W61" s="134"/>
      <c r="X61" s="134"/>
      <c r="Y61" s="134"/>
      <c r="Z61" s="134"/>
      <c r="AA61" s="223">
        <f t="shared" si="13"/>
        <v>0</v>
      </c>
      <c r="AB61" s="138" t="str">
        <f>IF(_epmOfflineCondition_,"",IF(AA61=0,"",IFERROR(AA61/_xll.EVGTS($B$1,1,_xll.EVPRO($B$1,$H61,"COSBASIS"),$B$3,$B$5,$B$6,$B$7,$B$9,AA$16,AA$17,AA$18),"")))</f>
        <v/>
      </c>
      <c r="AC61" s="136"/>
      <c r="AD61" s="134"/>
      <c r="AE61" s="138" t="str">
        <f>IF(_epmOfflineCondition_,"",IF(AD61=0,"",IFERROR(AD61/_xll.EVGTS($B$1,1,_xll.EVPRO($B$1,$H61,"COSBASIS"),$B$3,$B$5,$B$6,$B$7,$B$9,AD$16,AD$17,AD$18),"")))</f>
        <v/>
      </c>
      <c r="AF61" s="137">
        <f t="shared" si="14"/>
        <v>0</v>
      </c>
      <c r="AG61" s="134"/>
      <c r="AH61" s="138" t="str">
        <f>IF(_epmOfflineCondition_,"",IF(AG61=0,"",IFERROR(AG61/_xll.EVGTS($B$1,1,_xll.EVPRO($B$1,$H61,"COSBASIS"),$B$3,$B$5,$B$6,$B$7,$B$9,AG$16,AG$17,AG$18),"")))</f>
        <v/>
      </c>
      <c r="AI61" s="137">
        <f t="shared" si="15"/>
        <v>0</v>
      </c>
      <c r="AJ61" s="458">
        <f t="shared" si="16"/>
        <v>0</v>
      </c>
      <c r="AK61" s="459">
        <f t="shared" si="17"/>
        <v>0</v>
      </c>
      <c r="AL61" s="460">
        <f t="shared" si="18"/>
        <v>0</v>
      </c>
      <c r="AM61" s="461">
        <f t="shared" si="19"/>
        <v>0</v>
      </c>
      <c r="AN61" s="462">
        <f t="shared" si="20"/>
        <v>0</v>
      </c>
      <c r="AO61" s="11"/>
    </row>
    <row r="62" spans="1:41" x14ac:dyDescent="0.25">
      <c r="A62" s="11" t="s">
        <v>108</v>
      </c>
      <c r="B62" s="11"/>
      <c r="C62" s="192" t="s">
        <v>101</v>
      </c>
      <c r="D62" s="11" t="s">
        <v>107</v>
      </c>
      <c r="E62" s="11"/>
      <c r="F62" s="11" t="s">
        <v>99</v>
      </c>
      <c r="G62" s="11"/>
      <c r="H62" s="84" t="s">
        <v>443</v>
      </c>
      <c r="I62" s="118" t="str">
        <f>IF(_epmOfflineCondition_,"N",_xll.EVPRO($B$1,$H62,"STYLE"))</f>
        <v>N</v>
      </c>
      <c r="J62" s="118" t="str">
        <f>IF(_epmOfflineCondition_,"N",_xll.EVPRO($B$1,$H62,"CALC"))</f>
        <v>N</v>
      </c>
      <c r="K62" s="175" t="str">
        <f t="shared" si="12"/>
        <v/>
      </c>
      <c r="L62" s="86" t="str">
        <f>IF(_epmOfflineCondition_,"550350",_xll.EVPRO($B$1,H62,"JDEID"))</f>
        <v>550350</v>
      </c>
      <c r="M62" s="86" t="str">
        <f>IF(_epmOfflineCondition_,"306099",IF(AND(I62="N",J62="N"),_xll.EVPRO($B$1,H62,"PSFTID"),""))</f>
        <v>306099</v>
      </c>
      <c r="N62" s="86" t="str">
        <f>IF(_epmOfflineCondition_,"Gym Pass Cost of Sales",IF(_xll.EVDES(H62,$B$1)="#NODATA","",_xll.EVDES(H62,$B$1)))</f>
        <v>Gym Pass Cost of Sales</v>
      </c>
      <c r="O62" s="134"/>
      <c r="P62" s="134"/>
      <c r="Q62" s="134"/>
      <c r="R62" s="134"/>
      <c r="S62" s="134"/>
      <c r="T62" s="134"/>
      <c r="U62" s="134"/>
      <c r="V62" s="134"/>
      <c r="W62" s="134"/>
      <c r="X62" s="134"/>
      <c r="Y62" s="134"/>
      <c r="Z62" s="134"/>
      <c r="AA62" s="223">
        <f t="shared" si="13"/>
        <v>0</v>
      </c>
      <c r="AB62" s="138" t="str">
        <f>IF(_epmOfflineCondition_,"",IF(AA62=0,"",IFERROR(AA62/_xll.EVGTS($B$1,1,_xll.EVPRO($B$1,$H62,"COSBASIS"),$B$3,$B$5,$B$6,$B$7,$B$9,AA$16,AA$17,AA$18),"")))</f>
        <v/>
      </c>
      <c r="AC62" s="136"/>
      <c r="AD62" s="134"/>
      <c r="AE62" s="138" t="str">
        <f>IF(_epmOfflineCondition_,"",IF(AD62=0,"",IFERROR(AD62/_xll.EVGTS($B$1,1,_xll.EVPRO($B$1,$H62,"COSBASIS"),$B$3,$B$5,$B$6,$B$7,$B$9,AD$16,AD$17,AD$18),"")))</f>
        <v/>
      </c>
      <c r="AF62" s="137">
        <f t="shared" si="14"/>
        <v>0</v>
      </c>
      <c r="AG62" s="134"/>
      <c r="AH62" s="138" t="str">
        <f>IF(_epmOfflineCondition_,"",IF(AG62=0,"",IFERROR(AG62/_xll.EVGTS($B$1,1,_xll.EVPRO($B$1,$H62,"COSBASIS"),$B$3,$B$5,$B$6,$B$7,$B$9,AG$16,AG$17,AG$18),"")))</f>
        <v/>
      </c>
      <c r="AI62" s="137">
        <f t="shared" si="15"/>
        <v>0</v>
      </c>
      <c r="AJ62" s="458">
        <f t="shared" si="16"/>
        <v>0</v>
      </c>
      <c r="AK62" s="459">
        <f t="shared" si="17"/>
        <v>0</v>
      </c>
      <c r="AL62" s="460">
        <f t="shared" si="18"/>
        <v>0</v>
      </c>
      <c r="AM62" s="461">
        <f t="shared" si="19"/>
        <v>0</v>
      </c>
      <c r="AN62" s="462">
        <f t="shared" si="20"/>
        <v>0</v>
      </c>
      <c r="AO62" s="11"/>
    </row>
    <row r="63" spans="1:41" x14ac:dyDescent="0.25">
      <c r="A63" s="11"/>
      <c r="B63" s="11"/>
      <c r="C63" s="11"/>
      <c r="D63" s="11"/>
      <c r="E63" s="11"/>
      <c r="F63" s="11"/>
      <c r="G63" s="11"/>
      <c r="H63" s="84" t="s">
        <v>481</v>
      </c>
      <c r="I63" s="118" t="str">
        <f>IF(_epmOfflineCondition_,"N",_xll.EVPRO($B$1,$H63,"STYLE"))</f>
        <v>N</v>
      </c>
      <c r="J63" s="118" t="str">
        <f>IF(_epmOfflineCondition_,"N",_xll.EVPRO($B$1,$H63,"CALC"))</f>
        <v>N</v>
      </c>
      <c r="K63" s="175" t="str">
        <f t="shared" si="12"/>
        <v/>
      </c>
      <c r="L63" s="86" t="str">
        <f>IF(_epmOfflineCondition_,"550375",_xll.EVPRO($B$1,H63,"JDEID"))</f>
        <v>550375</v>
      </c>
      <c r="M63" s="86" t="str">
        <f>IF(_epmOfflineCondition_,"307005",IF(AND(I63="N",J63="N"),_xll.EVPRO($B$1,H63,"PSFTID"),""))</f>
        <v>307005</v>
      </c>
      <c r="N63" s="86" t="str">
        <f>IF(_epmOfflineCondition_,"Shared Facilities &amp; Services Expense",IF(_xll.EVDES(H63,$B$1)="#NODATA","",_xll.EVDES(H63,$B$1)))</f>
        <v>Shared Facilities &amp; Services Expense</v>
      </c>
      <c r="O63" s="134"/>
      <c r="P63" s="134"/>
      <c r="Q63" s="134"/>
      <c r="R63" s="134"/>
      <c r="S63" s="134"/>
      <c r="T63" s="134"/>
      <c r="U63" s="134"/>
      <c r="V63" s="134"/>
      <c r="W63" s="134"/>
      <c r="X63" s="134"/>
      <c r="Y63" s="134"/>
      <c r="Z63" s="134"/>
      <c r="AA63" s="223">
        <f t="shared" si="13"/>
        <v>0</v>
      </c>
      <c r="AB63" s="138" t="str">
        <f>IF(_epmOfflineCondition_,"",IF(AA63=0,"",IFERROR(AA63/_xll.EVGTS($B$1,1,_xll.EVPRO($B$1,$H63,"COSBASIS"),$B$3,$B$5,$B$6,$B$7,$B$9,AA$16,AA$17,AA$18),"")))</f>
        <v/>
      </c>
      <c r="AC63" s="136"/>
      <c r="AD63" s="134"/>
      <c r="AE63" s="138" t="str">
        <f>IF(_epmOfflineCondition_,"",IF(AD63=0,"",IFERROR(AD63/_xll.EVGTS($B$1,1,_xll.EVPRO($B$1,$H63,"COSBASIS"),$B$3,$B$5,$B$6,$B$7,$B$9,AD$16,AD$17,AD$18),"")))</f>
        <v/>
      </c>
      <c r="AF63" s="137">
        <f t="shared" si="14"/>
        <v>0</v>
      </c>
      <c r="AG63" s="134"/>
      <c r="AH63" s="138" t="str">
        <f>IF(_epmOfflineCondition_,"",IF(AG63=0,"",IFERROR(AG63/_xll.EVGTS($B$1,1,_xll.EVPRO($B$1,$H63,"COSBASIS"),$B$3,$B$5,$B$6,$B$7,$B$9,AG$16,AG$17,AG$18),"")))</f>
        <v/>
      </c>
      <c r="AI63" s="137">
        <f t="shared" si="15"/>
        <v>0</v>
      </c>
      <c r="AJ63" s="458">
        <f t="shared" si="16"/>
        <v>0</v>
      </c>
      <c r="AK63" s="459">
        <f t="shared" si="17"/>
        <v>0</v>
      </c>
      <c r="AL63" s="460">
        <f t="shared" si="18"/>
        <v>0</v>
      </c>
      <c r="AM63" s="461">
        <f t="shared" si="19"/>
        <v>0</v>
      </c>
      <c r="AN63" s="462">
        <f t="shared" si="20"/>
        <v>0</v>
      </c>
      <c r="AO63" s="11"/>
    </row>
    <row r="64" spans="1:41" x14ac:dyDescent="0.25">
      <c r="A64" s="11"/>
      <c r="B64" s="11"/>
      <c r="C64" s="204"/>
      <c r="D64" s="11"/>
      <c r="E64" s="11"/>
      <c r="F64" s="11"/>
      <c r="G64" s="11"/>
      <c r="H64" s="84" t="s">
        <v>482</v>
      </c>
      <c r="I64" s="118" t="str">
        <f>IF(_epmOfflineCondition_,"N",_xll.EVPRO($B$1,$H64,"STYLE"))</f>
        <v>N</v>
      </c>
      <c r="J64" s="118" t="str">
        <f>IF(_epmOfflineCondition_,"N",_xll.EVPRO($B$1,$H64,"CALC"))</f>
        <v>N</v>
      </c>
      <c r="K64" s="175" t="str">
        <f t="shared" si="12"/>
        <v/>
      </c>
      <c r="L64" s="86" t="str">
        <f>IF(_epmOfflineCondition_,"550380",_xll.EVPRO($B$1,H64,"JDEID"))</f>
        <v>550380</v>
      </c>
      <c r="M64" s="86" t="str">
        <f>IF(_epmOfflineCondition_,"306020",IF(AND(I64="N",J64="N"),_xll.EVPRO($B$1,H64,"PSFTID"),""))</f>
        <v>306020</v>
      </c>
      <c r="N64" s="86" t="str">
        <f>IF(_epmOfflineCondition_,"Retail Kiosk Cost of Sales",IF(_xll.EVDES(H64,$B$1)="#NODATA","",_xll.EVDES(H64,$B$1)))</f>
        <v>Retail Kiosk Cost of Sales</v>
      </c>
      <c r="O64" s="134"/>
      <c r="P64" s="134"/>
      <c r="Q64" s="134"/>
      <c r="R64" s="134"/>
      <c r="S64" s="134"/>
      <c r="T64" s="134"/>
      <c r="U64" s="134"/>
      <c r="V64" s="134"/>
      <c r="W64" s="134"/>
      <c r="X64" s="134"/>
      <c r="Y64" s="134"/>
      <c r="Z64" s="134"/>
      <c r="AA64" s="223">
        <f t="shared" si="13"/>
        <v>0</v>
      </c>
      <c r="AB64" s="138" t="str">
        <f>IF(_epmOfflineCondition_,"",IF(AA64=0,"",IFERROR(AA64/_xll.EVGTS($B$1,1,_xll.EVPRO($B$1,$H64,"COSBASIS"),$B$3,$B$5,$B$6,$B$7,$B$9,AA$16,AA$17,AA$18),"")))</f>
        <v/>
      </c>
      <c r="AC64" s="136"/>
      <c r="AD64" s="134"/>
      <c r="AE64" s="138" t="str">
        <f>IF(_epmOfflineCondition_,"",IF(AD64=0,"",IFERROR(AD64/_xll.EVGTS($B$1,1,_xll.EVPRO($B$1,$H64,"COSBASIS"),$B$3,$B$5,$B$6,$B$7,$B$9,AD$16,AD$17,AD$18),"")))</f>
        <v/>
      </c>
      <c r="AF64" s="137">
        <f t="shared" si="14"/>
        <v>0</v>
      </c>
      <c r="AG64" s="134"/>
      <c r="AH64" s="138" t="str">
        <f>IF(_epmOfflineCondition_,"",IF(AG64=0,"",IFERROR(AG64/_xll.EVGTS($B$1,1,_xll.EVPRO($B$1,$H64,"COSBASIS"),$B$3,$B$5,$B$6,$B$7,$B$9,AG$16,AG$17,AG$18),"")))</f>
        <v/>
      </c>
      <c r="AI64" s="137">
        <f t="shared" si="15"/>
        <v>0</v>
      </c>
      <c r="AJ64" s="458">
        <f t="shared" si="16"/>
        <v>0</v>
      </c>
      <c r="AK64" s="459">
        <f t="shared" si="17"/>
        <v>0</v>
      </c>
      <c r="AL64" s="460">
        <f t="shared" si="18"/>
        <v>0</v>
      </c>
      <c r="AM64" s="461">
        <f t="shared" si="19"/>
        <v>0</v>
      </c>
      <c r="AN64" s="462">
        <f t="shared" si="20"/>
        <v>0</v>
      </c>
      <c r="AO64" s="11"/>
    </row>
    <row r="65" spans="1:41" x14ac:dyDescent="0.25">
      <c r="A65" s="56" t="str">
        <f>IF(_epmOfflineCondition_,"Evdre:Ok",_xll.EVDRE($B$1,A68:B75))</f>
        <v>Evdre:Ok</v>
      </c>
      <c r="B65" s="11" t="s">
        <v>737</v>
      </c>
      <c r="C65" s="11"/>
      <c r="D65" s="11"/>
      <c r="E65" s="11"/>
      <c r="F65" s="11"/>
      <c r="G65" s="11"/>
      <c r="H65" s="84" t="s">
        <v>483</v>
      </c>
      <c r="I65" s="118" t="str">
        <f>IF(_epmOfflineCondition_,"N",_xll.EVPRO($B$1,$H65,"STYLE"))</f>
        <v>N</v>
      </c>
      <c r="J65" s="118" t="str">
        <f>IF(_epmOfflineCondition_,"N",_xll.EVPRO($B$1,$H65,"CALC"))</f>
        <v>N</v>
      </c>
      <c r="K65" s="175" t="str">
        <f t="shared" si="12"/>
        <v/>
      </c>
      <c r="L65" s="86" t="str">
        <f>IF(_epmOfflineCondition_,"550385",_xll.EVPRO($B$1,H65,"JDEID"))</f>
        <v>550385</v>
      </c>
      <c r="M65" s="86" t="str">
        <f>IF(_epmOfflineCondition_,"306045",IF(AND(I65="N",J65="N"),_xll.EVPRO($B$1,H65,"PSFTID"),""))</f>
        <v>306045</v>
      </c>
      <c r="N65" s="86" t="str">
        <f>IF(_epmOfflineCondition_,"Vending Machines Cost of Sales",IF(_xll.EVDES(H65,$B$1)="#NODATA","",_xll.EVDES(H65,$B$1)))</f>
        <v>Vending Machines Cost of Sales</v>
      </c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223">
        <f t="shared" si="13"/>
        <v>0</v>
      </c>
      <c r="AB65" s="138" t="str">
        <f>IF(_epmOfflineCondition_,"",IF(AA65=0,"",IFERROR(AA65/_xll.EVGTS($B$1,1,_xll.EVPRO($B$1,$H65,"COSBASIS"),$B$3,$B$5,$B$6,$B$7,$B$9,AA$16,AA$17,AA$18),"")))</f>
        <v/>
      </c>
      <c r="AC65" s="136"/>
      <c r="AD65" s="134"/>
      <c r="AE65" s="138" t="str">
        <f>IF(_epmOfflineCondition_,"",IF(AD65=0,"",IFERROR(AD65/_xll.EVGTS($B$1,1,_xll.EVPRO($B$1,$H65,"COSBASIS"),$B$3,$B$5,$B$6,$B$7,$B$9,AD$16,AD$17,AD$18),"")))</f>
        <v/>
      </c>
      <c r="AF65" s="137">
        <f t="shared" si="14"/>
        <v>0</v>
      </c>
      <c r="AG65" s="134"/>
      <c r="AH65" s="138" t="str">
        <f>IF(_epmOfflineCondition_,"",IF(AG65=0,"",IFERROR(AG65/_xll.EVGTS($B$1,1,_xll.EVPRO($B$1,$H65,"COSBASIS"),$B$3,$B$5,$B$6,$B$7,$B$9,AG$16,AG$17,AG$18),"")))</f>
        <v/>
      </c>
      <c r="AI65" s="137">
        <f t="shared" si="15"/>
        <v>0</v>
      </c>
      <c r="AJ65" s="458">
        <f t="shared" si="16"/>
        <v>0</v>
      </c>
      <c r="AK65" s="459">
        <f t="shared" si="17"/>
        <v>0</v>
      </c>
      <c r="AL65" s="460">
        <f t="shared" si="18"/>
        <v>0</v>
      </c>
      <c r="AM65" s="461">
        <f t="shared" si="19"/>
        <v>0</v>
      </c>
      <c r="AN65" s="462">
        <f t="shared" si="20"/>
        <v>0</v>
      </c>
      <c r="AO65" s="11"/>
    </row>
    <row r="66" spans="1:41" x14ac:dyDescent="0.25">
      <c r="A66" s="11"/>
      <c r="B66" s="11"/>
      <c r="C66" s="11"/>
      <c r="D66" s="11"/>
      <c r="E66" s="11"/>
      <c r="F66" s="11"/>
      <c r="G66" s="11"/>
      <c r="H66" s="84" t="s">
        <v>484</v>
      </c>
      <c r="I66" s="118" t="str">
        <f>IF(_epmOfflineCondition_,"N",_xll.EVPRO($B$1,$H66,"STYLE"))</f>
        <v>N</v>
      </c>
      <c r="J66" s="118" t="str">
        <f>IF(_epmOfflineCondition_,"N",_xll.EVPRO($B$1,$H66,"CALC"))</f>
        <v>N</v>
      </c>
      <c r="K66" s="175" t="str">
        <f t="shared" si="12"/>
        <v/>
      </c>
      <c r="L66" s="86" t="str">
        <f>IF(_epmOfflineCondition_,"550390",_xll.EVPRO($B$1,H66,"JDEID"))</f>
        <v>550390</v>
      </c>
      <c r="M66" s="86" t="str">
        <f>IF(_epmOfflineCondition_,"306015",IF(AND(I66="N",J66="N"),_xll.EVPRO($B$1,H66,"PSFTID"),""))</f>
        <v>306015</v>
      </c>
      <c r="N66" s="86" t="str">
        <f>IF(_epmOfflineCondition_,"Laundry Machines Cost of Sales",IF(_xll.EVDES(H66,$B$1)="#NODATA","",_xll.EVDES(H66,$B$1)))</f>
        <v>Laundry Machines Cost of Sales</v>
      </c>
      <c r="O66" s="134"/>
      <c r="P66" s="134"/>
      <c r="Q66" s="134"/>
      <c r="R66" s="134"/>
      <c r="S66" s="134"/>
      <c r="T66" s="134"/>
      <c r="U66" s="134"/>
      <c r="V66" s="134"/>
      <c r="W66" s="134"/>
      <c r="X66" s="134"/>
      <c r="Y66" s="134"/>
      <c r="Z66" s="134"/>
      <c r="AA66" s="223">
        <f t="shared" si="13"/>
        <v>0</v>
      </c>
      <c r="AB66" s="138" t="str">
        <f>IF(_epmOfflineCondition_,"",IF(AA66=0,"",IFERROR(AA66/_xll.EVGTS($B$1,1,_xll.EVPRO($B$1,$H66,"COSBASIS"),$B$3,$B$5,$B$6,$B$7,$B$9,AA$16,AA$17,AA$18),"")))</f>
        <v/>
      </c>
      <c r="AC66" s="136"/>
      <c r="AD66" s="134"/>
      <c r="AE66" s="138" t="str">
        <f>IF(_epmOfflineCondition_,"",IF(AD66=0,"",IFERROR(AD66/_xll.EVGTS($B$1,1,_xll.EVPRO($B$1,$H66,"COSBASIS"),$B$3,$B$5,$B$6,$B$7,$B$9,AD$16,AD$17,AD$18),"")))</f>
        <v/>
      </c>
      <c r="AF66" s="137">
        <f t="shared" si="14"/>
        <v>0</v>
      </c>
      <c r="AG66" s="134"/>
      <c r="AH66" s="138" t="str">
        <f>IF(_epmOfflineCondition_,"",IF(AG66=0,"",IFERROR(AG66/_xll.EVGTS($B$1,1,_xll.EVPRO($B$1,$H66,"COSBASIS"),$B$3,$B$5,$B$6,$B$7,$B$9,AG$16,AG$17,AG$18),"")))</f>
        <v/>
      </c>
      <c r="AI66" s="137">
        <f t="shared" si="15"/>
        <v>0</v>
      </c>
      <c r="AJ66" s="458">
        <f t="shared" si="16"/>
        <v>0</v>
      </c>
      <c r="AK66" s="459">
        <f t="shared" si="17"/>
        <v>0</v>
      </c>
      <c r="AL66" s="460">
        <f t="shared" si="18"/>
        <v>0</v>
      </c>
      <c r="AM66" s="461">
        <f t="shared" si="19"/>
        <v>0</v>
      </c>
      <c r="AN66" s="462">
        <f t="shared" si="20"/>
        <v>0</v>
      </c>
      <c r="AO66" s="11"/>
    </row>
    <row r="67" spans="1:41" x14ac:dyDescent="0.25">
      <c r="A67" s="57" t="s">
        <v>0</v>
      </c>
      <c r="B67" s="58" t="s">
        <v>1</v>
      </c>
      <c r="C67" s="11"/>
      <c r="D67" s="11"/>
      <c r="E67" s="11"/>
      <c r="F67" s="11"/>
      <c r="G67" s="11"/>
      <c r="H67" s="84" t="s">
        <v>485</v>
      </c>
      <c r="I67" s="118" t="str">
        <f>IF(_epmOfflineCondition_,"N",_xll.EVPRO($B$1,$H67,"STYLE"))</f>
        <v>N</v>
      </c>
      <c r="J67" s="118" t="str">
        <f>IF(_epmOfflineCondition_,"N",_xll.EVPRO($B$1,$H67,"CALC"))</f>
        <v>N</v>
      </c>
      <c r="K67" s="175" t="str">
        <f t="shared" si="12"/>
        <v/>
      </c>
      <c r="L67" s="86" t="str">
        <f>IF(_epmOfflineCondition_,"550395",_xll.EVPRO($B$1,H67,"JDEID"))</f>
        <v>550395</v>
      </c>
      <c r="M67" s="86" t="str">
        <f>IF(_epmOfflineCondition_,"307010",IF(AND(I67="N",J67="N"),_xll.EVPRO($B$1,H67,"PSFTID"),""))</f>
        <v>307010</v>
      </c>
      <c r="N67" s="86" t="str">
        <f>IF(_epmOfflineCondition_,"Occasional F&amp;B Cost of Sales",IF(_xll.EVDES(H67,$B$1)="#NODATA","",_xll.EVDES(H67,$B$1)))</f>
        <v>Occasional F&amp;B Cost of Sales</v>
      </c>
      <c r="O67" s="134"/>
      <c r="P67" s="134"/>
      <c r="Q67" s="134"/>
      <c r="R67" s="134"/>
      <c r="S67" s="134"/>
      <c r="T67" s="134"/>
      <c r="U67" s="134"/>
      <c r="V67" s="134"/>
      <c r="W67" s="134"/>
      <c r="X67" s="134"/>
      <c r="Y67" s="134"/>
      <c r="Z67" s="134"/>
      <c r="AA67" s="223">
        <f t="shared" si="13"/>
        <v>0</v>
      </c>
      <c r="AB67" s="138" t="str">
        <f>IF(_epmOfflineCondition_,"",IF(AA67=0,"",IFERROR(AA67/_xll.EVGTS($B$1,1,_xll.EVPRO($B$1,$H67,"COSBASIS"),$B$3,$B$5,$B$6,$B$7,$B$9,AA$16,AA$17,AA$18),"")))</f>
        <v/>
      </c>
      <c r="AC67" s="136"/>
      <c r="AD67" s="134"/>
      <c r="AE67" s="138" t="str">
        <f>IF(_epmOfflineCondition_,"",IF(AD67=0,"",IFERROR(AD67/_xll.EVGTS($B$1,1,_xll.EVPRO($B$1,$H67,"COSBASIS"),$B$3,$B$5,$B$6,$B$7,$B$9,AD$16,AD$17,AD$18),"")))</f>
        <v/>
      </c>
      <c r="AF67" s="137">
        <f t="shared" si="14"/>
        <v>0</v>
      </c>
      <c r="AG67" s="134"/>
      <c r="AH67" s="138" t="str">
        <f>IF(_epmOfflineCondition_,"",IF(AG67=0,"",IFERROR(AG67/_xll.EVGTS($B$1,1,_xll.EVPRO($B$1,$H67,"COSBASIS"),$B$3,$B$5,$B$6,$B$7,$B$9,AG$16,AG$17,AG$18),"")))</f>
        <v/>
      </c>
      <c r="AI67" s="137">
        <f t="shared" si="15"/>
        <v>0</v>
      </c>
      <c r="AJ67" s="458">
        <f t="shared" si="16"/>
        <v>0</v>
      </c>
      <c r="AK67" s="459">
        <f t="shared" si="17"/>
        <v>0</v>
      </c>
      <c r="AL67" s="460">
        <f t="shared" si="18"/>
        <v>0</v>
      </c>
      <c r="AM67" s="461">
        <f t="shared" si="19"/>
        <v>0</v>
      </c>
      <c r="AN67" s="462">
        <f t="shared" si="20"/>
        <v>0</v>
      </c>
      <c r="AO67" s="11"/>
    </row>
    <row r="68" spans="1:41" x14ac:dyDescent="0.25">
      <c r="A68" s="61" t="s">
        <v>2</v>
      </c>
      <c r="B68" s="62" t="str">
        <f>IF(_epmOfflineCondition_,"'Minor_Op'!$B$2:$B$10",_xll.EVRNG($B$2:$B$10))</f>
        <v>'Minor_Op'!$B$2:$B$10</v>
      </c>
      <c r="C68" s="11"/>
      <c r="D68" s="11"/>
      <c r="E68" s="11"/>
      <c r="F68" s="11"/>
      <c r="G68" s="11"/>
      <c r="H68" s="84" t="s">
        <v>444</v>
      </c>
      <c r="I68" s="118" t="str">
        <f>IF(_epmOfflineCondition_,"N",_xll.EVPRO($B$1,$H68,"STYLE"))</f>
        <v>N</v>
      </c>
      <c r="J68" s="118" t="str">
        <f>IF(_epmOfflineCondition_,"N",_xll.EVPRO($B$1,$H68,"CALC"))</f>
        <v>N</v>
      </c>
      <c r="K68" s="175" t="str">
        <f t="shared" si="12"/>
        <v/>
      </c>
      <c r="L68" s="86" t="str">
        <f>IF(_epmOfflineCondition_,"550400",_xll.EVPRO($B$1,H68,"JDEID"))</f>
        <v>550400</v>
      </c>
      <c r="M68" s="86" t="str">
        <f>IF(_epmOfflineCondition_,"307014",IF(AND(I68="N",J68="N"),_xll.EVPRO($B$1,H68,"PSFTID"),""))</f>
        <v>307014</v>
      </c>
      <c r="N68" s="86" t="str">
        <f>IF(_epmOfflineCondition_,"Other 1 Cost of Sales",IF(_xll.EVDES(H68,$B$1)="#NODATA","",_xll.EVDES(H68,$B$1)))</f>
        <v>Other 1 Cost of Sales</v>
      </c>
      <c r="O68" s="134"/>
      <c r="P68" s="134"/>
      <c r="Q68" s="134"/>
      <c r="R68" s="134"/>
      <c r="S68" s="134"/>
      <c r="T68" s="134"/>
      <c r="U68" s="134"/>
      <c r="V68" s="134"/>
      <c r="W68" s="134"/>
      <c r="X68" s="134"/>
      <c r="Y68" s="134"/>
      <c r="Z68" s="134"/>
      <c r="AA68" s="223">
        <f t="shared" si="13"/>
        <v>0</v>
      </c>
      <c r="AB68" s="138" t="str">
        <f>IF(_epmOfflineCondition_,"",IF(AA68=0,"",IFERROR(AA68/_xll.EVGTS($B$1,1,_xll.EVPRO($B$1,$H68,"COSBASIS"),$B$3,$B$5,$B$6,$B$7,$B$9,AA$16,AA$17,AA$18),"")))</f>
        <v/>
      </c>
      <c r="AC68" s="136"/>
      <c r="AD68" s="134"/>
      <c r="AE68" s="138" t="str">
        <f>IF(_epmOfflineCondition_,"",IF(AD68=0,"",IFERROR(AD68/_xll.EVGTS($B$1,1,_xll.EVPRO($B$1,$H68,"COSBASIS"),$B$3,$B$5,$B$6,$B$7,$B$9,AD$16,AD$17,AD$18),"")))</f>
        <v/>
      </c>
      <c r="AF68" s="137">
        <f t="shared" si="14"/>
        <v>0</v>
      </c>
      <c r="AG68" s="134"/>
      <c r="AH68" s="138" t="str">
        <f>IF(_epmOfflineCondition_,"",IF(AG68=0,"",IFERROR(AG68/_xll.EVGTS($B$1,1,_xll.EVPRO($B$1,$H68,"COSBASIS"),$B$3,$B$5,$B$6,$B$7,$B$9,AG$16,AG$17,AG$18),"")))</f>
        <v/>
      </c>
      <c r="AI68" s="137">
        <f t="shared" si="15"/>
        <v>0</v>
      </c>
      <c r="AJ68" s="458">
        <f t="shared" si="16"/>
        <v>0</v>
      </c>
      <c r="AK68" s="459">
        <f t="shared" si="17"/>
        <v>0</v>
      </c>
      <c r="AL68" s="460">
        <f t="shared" si="18"/>
        <v>0</v>
      </c>
      <c r="AM68" s="461">
        <f t="shared" si="19"/>
        <v>0</v>
      </c>
      <c r="AN68" s="462">
        <f t="shared" si="20"/>
        <v>0</v>
      </c>
      <c r="AO68" s="11"/>
    </row>
    <row r="69" spans="1:41" x14ac:dyDescent="0.25">
      <c r="A69" s="61" t="s">
        <v>3</v>
      </c>
      <c r="B69" s="62" t="str">
        <f>IF(_epmOfflineCondition_,"'Minor_Op'!$O$16:$AN$18",_xll.EVRNG($O$16:$AN$18))</f>
        <v>'Minor_Op'!$O$16:$AN$18</v>
      </c>
      <c r="C69" s="11"/>
      <c r="D69" s="11"/>
      <c r="E69" s="11"/>
      <c r="F69" s="11"/>
      <c r="G69" s="11"/>
      <c r="H69" s="84" t="s">
        <v>445</v>
      </c>
      <c r="I69" s="118" t="str">
        <f>IF(_epmOfflineCondition_,"N",_xll.EVPRO($B$1,$H69,"STYLE"))</f>
        <v>N</v>
      </c>
      <c r="J69" s="118" t="str">
        <f>IF(_epmOfflineCondition_,"N",_xll.EVPRO($B$1,$H69,"CALC"))</f>
        <v>N</v>
      </c>
      <c r="K69" s="175" t="str">
        <f t="shared" si="12"/>
        <v/>
      </c>
      <c r="L69" s="86" t="str">
        <f>IF(_epmOfflineCondition_,"550450",_xll.EVPRO($B$1,H69,"JDEID"))</f>
        <v>550450</v>
      </c>
      <c r="M69" s="86" t="str">
        <f>IF(_epmOfflineCondition_,"307015",IF(AND(I69="N",J69="N"),_xll.EVPRO($B$1,H69,"PSFTID"),""))</f>
        <v>307015</v>
      </c>
      <c r="N69" s="86" t="str">
        <f>IF(_epmOfflineCondition_,"Other 2 Cost of Sales",IF(_xll.EVDES(H69,$B$1)="#NODATA","",_xll.EVDES(H69,$B$1)))</f>
        <v>Other 2 Cost of Sales</v>
      </c>
      <c r="O69" s="134"/>
      <c r="P69" s="134"/>
      <c r="Q69" s="134"/>
      <c r="R69" s="134"/>
      <c r="S69" s="134"/>
      <c r="T69" s="134"/>
      <c r="U69" s="134"/>
      <c r="V69" s="134"/>
      <c r="W69" s="134"/>
      <c r="X69" s="134"/>
      <c r="Y69" s="134"/>
      <c r="Z69" s="134"/>
      <c r="AA69" s="223">
        <f t="shared" si="13"/>
        <v>0</v>
      </c>
      <c r="AB69" s="138" t="str">
        <f>IF(_epmOfflineCondition_,"",IF(AA69=0,"",IFERROR(AA69/_xll.EVGTS($B$1,1,_xll.EVPRO($B$1,$H69,"COSBASIS"),$B$3,$B$5,$B$6,$B$7,$B$9,AA$16,AA$17,AA$18),"")))</f>
        <v/>
      </c>
      <c r="AC69" s="136"/>
      <c r="AD69" s="134"/>
      <c r="AE69" s="138" t="str">
        <f>IF(_epmOfflineCondition_,"",IF(AD69=0,"",IFERROR(AD69/_xll.EVGTS($B$1,1,_xll.EVPRO($B$1,$H69,"COSBASIS"),$B$3,$B$5,$B$6,$B$7,$B$9,AD$16,AD$17,AD$18),"")))</f>
        <v/>
      </c>
      <c r="AF69" s="137">
        <f t="shared" si="14"/>
        <v>0</v>
      </c>
      <c r="AG69" s="134"/>
      <c r="AH69" s="138" t="str">
        <f>IF(_epmOfflineCondition_,"",IF(AG69=0,"",IFERROR(AG69/_xll.EVGTS($B$1,1,_xll.EVPRO($B$1,$H69,"COSBASIS"),$B$3,$B$5,$B$6,$B$7,$B$9,AG$16,AG$17,AG$18),"")))</f>
        <v/>
      </c>
      <c r="AI69" s="137">
        <f t="shared" si="15"/>
        <v>0</v>
      </c>
      <c r="AJ69" s="458">
        <f t="shared" si="16"/>
        <v>0</v>
      </c>
      <c r="AK69" s="459">
        <f t="shared" si="17"/>
        <v>0</v>
      </c>
      <c r="AL69" s="460">
        <f t="shared" si="18"/>
        <v>0</v>
      </c>
      <c r="AM69" s="461">
        <f t="shared" si="19"/>
        <v>0</v>
      </c>
      <c r="AN69" s="462">
        <f t="shared" si="20"/>
        <v>0</v>
      </c>
      <c r="AO69" s="11"/>
    </row>
    <row r="70" spans="1:41" x14ac:dyDescent="0.25">
      <c r="A70" s="61" t="s">
        <v>4</v>
      </c>
      <c r="B70" s="62" t="str">
        <f>IF(_epmOfflineCondition_,"'Minor_Op'!$H$95:$H$98",_xll.EVRNG(H95:H98))</f>
        <v>'Minor_Op'!$H$95:$H$98</v>
      </c>
      <c r="C70" s="11"/>
      <c r="D70" s="11"/>
      <c r="E70" s="11"/>
      <c r="F70" s="11"/>
      <c r="G70" s="11"/>
      <c r="H70" s="84" t="s">
        <v>446</v>
      </c>
      <c r="I70" s="118" t="str">
        <f>IF(_epmOfflineCondition_,"N",_xll.EVPRO($B$1,$H70,"STYLE"))</f>
        <v>N</v>
      </c>
      <c r="J70" s="118" t="str">
        <f>IF(_epmOfflineCondition_,"N",_xll.EVPRO($B$1,$H70,"CALC"))</f>
        <v>N</v>
      </c>
      <c r="K70" s="175" t="str">
        <f t="shared" si="12"/>
        <v/>
      </c>
      <c r="L70" s="86" t="str">
        <f>IF(_epmOfflineCondition_,"550500",_xll.EVPRO($B$1,H70,"JDEID"))</f>
        <v>550500</v>
      </c>
      <c r="M70" s="86" t="str">
        <f>IF(_epmOfflineCondition_,"307016",IF(AND(I70="N",J70="N"),_xll.EVPRO($B$1,H70,"PSFTID"),""))</f>
        <v>307016</v>
      </c>
      <c r="N70" s="86" t="str">
        <f>IF(_epmOfflineCondition_,"Other 3 Cost of Sales",IF(_xll.EVDES(H70,$B$1)="#NODATA","",_xll.EVDES(H70,$B$1)))</f>
        <v>Other 3 Cost of Sales</v>
      </c>
      <c r="O70" s="134"/>
      <c r="P70" s="134"/>
      <c r="Q70" s="134"/>
      <c r="R70" s="134"/>
      <c r="S70" s="134"/>
      <c r="T70" s="134"/>
      <c r="U70" s="134"/>
      <c r="V70" s="134"/>
      <c r="W70" s="134"/>
      <c r="X70" s="134"/>
      <c r="Y70" s="134"/>
      <c r="Z70" s="134"/>
      <c r="AA70" s="223">
        <f t="shared" si="13"/>
        <v>0</v>
      </c>
      <c r="AB70" s="138" t="str">
        <f>IF(_epmOfflineCondition_,"",IF(AA70=0,"",IFERROR(AA70/_xll.EVGTS($B$1,1,_xll.EVPRO($B$1,$H70,"COSBASIS"),$B$3,$B$5,$B$6,$B$7,$B$9,AA$16,AA$17,AA$18),"")))</f>
        <v/>
      </c>
      <c r="AC70" s="136"/>
      <c r="AD70" s="134"/>
      <c r="AE70" s="138" t="str">
        <f>IF(_epmOfflineCondition_,"",IF(AD70=0,"",IFERROR(AD70/_xll.EVGTS($B$1,1,_xll.EVPRO($B$1,$H70,"COSBASIS"),$B$3,$B$5,$B$6,$B$7,$B$9,AD$16,AD$17,AD$18),"")))</f>
        <v/>
      </c>
      <c r="AF70" s="137">
        <f t="shared" si="14"/>
        <v>0</v>
      </c>
      <c r="AG70" s="134"/>
      <c r="AH70" s="138" t="str">
        <f>IF(_epmOfflineCondition_,"",IF(AG70=0,"",IFERROR(AG70/_xll.EVGTS($B$1,1,_xll.EVPRO($B$1,$H70,"COSBASIS"),$B$3,$B$5,$B$6,$B$7,$B$9,AG$16,AG$17,AG$18),"")))</f>
        <v/>
      </c>
      <c r="AI70" s="137">
        <f t="shared" si="15"/>
        <v>0</v>
      </c>
      <c r="AJ70" s="458">
        <f t="shared" si="16"/>
        <v>0</v>
      </c>
      <c r="AK70" s="459">
        <f t="shared" si="17"/>
        <v>0</v>
      </c>
      <c r="AL70" s="460">
        <f t="shared" si="18"/>
        <v>0</v>
      </c>
      <c r="AM70" s="461">
        <f t="shared" si="19"/>
        <v>0</v>
      </c>
      <c r="AN70" s="462">
        <f t="shared" si="20"/>
        <v>0</v>
      </c>
      <c r="AO70" s="11"/>
    </row>
    <row r="71" spans="1:41" x14ac:dyDescent="0.25">
      <c r="A71" s="61" t="s">
        <v>5</v>
      </c>
      <c r="B71" s="62"/>
      <c r="C71" s="11"/>
      <c r="D71" s="11"/>
      <c r="E71" s="11"/>
      <c r="F71" s="11"/>
      <c r="G71" s="11"/>
      <c r="H71" s="84" t="s">
        <v>447</v>
      </c>
      <c r="I71" s="118" t="str">
        <f>IF(_epmOfflineCondition_,"N",_xll.EVPRO($B$1,$H71,"STYLE"))</f>
        <v>N</v>
      </c>
      <c r="J71" s="118" t="str">
        <f>IF(_epmOfflineCondition_,"N",_xll.EVPRO($B$1,$H71,"CALC"))</f>
        <v>N</v>
      </c>
      <c r="K71" s="175" t="str">
        <f t="shared" si="12"/>
        <v/>
      </c>
      <c r="L71" s="86" t="str">
        <f>IF(_epmOfflineCondition_,"550550",_xll.EVPRO($B$1,H71,"JDEID"))</f>
        <v>550550</v>
      </c>
      <c r="M71" s="86" t="str">
        <f>IF(_epmOfflineCondition_,"307017",IF(AND(I71="N",J71="N"),_xll.EVPRO($B$1,H71,"PSFTID"),""))</f>
        <v>307017</v>
      </c>
      <c r="N71" s="86" t="str">
        <f>IF(_epmOfflineCondition_,"Other 4 Cost of Sales",IF(_xll.EVDES(H71,$B$1)="#NODATA","",_xll.EVDES(H71,$B$1)))</f>
        <v>Other 4 Cost of Sales</v>
      </c>
      <c r="O71" s="134"/>
      <c r="P71" s="134"/>
      <c r="Q71" s="134"/>
      <c r="R71" s="134"/>
      <c r="S71" s="134"/>
      <c r="T71" s="134"/>
      <c r="U71" s="134"/>
      <c r="V71" s="134"/>
      <c r="W71" s="134"/>
      <c r="X71" s="134"/>
      <c r="Y71" s="134"/>
      <c r="Z71" s="134"/>
      <c r="AA71" s="223">
        <f t="shared" si="13"/>
        <v>0</v>
      </c>
      <c r="AB71" s="138" t="str">
        <f>IF(_epmOfflineCondition_,"",IF(AA71=0,"",IFERROR(AA71/_xll.EVGTS($B$1,1,_xll.EVPRO($B$1,$H71,"COSBASIS"),$B$3,$B$5,$B$6,$B$7,$B$9,AA$16,AA$17,AA$18),"")))</f>
        <v/>
      </c>
      <c r="AC71" s="136"/>
      <c r="AD71" s="134"/>
      <c r="AE71" s="138" t="str">
        <f>IF(_epmOfflineCondition_,"",IF(AD71=0,"",IFERROR(AD71/_xll.EVGTS($B$1,1,_xll.EVPRO($B$1,$H71,"COSBASIS"),$B$3,$B$5,$B$6,$B$7,$B$9,AD$16,AD$17,AD$18),"")))</f>
        <v/>
      </c>
      <c r="AF71" s="137">
        <f t="shared" si="14"/>
        <v>0</v>
      </c>
      <c r="AG71" s="134"/>
      <c r="AH71" s="138" t="str">
        <f>IF(_epmOfflineCondition_,"",IF(AG71=0,"",IFERROR(AG71/_xll.EVGTS($B$1,1,_xll.EVPRO($B$1,$H71,"COSBASIS"),$B$3,$B$5,$B$6,$B$7,$B$9,AG$16,AG$17,AG$18),"")))</f>
        <v/>
      </c>
      <c r="AI71" s="137">
        <f t="shared" si="15"/>
        <v>0</v>
      </c>
      <c r="AJ71" s="458">
        <f t="shared" si="16"/>
        <v>0</v>
      </c>
      <c r="AK71" s="459">
        <f t="shared" si="17"/>
        <v>0</v>
      </c>
      <c r="AL71" s="460">
        <f t="shared" si="18"/>
        <v>0</v>
      </c>
      <c r="AM71" s="461">
        <f t="shared" si="19"/>
        <v>0</v>
      </c>
      <c r="AN71" s="462">
        <f t="shared" si="20"/>
        <v>0</v>
      </c>
      <c r="AO71" s="11"/>
    </row>
    <row r="72" spans="1:41" x14ac:dyDescent="0.25">
      <c r="A72" s="61" t="s">
        <v>6</v>
      </c>
      <c r="B72" s="62"/>
      <c r="C72" s="11"/>
      <c r="D72" s="11"/>
      <c r="E72" s="11"/>
      <c r="F72" s="11"/>
      <c r="G72" s="11"/>
      <c r="H72" s="84" t="s">
        <v>448</v>
      </c>
      <c r="I72" s="118" t="str">
        <f>IF(_epmOfflineCondition_,"N",_xll.EVPRO($B$1,$H72,"STYLE"))</f>
        <v>N</v>
      </c>
      <c r="J72" s="118" t="str">
        <f>IF(_epmOfflineCondition_,"N",_xll.EVPRO($B$1,$H72,"CALC"))</f>
        <v>N</v>
      </c>
      <c r="K72" s="175" t="str">
        <f t="shared" si="12"/>
        <v/>
      </c>
      <c r="L72" s="86" t="str">
        <f>IF(_epmOfflineCondition_,"550600",_xll.EVPRO($B$1,H72,"JDEID"))</f>
        <v>550600</v>
      </c>
      <c r="M72" s="86" t="str">
        <f>IF(_epmOfflineCondition_,"307018",IF(AND(I72="N",J72="N"),_xll.EVPRO($B$1,H72,"PSFTID"),""))</f>
        <v>307018</v>
      </c>
      <c r="N72" s="86" t="str">
        <f>IF(_epmOfflineCondition_,"Other 5 Cost of Sales",IF(_xll.EVDES(H72,$B$1)="#NODATA","",_xll.EVDES(H72,$B$1)))</f>
        <v>Other 5 Cost of Sales</v>
      </c>
      <c r="O72" s="134"/>
      <c r="P72" s="134"/>
      <c r="Q72" s="134"/>
      <c r="R72" s="134"/>
      <c r="S72" s="134"/>
      <c r="T72" s="134"/>
      <c r="U72" s="134"/>
      <c r="V72" s="134"/>
      <c r="W72" s="134"/>
      <c r="X72" s="134"/>
      <c r="Y72" s="134"/>
      <c r="Z72" s="134"/>
      <c r="AA72" s="223">
        <f t="shared" si="13"/>
        <v>0</v>
      </c>
      <c r="AB72" s="138" t="str">
        <f>IF(_epmOfflineCondition_,"",IF(AA72=0,"",IFERROR(AA72/_xll.EVGTS($B$1,1,_xll.EVPRO($B$1,$H72,"COSBASIS"),$B$3,$B$5,$B$6,$B$7,$B$9,AA$16,AA$17,AA$18),"")))</f>
        <v/>
      </c>
      <c r="AC72" s="136"/>
      <c r="AD72" s="134"/>
      <c r="AE72" s="138" t="str">
        <f>IF(_epmOfflineCondition_,"",IF(AD72=0,"",IFERROR(AD72/_xll.EVGTS($B$1,1,_xll.EVPRO($B$1,$H72,"COSBASIS"),$B$3,$B$5,$B$6,$B$7,$B$9,AD$16,AD$17,AD$18),"")))</f>
        <v/>
      </c>
      <c r="AF72" s="137">
        <f t="shared" si="14"/>
        <v>0</v>
      </c>
      <c r="AG72" s="134"/>
      <c r="AH72" s="138" t="str">
        <f>IF(_epmOfflineCondition_,"",IF(AG72=0,"",IFERROR(AG72/_xll.EVGTS($B$1,1,_xll.EVPRO($B$1,$H72,"COSBASIS"),$B$3,$B$5,$B$6,$B$7,$B$9,AG$16,AG$17,AG$18),"")))</f>
        <v/>
      </c>
      <c r="AI72" s="137">
        <f t="shared" si="15"/>
        <v>0</v>
      </c>
      <c r="AJ72" s="458">
        <f t="shared" si="16"/>
        <v>0</v>
      </c>
      <c r="AK72" s="459">
        <f t="shared" si="17"/>
        <v>0</v>
      </c>
      <c r="AL72" s="460">
        <f t="shared" si="18"/>
        <v>0</v>
      </c>
      <c r="AM72" s="461">
        <f t="shared" si="19"/>
        <v>0</v>
      </c>
      <c r="AN72" s="462">
        <f t="shared" si="20"/>
        <v>0</v>
      </c>
      <c r="AO72" s="11"/>
    </row>
    <row r="73" spans="1:41" x14ac:dyDescent="0.25">
      <c r="A73" s="61" t="s">
        <v>7</v>
      </c>
      <c r="B73" s="62"/>
      <c r="C73" s="11"/>
      <c r="D73" s="11"/>
      <c r="E73" s="11"/>
      <c r="F73" s="11"/>
      <c r="G73" s="11"/>
      <c r="H73" s="84" t="s">
        <v>449</v>
      </c>
      <c r="I73" s="118" t="str">
        <f>IF(_epmOfflineCondition_,"N",_xll.EVPRO($B$1,$H73,"STYLE"))</f>
        <v>N</v>
      </c>
      <c r="J73" s="118" t="str">
        <f>IF(_epmOfflineCondition_,"N",_xll.EVPRO($B$1,$H73,"CALC"))</f>
        <v>N</v>
      </c>
      <c r="K73" s="175" t="str">
        <f t="shared" si="12"/>
        <v/>
      </c>
      <c r="L73" s="86" t="str">
        <f>IF(_epmOfflineCondition_,"550650",_xll.EVPRO($B$1,H73,"JDEID"))</f>
        <v>550650</v>
      </c>
      <c r="M73" s="86" t="str">
        <f>IF(_epmOfflineCondition_,"307019",IF(AND(I73="N",J73="N"),_xll.EVPRO($B$1,H73,"PSFTID"),""))</f>
        <v>307019</v>
      </c>
      <c r="N73" s="86" t="str">
        <f>IF(_epmOfflineCondition_,"Other 6 Cost of Sales",IF(_xll.EVDES(H73,$B$1)="#NODATA","",_xll.EVDES(H73,$B$1)))</f>
        <v>Other 6 Cost of Sales</v>
      </c>
      <c r="O73" s="228"/>
      <c r="P73" s="228"/>
      <c r="Q73" s="228"/>
      <c r="R73" s="228"/>
      <c r="S73" s="228"/>
      <c r="T73" s="228"/>
      <c r="U73" s="228"/>
      <c r="V73" s="228"/>
      <c r="W73" s="228"/>
      <c r="X73" s="228"/>
      <c r="Y73" s="228"/>
      <c r="Z73" s="228"/>
      <c r="AA73" s="229">
        <f t="shared" si="13"/>
        <v>0</v>
      </c>
      <c r="AB73" s="230" t="str">
        <f>IF(_epmOfflineCondition_,"",IF(AA73=0,"",IFERROR(AA73/_xll.EVGTS($B$1,1,_xll.EVPRO($B$1,$H73,"COSBASIS"),$B$3,$B$5,$B$6,$B$7,$B$9,AA$16,AA$17,AA$18),"")))</f>
        <v/>
      </c>
      <c r="AC73" s="136"/>
      <c r="AD73" s="228"/>
      <c r="AE73" s="230" t="str">
        <f>IF(_epmOfflineCondition_,"",IF(AD73=0,"",IFERROR(AD73/_xll.EVGTS($B$1,1,_xll.EVPRO($B$1,$H73,"COSBASIS"),$B$3,$B$5,$B$6,$B$7,$B$9,AD$16,AD$17,AD$18),"")))</f>
        <v/>
      </c>
      <c r="AF73" s="231">
        <f t="shared" si="14"/>
        <v>0</v>
      </c>
      <c r="AG73" s="228"/>
      <c r="AH73" s="230" t="str">
        <f>IF(_epmOfflineCondition_,"",IF(AG73=0,"",IFERROR(AG73/_xll.EVGTS($B$1,1,_xll.EVPRO($B$1,$H73,"COSBASIS"),$B$3,$B$5,$B$6,$B$7,$B$9,AG$16,AG$17,AG$18),"")))</f>
        <v/>
      </c>
      <c r="AI73" s="231">
        <f t="shared" si="15"/>
        <v>0</v>
      </c>
      <c r="AJ73" s="467">
        <f t="shared" si="16"/>
        <v>0</v>
      </c>
      <c r="AK73" s="468">
        <f t="shared" si="17"/>
        <v>0</v>
      </c>
      <c r="AL73" s="469">
        <f t="shared" si="18"/>
        <v>0</v>
      </c>
      <c r="AM73" s="470">
        <f t="shared" si="19"/>
        <v>0</v>
      </c>
      <c r="AN73" s="471">
        <f t="shared" si="20"/>
        <v>0</v>
      </c>
      <c r="AO73" s="11"/>
    </row>
    <row r="74" spans="1:41" x14ac:dyDescent="0.25">
      <c r="A74" s="61" t="s">
        <v>47</v>
      </c>
      <c r="B74" s="62" t="str">
        <f>IF(_epmOfflineCondition_,"'Minor_Op'!$A$79:$B$100",_xll.EVRNG($A$79:$B$100))</f>
        <v>'Minor_Op'!$A$79:$B$100</v>
      </c>
      <c r="C74" s="11"/>
      <c r="D74" s="11"/>
      <c r="E74" s="11"/>
      <c r="F74" s="11"/>
      <c r="G74" s="11"/>
      <c r="H74" s="84" t="s">
        <v>289</v>
      </c>
      <c r="I74" s="184" t="str">
        <f>IF(_epmOfflineCondition_,"T3",_xll.EVPRO($B$1,$H74,"STYLE"))</f>
        <v>T3</v>
      </c>
      <c r="J74" s="184" t="str">
        <f>IF(_epmOfflineCondition_,"Y",_xll.EVPRO($B$1,$H74,"CALC"))</f>
        <v>Y</v>
      </c>
      <c r="K74" s="185" t="str">
        <f t="shared" si="12"/>
        <v/>
      </c>
      <c r="L74" s="186" t="str">
        <f>IF(_epmOfflineCondition_,"500001",_xll.EVPRO($B$1,H74,"JDEID"))</f>
        <v>500001</v>
      </c>
      <c r="M74" s="186" t="str">
        <f>IF(_epmOfflineCondition_,"",IF(AND(I74="N",J74="N"),_xll.EVPRO($B$1,H74,"PSFTID"),""))</f>
        <v/>
      </c>
      <c r="N74" s="186" t="str">
        <f>IF(_epmOfflineCondition_,"Total Cost of Sales",IF(_xll.EVDES(H74,$B$1)="#NODATA","",_xll.EVDES(H74,$B$1)))</f>
        <v>Total Cost of Sales</v>
      </c>
      <c r="O74" s="236">
        <v>390.92</v>
      </c>
      <c r="P74" s="236">
        <v>175.16</v>
      </c>
      <c r="Q74" s="236">
        <v>600.21</v>
      </c>
      <c r="R74" s="236">
        <v>359.11</v>
      </c>
      <c r="S74" s="236">
        <v>263.33</v>
      </c>
      <c r="T74" s="236">
        <v>325.88</v>
      </c>
      <c r="U74" s="236">
        <v>347.8</v>
      </c>
      <c r="V74" s="236">
        <v>259.52999999999997</v>
      </c>
      <c r="W74" s="236">
        <v>77.72</v>
      </c>
      <c r="X74" s="236">
        <v>1430.06</v>
      </c>
      <c r="Y74" s="236">
        <v>454.84</v>
      </c>
      <c r="Z74" s="236">
        <v>416.58</v>
      </c>
      <c r="AA74" s="236">
        <f t="shared" si="13"/>
        <v>5101.1400000000003</v>
      </c>
      <c r="AB74" s="237">
        <f>IF(_epmOfflineCondition_,0.37127957290556,IF(AA74=0,"",IFERROR(AA74/_xll.EVGTS($B$1,1,_xll.EVPRO($B$1,$H74,"COSBASIS"),$B$3,$B$5,$B$6,$B$7,$B$9,AA$16,AA$17,AA$18),"")))</f>
        <v>0.37127957290556002</v>
      </c>
      <c r="AC74" s="238"/>
      <c r="AD74" s="236">
        <v>4443.0944600000003</v>
      </c>
      <c r="AE74" s="237">
        <f>IF(_epmOfflineCondition_,0.48844,IF(AD74=0,"",IFERROR(AD74/_xll.EVGTS($B$1,1,_xll.EVPRO($B$1,$H74,"COSBASIS"),$B$3,$B$5,$B$6,$B$7,$B$9,AD$16,AD$17,AD$18),"")))</f>
        <v>0.48843999999999999</v>
      </c>
      <c r="AF74" s="239">
        <f t="shared" si="14"/>
        <v>658.04554000000007</v>
      </c>
      <c r="AG74" s="236">
        <v>1981.78</v>
      </c>
      <c r="AH74" s="237">
        <f>IF(_epmOfflineCondition_,0.52526842818105,IF(AG74=0,"",IFERROR(AG74/_xll.EVGTS($B$1,1,_xll.EVPRO($B$1,$H74,"COSBASIS"),$B$3,$B$5,$B$6,$B$7,$B$9,AG$16,AG$17,AG$18),"")))</f>
        <v>0.52526842818105002</v>
      </c>
      <c r="AI74" s="239">
        <f t="shared" si="15"/>
        <v>3119.3600000000006</v>
      </c>
      <c r="AJ74" s="215">
        <f t="shared" si="16"/>
        <v>0.15513472416519677</v>
      </c>
      <c r="AK74" s="216">
        <f t="shared" si="17"/>
        <v>0.12211000000000001</v>
      </c>
      <c r="AL74" s="218">
        <f t="shared" si="18"/>
        <v>0.13055204216073782</v>
      </c>
      <c r="AM74" s="423" t="str">
        <f t="shared" si="19"/>
        <v>-11.72 pts.</v>
      </c>
      <c r="AN74" s="474" t="str">
        <f t="shared" si="20"/>
        <v>-15.4 pts.</v>
      </c>
      <c r="AO74" s="11"/>
    </row>
    <row r="75" spans="1:41" x14ac:dyDescent="0.25">
      <c r="A75" s="61" t="s">
        <v>8</v>
      </c>
      <c r="B75" s="62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99"/>
      <c r="P75" s="200"/>
      <c r="Q75" s="200"/>
      <c r="R75" s="200"/>
      <c r="S75" s="200"/>
      <c r="T75" s="200"/>
      <c r="U75" s="200"/>
      <c r="V75" s="200"/>
      <c r="W75" s="200"/>
      <c r="X75" s="200"/>
      <c r="Y75" s="200"/>
      <c r="Z75" s="200"/>
      <c r="AA75" s="200"/>
      <c r="AB75" s="114"/>
      <c r="AC75" s="11"/>
      <c r="AD75" s="199"/>
      <c r="AE75" s="200"/>
      <c r="AF75" s="114"/>
      <c r="AG75" s="199"/>
      <c r="AH75" s="200"/>
      <c r="AI75" s="114"/>
      <c r="AJ75" s="11"/>
      <c r="AK75" s="11"/>
      <c r="AL75" s="11"/>
      <c r="AM75" s="11"/>
      <c r="AN75" s="11"/>
      <c r="AO75" s="11"/>
    </row>
    <row r="76" spans="1:41" x14ac:dyDescent="0.25">
      <c r="A76" s="11"/>
      <c r="B76" s="11"/>
      <c r="C76" s="11"/>
      <c r="D76" s="11"/>
      <c r="E76" s="11"/>
      <c r="F76" s="11"/>
      <c r="G76" s="11"/>
      <c r="H76" s="11" t="s">
        <v>81</v>
      </c>
      <c r="I76" s="11" t="str">
        <f>IF(_epmOfflineCondition_,"T3",_xll.EVPRO($B$1,$H76,"STYLE"))</f>
        <v>T3</v>
      </c>
      <c r="J76" s="11" t="str">
        <f>IF(_epmOfflineCondition_,"Y",_xll.EVPRO($B$1,$H76,"CALC"))</f>
        <v>Y</v>
      </c>
      <c r="K76" s="11"/>
      <c r="L76" s="11"/>
      <c r="M76" s="11"/>
      <c r="N76" s="101" t="str">
        <f>IF(_epmOfflineCondition_,"Department Profit (Loss)",IF(_xll.EVDES(H76,$B$1)="#NODATA","",_xll.EVDES(H76,$B$1)))</f>
        <v>Department Profit (Loss)</v>
      </c>
      <c r="O76" s="199"/>
      <c r="P76" s="200"/>
      <c r="Q76" s="200"/>
      <c r="R76" s="200"/>
      <c r="S76" s="200"/>
      <c r="T76" s="200"/>
      <c r="U76" s="200"/>
      <c r="V76" s="200"/>
      <c r="W76" s="200"/>
      <c r="X76" s="200"/>
      <c r="Y76" s="200"/>
      <c r="Z76" s="200"/>
      <c r="AA76" s="200"/>
      <c r="AB76" s="114"/>
      <c r="AC76" s="11"/>
      <c r="AD76" s="199"/>
      <c r="AE76" s="200"/>
      <c r="AF76" s="114"/>
      <c r="AG76" s="199"/>
      <c r="AH76" s="200"/>
      <c r="AI76" s="114"/>
      <c r="AJ76" s="11"/>
      <c r="AK76" s="11"/>
      <c r="AL76" s="11"/>
      <c r="AM76" s="11"/>
      <c r="AN76" s="11"/>
      <c r="AO76" s="11"/>
    </row>
    <row r="77" spans="1:41" x14ac:dyDescent="0.25">
      <c r="A77" s="11"/>
      <c r="B77" s="11"/>
      <c r="C77" s="11"/>
      <c r="D77" s="11"/>
      <c r="E77" s="11"/>
      <c r="F77" s="11"/>
      <c r="G77" s="11" t="s">
        <v>450</v>
      </c>
      <c r="H77" s="84" t="s">
        <v>424</v>
      </c>
      <c r="I77" s="118" t="str">
        <f>IF(_epmOfflineCondition_,"T5",_xll.EVPRO($B$1,$H77,"STYLE"))</f>
        <v>T5</v>
      </c>
      <c r="J77" s="118" t="str">
        <f>IF(_epmOfflineCondition_,"Y",_xll.EVPRO($B$1,$H77,"CALC"))</f>
        <v>Y</v>
      </c>
      <c r="K77" s="86"/>
      <c r="L77" s="86"/>
      <c r="M77" s="86"/>
      <c r="N77" s="86" t="str">
        <f t="shared" ref="N77:N94" si="21">G77</f>
        <v>Guest Communication</v>
      </c>
      <c r="O77" s="134">
        <f t="shared" ref="O77:Z77" si="22">IFERROR(O34-O56,"")</f>
        <v>167.74</v>
      </c>
      <c r="P77" s="134">
        <f t="shared" si="22"/>
        <v>99.92</v>
      </c>
      <c r="Q77" s="134">
        <f t="shared" si="22"/>
        <v>146.25</v>
      </c>
      <c r="R77" s="134">
        <f t="shared" si="22"/>
        <v>-15.84</v>
      </c>
      <c r="S77" s="134">
        <f t="shared" si="22"/>
        <v>74.05</v>
      </c>
      <c r="T77" s="134">
        <f t="shared" si="22"/>
        <v>11.940000000000001</v>
      </c>
      <c r="U77" s="134">
        <f t="shared" si="22"/>
        <v>96.91</v>
      </c>
      <c r="V77" s="134">
        <f t="shared" si="22"/>
        <v>293.87</v>
      </c>
      <c r="W77" s="134">
        <f t="shared" si="22"/>
        <v>56.300000000000011</v>
      </c>
      <c r="X77" s="134">
        <f t="shared" si="22"/>
        <v>68.689999999999984</v>
      </c>
      <c r="Y77" s="134">
        <f t="shared" si="22"/>
        <v>198.18</v>
      </c>
      <c r="Z77" s="134">
        <f t="shared" si="22"/>
        <v>84.289999999999992</v>
      </c>
      <c r="AA77" s="223">
        <f t="shared" ref="AA77:AA96" si="23">IF($I77="B1","",SUM(O77:Z77))</f>
        <v>1282.3</v>
      </c>
      <c r="AB77" s="138">
        <f t="shared" ref="AB77:AB94" si="24">IF(AA77=0,"",IFERROR(AA77/AA34,""))</f>
        <v>0.54113019956365227</v>
      </c>
      <c r="AC77" s="136"/>
      <c r="AD77" s="134">
        <f t="shared" ref="AD77:AD94" si="25">IFERROR(AD34-AD56,"")</f>
        <v>1069.7483999999999</v>
      </c>
      <c r="AE77" s="138">
        <f t="shared" ref="AE77:AE94" si="26">IF(AD77=0,"",IFERROR(AD77/AD34,""))</f>
        <v>0.42</v>
      </c>
      <c r="AF77" s="137">
        <f t="shared" ref="AF77:AF96" si="27">IF(AND($AA77="",AD77=""),"",$AA77-AD77)</f>
        <v>212.55160000000001</v>
      </c>
      <c r="AG77" s="134">
        <f t="shared" ref="AG77:AG94" si="28">IFERROR(AG34-AG56,"")</f>
        <v>896.17000000000007</v>
      </c>
      <c r="AH77" s="138">
        <f t="shared" ref="AH77:AH94" si="29">IF(AG77=0,"",IFERROR(AG77/AG34,""))</f>
        <v>0.74982638453107087</v>
      </c>
      <c r="AI77" s="137">
        <f t="shared" ref="AI77:AI96" si="30">IF(AND($AA77="",AG77=""),"",$AA77-AG77)</f>
        <v>386.12999999999988</v>
      </c>
      <c r="AJ77" s="458">
        <f t="shared" ref="AJ77:AJ96" si="31">IFERROR(AA77/AA$20,0)</f>
        <v>3.8997019646006929E-2</v>
      </c>
      <c r="AK77" s="459">
        <f t="shared" ref="AK77:AK96" si="32">IFERROR(AD77/AD$20,0)</f>
        <v>2.9399999999999999E-2</v>
      </c>
      <c r="AL77" s="460">
        <f t="shared" ref="AL77:AL96" si="33">IFERROR(AG77/AG$20,0)</f>
        <v>5.9036231884057974E-2</v>
      </c>
      <c r="AM77" s="461" t="str">
        <f t="shared" ref="AM77:AM96" si="34">+IFERROR(ROUND(($AB77-AE77)*100,2)&amp;" pts.",0)</f>
        <v>12.11 pts.</v>
      </c>
      <c r="AN77" s="462" t="str">
        <f t="shared" ref="AN77:AN96" si="35">+IFERROR(ROUND(($AB77-AH77)*100,2)&amp;" pts.",0)</f>
        <v>-20.87 pts.</v>
      </c>
      <c r="AO77" s="11"/>
    </row>
    <row r="78" spans="1:41" x14ac:dyDescent="0.25">
      <c r="A78" s="57" t="s">
        <v>23</v>
      </c>
      <c r="B78" s="58" t="s">
        <v>24</v>
      </c>
      <c r="C78" s="11"/>
      <c r="D78" s="11"/>
      <c r="E78" s="11"/>
      <c r="F78" s="11"/>
      <c r="G78" s="11" t="s">
        <v>451</v>
      </c>
      <c r="H78" s="84" t="s">
        <v>425</v>
      </c>
      <c r="I78" s="118" t="str">
        <f>IF(_epmOfflineCondition_,"T5",_xll.EVPRO($B$1,$H78,"STYLE"))</f>
        <v>T5</v>
      </c>
      <c r="J78" s="118" t="str">
        <f>IF(_epmOfflineCondition_,"Y",_xll.EVPRO($B$1,$H78,"CALC"))</f>
        <v>Y</v>
      </c>
      <c r="K78" s="86"/>
      <c r="L78" s="86"/>
      <c r="M78" s="86"/>
      <c r="N78" s="86" t="str">
        <f t="shared" si="21"/>
        <v>Movie</v>
      </c>
      <c r="O78" s="134">
        <f t="shared" ref="O78:Z78" si="36">IFERROR(O35-O57,"")</f>
        <v>0</v>
      </c>
      <c r="P78" s="134">
        <f t="shared" si="36"/>
        <v>0</v>
      </c>
      <c r="Q78" s="134">
        <f t="shared" si="36"/>
        <v>0</v>
      </c>
      <c r="R78" s="134">
        <f t="shared" si="36"/>
        <v>0</v>
      </c>
      <c r="S78" s="134">
        <f t="shared" si="36"/>
        <v>0</v>
      </c>
      <c r="T78" s="134">
        <f t="shared" si="36"/>
        <v>0</v>
      </c>
      <c r="U78" s="134">
        <f t="shared" si="36"/>
        <v>0</v>
      </c>
      <c r="V78" s="134">
        <f t="shared" si="36"/>
        <v>0</v>
      </c>
      <c r="W78" s="134">
        <f t="shared" si="36"/>
        <v>0</v>
      </c>
      <c r="X78" s="134">
        <f t="shared" si="36"/>
        <v>0</v>
      </c>
      <c r="Y78" s="134">
        <f t="shared" si="36"/>
        <v>0</v>
      </c>
      <c r="Z78" s="134">
        <f t="shared" si="36"/>
        <v>0</v>
      </c>
      <c r="AA78" s="223">
        <f t="shared" si="23"/>
        <v>0</v>
      </c>
      <c r="AB78" s="138" t="str">
        <f t="shared" si="24"/>
        <v/>
      </c>
      <c r="AC78" s="136"/>
      <c r="AD78" s="134">
        <f t="shared" si="25"/>
        <v>0</v>
      </c>
      <c r="AE78" s="138" t="str">
        <f t="shared" si="26"/>
        <v/>
      </c>
      <c r="AF78" s="137">
        <f t="shared" si="27"/>
        <v>0</v>
      </c>
      <c r="AG78" s="134">
        <f t="shared" si="28"/>
        <v>0</v>
      </c>
      <c r="AH78" s="138" t="str">
        <f t="shared" si="29"/>
        <v/>
      </c>
      <c r="AI78" s="137">
        <f t="shared" si="30"/>
        <v>0</v>
      </c>
      <c r="AJ78" s="458">
        <f t="shared" si="31"/>
        <v>0</v>
      </c>
      <c r="AK78" s="459">
        <f t="shared" si="32"/>
        <v>0</v>
      </c>
      <c r="AL78" s="460">
        <f t="shared" si="33"/>
        <v>0</v>
      </c>
      <c r="AM78" s="461">
        <f t="shared" si="34"/>
        <v>0</v>
      </c>
      <c r="AN78" s="462">
        <f t="shared" si="35"/>
        <v>0</v>
      </c>
      <c r="AO78" s="11"/>
    </row>
    <row r="79" spans="1:41" x14ac:dyDescent="0.25">
      <c r="A79" s="61" t="s">
        <v>25</v>
      </c>
      <c r="B79" s="62"/>
      <c r="C79" s="11"/>
      <c r="D79" s="11"/>
      <c r="E79" s="11"/>
      <c r="F79" s="11"/>
      <c r="G79" s="11" t="s">
        <v>452</v>
      </c>
      <c r="H79" s="84" t="s">
        <v>426</v>
      </c>
      <c r="I79" s="118" t="str">
        <f>IF(_epmOfflineCondition_,"T5",_xll.EVPRO($B$1,$H79,"STYLE"))</f>
        <v>T5</v>
      </c>
      <c r="J79" s="118" t="str">
        <f>IF(_epmOfflineCondition_,"Y",_xll.EVPRO($B$1,$H79,"CALC"))</f>
        <v>Y</v>
      </c>
      <c r="K79" s="86"/>
      <c r="L79" s="86"/>
      <c r="M79" s="86"/>
      <c r="N79" s="86" t="str">
        <f t="shared" si="21"/>
        <v>Guest Laundry</v>
      </c>
      <c r="O79" s="134">
        <f t="shared" ref="O79:Z79" si="37">IFERROR(O36-O58,"")</f>
        <v>91.979999999999961</v>
      </c>
      <c r="P79" s="134">
        <f t="shared" si="37"/>
        <v>222.35999999999999</v>
      </c>
      <c r="Q79" s="134">
        <f t="shared" si="37"/>
        <v>20.439999999999941</v>
      </c>
      <c r="R79" s="134">
        <f t="shared" si="37"/>
        <v>-18.430000000000007</v>
      </c>
      <c r="S79" s="134">
        <f t="shared" si="37"/>
        <v>60.09</v>
      </c>
      <c r="T79" s="134">
        <f t="shared" si="37"/>
        <v>77.259999999999991</v>
      </c>
      <c r="U79" s="134">
        <f t="shared" si="37"/>
        <v>53.44</v>
      </c>
      <c r="V79" s="134">
        <f t="shared" si="37"/>
        <v>160.30000000000001</v>
      </c>
      <c r="W79" s="134">
        <f t="shared" si="37"/>
        <v>604.73</v>
      </c>
      <c r="X79" s="134">
        <f t="shared" si="37"/>
        <v>-451.1</v>
      </c>
      <c r="Y79" s="134">
        <f t="shared" si="37"/>
        <v>23.419999999999987</v>
      </c>
      <c r="Z79" s="134">
        <f t="shared" si="37"/>
        <v>95.420000000000016</v>
      </c>
      <c r="AA79" s="223">
        <f t="shared" si="23"/>
        <v>939.90999999999985</v>
      </c>
      <c r="AB79" s="138">
        <f t="shared" si="24"/>
        <v>0.18973974903506077</v>
      </c>
      <c r="AC79" s="136"/>
      <c r="AD79" s="134">
        <f t="shared" si="25"/>
        <v>1036.6371399999998</v>
      </c>
      <c r="AE79" s="138">
        <f t="shared" si="26"/>
        <v>0.25899999999999995</v>
      </c>
      <c r="AF79" s="137">
        <f t="shared" si="27"/>
        <v>-96.727139999999963</v>
      </c>
      <c r="AG79" s="134">
        <f t="shared" si="28"/>
        <v>547.93999999999983</v>
      </c>
      <c r="AH79" s="138">
        <f t="shared" si="29"/>
        <v>0.24563369674365221</v>
      </c>
      <c r="AI79" s="137">
        <f t="shared" si="30"/>
        <v>391.97</v>
      </c>
      <c r="AJ79" s="458">
        <f t="shared" si="31"/>
        <v>2.858433185329359E-2</v>
      </c>
      <c r="AK79" s="459">
        <f t="shared" si="32"/>
        <v>2.8489999999999994E-2</v>
      </c>
      <c r="AL79" s="460">
        <f t="shared" si="33"/>
        <v>3.6096179183135693E-2</v>
      </c>
      <c r="AM79" s="461" t="str">
        <f t="shared" si="34"/>
        <v>-6.93 pts.</v>
      </c>
      <c r="AN79" s="462" t="str">
        <f t="shared" si="35"/>
        <v>-5.59 pts.</v>
      </c>
      <c r="AO79" s="11"/>
    </row>
    <row r="80" spans="1:41" x14ac:dyDescent="0.25">
      <c r="A80" s="61" t="s">
        <v>26</v>
      </c>
      <c r="B80" s="62"/>
      <c r="C80" s="11"/>
      <c r="D80" s="11"/>
      <c r="E80" s="11"/>
      <c r="F80" s="11"/>
      <c r="G80" s="11" t="s">
        <v>453</v>
      </c>
      <c r="H80" s="84" t="s">
        <v>427</v>
      </c>
      <c r="I80" s="118" t="str">
        <f>IF(_epmOfflineCondition_,"T5",_xll.EVPRO($B$1,$H80,"STYLE"))</f>
        <v>T5</v>
      </c>
      <c r="J80" s="118" t="str">
        <f>IF(_epmOfflineCondition_,"Y",_xll.EVPRO($B$1,$H80,"CALC"))</f>
        <v>Y</v>
      </c>
      <c r="K80" s="86"/>
      <c r="L80" s="86"/>
      <c r="M80" s="86"/>
      <c r="N80" s="86" t="str">
        <f t="shared" si="21"/>
        <v>In Room Fax</v>
      </c>
      <c r="O80" s="134">
        <f t="shared" ref="O80:Z80" si="38">IFERROR(O37-O59,"")</f>
        <v>0</v>
      </c>
      <c r="P80" s="134">
        <f t="shared" si="38"/>
        <v>0</v>
      </c>
      <c r="Q80" s="134">
        <f t="shared" si="38"/>
        <v>0</v>
      </c>
      <c r="R80" s="134">
        <f t="shared" si="38"/>
        <v>0</v>
      </c>
      <c r="S80" s="134">
        <f t="shared" si="38"/>
        <v>0</v>
      </c>
      <c r="T80" s="134">
        <f t="shared" si="38"/>
        <v>0</v>
      </c>
      <c r="U80" s="134">
        <f t="shared" si="38"/>
        <v>0</v>
      </c>
      <c r="V80" s="134">
        <f t="shared" si="38"/>
        <v>0</v>
      </c>
      <c r="W80" s="134">
        <f t="shared" si="38"/>
        <v>0</v>
      </c>
      <c r="X80" s="134">
        <f t="shared" si="38"/>
        <v>0</v>
      </c>
      <c r="Y80" s="134">
        <f t="shared" si="38"/>
        <v>0</v>
      </c>
      <c r="Z80" s="134">
        <f t="shared" si="38"/>
        <v>0</v>
      </c>
      <c r="AA80" s="223">
        <f t="shared" si="23"/>
        <v>0</v>
      </c>
      <c r="AB80" s="138" t="str">
        <f t="shared" si="24"/>
        <v/>
      </c>
      <c r="AC80" s="136"/>
      <c r="AD80" s="134">
        <f t="shared" si="25"/>
        <v>0</v>
      </c>
      <c r="AE80" s="138" t="str">
        <f t="shared" si="26"/>
        <v/>
      </c>
      <c r="AF80" s="137">
        <f t="shared" si="27"/>
        <v>0</v>
      </c>
      <c r="AG80" s="134">
        <f t="shared" si="28"/>
        <v>0</v>
      </c>
      <c r="AH80" s="138" t="str">
        <f t="shared" si="29"/>
        <v/>
      </c>
      <c r="AI80" s="137">
        <f t="shared" si="30"/>
        <v>0</v>
      </c>
      <c r="AJ80" s="458">
        <f t="shared" si="31"/>
        <v>0</v>
      </c>
      <c r="AK80" s="459">
        <f t="shared" si="32"/>
        <v>0</v>
      </c>
      <c r="AL80" s="460">
        <f t="shared" si="33"/>
        <v>0</v>
      </c>
      <c r="AM80" s="461">
        <f t="shared" si="34"/>
        <v>0</v>
      </c>
      <c r="AN80" s="462">
        <f t="shared" si="35"/>
        <v>0</v>
      </c>
      <c r="AO80" s="11"/>
    </row>
    <row r="81" spans="1:41" x14ac:dyDescent="0.25">
      <c r="A81" s="61" t="s">
        <v>27</v>
      </c>
      <c r="B81" s="62"/>
      <c r="C81" s="11"/>
      <c r="D81" s="11"/>
      <c r="E81" s="11"/>
      <c r="F81" s="11"/>
      <c r="G81" s="11" t="s">
        <v>454</v>
      </c>
      <c r="H81" s="84" t="s">
        <v>428</v>
      </c>
      <c r="I81" s="118" t="str">
        <f>IF(_epmOfflineCondition_,"T5",_xll.EVPRO($B$1,$H81,"STYLE"))</f>
        <v>T5</v>
      </c>
      <c r="J81" s="118" t="str">
        <f>IF(_epmOfflineCondition_,"Y",_xll.EVPRO($B$1,$H81,"CALC"))</f>
        <v>Y</v>
      </c>
      <c r="K81" s="86"/>
      <c r="L81" s="86"/>
      <c r="M81" s="86"/>
      <c r="N81" s="86" t="str">
        <f t="shared" si="21"/>
        <v>In Room Items</v>
      </c>
      <c r="O81" s="134">
        <f t="shared" ref="O81:Z81" si="39">IFERROR(O38-O60,"")</f>
        <v>0</v>
      </c>
      <c r="P81" s="134">
        <f t="shared" si="39"/>
        <v>1676</v>
      </c>
      <c r="Q81" s="134">
        <f t="shared" si="39"/>
        <v>325</v>
      </c>
      <c r="R81" s="134">
        <f t="shared" si="39"/>
        <v>919</v>
      </c>
      <c r="S81" s="134">
        <f t="shared" si="39"/>
        <v>202</v>
      </c>
      <c r="T81" s="134">
        <f t="shared" si="39"/>
        <v>175</v>
      </c>
      <c r="U81" s="134">
        <f t="shared" si="39"/>
        <v>825</v>
      </c>
      <c r="V81" s="134">
        <f t="shared" si="39"/>
        <v>210</v>
      </c>
      <c r="W81" s="134">
        <f t="shared" si="39"/>
        <v>605</v>
      </c>
      <c r="X81" s="134">
        <f t="shared" si="39"/>
        <v>465</v>
      </c>
      <c r="Y81" s="134">
        <f t="shared" si="39"/>
        <v>600</v>
      </c>
      <c r="Z81" s="134">
        <f t="shared" si="39"/>
        <v>414</v>
      </c>
      <c r="AA81" s="223">
        <f t="shared" si="23"/>
        <v>6416</v>
      </c>
      <c r="AB81" s="138">
        <f t="shared" si="24"/>
        <v>1</v>
      </c>
      <c r="AC81" s="136"/>
      <c r="AD81" s="134">
        <f t="shared" si="25"/>
        <v>2547.02</v>
      </c>
      <c r="AE81" s="138">
        <f t="shared" si="26"/>
        <v>1</v>
      </c>
      <c r="AF81" s="137">
        <f t="shared" si="27"/>
        <v>3868.98</v>
      </c>
      <c r="AG81" s="134">
        <f t="shared" si="28"/>
        <v>197</v>
      </c>
      <c r="AH81" s="138">
        <f t="shared" si="29"/>
        <v>1</v>
      </c>
      <c r="AI81" s="137">
        <f t="shared" si="30"/>
        <v>6219</v>
      </c>
      <c r="AJ81" s="458">
        <f t="shared" si="31"/>
        <v>0.1951219512195122</v>
      </c>
      <c r="AK81" s="459">
        <f t="shared" si="32"/>
        <v>6.9999999999999993E-2</v>
      </c>
      <c r="AL81" s="460">
        <f t="shared" si="33"/>
        <v>1.2977602108036891E-2</v>
      </c>
      <c r="AM81" s="461" t="str">
        <f t="shared" si="34"/>
        <v>0 pts.</v>
      </c>
      <c r="AN81" s="462" t="str">
        <f t="shared" si="35"/>
        <v>0 pts.</v>
      </c>
      <c r="AO81" s="11"/>
    </row>
    <row r="82" spans="1:41" x14ac:dyDescent="0.25">
      <c r="A82" s="61" t="s">
        <v>28</v>
      </c>
      <c r="B82" s="62"/>
      <c r="C82" s="11"/>
      <c r="D82" s="11"/>
      <c r="E82" s="11"/>
      <c r="F82" s="11"/>
      <c r="G82" s="11" t="s">
        <v>455</v>
      </c>
      <c r="H82" s="84" t="s">
        <v>429</v>
      </c>
      <c r="I82" s="118" t="str">
        <f>IF(_epmOfflineCondition_,"T5",_xll.EVPRO($B$1,$H82,"STYLE"))</f>
        <v>T5</v>
      </c>
      <c r="J82" s="118" t="str">
        <f>IF(_epmOfflineCondition_,"Y",_xll.EVPRO($B$1,$H82,"CALC"))</f>
        <v>Y</v>
      </c>
      <c r="K82" s="86"/>
      <c r="L82" s="86"/>
      <c r="M82" s="86"/>
      <c r="N82" s="86" t="str">
        <f t="shared" si="21"/>
        <v>Massage</v>
      </c>
      <c r="O82" s="134">
        <f t="shared" ref="O82:Z82" si="40">IFERROR(O39-O61,"")</f>
        <v>0</v>
      </c>
      <c r="P82" s="134">
        <f t="shared" si="40"/>
        <v>0</v>
      </c>
      <c r="Q82" s="134">
        <f t="shared" si="40"/>
        <v>0</v>
      </c>
      <c r="R82" s="134">
        <f t="shared" si="40"/>
        <v>0</v>
      </c>
      <c r="S82" s="134">
        <f t="shared" si="40"/>
        <v>0</v>
      </c>
      <c r="T82" s="134">
        <f t="shared" si="40"/>
        <v>0</v>
      </c>
      <c r="U82" s="134">
        <f t="shared" si="40"/>
        <v>0</v>
      </c>
      <c r="V82" s="134">
        <f t="shared" si="40"/>
        <v>0</v>
      </c>
      <c r="W82" s="134">
        <f t="shared" si="40"/>
        <v>0</v>
      </c>
      <c r="X82" s="134">
        <f t="shared" si="40"/>
        <v>0</v>
      </c>
      <c r="Y82" s="134">
        <f t="shared" si="40"/>
        <v>0</v>
      </c>
      <c r="Z82" s="134">
        <f t="shared" si="40"/>
        <v>0</v>
      </c>
      <c r="AA82" s="223">
        <f t="shared" si="23"/>
        <v>0</v>
      </c>
      <c r="AB82" s="138" t="str">
        <f t="shared" si="24"/>
        <v/>
      </c>
      <c r="AC82" s="136"/>
      <c r="AD82" s="134">
        <f t="shared" si="25"/>
        <v>0</v>
      </c>
      <c r="AE82" s="138" t="str">
        <f t="shared" si="26"/>
        <v/>
      </c>
      <c r="AF82" s="137">
        <f t="shared" si="27"/>
        <v>0</v>
      </c>
      <c r="AG82" s="134">
        <f t="shared" si="28"/>
        <v>0</v>
      </c>
      <c r="AH82" s="138" t="str">
        <f t="shared" si="29"/>
        <v/>
      </c>
      <c r="AI82" s="137">
        <f t="shared" si="30"/>
        <v>0</v>
      </c>
      <c r="AJ82" s="458">
        <f t="shared" si="31"/>
        <v>0</v>
      </c>
      <c r="AK82" s="459">
        <f t="shared" si="32"/>
        <v>0</v>
      </c>
      <c r="AL82" s="460">
        <f t="shared" si="33"/>
        <v>0</v>
      </c>
      <c r="AM82" s="461">
        <f t="shared" si="34"/>
        <v>0</v>
      </c>
      <c r="AN82" s="462">
        <f t="shared" si="35"/>
        <v>0</v>
      </c>
      <c r="AO82" s="11"/>
    </row>
    <row r="83" spans="1:41" x14ac:dyDescent="0.25">
      <c r="A83" s="61" t="s">
        <v>29</v>
      </c>
      <c r="B83" s="62"/>
      <c r="C83" s="11"/>
      <c r="D83" s="11"/>
      <c r="E83" s="11"/>
      <c r="F83" s="11"/>
      <c r="G83" s="11" t="s">
        <v>487</v>
      </c>
      <c r="H83" s="84" t="s">
        <v>430</v>
      </c>
      <c r="I83" s="118" t="str">
        <f>IF(_epmOfflineCondition_,"T5",_xll.EVPRO($B$1,$H83,"STYLE"))</f>
        <v>T5</v>
      </c>
      <c r="J83" s="118" t="str">
        <f>IF(_epmOfflineCondition_,"Y",_xll.EVPRO($B$1,$H83,"CALC"))</f>
        <v>Y</v>
      </c>
      <c r="K83" s="86"/>
      <c r="L83" s="86"/>
      <c r="M83" s="86"/>
      <c r="N83" s="86" t="str">
        <f t="shared" si="21"/>
        <v>Gym Pass</v>
      </c>
      <c r="O83" s="134">
        <f t="shared" ref="O83:Z83" si="41">IFERROR(O40-O62,"")</f>
        <v>0</v>
      </c>
      <c r="P83" s="134">
        <f t="shared" si="41"/>
        <v>0</v>
      </c>
      <c r="Q83" s="134">
        <f t="shared" si="41"/>
        <v>0</v>
      </c>
      <c r="R83" s="134">
        <f t="shared" si="41"/>
        <v>0</v>
      </c>
      <c r="S83" s="134">
        <f t="shared" si="41"/>
        <v>0</v>
      </c>
      <c r="T83" s="134">
        <f t="shared" si="41"/>
        <v>0</v>
      </c>
      <c r="U83" s="134">
        <f t="shared" si="41"/>
        <v>0</v>
      </c>
      <c r="V83" s="134">
        <f t="shared" si="41"/>
        <v>0</v>
      </c>
      <c r="W83" s="134">
        <f t="shared" si="41"/>
        <v>0</v>
      </c>
      <c r="X83" s="134">
        <f t="shared" si="41"/>
        <v>0</v>
      </c>
      <c r="Y83" s="134">
        <f t="shared" si="41"/>
        <v>0</v>
      </c>
      <c r="Z83" s="134">
        <f t="shared" si="41"/>
        <v>0</v>
      </c>
      <c r="AA83" s="223">
        <f t="shared" si="23"/>
        <v>0</v>
      </c>
      <c r="AB83" s="138" t="str">
        <f t="shared" si="24"/>
        <v/>
      </c>
      <c r="AC83" s="136"/>
      <c r="AD83" s="134">
        <f t="shared" si="25"/>
        <v>0</v>
      </c>
      <c r="AE83" s="138" t="str">
        <f t="shared" si="26"/>
        <v/>
      </c>
      <c r="AF83" s="137">
        <f t="shared" si="27"/>
        <v>0</v>
      </c>
      <c r="AG83" s="134">
        <f t="shared" si="28"/>
        <v>0</v>
      </c>
      <c r="AH83" s="138" t="str">
        <f t="shared" si="29"/>
        <v/>
      </c>
      <c r="AI83" s="137">
        <f t="shared" si="30"/>
        <v>0</v>
      </c>
      <c r="AJ83" s="458">
        <f t="shared" si="31"/>
        <v>0</v>
      </c>
      <c r="AK83" s="459">
        <f t="shared" si="32"/>
        <v>0</v>
      </c>
      <c r="AL83" s="460">
        <f t="shared" si="33"/>
        <v>0</v>
      </c>
      <c r="AM83" s="461">
        <f t="shared" si="34"/>
        <v>0</v>
      </c>
      <c r="AN83" s="462">
        <f t="shared" si="35"/>
        <v>0</v>
      </c>
      <c r="AO83" s="11"/>
    </row>
    <row r="84" spans="1:41" x14ac:dyDescent="0.25">
      <c r="A84" s="61" t="s">
        <v>30</v>
      </c>
      <c r="B84" s="62" t="s">
        <v>78</v>
      </c>
      <c r="C84" s="11"/>
      <c r="D84" s="11"/>
      <c r="E84" s="11"/>
      <c r="F84" s="11"/>
      <c r="G84" s="11" t="s">
        <v>488</v>
      </c>
      <c r="H84" s="84" t="s">
        <v>475</v>
      </c>
      <c r="I84" s="118" t="str">
        <f>IF(_epmOfflineCondition_,"N",_xll.EVPRO($B$1,$H84,"STYLE"))</f>
        <v>N</v>
      </c>
      <c r="J84" s="118" t="str">
        <f>IF(_epmOfflineCondition_,"N",_xll.EVPRO($B$1,$H84,"CALC"))</f>
        <v>N</v>
      </c>
      <c r="K84" s="86"/>
      <c r="L84" s="86"/>
      <c r="M84" s="86"/>
      <c r="N84" s="86" t="str">
        <f t="shared" si="21"/>
        <v>Shared Facilities &amp; Services</v>
      </c>
      <c r="O84" s="134">
        <f t="shared" ref="O84:Z84" si="42">IFERROR(O41-O63,"")</f>
        <v>0</v>
      </c>
      <c r="P84" s="134">
        <f t="shared" si="42"/>
        <v>0</v>
      </c>
      <c r="Q84" s="134">
        <f t="shared" si="42"/>
        <v>0</v>
      </c>
      <c r="R84" s="134">
        <f t="shared" si="42"/>
        <v>0</v>
      </c>
      <c r="S84" s="134">
        <f t="shared" si="42"/>
        <v>0</v>
      </c>
      <c r="T84" s="134">
        <f t="shared" si="42"/>
        <v>0</v>
      </c>
      <c r="U84" s="134">
        <f t="shared" si="42"/>
        <v>0</v>
      </c>
      <c r="V84" s="134">
        <f t="shared" si="42"/>
        <v>0</v>
      </c>
      <c r="W84" s="134">
        <f t="shared" si="42"/>
        <v>0</v>
      </c>
      <c r="X84" s="134">
        <f t="shared" si="42"/>
        <v>0</v>
      </c>
      <c r="Y84" s="134">
        <f t="shared" si="42"/>
        <v>0</v>
      </c>
      <c r="Z84" s="134">
        <f t="shared" si="42"/>
        <v>0</v>
      </c>
      <c r="AA84" s="223">
        <f t="shared" si="23"/>
        <v>0</v>
      </c>
      <c r="AB84" s="138" t="str">
        <f t="shared" si="24"/>
        <v/>
      </c>
      <c r="AC84" s="136"/>
      <c r="AD84" s="134">
        <f t="shared" si="25"/>
        <v>0</v>
      </c>
      <c r="AE84" s="138" t="str">
        <f t="shared" si="26"/>
        <v/>
      </c>
      <c r="AF84" s="137">
        <f t="shared" si="27"/>
        <v>0</v>
      </c>
      <c r="AG84" s="134">
        <f t="shared" si="28"/>
        <v>0</v>
      </c>
      <c r="AH84" s="138" t="str">
        <f t="shared" si="29"/>
        <v/>
      </c>
      <c r="AI84" s="137">
        <f t="shared" si="30"/>
        <v>0</v>
      </c>
      <c r="AJ84" s="458">
        <f t="shared" si="31"/>
        <v>0</v>
      </c>
      <c r="AK84" s="459">
        <f t="shared" si="32"/>
        <v>0</v>
      </c>
      <c r="AL84" s="460">
        <f t="shared" si="33"/>
        <v>0</v>
      </c>
      <c r="AM84" s="461">
        <f t="shared" si="34"/>
        <v>0</v>
      </c>
      <c r="AN84" s="462">
        <f t="shared" si="35"/>
        <v>0</v>
      </c>
      <c r="AO84" s="11"/>
    </row>
    <row r="85" spans="1:41" x14ac:dyDescent="0.25">
      <c r="A85" s="61" t="s">
        <v>31</v>
      </c>
      <c r="B85" s="62" t="s">
        <v>78</v>
      </c>
      <c r="C85" s="11"/>
      <c r="D85" s="11"/>
      <c r="E85" s="11"/>
      <c r="F85" s="11"/>
      <c r="G85" s="11" t="s">
        <v>489</v>
      </c>
      <c r="H85" s="84" t="s">
        <v>476</v>
      </c>
      <c r="I85" s="118" t="str">
        <f>IF(_epmOfflineCondition_,"T5",_xll.EVPRO($B$1,$H85,"STYLE"))</f>
        <v>T5</v>
      </c>
      <c r="J85" s="118" t="str">
        <f>IF(_epmOfflineCondition_,"Y",_xll.EVPRO($B$1,$H85,"CALC"))</f>
        <v>Y</v>
      </c>
      <c r="K85" s="86"/>
      <c r="L85" s="86"/>
      <c r="M85" s="86"/>
      <c r="N85" s="86" t="str">
        <f t="shared" si="21"/>
        <v>Retail Kiosk</v>
      </c>
      <c r="O85" s="134">
        <f t="shared" ref="O85:Z85" si="43">IFERROR(O42-O64,"")</f>
        <v>0</v>
      </c>
      <c r="P85" s="134">
        <f t="shared" si="43"/>
        <v>0</v>
      </c>
      <c r="Q85" s="134">
        <f t="shared" si="43"/>
        <v>0</v>
      </c>
      <c r="R85" s="134">
        <f t="shared" si="43"/>
        <v>0</v>
      </c>
      <c r="S85" s="134">
        <f t="shared" si="43"/>
        <v>0</v>
      </c>
      <c r="T85" s="134">
        <f t="shared" si="43"/>
        <v>0</v>
      </c>
      <c r="U85" s="134">
        <f t="shared" si="43"/>
        <v>0</v>
      </c>
      <c r="V85" s="134">
        <f t="shared" si="43"/>
        <v>0</v>
      </c>
      <c r="W85" s="134">
        <f t="shared" si="43"/>
        <v>0</v>
      </c>
      <c r="X85" s="134">
        <f t="shared" si="43"/>
        <v>0</v>
      </c>
      <c r="Y85" s="134">
        <f t="shared" si="43"/>
        <v>0</v>
      </c>
      <c r="Z85" s="134">
        <f t="shared" si="43"/>
        <v>0</v>
      </c>
      <c r="AA85" s="223">
        <f t="shared" si="23"/>
        <v>0</v>
      </c>
      <c r="AB85" s="138" t="str">
        <f t="shared" si="24"/>
        <v/>
      </c>
      <c r="AC85" s="136"/>
      <c r="AD85" s="134">
        <f t="shared" si="25"/>
        <v>0</v>
      </c>
      <c r="AE85" s="138" t="str">
        <f t="shared" si="26"/>
        <v/>
      </c>
      <c r="AF85" s="137">
        <f t="shared" si="27"/>
        <v>0</v>
      </c>
      <c r="AG85" s="134">
        <f t="shared" si="28"/>
        <v>0</v>
      </c>
      <c r="AH85" s="138" t="str">
        <f t="shared" si="29"/>
        <v/>
      </c>
      <c r="AI85" s="137">
        <f t="shared" si="30"/>
        <v>0</v>
      </c>
      <c r="AJ85" s="458">
        <f t="shared" si="31"/>
        <v>0</v>
      </c>
      <c r="AK85" s="459">
        <f t="shared" si="32"/>
        <v>0</v>
      </c>
      <c r="AL85" s="460">
        <f t="shared" si="33"/>
        <v>0</v>
      </c>
      <c r="AM85" s="461">
        <f t="shared" si="34"/>
        <v>0</v>
      </c>
      <c r="AN85" s="462">
        <f t="shared" si="35"/>
        <v>0</v>
      </c>
      <c r="AO85" s="11"/>
    </row>
    <row r="86" spans="1:41" x14ac:dyDescent="0.25">
      <c r="A86" s="61" t="s">
        <v>32</v>
      </c>
      <c r="B86" s="62"/>
      <c r="C86" s="11"/>
      <c r="D86" s="11"/>
      <c r="E86" s="11"/>
      <c r="F86" s="11"/>
      <c r="G86" s="11" t="s">
        <v>490</v>
      </c>
      <c r="H86" s="84" t="s">
        <v>477</v>
      </c>
      <c r="I86" s="118" t="str">
        <f>IF(_epmOfflineCondition_,"T5",_xll.EVPRO($B$1,$H86,"STYLE"))</f>
        <v>T5</v>
      </c>
      <c r="J86" s="118" t="str">
        <f>IF(_epmOfflineCondition_,"Y",_xll.EVPRO($B$1,$H86,"CALC"))</f>
        <v>Y</v>
      </c>
      <c r="K86" s="86"/>
      <c r="L86" s="86"/>
      <c r="M86" s="86"/>
      <c r="N86" s="86" t="str">
        <f t="shared" si="21"/>
        <v>Vending Machines</v>
      </c>
      <c r="O86" s="134">
        <f t="shared" ref="O86:Z86" si="44">IFERROR(O43-O65,"")</f>
        <v>0</v>
      </c>
      <c r="P86" s="134">
        <f t="shared" si="44"/>
        <v>0</v>
      </c>
      <c r="Q86" s="134">
        <f t="shared" si="44"/>
        <v>0</v>
      </c>
      <c r="R86" s="134">
        <f t="shared" si="44"/>
        <v>0</v>
      </c>
      <c r="S86" s="134">
        <f t="shared" si="44"/>
        <v>0</v>
      </c>
      <c r="T86" s="134">
        <f t="shared" si="44"/>
        <v>0</v>
      </c>
      <c r="U86" s="134">
        <f t="shared" si="44"/>
        <v>0</v>
      </c>
      <c r="V86" s="134">
        <f t="shared" si="44"/>
        <v>0</v>
      </c>
      <c r="W86" s="134">
        <f t="shared" si="44"/>
        <v>0</v>
      </c>
      <c r="X86" s="134">
        <f t="shared" si="44"/>
        <v>0</v>
      </c>
      <c r="Y86" s="134">
        <f t="shared" si="44"/>
        <v>0</v>
      </c>
      <c r="Z86" s="134">
        <f t="shared" si="44"/>
        <v>0</v>
      </c>
      <c r="AA86" s="223">
        <f t="shared" si="23"/>
        <v>0</v>
      </c>
      <c r="AB86" s="138" t="str">
        <f t="shared" si="24"/>
        <v/>
      </c>
      <c r="AC86" s="136"/>
      <c r="AD86" s="134">
        <f t="shared" si="25"/>
        <v>0</v>
      </c>
      <c r="AE86" s="138" t="str">
        <f t="shared" si="26"/>
        <v/>
      </c>
      <c r="AF86" s="137">
        <f t="shared" si="27"/>
        <v>0</v>
      </c>
      <c r="AG86" s="134">
        <f t="shared" si="28"/>
        <v>0</v>
      </c>
      <c r="AH86" s="138" t="str">
        <f t="shared" si="29"/>
        <v/>
      </c>
      <c r="AI86" s="137">
        <f t="shared" si="30"/>
        <v>0</v>
      </c>
      <c r="AJ86" s="458">
        <f t="shared" si="31"/>
        <v>0</v>
      </c>
      <c r="AK86" s="459">
        <f t="shared" si="32"/>
        <v>0</v>
      </c>
      <c r="AL86" s="460">
        <f t="shared" si="33"/>
        <v>0</v>
      </c>
      <c r="AM86" s="461">
        <f t="shared" si="34"/>
        <v>0</v>
      </c>
      <c r="AN86" s="462">
        <f t="shared" si="35"/>
        <v>0</v>
      </c>
      <c r="AO86" s="11"/>
    </row>
    <row r="87" spans="1:41" x14ac:dyDescent="0.25">
      <c r="A87" s="61" t="s">
        <v>33</v>
      </c>
      <c r="B87" s="62"/>
      <c r="C87" s="11"/>
      <c r="D87" s="11"/>
      <c r="E87" s="11"/>
      <c r="F87" s="11"/>
      <c r="G87" s="11" t="s">
        <v>491</v>
      </c>
      <c r="H87" s="84" t="s">
        <v>478</v>
      </c>
      <c r="I87" s="118" t="str">
        <f>IF(_epmOfflineCondition_,"T5",_xll.EVPRO($B$1,$H87,"STYLE"))</f>
        <v>T5</v>
      </c>
      <c r="J87" s="118" t="str">
        <f>IF(_epmOfflineCondition_,"Y",_xll.EVPRO($B$1,$H87,"CALC"))</f>
        <v>Y</v>
      </c>
      <c r="K87" s="86"/>
      <c r="L87" s="86"/>
      <c r="M87" s="86"/>
      <c r="N87" s="86" t="str">
        <f t="shared" si="21"/>
        <v>Laundry Machines</v>
      </c>
      <c r="O87" s="134">
        <f t="shared" ref="O87:Z87" si="45">IFERROR(O44-O66,"")</f>
        <v>0</v>
      </c>
      <c r="P87" s="134">
        <f t="shared" si="45"/>
        <v>0</v>
      </c>
      <c r="Q87" s="134">
        <f t="shared" si="45"/>
        <v>0</v>
      </c>
      <c r="R87" s="134">
        <f t="shared" si="45"/>
        <v>0</v>
      </c>
      <c r="S87" s="134">
        <f t="shared" si="45"/>
        <v>0</v>
      </c>
      <c r="T87" s="134">
        <f t="shared" si="45"/>
        <v>0</v>
      </c>
      <c r="U87" s="134">
        <f t="shared" si="45"/>
        <v>0</v>
      </c>
      <c r="V87" s="134">
        <f t="shared" si="45"/>
        <v>0</v>
      </c>
      <c r="W87" s="134">
        <f t="shared" si="45"/>
        <v>0</v>
      </c>
      <c r="X87" s="134">
        <f t="shared" si="45"/>
        <v>0</v>
      </c>
      <c r="Y87" s="134">
        <f t="shared" si="45"/>
        <v>0</v>
      </c>
      <c r="Z87" s="134">
        <f t="shared" si="45"/>
        <v>0</v>
      </c>
      <c r="AA87" s="223">
        <f t="shared" si="23"/>
        <v>0</v>
      </c>
      <c r="AB87" s="138" t="str">
        <f t="shared" si="24"/>
        <v/>
      </c>
      <c r="AC87" s="136"/>
      <c r="AD87" s="134">
        <f t="shared" si="25"/>
        <v>0</v>
      </c>
      <c r="AE87" s="138" t="str">
        <f t="shared" si="26"/>
        <v/>
      </c>
      <c r="AF87" s="137">
        <f t="shared" si="27"/>
        <v>0</v>
      </c>
      <c r="AG87" s="134">
        <f t="shared" si="28"/>
        <v>0</v>
      </c>
      <c r="AH87" s="138" t="str">
        <f t="shared" si="29"/>
        <v/>
      </c>
      <c r="AI87" s="137">
        <f t="shared" si="30"/>
        <v>0</v>
      </c>
      <c r="AJ87" s="458">
        <f t="shared" si="31"/>
        <v>0</v>
      </c>
      <c r="AK87" s="459">
        <f t="shared" si="32"/>
        <v>0</v>
      </c>
      <c r="AL87" s="460">
        <f t="shared" si="33"/>
        <v>0</v>
      </c>
      <c r="AM87" s="461">
        <f t="shared" si="34"/>
        <v>0</v>
      </c>
      <c r="AN87" s="462">
        <f t="shared" si="35"/>
        <v>0</v>
      </c>
      <c r="AO87" s="11"/>
    </row>
    <row r="88" spans="1:41" x14ac:dyDescent="0.25">
      <c r="A88" s="61" t="s">
        <v>34</v>
      </c>
      <c r="B88" s="62"/>
      <c r="C88" s="11"/>
      <c r="D88" s="11"/>
      <c r="E88" s="11"/>
      <c r="F88" s="11"/>
      <c r="G88" s="11" t="s">
        <v>492</v>
      </c>
      <c r="H88" s="84" t="s">
        <v>479</v>
      </c>
      <c r="I88" s="118" t="str">
        <f>IF(_epmOfflineCondition_,"T5",_xll.EVPRO($B$1,$H88,"STYLE"))</f>
        <v>T5</v>
      </c>
      <c r="J88" s="118" t="str">
        <f>IF(_epmOfflineCondition_,"Y",_xll.EVPRO($B$1,$H88,"CALC"))</f>
        <v>Y</v>
      </c>
      <c r="K88" s="86"/>
      <c r="L88" s="86"/>
      <c r="M88" s="86"/>
      <c r="N88" s="86" t="str">
        <f t="shared" si="21"/>
        <v>Occasional F&amp;B</v>
      </c>
      <c r="O88" s="134">
        <f t="shared" ref="O88:Z88" si="46">IFERROR(O45-O67,"")</f>
        <v>0</v>
      </c>
      <c r="P88" s="134">
        <f t="shared" si="46"/>
        <v>0</v>
      </c>
      <c r="Q88" s="134">
        <f t="shared" si="46"/>
        <v>0</v>
      </c>
      <c r="R88" s="134">
        <f t="shared" si="46"/>
        <v>0</v>
      </c>
      <c r="S88" s="134">
        <f t="shared" si="46"/>
        <v>0</v>
      </c>
      <c r="T88" s="134">
        <f t="shared" si="46"/>
        <v>0</v>
      </c>
      <c r="U88" s="134">
        <f t="shared" si="46"/>
        <v>0</v>
      </c>
      <c r="V88" s="134">
        <f t="shared" si="46"/>
        <v>0</v>
      </c>
      <c r="W88" s="134">
        <f t="shared" si="46"/>
        <v>0</v>
      </c>
      <c r="X88" s="134">
        <f t="shared" si="46"/>
        <v>0</v>
      </c>
      <c r="Y88" s="134">
        <f t="shared" si="46"/>
        <v>0</v>
      </c>
      <c r="Z88" s="134">
        <f t="shared" si="46"/>
        <v>0</v>
      </c>
      <c r="AA88" s="223">
        <f t="shared" si="23"/>
        <v>0</v>
      </c>
      <c r="AB88" s="138" t="str">
        <f t="shared" si="24"/>
        <v/>
      </c>
      <c r="AC88" s="136"/>
      <c r="AD88" s="134">
        <f t="shared" si="25"/>
        <v>0</v>
      </c>
      <c r="AE88" s="138" t="str">
        <f t="shared" si="26"/>
        <v/>
      </c>
      <c r="AF88" s="137">
        <f t="shared" si="27"/>
        <v>0</v>
      </c>
      <c r="AG88" s="134">
        <f t="shared" si="28"/>
        <v>0</v>
      </c>
      <c r="AH88" s="138" t="str">
        <f t="shared" si="29"/>
        <v/>
      </c>
      <c r="AI88" s="137">
        <f t="shared" si="30"/>
        <v>0</v>
      </c>
      <c r="AJ88" s="458">
        <f t="shared" si="31"/>
        <v>0</v>
      </c>
      <c r="AK88" s="459">
        <f t="shared" si="32"/>
        <v>0</v>
      </c>
      <c r="AL88" s="460">
        <f t="shared" si="33"/>
        <v>0</v>
      </c>
      <c r="AM88" s="461">
        <f t="shared" si="34"/>
        <v>0</v>
      </c>
      <c r="AN88" s="462">
        <f t="shared" si="35"/>
        <v>0</v>
      </c>
      <c r="AO88" s="11"/>
    </row>
    <row r="89" spans="1:41" x14ac:dyDescent="0.25">
      <c r="A89" s="61" t="s">
        <v>35</v>
      </c>
      <c r="B89" s="62"/>
      <c r="C89" s="11"/>
      <c r="D89" s="11"/>
      <c r="E89" s="11"/>
      <c r="F89" s="11"/>
      <c r="G89" s="11" t="s">
        <v>456</v>
      </c>
      <c r="H89" s="84" t="s">
        <v>431</v>
      </c>
      <c r="I89" s="118" t="str">
        <f>IF(_epmOfflineCondition_,"T5",_xll.EVPRO($B$1,$H89,"STYLE"))</f>
        <v>T5</v>
      </c>
      <c r="J89" s="118" t="str">
        <f>IF(_epmOfflineCondition_,"Y",_xll.EVPRO($B$1,$H89,"CALC"))</f>
        <v>Y</v>
      </c>
      <c r="K89" s="86"/>
      <c r="L89" s="86"/>
      <c r="M89" s="86"/>
      <c r="N89" s="86" t="str">
        <f t="shared" si="21"/>
        <v>Other 1</v>
      </c>
      <c r="O89" s="134">
        <f t="shared" ref="O89:Z89" si="47">IFERROR(O46-O68,"")</f>
        <v>0</v>
      </c>
      <c r="P89" s="134">
        <f t="shared" si="47"/>
        <v>0</v>
      </c>
      <c r="Q89" s="134">
        <f t="shared" si="47"/>
        <v>0</v>
      </c>
      <c r="R89" s="134">
        <f t="shared" si="47"/>
        <v>0</v>
      </c>
      <c r="S89" s="134">
        <f t="shared" si="47"/>
        <v>0</v>
      </c>
      <c r="T89" s="134">
        <f t="shared" si="47"/>
        <v>0</v>
      </c>
      <c r="U89" s="134">
        <f t="shared" si="47"/>
        <v>0</v>
      </c>
      <c r="V89" s="134">
        <f t="shared" si="47"/>
        <v>0</v>
      </c>
      <c r="W89" s="134">
        <f t="shared" si="47"/>
        <v>0</v>
      </c>
      <c r="X89" s="134">
        <f t="shared" si="47"/>
        <v>0</v>
      </c>
      <c r="Y89" s="134">
        <f t="shared" si="47"/>
        <v>0</v>
      </c>
      <c r="Z89" s="134">
        <f t="shared" si="47"/>
        <v>0</v>
      </c>
      <c r="AA89" s="223">
        <f t="shared" si="23"/>
        <v>0</v>
      </c>
      <c r="AB89" s="138" t="str">
        <f t="shared" si="24"/>
        <v/>
      </c>
      <c r="AC89" s="136"/>
      <c r="AD89" s="134">
        <f t="shared" si="25"/>
        <v>0</v>
      </c>
      <c r="AE89" s="138" t="str">
        <f t="shared" si="26"/>
        <v/>
      </c>
      <c r="AF89" s="137">
        <f t="shared" si="27"/>
        <v>0</v>
      </c>
      <c r="AG89" s="134">
        <f t="shared" si="28"/>
        <v>150</v>
      </c>
      <c r="AH89" s="138">
        <f t="shared" si="29"/>
        <v>1</v>
      </c>
      <c r="AI89" s="137">
        <f t="shared" si="30"/>
        <v>-150</v>
      </c>
      <c r="AJ89" s="458">
        <f t="shared" si="31"/>
        <v>0</v>
      </c>
      <c r="AK89" s="459">
        <f t="shared" si="32"/>
        <v>0</v>
      </c>
      <c r="AL89" s="460">
        <f t="shared" si="33"/>
        <v>9.881422924901186E-3</v>
      </c>
      <c r="AM89" s="461">
        <f t="shared" si="34"/>
        <v>0</v>
      </c>
      <c r="AN89" s="462">
        <f t="shared" si="35"/>
        <v>0</v>
      </c>
      <c r="AO89" s="11"/>
    </row>
    <row r="90" spans="1:41" x14ac:dyDescent="0.25">
      <c r="A90" s="61" t="s">
        <v>36</v>
      </c>
      <c r="B90" s="62"/>
      <c r="C90" s="11"/>
      <c r="D90" s="11"/>
      <c r="E90" s="11"/>
      <c r="F90" s="11"/>
      <c r="G90" s="11" t="s">
        <v>457</v>
      </c>
      <c r="H90" s="84" t="s">
        <v>432</v>
      </c>
      <c r="I90" s="118" t="str">
        <f>IF(_epmOfflineCondition_,"T5",_xll.EVPRO($B$1,$H90,"STYLE"))</f>
        <v>T5</v>
      </c>
      <c r="J90" s="118" t="str">
        <f>IF(_epmOfflineCondition_,"Y",_xll.EVPRO($B$1,$H90,"CALC"))</f>
        <v>Y</v>
      </c>
      <c r="K90" s="86"/>
      <c r="L90" s="86"/>
      <c r="M90" s="86"/>
      <c r="N90" s="86" t="str">
        <f t="shared" si="21"/>
        <v>Other 2</v>
      </c>
      <c r="O90" s="134">
        <f t="shared" ref="O90:Z90" si="48">IFERROR(O47-O69,"")</f>
        <v>0</v>
      </c>
      <c r="P90" s="134">
        <f t="shared" si="48"/>
        <v>0</v>
      </c>
      <c r="Q90" s="134">
        <f t="shared" si="48"/>
        <v>0</v>
      </c>
      <c r="R90" s="134">
        <f t="shared" si="48"/>
        <v>0</v>
      </c>
      <c r="S90" s="134">
        <f t="shared" si="48"/>
        <v>0</v>
      </c>
      <c r="T90" s="134">
        <f t="shared" si="48"/>
        <v>0</v>
      </c>
      <c r="U90" s="134">
        <f t="shared" si="48"/>
        <v>0</v>
      </c>
      <c r="V90" s="134">
        <f t="shared" si="48"/>
        <v>0</v>
      </c>
      <c r="W90" s="134">
        <f t="shared" si="48"/>
        <v>0</v>
      </c>
      <c r="X90" s="134">
        <f t="shared" si="48"/>
        <v>0</v>
      </c>
      <c r="Y90" s="134">
        <f t="shared" si="48"/>
        <v>0</v>
      </c>
      <c r="Z90" s="134">
        <f t="shared" si="48"/>
        <v>0</v>
      </c>
      <c r="AA90" s="223">
        <f t="shared" si="23"/>
        <v>0</v>
      </c>
      <c r="AB90" s="138" t="str">
        <f t="shared" si="24"/>
        <v/>
      </c>
      <c r="AC90" s="136"/>
      <c r="AD90" s="134">
        <f t="shared" si="25"/>
        <v>0</v>
      </c>
      <c r="AE90" s="138" t="str">
        <f t="shared" si="26"/>
        <v/>
      </c>
      <c r="AF90" s="137">
        <f t="shared" si="27"/>
        <v>0</v>
      </c>
      <c r="AG90" s="134">
        <f t="shared" si="28"/>
        <v>0</v>
      </c>
      <c r="AH90" s="138" t="str">
        <f t="shared" si="29"/>
        <v/>
      </c>
      <c r="AI90" s="137">
        <f t="shared" si="30"/>
        <v>0</v>
      </c>
      <c r="AJ90" s="458">
        <f t="shared" si="31"/>
        <v>0</v>
      </c>
      <c r="AK90" s="459">
        <f t="shared" si="32"/>
        <v>0</v>
      </c>
      <c r="AL90" s="460">
        <f t="shared" si="33"/>
        <v>0</v>
      </c>
      <c r="AM90" s="461">
        <f t="shared" si="34"/>
        <v>0</v>
      </c>
      <c r="AN90" s="462">
        <f t="shared" si="35"/>
        <v>0</v>
      </c>
      <c r="AO90" s="11"/>
    </row>
    <row r="91" spans="1:41" x14ac:dyDescent="0.25">
      <c r="A91" s="61" t="s">
        <v>37</v>
      </c>
      <c r="B91" s="62"/>
      <c r="C91" s="11"/>
      <c r="D91" s="11"/>
      <c r="E91" s="11"/>
      <c r="F91" s="11"/>
      <c r="G91" s="11" t="s">
        <v>458</v>
      </c>
      <c r="H91" s="84" t="s">
        <v>433</v>
      </c>
      <c r="I91" s="118" t="str">
        <f>IF(_epmOfflineCondition_,"T5",_xll.EVPRO($B$1,$H91,"STYLE"))</f>
        <v>T5</v>
      </c>
      <c r="J91" s="118" t="str">
        <f>IF(_epmOfflineCondition_,"Y",_xll.EVPRO($B$1,$H91,"CALC"))</f>
        <v>Y</v>
      </c>
      <c r="K91" s="86"/>
      <c r="L91" s="86"/>
      <c r="M91" s="86"/>
      <c r="N91" s="86" t="str">
        <f t="shared" si="21"/>
        <v>Other 3</v>
      </c>
      <c r="O91" s="134">
        <f t="shared" ref="O91:Z91" si="49">IFERROR(O48-O70,"")</f>
        <v>0</v>
      </c>
      <c r="P91" s="134">
        <f t="shared" si="49"/>
        <v>0</v>
      </c>
      <c r="Q91" s="134">
        <f t="shared" si="49"/>
        <v>0</v>
      </c>
      <c r="R91" s="134">
        <f t="shared" si="49"/>
        <v>0</v>
      </c>
      <c r="S91" s="134">
        <f t="shared" si="49"/>
        <v>0</v>
      </c>
      <c r="T91" s="134">
        <f t="shared" si="49"/>
        <v>0</v>
      </c>
      <c r="U91" s="134">
        <f t="shared" si="49"/>
        <v>0</v>
      </c>
      <c r="V91" s="134">
        <f t="shared" si="49"/>
        <v>0</v>
      </c>
      <c r="W91" s="134">
        <f t="shared" si="49"/>
        <v>0</v>
      </c>
      <c r="X91" s="134">
        <f t="shared" si="49"/>
        <v>0</v>
      </c>
      <c r="Y91" s="134">
        <f t="shared" si="49"/>
        <v>0</v>
      </c>
      <c r="Z91" s="134">
        <f t="shared" si="49"/>
        <v>0</v>
      </c>
      <c r="AA91" s="223">
        <f t="shared" si="23"/>
        <v>0</v>
      </c>
      <c r="AB91" s="138" t="str">
        <f t="shared" si="24"/>
        <v/>
      </c>
      <c r="AC91" s="136"/>
      <c r="AD91" s="134">
        <f t="shared" si="25"/>
        <v>0</v>
      </c>
      <c r="AE91" s="138" t="str">
        <f t="shared" si="26"/>
        <v/>
      </c>
      <c r="AF91" s="137">
        <f t="shared" si="27"/>
        <v>0</v>
      </c>
      <c r="AG91" s="134">
        <f t="shared" si="28"/>
        <v>0</v>
      </c>
      <c r="AH91" s="138" t="str">
        <f t="shared" si="29"/>
        <v/>
      </c>
      <c r="AI91" s="137">
        <f t="shared" si="30"/>
        <v>0</v>
      </c>
      <c r="AJ91" s="458">
        <f t="shared" si="31"/>
        <v>0</v>
      </c>
      <c r="AK91" s="459">
        <f t="shared" si="32"/>
        <v>0</v>
      </c>
      <c r="AL91" s="460">
        <f t="shared" si="33"/>
        <v>0</v>
      </c>
      <c r="AM91" s="461">
        <f t="shared" si="34"/>
        <v>0</v>
      </c>
      <c r="AN91" s="462">
        <f t="shared" si="35"/>
        <v>0</v>
      </c>
      <c r="AO91" s="11"/>
    </row>
    <row r="92" spans="1:41" x14ac:dyDescent="0.25">
      <c r="A92" s="61" t="s">
        <v>38</v>
      </c>
      <c r="B92" s="62"/>
      <c r="C92" s="11"/>
      <c r="D92" s="11"/>
      <c r="E92" s="11"/>
      <c r="F92" s="11"/>
      <c r="G92" s="11" t="s">
        <v>459</v>
      </c>
      <c r="H92" s="84" t="s">
        <v>434</v>
      </c>
      <c r="I92" s="118" t="str">
        <f>IF(_epmOfflineCondition_,"T5",_xll.EVPRO($B$1,$H92,"STYLE"))</f>
        <v>T5</v>
      </c>
      <c r="J92" s="118" t="str">
        <f>IF(_epmOfflineCondition_,"Y",_xll.EVPRO($B$1,$H92,"CALC"))</f>
        <v>Y</v>
      </c>
      <c r="K92" s="86"/>
      <c r="L92" s="86"/>
      <c r="M92" s="86"/>
      <c r="N92" s="86" t="str">
        <f t="shared" si="21"/>
        <v>Other 4</v>
      </c>
      <c r="O92" s="134">
        <f t="shared" ref="O92:Z92" si="50">IFERROR(O49-O71,"")</f>
        <v>0</v>
      </c>
      <c r="P92" s="134">
        <f t="shared" si="50"/>
        <v>0</v>
      </c>
      <c r="Q92" s="134">
        <f t="shared" si="50"/>
        <v>0</v>
      </c>
      <c r="R92" s="134">
        <f t="shared" si="50"/>
        <v>0</v>
      </c>
      <c r="S92" s="134">
        <f t="shared" si="50"/>
        <v>0</v>
      </c>
      <c r="T92" s="134">
        <f t="shared" si="50"/>
        <v>0</v>
      </c>
      <c r="U92" s="134">
        <f t="shared" si="50"/>
        <v>0</v>
      </c>
      <c r="V92" s="134">
        <f t="shared" si="50"/>
        <v>0</v>
      </c>
      <c r="W92" s="134">
        <f t="shared" si="50"/>
        <v>0</v>
      </c>
      <c r="X92" s="134">
        <f t="shared" si="50"/>
        <v>0</v>
      </c>
      <c r="Y92" s="134">
        <f t="shared" si="50"/>
        <v>0</v>
      </c>
      <c r="Z92" s="134">
        <f t="shared" si="50"/>
        <v>0</v>
      </c>
      <c r="AA92" s="223">
        <f t="shared" si="23"/>
        <v>0</v>
      </c>
      <c r="AB92" s="138" t="str">
        <f t="shared" si="24"/>
        <v/>
      </c>
      <c r="AC92" s="136"/>
      <c r="AD92" s="134">
        <f t="shared" si="25"/>
        <v>0</v>
      </c>
      <c r="AE92" s="138" t="str">
        <f t="shared" si="26"/>
        <v/>
      </c>
      <c r="AF92" s="137">
        <f t="shared" si="27"/>
        <v>0</v>
      </c>
      <c r="AG92" s="134">
        <f t="shared" si="28"/>
        <v>0</v>
      </c>
      <c r="AH92" s="138" t="str">
        <f t="shared" si="29"/>
        <v/>
      </c>
      <c r="AI92" s="137">
        <f t="shared" si="30"/>
        <v>0</v>
      </c>
      <c r="AJ92" s="458">
        <f t="shared" si="31"/>
        <v>0</v>
      </c>
      <c r="AK92" s="459">
        <f t="shared" si="32"/>
        <v>0</v>
      </c>
      <c r="AL92" s="460">
        <f t="shared" si="33"/>
        <v>0</v>
      </c>
      <c r="AM92" s="461">
        <f t="shared" si="34"/>
        <v>0</v>
      </c>
      <c r="AN92" s="462">
        <f t="shared" si="35"/>
        <v>0</v>
      </c>
      <c r="AO92" s="11"/>
    </row>
    <row r="93" spans="1:41" x14ac:dyDescent="0.25">
      <c r="A93" s="61" t="s">
        <v>39</v>
      </c>
      <c r="B93" s="62"/>
      <c r="C93" s="11"/>
      <c r="D93" s="11"/>
      <c r="E93" s="11"/>
      <c r="F93" s="11"/>
      <c r="G93" s="11" t="s">
        <v>460</v>
      </c>
      <c r="H93" s="84" t="s">
        <v>435</v>
      </c>
      <c r="I93" s="118" t="str">
        <f>IF(_epmOfflineCondition_,"T5",_xll.EVPRO($B$1,$H93,"STYLE"))</f>
        <v>T5</v>
      </c>
      <c r="J93" s="118" t="str">
        <f>IF(_epmOfflineCondition_,"Y",_xll.EVPRO($B$1,$H93,"CALC"))</f>
        <v>Y</v>
      </c>
      <c r="K93" s="86"/>
      <c r="L93" s="86"/>
      <c r="M93" s="86"/>
      <c r="N93" s="86" t="str">
        <f t="shared" si="21"/>
        <v>Other 5</v>
      </c>
      <c r="O93" s="134">
        <f t="shared" ref="O93:Z93" si="51">IFERROR(O50-O72,"")</f>
        <v>0</v>
      </c>
      <c r="P93" s="134">
        <f t="shared" si="51"/>
        <v>0</v>
      </c>
      <c r="Q93" s="134">
        <f t="shared" si="51"/>
        <v>0</v>
      </c>
      <c r="R93" s="134">
        <f t="shared" si="51"/>
        <v>0</v>
      </c>
      <c r="S93" s="134">
        <f t="shared" si="51"/>
        <v>0</v>
      </c>
      <c r="T93" s="134">
        <f t="shared" si="51"/>
        <v>0</v>
      </c>
      <c r="U93" s="134">
        <f t="shared" si="51"/>
        <v>0</v>
      </c>
      <c r="V93" s="134">
        <f t="shared" si="51"/>
        <v>0</v>
      </c>
      <c r="W93" s="134">
        <f t="shared" si="51"/>
        <v>0</v>
      </c>
      <c r="X93" s="134">
        <f t="shared" si="51"/>
        <v>0</v>
      </c>
      <c r="Y93" s="134">
        <f t="shared" si="51"/>
        <v>0</v>
      </c>
      <c r="Z93" s="134">
        <f t="shared" si="51"/>
        <v>0</v>
      </c>
      <c r="AA93" s="223">
        <f t="shared" si="23"/>
        <v>0</v>
      </c>
      <c r="AB93" s="138" t="str">
        <f t="shared" si="24"/>
        <v/>
      </c>
      <c r="AC93" s="136"/>
      <c r="AD93" s="134">
        <f t="shared" si="25"/>
        <v>0</v>
      </c>
      <c r="AE93" s="138" t="str">
        <f t="shared" si="26"/>
        <v/>
      </c>
      <c r="AF93" s="137">
        <f t="shared" si="27"/>
        <v>0</v>
      </c>
      <c r="AG93" s="134">
        <f t="shared" si="28"/>
        <v>0</v>
      </c>
      <c r="AH93" s="138" t="str">
        <f t="shared" si="29"/>
        <v/>
      </c>
      <c r="AI93" s="137">
        <f t="shared" si="30"/>
        <v>0</v>
      </c>
      <c r="AJ93" s="458">
        <f t="shared" si="31"/>
        <v>0</v>
      </c>
      <c r="AK93" s="459">
        <f t="shared" si="32"/>
        <v>0</v>
      </c>
      <c r="AL93" s="460">
        <f t="shared" si="33"/>
        <v>0</v>
      </c>
      <c r="AM93" s="461">
        <f t="shared" si="34"/>
        <v>0</v>
      </c>
      <c r="AN93" s="462">
        <f t="shared" si="35"/>
        <v>0</v>
      </c>
      <c r="AO93" s="11"/>
    </row>
    <row r="94" spans="1:41" x14ac:dyDescent="0.25">
      <c r="A94" s="61" t="s">
        <v>40</v>
      </c>
      <c r="B94" s="62"/>
      <c r="C94" s="11"/>
      <c r="D94" s="11"/>
      <c r="E94" s="11"/>
      <c r="F94" s="11"/>
      <c r="G94" s="11" t="s">
        <v>461</v>
      </c>
      <c r="H94" s="84" t="s">
        <v>436</v>
      </c>
      <c r="I94" s="118" t="str">
        <f>IF(_epmOfflineCondition_,"T5",_xll.EVPRO($B$1,$H94,"STYLE"))</f>
        <v>T5</v>
      </c>
      <c r="J94" s="118" t="str">
        <f>IF(_epmOfflineCondition_,"Y",_xll.EVPRO($B$1,$H94,"CALC"))</f>
        <v>Y</v>
      </c>
      <c r="K94" s="86"/>
      <c r="L94" s="86"/>
      <c r="M94" s="86"/>
      <c r="N94" s="86" t="str">
        <f t="shared" si="21"/>
        <v>Other 6</v>
      </c>
      <c r="O94" s="134">
        <f t="shared" ref="O94:Z94" si="52">IFERROR(O51-O73,"")</f>
        <v>0</v>
      </c>
      <c r="P94" s="134">
        <f t="shared" si="52"/>
        <v>0</v>
      </c>
      <c r="Q94" s="134">
        <f t="shared" si="52"/>
        <v>0</v>
      </c>
      <c r="R94" s="134">
        <f t="shared" si="52"/>
        <v>0</v>
      </c>
      <c r="S94" s="134">
        <f t="shared" si="52"/>
        <v>0</v>
      </c>
      <c r="T94" s="134">
        <f t="shared" si="52"/>
        <v>0</v>
      </c>
      <c r="U94" s="134">
        <f t="shared" si="52"/>
        <v>0</v>
      </c>
      <c r="V94" s="134">
        <f t="shared" si="52"/>
        <v>0</v>
      </c>
      <c r="W94" s="134">
        <f t="shared" si="52"/>
        <v>0</v>
      </c>
      <c r="X94" s="134">
        <f t="shared" si="52"/>
        <v>0</v>
      </c>
      <c r="Y94" s="134">
        <f t="shared" si="52"/>
        <v>0</v>
      </c>
      <c r="Z94" s="134">
        <f t="shared" si="52"/>
        <v>0</v>
      </c>
      <c r="AA94" s="223">
        <f t="shared" si="23"/>
        <v>0</v>
      </c>
      <c r="AB94" s="138" t="str">
        <f t="shared" si="24"/>
        <v/>
      </c>
      <c r="AC94" s="136"/>
      <c r="AD94" s="134">
        <f t="shared" si="25"/>
        <v>0</v>
      </c>
      <c r="AE94" s="138" t="str">
        <f t="shared" si="26"/>
        <v/>
      </c>
      <c r="AF94" s="137">
        <f t="shared" si="27"/>
        <v>0</v>
      </c>
      <c r="AG94" s="134">
        <f t="shared" si="28"/>
        <v>0</v>
      </c>
      <c r="AH94" s="138" t="str">
        <f t="shared" si="29"/>
        <v/>
      </c>
      <c r="AI94" s="137">
        <f t="shared" si="30"/>
        <v>0</v>
      </c>
      <c r="AJ94" s="458">
        <f t="shared" si="31"/>
        <v>0</v>
      </c>
      <c r="AK94" s="459">
        <f t="shared" si="32"/>
        <v>0</v>
      </c>
      <c r="AL94" s="460">
        <f t="shared" si="33"/>
        <v>0</v>
      </c>
      <c r="AM94" s="461">
        <f t="shared" si="34"/>
        <v>0</v>
      </c>
      <c r="AN94" s="462">
        <f t="shared" si="35"/>
        <v>0</v>
      </c>
      <c r="AO94" s="11"/>
    </row>
    <row r="95" spans="1:41" x14ac:dyDescent="0.25">
      <c r="A95" s="61" t="s">
        <v>41</v>
      </c>
      <c r="B95" s="62"/>
      <c r="C95" s="11"/>
      <c r="D95" s="11"/>
      <c r="E95" s="11"/>
      <c r="F95" s="11"/>
      <c r="G95" s="11"/>
      <c r="H95" s="84" t="s">
        <v>480</v>
      </c>
      <c r="I95" s="118" t="str">
        <f>IF(_epmOfflineCondition_,"T5",_xll.EVPRO($B$1,$H95,"STYLE"))</f>
        <v>T5</v>
      </c>
      <c r="J95" s="118" t="str">
        <f>IF(_epmOfflineCondition_,"Y",_xll.EVPRO($B$1,$H95,"CALC"))</f>
        <v>Y</v>
      </c>
      <c r="K95" s="86"/>
      <c r="L95" s="86"/>
      <c r="M95" s="86"/>
      <c r="N95" s="86" t="str">
        <f>IF(_epmOfflineCondition_,"Minor Operated: Allowances",IF(_xll.EVDES(H95,$B$1)="#NODATA","",_xll.EVDES(H95,$B$1)))</f>
        <v>Minor Operated: Allowances</v>
      </c>
      <c r="O95" s="134"/>
      <c r="P95" s="134"/>
      <c r="Q95" s="134"/>
      <c r="R95" s="134"/>
      <c r="S95" s="134"/>
      <c r="T95" s="134"/>
      <c r="U95" s="134"/>
      <c r="V95" s="134"/>
      <c r="W95" s="134"/>
      <c r="X95" s="134"/>
      <c r="Y95" s="134"/>
      <c r="Z95" s="134"/>
      <c r="AA95" s="223">
        <f t="shared" si="23"/>
        <v>0</v>
      </c>
      <c r="AB95" s="138"/>
      <c r="AC95" s="136"/>
      <c r="AD95" s="134"/>
      <c r="AE95" s="138"/>
      <c r="AF95" s="137">
        <f t="shared" si="27"/>
        <v>0</v>
      </c>
      <c r="AG95" s="134"/>
      <c r="AH95" s="138"/>
      <c r="AI95" s="137">
        <f t="shared" si="30"/>
        <v>0</v>
      </c>
      <c r="AJ95" s="467">
        <f t="shared" si="31"/>
        <v>0</v>
      </c>
      <c r="AK95" s="468">
        <f t="shared" si="32"/>
        <v>0</v>
      </c>
      <c r="AL95" s="469">
        <f t="shared" si="33"/>
        <v>0</v>
      </c>
      <c r="AM95" s="470" t="str">
        <f t="shared" si="34"/>
        <v>0 pts.</v>
      </c>
      <c r="AN95" s="471" t="str">
        <f t="shared" si="35"/>
        <v>0 pts.</v>
      </c>
      <c r="AO95" s="11"/>
    </row>
    <row r="96" spans="1:41" x14ac:dyDescent="0.25">
      <c r="A96" s="61" t="s">
        <v>42</v>
      </c>
      <c r="B96" s="62"/>
      <c r="C96" s="11"/>
      <c r="D96" s="11"/>
      <c r="E96" s="11"/>
      <c r="F96" s="11"/>
      <c r="G96" s="11"/>
      <c r="H96" s="84"/>
      <c r="I96" s="118"/>
      <c r="J96" s="118"/>
      <c r="K96" s="86"/>
      <c r="L96" s="86"/>
      <c r="M96" s="86"/>
      <c r="N96" s="49" t="s">
        <v>462</v>
      </c>
      <c r="O96" s="236">
        <f t="shared" ref="O96:Z96" si="53">SUM(O77:O95)</f>
        <v>259.71999999999997</v>
      </c>
      <c r="P96" s="236">
        <f t="shared" si="53"/>
        <v>1998.28</v>
      </c>
      <c r="Q96" s="236">
        <f t="shared" si="53"/>
        <v>491.68999999999994</v>
      </c>
      <c r="R96" s="236">
        <f t="shared" si="53"/>
        <v>884.73</v>
      </c>
      <c r="S96" s="236">
        <f t="shared" si="53"/>
        <v>336.14</v>
      </c>
      <c r="T96" s="236">
        <f t="shared" si="53"/>
        <v>264.2</v>
      </c>
      <c r="U96" s="236">
        <f t="shared" si="53"/>
        <v>975.35</v>
      </c>
      <c r="V96" s="236">
        <f t="shared" si="53"/>
        <v>664.17000000000007</v>
      </c>
      <c r="W96" s="236">
        <f t="shared" si="53"/>
        <v>1266.03</v>
      </c>
      <c r="X96" s="236">
        <f t="shared" si="53"/>
        <v>82.589999999999975</v>
      </c>
      <c r="Y96" s="236">
        <f t="shared" si="53"/>
        <v>821.6</v>
      </c>
      <c r="Z96" s="236">
        <f t="shared" si="53"/>
        <v>593.71</v>
      </c>
      <c r="AA96" s="236">
        <f t="shared" si="23"/>
        <v>8638.2100000000009</v>
      </c>
      <c r="AB96" s="237">
        <f>IF(AA96=0,"",IFERROR(AA96/AA19,""))</f>
        <v>0.62872042709444043</v>
      </c>
      <c r="AC96" s="238"/>
      <c r="AD96" s="236">
        <f>SUM(AD77:AD95)</f>
        <v>4653.4055399999997</v>
      </c>
      <c r="AE96" s="237">
        <f>IF(AD96=0,"",IFERROR(AD96/AD19,""))</f>
        <v>0.51156000000000001</v>
      </c>
      <c r="AF96" s="239">
        <f t="shared" si="27"/>
        <v>3984.8044600000012</v>
      </c>
      <c r="AG96" s="236">
        <f>SUM(AG77:AG95)</f>
        <v>1791.11</v>
      </c>
      <c r="AH96" s="237">
        <f>IF(AG96=0,"",IFERROR(AG96/AG19,""))</f>
        <v>0.47473157181895043</v>
      </c>
      <c r="AI96" s="239">
        <f t="shared" si="30"/>
        <v>6847.1000000000013</v>
      </c>
      <c r="AJ96" s="437">
        <f t="shared" si="31"/>
        <v>0.26270330271881276</v>
      </c>
      <c r="AK96" s="438">
        <f t="shared" si="32"/>
        <v>0.12789</v>
      </c>
      <c r="AL96" s="439">
        <f t="shared" si="33"/>
        <v>0.11799143610013174</v>
      </c>
      <c r="AM96" s="440" t="str">
        <f t="shared" si="34"/>
        <v>11.72 pts.</v>
      </c>
      <c r="AN96" s="551" t="str">
        <f t="shared" si="35"/>
        <v>15.4 pts.</v>
      </c>
      <c r="AO96" s="11"/>
    </row>
    <row r="97" spans="1:41" x14ac:dyDescent="0.25">
      <c r="A97" s="61" t="s">
        <v>43</v>
      </c>
      <c r="B97" s="62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36"/>
      <c r="P97" s="136"/>
      <c r="Q97" s="136"/>
      <c r="R97" s="136"/>
      <c r="S97" s="136"/>
      <c r="T97" s="136"/>
      <c r="U97" s="136"/>
      <c r="V97" s="136"/>
      <c r="W97" s="136"/>
      <c r="X97" s="136"/>
      <c r="Y97" s="136"/>
      <c r="Z97" s="136"/>
      <c r="AA97" s="136"/>
      <c r="AB97" s="136"/>
      <c r="AC97" s="136"/>
      <c r="AD97" s="136"/>
      <c r="AE97" s="136"/>
      <c r="AF97" s="136"/>
      <c r="AG97" s="136"/>
      <c r="AH97" s="136"/>
      <c r="AI97" s="136"/>
      <c r="AJ97" s="136"/>
      <c r="AK97" s="136"/>
      <c r="AL97" s="136"/>
      <c r="AM97" s="136"/>
      <c r="AN97" s="136"/>
      <c r="AO97" s="11"/>
    </row>
    <row r="98" spans="1:41" ht="15.75" thickBot="1" x14ac:dyDescent="0.3">
      <c r="A98" s="61" t="s">
        <v>44</v>
      </c>
      <c r="B98" s="62"/>
      <c r="C98" s="11"/>
      <c r="D98" s="11"/>
      <c r="E98" s="11"/>
      <c r="F98" s="11"/>
      <c r="G98" s="11"/>
      <c r="H98" s="84" t="s">
        <v>81</v>
      </c>
      <c r="I98" s="132" t="str">
        <f>IF(_epmOfflineCondition_,"T3",_xll.EVPRO($B$1,$H98,"STYLE"))</f>
        <v>T3</v>
      </c>
      <c r="J98" s="132" t="str">
        <f>IF(_epmOfflineCondition_,"Y",_xll.EVPRO($B$1,$H98,"CALC"))</f>
        <v>Y</v>
      </c>
      <c r="K98" s="102"/>
      <c r="L98" s="102"/>
      <c r="M98" s="102"/>
      <c r="N98" s="102" t="str">
        <f>IF(_epmOfflineCondition_,"Department Profit (Loss)",IF(_xll.EVDES(H98,$B$1)="#NODATA","",_xll.EVDES(H98,$B$1)))</f>
        <v>Department Profit (Loss)</v>
      </c>
      <c r="O98" s="161">
        <v>259.72000000000003</v>
      </c>
      <c r="P98" s="161">
        <v>1998.28</v>
      </c>
      <c r="Q98" s="161">
        <v>491.69</v>
      </c>
      <c r="R98" s="161">
        <v>884.73</v>
      </c>
      <c r="S98" s="161">
        <v>336.14</v>
      </c>
      <c r="T98" s="161">
        <v>264.2</v>
      </c>
      <c r="U98" s="161">
        <v>975.35</v>
      </c>
      <c r="V98" s="161">
        <v>664.17</v>
      </c>
      <c r="W98" s="161">
        <v>1266.03</v>
      </c>
      <c r="X98" s="161">
        <v>82.590000000000103</v>
      </c>
      <c r="Y98" s="161">
        <v>821.6</v>
      </c>
      <c r="Z98" s="161">
        <v>593.71</v>
      </c>
      <c r="AA98" s="161">
        <f>IF($I98="B1","",SUM(O98:Z98))</f>
        <v>8638.2100000000009</v>
      </c>
      <c r="AB98" s="162">
        <f>IF(AA98=0,"",IFERROR(AA98/AA$19,""))</f>
        <v>0.62872042709444043</v>
      </c>
      <c r="AC98" s="136"/>
      <c r="AD98" s="161">
        <v>4653.4055399999997</v>
      </c>
      <c r="AE98" s="162">
        <f>IF(AD98=0,"",IFERROR(AD98/AD$19,""))</f>
        <v>0.51156000000000001</v>
      </c>
      <c r="AF98" s="163">
        <f>IF(AND($AA98="",AD98=""),"",$AA98-AD98)</f>
        <v>3984.8044600000012</v>
      </c>
      <c r="AG98" s="161">
        <v>1791.11</v>
      </c>
      <c r="AH98" s="162">
        <f>IF(AG98=0,"",IFERROR(AG98/AG$19,""))</f>
        <v>0.47473157181895043</v>
      </c>
      <c r="AI98" s="163">
        <f>IF(AND($AA98="",AG98=""),"",$AA98-AG98)</f>
        <v>6847.1000000000013</v>
      </c>
      <c r="AJ98" s="442">
        <f>IFERROR(AA98/AA$20,0)</f>
        <v>0.26270330271881276</v>
      </c>
      <c r="AK98" s="443">
        <f>IFERROR(AD98/AD$20,0)</f>
        <v>0.12789</v>
      </c>
      <c r="AL98" s="444">
        <f>IFERROR(AG98/AG$20,0)</f>
        <v>0.11799143610013174</v>
      </c>
      <c r="AM98" s="445" t="str">
        <f>+IFERROR(ROUND(($AB98-AE98)*100,2)&amp;" pts.",0)</f>
        <v>11.72 pts.</v>
      </c>
      <c r="AN98" s="552" t="str">
        <f>+IFERROR(ROUND(($AB98-AH98)*100,2)&amp;" pts.",0)</f>
        <v>15.4 pts.</v>
      </c>
      <c r="AO98" s="11"/>
    </row>
    <row r="99" spans="1:41" ht="15.75" thickTop="1" x14ac:dyDescent="0.25">
      <c r="A99" s="61" t="s">
        <v>45</v>
      </c>
      <c r="B99" s="62"/>
      <c r="C99" s="11"/>
      <c r="D99" s="11"/>
      <c r="E99" s="11"/>
      <c r="F99" s="11"/>
      <c r="G99" s="11"/>
      <c r="H99" s="11"/>
      <c r="I99" s="55"/>
      <c r="J99" s="55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x14ac:dyDescent="0.25">
      <c r="A100" s="61" t="s">
        <v>46</v>
      </c>
      <c r="B100" s="62"/>
      <c r="C100" s="11"/>
      <c r="D100" s="11"/>
      <c r="E100" s="11"/>
      <c r="F100" s="11"/>
      <c r="G100" s="11"/>
      <c r="H100" s="11"/>
      <c r="I100" s="55"/>
      <c r="J100" s="55"/>
      <c r="K100" s="11"/>
      <c r="L100" s="11"/>
      <c r="M100" s="11"/>
      <c r="N100" s="100" t="str">
        <f>N98&amp;" - Check"</f>
        <v>Department Profit (Loss) - Check</v>
      </c>
      <c r="O100" s="205">
        <f t="shared" ref="O100:AA100" si="54">SUMIF($H$34:$H$74,"400000",O$34:O$74)-SUMIF($H$34:$H$74,"500001",O$34:O$74)-O96</f>
        <v>0</v>
      </c>
      <c r="P100" s="205">
        <f t="shared" si="54"/>
        <v>0</v>
      </c>
      <c r="Q100" s="205">
        <f t="shared" si="54"/>
        <v>0</v>
      </c>
      <c r="R100" s="205">
        <f t="shared" si="54"/>
        <v>0</v>
      </c>
      <c r="S100" s="205">
        <f t="shared" si="54"/>
        <v>0</v>
      </c>
      <c r="T100" s="205">
        <f t="shared" si="54"/>
        <v>0</v>
      </c>
      <c r="U100" s="205">
        <f t="shared" si="54"/>
        <v>0</v>
      </c>
      <c r="V100" s="205">
        <f t="shared" si="54"/>
        <v>0</v>
      </c>
      <c r="W100" s="205">
        <f t="shared" si="54"/>
        <v>0</v>
      </c>
      <c r="X100" s="205">
        <f t="shared" si="54"/>
        <v>1.7053025658242404E-13</v>
      </c>
      <c r="Y100" s="205">
        <f t="shared" si="54"/>
        <v>0</v>
      </c>
      <c r="Z100" s="205">
        <f t="shared" si="54"/>
        <v>0</v>
      </c>
      <c r="AA100" s="205">
        <f t="shared" si="54"/>
        <v>0</v>
      </c>
      <c r="AB100" s="96"/>
      <c r="AC100" s="11"/>
      <c r="AD100" s="205">
        <f>SUMIF($H$34:$H$74,"400000",AD$34:AD$74)-SUMIF($H$34:$H$74,"500001",AD$34:AD$74)-AD96</f>
        <v>0</v>
      </c>
      <c r="AE100" s="96"/>
      <c r="AF100" s="87"/>
      <c r="AG100" s="205">
        <f>SUMIF($H$34:$H$74,"400000",AG$34:AG$74)-SUMIF($H$34:$H$74,"500001",AG$34:AG$74)-AG96</f>
        <v>0</v>
      </c>
      <c r="AH100" s="96"/>
      <c r="AI100" s="87"/>
      <c r="AJ100" s="11"/>
      <c r="AK100" s="11"/>
      <c r="AL100" s="11"/>
      <c r="AM100" s="11"/>
      <c r="AN100" s="11"/>
      <c r="AO100" s="11"/>
    </row>
    <row r="101" spans="1:41" x14ac:dyDescent="0.25">
      <c r="A101" s="11"/>
      <c r="B101" s="11"/>
      <c r="C101" s="11"/>
      <c r="D101" s="11"/>
      <c r="E101" s="11"/>
      <c r="F101" s="11"/>
      <c r="G101" s="11"/>
      <c r="H101" s="11"/>
      <c r="I101" s="55"/>
      <c r="J101" s="55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x14ac:dyDescent="0.25">
      <c r="A102" s="11"/>
      <c r="B102" s="11"/>
      <c r="C102" s="11"/>
      <c r="D102" s="11"/>
      <c r="E102" s="11"/>
      <c r="F102" s="11"/>
      <c r="G102" s="11"/>
      <c r="H102" s="11"/>
      <c r="I102" s="55"/>
      <c r="J102" s="55"/>
      <c r="K102" s="11"/>
      <c r="L102" s="11"/>
      <c r="M102" s="11"/>
      <c r="N102" s="11"/>
      <c r="O102" s="133"/>
      <c r="P102" s="133"/>
      <c r="Q102" s="133"/>
      <c r="R102" s="133"/>
      <c r="S102" s="133"/>
      <c r="T102" s="133"/>
      <c r="U102" s="133"/>
      <c r="V102" s="133"/>
      <c r="W102" s="133"/>
      <c r="X102" s="133"/>
      <c r="Y102" s="133"/>
      <c r="Z102" s="133"/>
      <c r="AA102" s="133"/>
      <c r="AB102" s="11"/>
      <c r="AC102" s="11"/>
      <c r="AD102" s="133"/>
      <c r="AE102" s="11"/>
      <c r="AF102" s="11"/>
      <c r="AG102" s="133"/>
      <c r="AH102" s="11"/>
      <c r="AI102" s="11"/>
      <c r="AJ102" s="11"/>
      <c r="AK102" s="11"/>
      <c r="AL102" s="11"/>
      <c r="AM102" s="11"/>
      <c r="AN102" s="11"/>
      <c r="AO102" s="11"/>
    </row>
    <row r="103" spans="1:41" x14ac:dyDescent="0.25">
      <c r="A103" s="11"/>
      <c r="B103" s="11"/>
      <c r="C103" s="11"/>
      <c r="D103" s="11"/>
      <c r="E103" s="11"/>
      <c r="F103" s="11"/>
      <c r="G103" s="11"/>
      <c r="H103" s="11"/>
      <c r="I103" s="55"/>
      <c r="J103" s="55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x14ac:dyDescent="0.25">
      <c r="A104" s="11"/>
      <c r="B104" s="11"/>
      <c r="C104" s="11"/>
      <c r="D104" s="11"/>
      <c r="E104" s="11"/>
      <c r="F104" s="11"/>
      <c r="G104" s="11"/>
      <c r="H104" s="11"/>
      <c r="I104" s="55"/>
      <c r="J104" s="55"/>
      <c r="K104" s="11"/>
      <c r="L104" s="11"/>
      <c r="M104" s="11"/>
      <c r="N104" s="11"/>
      <c r="O104" s="133"/>
      <c r="P104" s="133"/>
      <c r="Q104" s="133"/>
      <c r="R104" s="133"/>
      <c r="S104" s="133"/>
      <c r="T104" s="133"/>
      <c r="U104" s="133"/>
      <c r="V104" s="133"/>
      <c r="W104" s="133"/>
      <c r="X104" s="133"/>
      <c r="Y104" s="133"/>
      <c r="Z104" s="133"/>
      <c r="AA104" s="133"/>
      <c r="AB104" s="11"/>
      <c r="AC104" s="11"/>
      <c r="AD104" s="133"/>
      <c r="AE104" s="11"/>
      <c r="AF104" s="11"/>
      <c r="AG104" s="133"/>
      <c r="AH104" s="11"/>
      <c r="AI104" s="11"/>
      <c r="AJ104" s="11"/>
      <c r="AK104" s="11"/>
      <c r="AL104" s="11"/>
      <c r="AM104" s="11"/>
      <c r="AN104" s="11"/>
      <c r="AO104" s="11"/>
    </row>
    <row r="105" spans="1:41" x14ac:dyDescent="0.25">
      <c r="A105" s="11"/>
      <c r="B105" s="11"/>
      <c r="C105" s="11"/>
      <c r="D105" s="11"/>
      <c r="E105" s="11"/>
      <c r="F105" s="11"/>
      <c r="G105" s="11"/>
      <c r="H105" s="11"/>
      <c r="I105" s="55"/>
      <c r="J105" s="55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x14ac:dyDescent="0.25">
      <c r="A106" s="11"/>
      <c r="B106" s="11"/>
      <c r="C106" s="11"/>
      <c r="D106" s="11"/>
      <c r="E106" s="11"/>
      <c r="F106" s="11"/>
      <c r="G106" s="11"/>
      <c r="H106" s="11"/>
      <c r="I106" s="55"/>
      <c r="J106" s="55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x14ac:dyDescent="0.25">
      <c r="A107" s="11"/>
      <c r="B107" s="11"/>
      <c r="C107" s="11"/>
      <c r="D107" s="11"/>
      <c r="E107" s="11"/>
      <c r="F107" s="11"/>
      <c r="G107" s="11"/>
      <c r="H107" s="11"/>
      <c r="I107" s="55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x14ac:dyDescent="0.25">
      <c r="A108" s="11"/>
      <c r="B108" s="11"/>
      <c r="C108" s="11"/>
      <c r="D108" s="11"/>
      <c r="E108" s="11"/>
      <c r="F108" s="11"/>
      <c r="G108" s="11"/>
      <c r="H108" s="55"/>
      <c r="I108" s="55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x14ac:dyDescent="0.25">
      <c r="A109" s="11"/>
      <c r="B109" s="11"/>
      <c r="C109" s="11"/>
      <c r="D109" s="11"/>
      <c r="E109" s="11"/>
      <c r="F109" s="11"/>
      <c r="G109" s="11"/>
      <c r="H109" s="55"/>
      <c r="I109" s="55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x14ac:dyDescent="0.25">
      <c r="A110" s="11"/>
      <c r="B110" s="11"/>
      <c r="C110" s="11"/>
      <c r="D110" s="11"/>
      <c r="E110" s="11"/>
      <c r="F110" s="11"/>
      <c r="G110" s="11"/>
      <c r="H110" s="55"/>
      <c r="I110" s="55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x14ac:dyDescent="0.25">
      <c r="A111" s="11"/>
      <c r="B111" s="11"/>
      <c r="C111" s="11"/>
      <c r="D111" s="11"/>
      <c r="E111" s="11"/>
      <c r="F111" s="11"/>
      <c r="G111" s="11"/>
      <c r="H111" s="55"/>
      <c r="I111" s="55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x14ac:dyDescent="0.25">
      <c r="A112" s="11"/>
      <c r="B112" s="11"/>
      <c r="C112" s="11"/>
      <c r="D112" s="11"/>
      <c r="E112" s="11"/>
      <c r="F112" s="11"/>
      <c r="G112" s="11"/>
      <c r="H112" s="55"/>
      <c r="I112" s="55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x14ac:dyDescent="0.25">
      <c r="A113" s="11"/>
      <c r="B113" s="11"/>
      <c r="C113" s="11"/>
      <c r="D113" s="11"/>
      <c r="E113" s="11"/>
      <c r="F113" s="11"/>
      <c r="G113" s="11"/>
      <c r="H113" s="55"/>
      <c r="I113" s="55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  <row r="114" spans="1:41" x14ac:dyDescent="0.25">
      <c r="A114" s="11"/>
      <c r="B114" s="11"/>
      <c r="C114" s="11"/>
      <c r="D114" s="11"/>
      <c r="E114" s="11"/>
      <c r="F114" s="11"/>
      <c r="G114" s="11"/>
      <c r="H114" s="55"/>
      <c r="I114" s="55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x14ac:dyDescent="0.25">
      <c r="A115" s="11"/>
      <c r="B115" s="11"/>
      <c r="C115" s="11"/>
      <c r="D115" s="11"/>
      <c r="E115" s="11"/>
      <c r="F115" s="11"/>
      <c r="G115" s="11"/>
      <c r="H115" s="55"/>
      <c r="I115" s="55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x14ac:dyDescent="0.25">
      <c r="A116" s="11"/>
      <c r="B116" s="11"/>
      <c r="C116" s="11"/>
      <c r="D116" s="11"/>
      <c r="E116" s="11"/>
      <c r="F116" s="11"/>
      <c r="G116" s="11"/>
      <c r="H116" s="55"/>
      <c r="I116" s="55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x14ac:dyDescent="0.25">
      <c r="A117" s="11"/>
      <c r="B117" s="11"/>
      <c r="C117" s="11"/>
      <c r="D117" s="11"/>
      <c r="E117" s="263"/>
      <c r="F117" s="11"/>
      <c r="G117" s="11"/>
      <c r="H117" s="55"/>
      <c r="I117" s="55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x14ac:dyDescent="0.25">
      <c r="A118" s="11"/>
      <c r="B118" s="11"/>
      <c r="C118" s="11"/>
      <c r="D118" s="11"/>
      <c r="E118" s="11"/>
      <c r="F118" s="11"/>
      <c r="G118" s="11"/>
      <c r="H118" s="55"/>
      <c r="I118" s="55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x14ac:dyDescent="0.25">
      <c r="A119" s="11"/>
      <c r="B119" s="11"/>
      <c r="C119" s="11"/>
      <c r="D119" s="11"/>
      <c r="E119" s="11"/>
      <c r="F119" s="11"/>
      <c r="G119" s="11"/>
      <c r="H119" s="55"/>
      <c r="I119" s="55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x14ac:dyDescent="0.25">
      <c r="A120" s="11"/>
      <c r="B120" s="11"/>
      <c r="C120" s="11"/>
      <c r="D120" s="11"/>
      <c r="E120" s="11"/>
      <c r="F120" s="11"/>
      <c r="G120" s="11"/>
      <c r="H120" s="55"/>
      <c r="I120" s="55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x14ac:dyDescent="0.25">
      <c r="A121" s="11"/>
      <c r="B121" s="11"/>
      <c r="C121" s="11"/>
      <c r="D121" s="11"/>
      <c r="E121" s="263"/>
      <c r="F121" s="11"/>
      <c r="G121" s="11"/>
      <c r="H121" s="55"/>
      <c r="I121" s="55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x14ac:dyDescent="0.25">
      <c r="A122" s="11"/>
      <c r="B122" s="11"/>
      <c r="C122" s="11"/>
      <c r="D122" s="11"/>
      <c r="E122" s="11"/>
      <c r="F122" s="11"/>
      <c r="G122" s="11"/>
      <c r="H122" s="55"/>
      <c r="I122" s="55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x14ac:dyDescent="0.25">
      <c r="A123" s="11"/>
      <c r="B123" s="11"/>
      <c r="C123" s="11"/>
      <c r="D123" s="11"/>
      <c r="E123" s="11"/>
      <c r="F123" s="11"/>
      <c r="G123" s="11"/>
      <c r="H123" s="55"/>
      <c r="I123" s="55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x14ac:dyDescent="0.25">
      <c r="A124" s="11"/>
      <c r="B124" s="11"/>
      <c r="C124" s="11"/>
      <c r="D124" s="11"/>
      <c r="E124" s="11"/>
      <c r="F124" s="11"/>
      <c r="G124" s="11"/>
      <c r="H124" s="55"/>
      <c r="I124" s="55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x14ac:dyDescent="0.25">
      <c r="A125" s="11"/>
      <c r="B125" s="11"/>
      <c r="C125" s="11"/>
      <c r="D125" s="11"/>
      <c r="E125" s="11"/>
      <c r="F125" s="11"/>
      <c r="G125" s="11"/>
      <c r="H125" s="55"/>
      <c r="I125" s="55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x14ac:dyDescent="0.25">
      <c r="A126" s="11"/>
      <c r="B126" s="11"/>
      <c r="C126" s="11"/>
      <c r="D126" s="11"/>
      <c r="E126" s="11"/>
      <c r="F126" s="11"/>
      <c r="G126" s="11"/>
      <c r="H126" s="55"/>
      <c r="I126" s="55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x14ac:dyDescent="0.25">
      <c r="A127" s="11"/>
      <c r="B127" s="11"/>
      <c r="C127" s="11"/>
      <c r="D127" s="11"/>
      <c r="E127" s="11"/>
      <c r="F127" s="11"/>
      <c r="G127" s="11"/>
      <c r="H127" s="55"/>
      <c r="I127" s="55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x14ac:dyDescent="0.25">
      <c r="A128" s="11"/>
      <c r="B128" s="11"/>
      <c r="C128" s="11"/>
      <c r="D128" s="11"/>
      <c r="E128" s="11"/>
      <c r="F128" s="11"/>
      <c r="G128" s="11"/>
      <c r="H128" s="55"/>
      <c r="I128" s="55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</row>
    <row r="129" spans="1:41" x14ac:dyDescent="0.25">
      <c r="A129" s="11"/>
      <c r="B129" s="11"/>
      <c r="C129" s="11"/>
      <c r="D129" s="11"/>
      <c r="E129" s="11"/>
      <c r="F129" s="11"/>
      <c r="G129" s="11"/>
      <c r="H129" s="55"/>
      <c r="I129" s="55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x14ac:dyDescent="0.25">
      <c r="A130" s="11"/>
      <c r="B130" s="11"/>
      <c r="C130" s="11"/>
      <c r="D130" s="11"/>
      <c r="E130" s="11"/>
      <c r="F130" s="11"/>
      <c r="G130" s="11"/>
      <c r="H130" s="55"/>
      <c r="I130" s="55"/>
      <c r="J130" s="55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x14ac:dyDescent="0.25">
      <c r="A131" s="11"/>
      <c r="B131" s="11"/>
      <c r="C131" s="11"/>
      <c r="D131" s="11"/>
      <c r="E131" s="11"/>
      <c r="F131" s="11"/>
      <c r="G131" s="11"/>
      <c r="H131" s="11"/>
      <c r="I131" s="55"/>
      <c r="J131" s="55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x14ac:dyDescent="0.25">
      <c r="A132" s="11"/>
      <c r="B132" s="11"/>
      <c r="C132" s="11"/>
      <c r="D132" s="11"/>
      <c r="E132" s="11"/>
      <c r="F132" s="11"/>
      <c r="G132" s="11"/>
      <c r="H132" s="11"/>
      <c r="I132" s="55"/>
      <c r="J132" s="55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x14ac:dyDescent="0.25">
      <c r="A133" s="11"/>
      <c r="B133" s="11"/>
      <c r="C133" s="11"/>
      <c r="D133" s="11"/>
      <c r="E133" s="11"/>
      <c r="F133" s="11"/>
      <c r="G133" s="11"/>
      <c r="H133" s="11"/>
      <c r="I133" s="55"/>
      <c r="J133" s="55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x14ac:dyDescent="0.25">
      <c r="A134" s="11"/>
      <c r="B134" s="11"/>
      <c r="C134" s="11"/>
      <c r="D134" s="11"/>
      <c r="E134" s="11"/>
      <c r="F134" s="11"/>
      <c r="G134" s="11"/>
      <c r="H134" s="11"/>
      <c r="I134" s="55"/>
      <c r="J134" s="55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x14ac:dyDescent="0.25">
      <c r="A135" s="11"/>
      <c r="B135" s="11"/>
      <c r="C135" s="11"/>
      <c r="D135" s="11"/>
      <c r="E135" s="11"/>
      <c r="F135" s="11"/>
      <c r="G135" s="11"/>
      <c r="H135" s="11"/>
      <c r="I135" s="55"/>
      <c r="J135" s="55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x14ac:dyDescent="0.25">
      <c r="A136" s="11"/>
      <c r="B136" s="11"/>
      <c r="C136" s="11"/>
      <c r="D136" s="11"/>
      <c r="E136" s="11"/>
      <c r="F136" s="11"/>
      <c r="G136" s="11"/>
      <c r="H136" s="11"/>
      <c r="I136" s="55"/>
      <c r="J136" s="55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x14ac:dyDescent="0.25">
      <c r="A137" s="11"/>
      <c r="B137" s="11"/>
      <c r="C137" s="11"/>
      <c r="D137" s="11"/>
      <c r="E137" s="11"/>
      <c r="F137" s="11"/>
      <c r="G137" s="11"/>
      <c r="H137" s="11"/>
      <c r="I137" s="55"/>
      <c r="J137" s="55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x14ac:dyDescent="0.25">
      <c r="A138" s="11"/>
      <c r="B138" s="11"/>
      <c r="C138" s="11"/>
      <c r="D138" s="11"/>
      <c r="E138" s="11"/>
      <c r="F138" s="11"/>
      <c r="G138" s="11"/>
      <c r="H138" s="11"/>
      <c r="I138" s="55"/>
      <c r="J138" s="55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x14ac:dyDescent="0.25">
      <c r="A139" s="11"/>
      <c r="B139" s="11"/>
      <c r="C139" s="11"/>
      <c r="D139" s="11"/>
      <c r="E139" s="11"/>
      <c r="F139" s="11"/>
      <c r="G139" s="11"/>
      <c r="H139" s="11"/>
      <c r="I139" s="55"/>
      <c r="J139" s="55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x14ac:dyDescent="0.25">
      <c r="A140" s="11"/>
      <c r="B140" s="11"/>
      <c r="C140" s="11"/>
      <c r="D140" s="11"/>
      <c r="E140" s="11"/>
      <c r="F140" s="11"/>
      <c r="G140" s="11"/>
      <c r="H140" s="11"/>
      <c r="I140" s="55"/>
      <c r="J140" s="55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</row>
    <row r="141" spans="1:41" x14ac:dyDescent="0.25">
      <c r="A141" s="11"/>
      <c r="B141" s="11"/>
      <c r="C141" s="11"/>
      <c r="D141" s="11"/>
      <c r="E141" s="11"/>
      <c r="F141" s="11"/>
      <c r="G141" s="11"/>
      <c r="H141" s="11"/>
      <c r="I141" s="55"/>
      <c r="J141" s="55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x14ac:dyDescent="0.25">
      <c r="A142" s="11"/>
      <c r="B142" s="11"/>
      <c r="C142" s="11"/>
      <c r="D142" s="11"/>
      <c r="E142" s="11"/>
      <c r="F142" s="11"/>
      <c r="G142" s="11"/>
      <c r="H142" s="11"/>
      <c r="I142" s="55"/>
      <c r="J142" s="55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</row>
    <row r="143" spans="1:41" x14ac:dyDescent="0.25">
      <c r="A143" s="11"/>
      <c r="B143" s="11"/>
      <c r="C143" s="11"/>
      <c r="D143" s="11"/>
      <c r="E143" s="11"/>
      <c r="F143" s="11"/>
      <c r="G143" s="11"/>
      <c r="H143" s="11"/>
      <c r="I143" s="55"/>
      <c r="J143" s="55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x14ac:dyDescent="0.25">
      <c r="A144" s="11"/>
      <c r="B144" s="11"/>
      <c r="C144" s="11"/>
      <c r="D144" s="11"/>
      <c r="E144" s="11"/>
      <c r="F144" s="11"/>
      <c r="G144" s="11"/>
      <c r="H144" s="11"/>
      <c r="I144" s="55"/>
      <c r="J144" s="55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</row>
    <row r="145" spans="1:41" x14ac:dyDescent="0.25">
      <c r="A145" s="11"/>
      <c r="B145" s="11"/>
      <c r="C145" s="11"/>
      <c r="D145" s="11"/>
      <c r="E145" s="11"/>
      <c r="F145" s="11"/>
      <c r="G145" s="11"/>
      <c r="H145" s="11"/>
      <c r="I145" s="55"/>
      <c r="J145" s="55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</row>
    <row r="146" spans="1:41" x14ac:dyDescent="0.25">
      <c r="A146" s="11"/>
      <c r="B146" s="11"/>
      <c r="C146" s="11"/>
      <c r="D146" s="11"/>
      <c r="E146" s="11"/>
      <c r="F146" s="11"/>
      <c r="G146" s="11"/>
      <c r="H146" s="11"/>
      <c r="I146" s="55"/>
      <c r="J146" s="55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</row>
    <row r="147" spans="1:41" x14ac:dyDescent="0.25">
      <c r="A147" s="11"/>
      <c r="B147" s="11"/>
      <c r="C147" s="11"/>
      <c r="D147" s="11"/>
      <c r="E147" s="11"/>
      <c r="F147" s="11"/>
      <c r="G147" s="11"/>
      <c r="H147" s="11"/>
      <c r="I147" s="55"/>
      <c r="J147" s="55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</row>
    <row r="148" spans="1:41" x14ac:dyDescent="0.25">
      <c r="A148" s="11"/>
      <c r="B148" s="11"/>
      <c r="C148" s="11"/>
      <c r="D148" s="11"/>
      <c r="E148" s="11"/>
      <c r="F148" s="11"/>
      <c r="G148" s="11"/>
      <c r="H148" s="11"/>
      <c r="I148" s="55"/>
      <c r="J148" s="55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x14ac:dyDescent="0.25">
      <c r="A149" s="11"/>
      <c r="B149" s="11"/>
      <c r="C149" s="11"/>
      <c r="D149" s="11"/>
      <c r="E149" s="11"/>
      <c r="F149" s="11"/>
      <c r="G149" s="11"/>
      <c r="H149" s="11"/>
      <c r="I149" s="55"/>
      <c r="J149" s="55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</row>
    <row r="150" spans="1:41" x14ac:dyDescent="0.25">
      <c r="A150" s="11"/>
      <c r="B150" s="11"/>
      <c r="C150" s="11"/>
      <c r="D150" s="11"/>
      <c r="E150" s="11"/>
      <c r="F150" s="11"/>
      <c r="G150" s="11"/>
      <c r="H150" s="11"/>
      <c r="I150" s="55"/>
      <c r="J150" s="55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x14ac:dyDescent="0.25">
      <c r="A151" s="11"/>
      <c r="B151" s="11"/>
      <c r="C151" s="11"/>
      <c r="D151" s="11"/>
      <c r="E151" s="11"/>
      <c r="F151" s="11"/>
      <c r="G151" s="11"/>
      <c r="H151" s="11"/>
      <c r="I151" s="55"/>
      <c r="J151" s="55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</row>
    <row r="152" spans="1:41" x14ac:dyDescent="0.25">
      <c r="A152" s="11"/>
      <c r="B152" s="11"/>
      <c r="C152" s="11"/>
      <c r="D152" s="11"/>
      <c r="E152" s="11"/>
      <c r="F152" s="11"/>
      <c r="G152" s="11"/>
      <c r="H152" s="11"/>
      <c r="I152" s="55"/>
      <c r="J152" s="55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x14ac:dyDescent="0.25">
      <c r="A153" s="11"/>
      <c r="B153" s="11"/>
      <c r="C153" s="11"/>
      <c r="D153" s="11"/>
      <c r="E153" s="11"/>
      <c r="F153" s="11"/>
      <c r="G153" s="11"/>
      <c r="H153" s="11"/>
      <c r="I153" s="55"/>
      <c r="J153" s="55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x14ac:dyDescent="0.25">
      <c r="A154" s="11"/>
      <c r="B154" s="11"/>
      <c r="C154" s="11"/>
      <c r="D154" s="11"/>
      <c r="E154" s="11"/>
      <c r="F154" s="11"/>
      <c r="G154" s="11"/>
      <c r="H154" s="11"/>
      <c r="I154" s="55"/>
      <c r="J154" s="55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x14ac:dyDescent="0.25">
      <c r="A155" s="11"/>
      <c r="B155" s="11"/>
      <c r="C155" s="11"/>
      <c r="D155" s="11"/>
      <c r="E155" s="11"/>
      <c r="F155" s="11"/>
      <c r="G155" s="11"/>
      <c r="H155" s="11"/>
      <c r="I155" s="55"/>
      <c r="J155" s="55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x14ac:dyDescent="0.25">
      <c r="A156" s="11"/>
      <c r="B156" s="11"/>
      <c r="C156" s="11"/>
      <c r="D156" s="11"/>
      <c r="E156" s="11"/>
      <c r="F156" s="11"/>
      <c r="G156" s="11"/>
      <c r="H156" s="11"/>
      <c r="I156" s="55"/>
      <c r="J156" s="55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x14ac:dyDescent="0.25">
      <c r="A157" s="11"/>
      <c r="B157" s="11"/>
      <c r="C157" s="11"/>
      <c r="D157" s="11"/>
      <c r="E157" s="11"/>
      <c r="F157" s="11"/>
      <c r="G157" s="11"/>
      <c r="H157" s="11"/>
      <c r="I157" s="55"/>
      <c r="J157" s="55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</row>
    <row r="158" spans="1:41" x14ac:dyDescent="0.25">
      <c r="A158" s="11"/>
      <c r="B158" s="11"/>
      <c r="C158" s="11"/>
      <c r="D158" s="11"/>
      <c r="E158" s="11"/>
      <c r="F158" s="11"/>
      <c r="G158" s="11"/>
      <c r="H158" s="11"/>
      <c r="I158" s="55"/>
      <c r="J158" s="55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</row>
    <row r="159" spans="1:41" x14ac:dyDescent="0.25">
      <c r="A159" s="11"/>
      <c r="B159" s="11"/>
      <c r="C159" s="11"/>
      <c r="D159" s="11"/>
      <c r="E159" s="11"/>
      <c r="F159" s="11"/>
      <c r="G159" s="11"/>
      <c r="H159" s="11"/>
      <c r="I159" s="55"/>
      <c r="J159" s="55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</row>
    <row r="160" spans="1:41" x14ac:dyDescent="0.25">
      <c r="A160" s="11"/>
      <c r="B160" s="11"/>
      <c r="C160" s="11"/>
      <c r="D160" s="11"/>
      <c r="E160" s="11"/>
      <c r="F160" s="11"/>
      <c r="G160" s="11"/>
      <c r="H160" s="11"/>
      <c r="I160" s="55"/>
      <c r="J160" s="55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</row>
    <row r="161" spans="1:41" x14ac:dyDescent="0.25">
      <c r="A161" s="11"/>
      <c r="B161" s="11"/>
      <c r="C161" s="11"/>
      <c r="D161" s="11"/>
      <c r="E161" s="11"/>
      <c r="F161" s="11"/>
      <c r="G161" s="11"/>
      <c r="H161" s="11"/>
      <c r="I161" s="55"/>
      <c r="J161" s="55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</row>
    <row r="162" spans="1:41" x14ac:dyDescent="0.25">
      <c r="A162" s="11"/>
      <c r="B162" s="11"/>
      <c r="C162" s="11"/>
      <c r="D162" s="11"/>
      <c r="E162" s="11"/>
      <c r="F162" s="11"/>
      <c r="G162" s="11"/>
      <c r="H162" s="11"/>
      <c r="I162" s="55"/>
      <c r="J162" s="55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</row>
    <row r="163" spans="1:41" x14ac:dyDescent="0.25">
      <c r="A163" s="11"/>
      <c r="B163" s="11"/>
      <c r="C163" s="11"/>
      <c r="D163" s="11"/>
      <c r="E163" s="11"/>
      <c r="F163" s="11"/>
      <c r="G163" s="11"/>
      <c r="H163" s="11"/>
      <c r="I163" s="55"/>
      <c r="J163" s="55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</row>
    <row r="164" spans="1:41" x14ac:dyDescent="0.25">
      <c r="A164" s="11"/>
      <c r="B164" s="11"/>
      <c r="C164" s="11"/>
      <c r="D164" s="11"/>
      <c r="E164" s="11"/>
      <c r="F164" s="11"/>
      <c r="G164" s="11"/>
      <c r="H164" s="11"/>
      <c r="I164" s="55"/>
      <c r="J164" s="55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</row>
    <row r="165" spans="1:41" x14ac:dyDescent="0.25">
      <c r="A165" s="11"/>
      <c r="B165" s="11"/>
      <c r="C165" s="11"/>
      <c r="D165" s="11"/>
      <c r="E165" s="11"/>
      <c r="F165" s="11"/>
      <c r="G165" s="11"/>
      <c r="H165" s="11"/>
      <c r="I165" s="55"/>
      <c r="J165" s="55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</row>
    <row r="166" spans="1:41" x14ac:dyDescent="0.25">
      <c r="A166" s="11"/>
      <c r="B166" s="11"/>
      <c r="C166" s="11"/>
      <c r="D166" s="11"/>
      <c r="E166" s="11"/>
      <c r="F166" s="11"/>
      <c r="G166" s="11"/>
      <c r="H166" s="11"/>
      <c r="I166" s="55"/>
      <c r="J166" s="55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</row>
    <row r="167" spans="1:41" x14ac:dyDescent="0.25">
      <c r="A167" s="11"/>
      <c r="B167" s="11"/>
      <c r="C167" s="11"/>
      <c r="D167" s="11"/>
      <c r="E167" s="11"/>
      <c r="F167" s="11"/>
      <c r="G167" s="11"/>
      <c r="H167" s="11"/>
      <c r="I167" s="55"/>
      <c r="J167" s="55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</row>
    <row r="168" spans="1:41" x14ac:dyDescent="0.25">
      <c r="A168" s="11"/>
      <c r="B168" s="11"/>
      <c r="C168" s="11"/>
      <c r="D168" s="11"/>
      <c r="E168" s="11"/>
      <c r="F168" s="11"/>
      <c r="G168" s="11"/>
      <c r="H168" s="11"/>
      <c r="I168" s="55"/>
      <c r="J168" s="55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</row>
    <row r="169" spans="1:41" x14ac:dyDescent="0.25">
      <c r="A169" s="11"/>
      <c r="B169" s="11"/>
      <c r="C169" s="11"/>
      <c r="D169" s="11"/>
      <c r="E169" s="11"/>
      <c r="F169" s="11"/>
      <c r="G169" s="11"/>
      <c r="H169" s="11"/>
      <c r="I169" s="55"/>
      <c r="J169" s="55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</row>
    <row r="170" spans="1:41" x14ac:dyDescent="0.25">
      <c r="A170" s="11"/>
      <c r="B170" s="11"/>
      <c r="C170" s="11"/>
      <c r="D170" s="11"/>
      <c r="E170" s="11"/>
      <c r="F170" s="11"/>
      <c r="G170" s="11"/>
      <c r="H170" s="11"/>
      <c r="I170" s="55"/>
      <c r="J170" s="11"/>
      <c r="K170" s="263"/>
      <c r="L170" s="263"/>
      <c r="M170" s="263"/>
      <c r="N170" s="11"/>
      <c r="O170" s="263"/>
      <c r="P170" s="263"/>
      <c r="Q170" s="263"/>
      <c r="R170" s="263"/>
      <c r="S170" s="263"/>
      <c r="T170" s="263"/>
      <c r="U170" s="263"/>
      <c r="V170" s="263"/>
      <c r="W170" s="263"/>
      <c r="X170" s="263"/>
      <c r="Y170" s="263"/>
      <c r="Z170" s="263"/>
      <c r="AA170" s="263"/>
      <c r="AB170" s="11"/>
      <c r="AC170" s="11"/>
      <c r="AD170" s="263"/>
      <c r="AE170" s="11"/>
      <c r="AF170" s="263"/>
      <c r="AG170" s="11"/>
      <c r="AH170" s="263"/>
      <c r="AI170" s="11"/>
      <c r="AJ170" s="11"/>
      <c r="AK170" s="11"/>
      <c r="AL170" s="11"/>
      <c r="AM170" s="11"/>
      <c r="AN170" s="11"/>
      <c r="AO170" s="11"/>
    </row>
    <row r="171" spans="1:41" x14ac:dyDescent="0.25">
      <c r="A171" s="11"/>
      <c r="B171" s="11"/>
      <c r="C171" s="11"/>
      <c r="D171" s="11"/>
      <c r="E171" s="11"/>
      <c r="F171" s="11"/>
      <c r="G171" s="11"/>
      <c r="H171" s="11"/>
      <c r="I171" s="263"/>
      <c r="J171" s="55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</row>
    <row r="172" spans="1:41" x14ac:dyDescent="0.25">
      <c r="A172" s="11"/>
      <c r="B172" s="11"/>
      <c r="C172" s="11"/>
      <c r="D172" s="11"/>
      <c r="E172" s="11"/>
      <c r="F172" s="11"/>
      <c r="G172" s="11"/>
      <c r="H172" s="11"/>
      <c r="I172" s="55"/>
      <c r="J172" s="55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</row>
    <row r="173" spans="1:41" x14ac:dyDescent="0.25">
      <c r="A173" s="11"/>
      <c r="B173" s="11"/>
      <c r="C173" s="11"/>
      <c r="D173" s="11"/>
      <c r="E173" s="11"/>
      <c r="F173" s="11"/>
      <c r="G173" s="11"/>
      <c r="H173" s="11"/>
      <c r="I173" s="55"/>
      <c r="J173" s="55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</row>
    <row r="174" spans="1:41" x14ac:dyDescent="0.25">
      <c r="A174" s="11"/>
      <c r="B174" s="11"/>
      <c r="C174" s="11"/>
      <c r="D174" s="11"/>
      <c r="E174" s="11"/>
      <c r="F174" s="11"/>
      <c r="G174" s="11"/>
      <c r="H174" s="11"/>
      <c r="I174" s="55"/>
      <c r="J174" s="11"/>
      <c r="K174" s="263"/>
      <c r="L174" s="263"/>
      <c r="M174" s="263"/>
      <c r="N174" s="11"/>
      <c r="O174" s="263"/>
      <c r="P174" s="263"/>
      <c r="Q174" s="263"/>
      <c r="R174" s="263"/>
      <c r="S174" s="263"/>
      <c r="T174" s="263"/>
      <c r="U174" s="263"/>
      <c r="V174" s="263"/>
      <c r="W174" s="263"/>
      <c r="X174" s="263"/>
      <c r="Y174" s="263"/>
      <c r="Z174" s="263"/>
      <c r="AA174" s="263"/>
      <c r="AB174" s="11"/>
      <c r="AC174" s="11"/>
      <c r="AD174" s="263"/>
      <c r="AE174" s="11"/>
      <c r="AF174" s="263"/>
      <c r="AG174" s="11"/>
      <c r="AH174" s="263"/>
      <c r="AI174" s="11"/>
      <c r="AJ174" s="11"/>
      <c r="AK174" s="11"/>
      <c r="AL174" s="11"/>
      <c r="AM174" s="11"/>
      <c r="AN174" s="11"/>
      <c r="AO174" s="11"/>
    </row>
    <row r="175" spans="1:41" x14ac:dyDescent="0.25">
      <c r="A175" s="11"/>
      <c r="B175" s="11"/>
      <c r="C175" s="11"/>
      <c r="D175" s="11"/>
      <c r="E175" s="11"/>
      <c r="F175" s="11"/>
      <c r="G175" s="11"/>
      <c r="H175" s="11"/>
      <c r="I175" s="263"/>
      <c r="J175" s="55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</row>
    <row r="176" spans="1:41" x14ac:dyDescent="0.25">
      <c r="A176" s="11"/>
      <c r="B176" s="11"/>
      <c r="C176" s="11"/>
      <c r="D176" s="11"/>
      <c r="E176" s="11"/>
      <c r="F176" s="11"/>
      <c r="G176" s="11"/>
      <c r="H176" s="11"/>
      <c r="I176" s="55"/>
      <c r="J176" s="55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</row>
    <row r="177" spans="1:41" x14ac:dyDescent="0.25">
      <c r="A177" s="11"/>
      <c r="B177" s="11"/>
      <c r="C177" s="11"/>
      <c r="D177" s="11"/>
      <c r="E177" s="11"/>
      <c r="F177" s="11"/>
      <c r="G177" s="11"/>
      <c r="H177" s="11"/>
      <c r="I177" s="55"/>
      <c r="J177" s="55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</row>
    <row r="178" spans="1:41" x14ac:dyDescent="0.25">
      <c r="A178" s="11"/>
      <c r="B178" s="11"/>
      <c r="C178" s="11"/>
      <c r="D178" s="11"/>
      <c r="E178" s="11"/>
      <c r="F178" s="11"/>
      <c r="G178" s="11"/>
      <c r="H178" s="11"/>
      <c r="I178" s="55"/>
      <c r="J178" s="55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</row>
    <row r="179" spans="1:41" x14ac:dyDescent="0.25">
      <c r="A179" s="11"/>
      <c r="B179" s="11"/>
      <c r="C179" s="11"/>
      <c r="D179" s="11"/>
      <c r="E179" s="11"/>
      <c r="F179" s="11"/>
      <c r="G179" s="11"/>
      <c r="H179" s="11"/>
      <c r="I179" s="55"/>
      <c r="J179" s="55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</row>
    <row r="180" spans="1:41" x14ac:dyDescent="0.25">
      <c r="A180" s="11"/>
      <c r="B180" s="11"/>
      <c r="C180" s="11"/>
      <c r="D180" s="11"/>
      <c r="E180" s="11"/>
      <c r="F180" s="11"/>
      <c r="G180" s="11"/>
      <c r="H180" s="11"/>
      <c r="I180" s="55"/>
      <c r="J180" s="55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</row>
    <row r="181" spans="1:41" x14ac:dyDescent="0.25">
      <c r="A181" s="11"/>
      <c r="B181" s="11"/>
      <c r="C181" s="11"/>
      <c r="D181" s="11"/>
      <c r="E181" s="11"/>
      <c r="F181" s="11"/>
      <c r="G181" s="11"/>
      <c r="H181" s="11"/>
      <c r="I181" s="55"/>
      <c r="J181" s="55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</row>
    <row r="182" spans="1:41" x14ac:dyDescent="0.25">
      <c r="A182" s="11"/>
      <c r="B182" s="11"/>
      <c r="C182" s="11"/>
      <c r="D182" s="11"/>
      <c r="E182" s="11"/>
      <c r="F182" s="11"/>
      <c r="G182" s="11"/>
      <c r="H182" s="11"/>
      <c r="I182" s="55"/>
      <c r="J182" s="55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</row>
    <row r="183" spans="1:41" x14ac:dyDescent="0.25">
      <c r="A183" s="11"/>
      <c r="B183" s="11"/>
      <c r="C183" s="11"/>
      <c r="D183" s="11"/>
      <c r="E183" s="11"/>
      <c r="F183" s="11"/>
      <c r="G183" s="11"/>
      <c r="H183" s="11"/>
      <c r="I183" s="55"/>
      <c r="J183" s="55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</row>
    <row r="184" spans="1:41" x14ac:dyDescent="0.25">
      <c r="A184" s="11"/>
      <c r="B184" s="11"/>
      <c r="C184" s="11"/>
      <c r="D184" s="11"/>
      <c r="E184" s="11"/>
      <c r="F184" s="11"/>
      <c r="G184" s="11"/>
      <c r="H184" s="11"/>
      <c r="I184" s="55"/>
      <c r="J184" s="55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</row>
    <row r="185" spans="1:41" x14ac:dyDescent="0.25">
      <c r="A185" s="11"/>
      <c r="B185" s="11"/>
      <c r="C185" s="11"/>
      <c r="D185" s="11"/>
      <c r="E185" s="11"/>
      <c r="F185" s="11"/>
      <c r="G185" s="11"/>
      <c r="H185" s="11"/>
      <c r="I185" s="55"/>
      <c r="J185" s="55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</row>
    <row r="186" spans="1:41" x14ac:dyDescent="0.25">
      <c r="A186" s="11"/>
      <c r="B186" s="11"/>
      <c r="C186" s="11"/>
      <c r="D186" s="11"/>
      <c r="E186" s="11"/>
      <c r="F186" s="11"/>
      <c r="G186" s="11"/>
      <c r="H186" s="11"/>
      <c r="I186" s="55"/>
      <c r="J186" s="55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</row>
    <row r="187" spans="1:41" x14ac:dyDescent="0.25">
      <c r="A187" s="11"/>
      <c r="B187" s="11"/>
      <c r="C187" s="11"/>
      <c r="D187" s="11"/>
      <c r="E187" s="11"/>
      <c r="F187" s="11"/>
      <c r="G187" s="11"/>
      <c r="H187" s="11"/>
      <c r="I187" s="55"/>
      <c r="J187" s="55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</row>
    <row r="188" spans="1:41" x14ac:dyDescent="0.25">
      <c r="A188" s="11"/>
      <c r="B188" s="11"/>
      <c r="C188" s="11"/>
      <c r="D188" s="11"/>
      <c r="E188" s="11"/>
      <c r="F188" s="11"/>
      <c r="G188" s="11"/>
      <c r="H188" s="11"/>
      <c r="I188" s="55"/>
      <c r="J188" s="55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</row>
    <row r="189" spans="1:41" x14ac:dyDescent="0.25">
      <c r="A189" s="11"/>
      <c r="B189" s="11"/>
      <c r="C189" s="11"/>
      <c r="D189" s="11"/>
      <c r="E189" s="11"/>
      <c r="F189" s="11"/>
      <c r="G189" s="11"/>
      <c r="H189" s="11"/>
      <c r="I189" s="55"/>
      <c r="J189" s="55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</row>
    <row r="190" spans="1:41" x14ac:dyDescent="0.25">
      <c r="A190" s="11"/>
      <c r="B190" s="11"/>
      <c r="C190" s="11"/>
      <c r="D190" s="11"/>
      <c r="E190" s="11"/>
      <c r="F190" s="11"/>
      <c r="G190" s="263"/>
      <c r="H190" s="11"/>
      <c r="I190" s="55"/>
      <c r="J190" s="55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</row>
    <row r="191" spans="1:41" x14ac:dyDescent="0.25">
      <c r="A191" s="11"/>
      <c r="B191" s="11"/>
      <c r="C191" s="11"/>
      <c r="D191" s="11"/>
      <c r="E191" s="11"/>
      <c r="F191" s="11"/>
      <c r="G191" s="11"/>
      <c r="H191" s="11"/>
      <c r="I191" s="55"/>
      <c r="J191" s="55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</row>
    <row r="192" spans="1:41" x14ac:dyDescent="0.25">
      <c r="A192" s="11"/>
      <c r="B192" s="11"/>
      <c r="C192" s="11"/>
      <c r="D192" s="11"/>
      <c r="E192" s="11"/>
      <c r="F192" s="11"/>
      <c r="G192" s="11"/>
      <c r="H192" s="11"/>
      <c r="I192" s="55"/>
      <c r="J192" s="55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</row>
    <row r="193" spans="1:41" x14ac:dyDescent="0.25">
      <c r="A193" s="11"/>
      <c r="B193" s="11"/>
      <c r="C193" s="11"/>
      <c r="D193" s="11"/>
      <c r="E193" s="11"/>
      <c r="F193" s="11"/>
      <c r="G193" s="11"/>
      <c r="H193" s="11"/>
      <c r="I193" s="55"/>
      <c r="J193" s="55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</row>
    <row r="194" spans="1:41" x14ac:dyDescent="0.25">
      <c r="A194" s="11"/>
      <c r="B194" s="11"/>
      <c r="C194" s="11"/>
      <c r="D194" s="11"/>
      <c r="E194" s="11"/>
      <c r="F194" s="11"/>
      <c r="G194" s="263"/>
      <c r="H194" s="11"/>
      <c r="I194" s="55"/>
      <c r="J194" s="55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</row>
  </sheetData>
  <sheetProtection algorithmName="SHA-512" hashValue="fYy8cdTm+6wCHaag2n2o4QVN3ydzZ9cDohbqM7jLzmu0vhBCLcWea/T/ED5vpqfX9gX9aOX8zLOEOFkYywbnHQ==" saltValue="AYkDVuVUs7YWNkZuKBIgsg==" spinCount="100000" sheet="1" scenarios="1"/>
  <mergeCells count="2">
    <mergeCell ref="AD31:AE31"/>
    <mergeCell ref="AG31:AH31"/>
  </mergeCells>
  <dataValidations disablePrompts="1" count="2">
    <dataValidation type="list" allowBlank="1" sqref="B51 B29" xr:uid="{00000000-0002-0000-1C00-000000000000}">
      <formula1>"SELF,ALL,BAS,DEP,BASMEMBERS,MEMBERS,NOEXPAND,GDEP"</formula1>
    </dataValidation>
    <dataValidation type="list" allowBlank="1" sqref="B50 B28" xr:uid="{00000000-0002-0000-1C00-000001000000}">
      <formula1>"ACCOUNT,BUSINESSUNIT,CATEGORY,DATASRC,DEPARTMENT,INTCO,MEASURES,RPTCURRENCY,TIME"</formula1>
    </dataValidation>
  </dataValidations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customProperties>
    <customPr name="EpmWorksheetKeyString_GUID" r:id="rId2"/>
    <customPr name="FPMExcelClientCellBasedFunctionStatus" r:id="rId3"/>
    <customPr name="FPMExcelClientRefreshTime" r:id="rId4"/>
  </customProperties>
  <legacyDrawing r:id="rId5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1">
    <pageSetUpPr fitToPage="1"/>
  </sheetPr>
  <dimension ref="A1:AO161"/>
  <sheetViews>
    <sheetView topLeftCell="K25" zoomScale="85" zoomScaleNormal="85" workbookViewId="0">
      <pane xSplit="4" ySplit="8" topLeftCell="O33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3" width="9.7109375" style="1" hidden="1" customWidth="1" outlineLevel="1"/>
    <col min="14" max="14" width="40.7109375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40" width="0" style="1" hidden="1" customWidth="1" outlineLevel="1"/>
    <col min="41" max="41" width="9.140625" style="1" collapsed="1"/>
    <col min="42" max="16384" width="9.140625" style="1"/>
  </cols>
  <sheetData>
    <row r="1" spans="1:41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</row>
    <row r="2" spans="1:41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</row>
    <row r="3" spans="1:41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11"/>
      <c r="H4" s="11"/>
      <c r="I4" s="55"/>
      <c r="J4" s="55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11"/>
      <c r="H5" s="11"/>
      <c r="I5" s="55"/>
      <c r="J5" s="55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idden="1" outlineLevel="1" x14ac:dyDescent="0.25">
      <c r="A6" s="49" t="s">
        <v>52</v>
      </c>
      <c r="B6" s="52" t="s">
        <v>472</v>
      </c>
      <c r="C6" s="11" t="str">
        <f>IF(_epmOfflineCondition_,"Miscellaneous Income",_xll.EVDES(B6,$B$1))</f>
        <v>Miscellaneous Income</v>
      </c>
      <c r="D6" s="11"/>
      <c r="E6" s="54" t="str">
        <f>IF(_epmOfflineCondition_,"D1139",_xll.EVPRO($B$1,$B$6,$F$6))</f>
        <v>D1139</v>
      </c>
      <c r="F6" s="11" t="s">
        <v>278</v>
      </c>
      <c r="G6" s="11"/>
      <c r="H6" s="11"/>
      <c r="I6" s="55"/>
      <c r="J6" s="55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11"/>
      <c r="H7" s="11"/>
      <c r="I7" s="55"/>
      <c r="J7" s="55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11"/>
      <c r="H8" s="11"/>
      <c r="I8" s="55"/>
      <c r="J8" s="55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11"/>
      <c r="M12" s="11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  <c r="AJ12" s="11"/>
      <c r="AK12" s="11"/>
      <c r="AL12" s="11"/>
      <c r="AM12" s="11"/>
      <c r="AN12" s="11"/>
      <c r="AO12" s="11"/>
    </row>
    <row r="13" spans="1:41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11"/>
      <c r="M13" s="11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  <c r="AJ13" s="11"/>
      <c r="AK13" s="11"/>
      <c r="AL13" s="11"/>
      <c r="AM13" s="11"/>
      <c r="AN13" s="11"/>
      <c r="AO13" s="11"/>
    </row>
    <row r="14" spans="1:41" hidden="1" outlineLevel="1" x14ac:dyDescent="0.25">
      <c r="A14" s="56" t="str">
        <f>IF(_epmOfflineCondition_,"Evdre:Ok",_xll.EVDRE($B$1,A17:B24,A27:B33))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11"/>
      <c r="M14" s="11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  <c r="AJ14" s="11"/>
      <c r="AK14" s="11"/>
      <c r="AL14" s="11"/>
      <c r="AM14" s="11"/>
      <c r="AN14" s="11"/>
      <c r="AO14" s="11"/>
    </row>
    <row r="15" spans="1:41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11"/>
      <c r="M15" s="11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  <c r="AJ15" s="11"/>
      <c r="AK15" s="11"/>
      <c r="AL15" s="11"/>
      <c r="AM15" s="11"/>
      <c r="AN15" s="11"/>
      <c r="AO15" s="11"/>
    </row>
    <row r="16" spans="1:41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11"/>
      <c r="M16" s="11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  <c r="AJ16" s="11"/>
      <c r="AK16" s="11"/>
      <c r="AL16" s="11"/>
      <c r="AM16" s="11"/>
      <c r="AN16" s="11"/>
      <c r="AO16" s="11"/>
    </row>
    <row r="17" spans="1:41" hidden="1" outlineLevel="1" x14ac:dyDescent="0.25">
      <c r="A17" s="61" t="s">
        <v>2</v>
      </c>
      <c r="B17" s="62" t="str">
        <f>IF(_epmOfflineCondition_,"'MISC_INC'!$B$2:$B$10",_xll.EVRNG($B$2:$B$10))</f>
        <v>'MISC_INC'!$B$2:$B$10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11"/>
      <c r="M17" s="11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/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  <c r="AJ17" s="11"/>
      <c r="AK17" s="11"/>
      <c r="AL17" s="11"/>
      <c r="AM17" s="11"/>
      <c r="AN17" s="11"/>
      <c r="AO17" s="11"/>
    </row>
    <row r="18" spans="1:41" hidden="1" outlineLevel="1" x14ac:dyDescent="0.25">
      <c r="A18" s="61" t="s">
        <v>3</v>
      </c>
      <c r="B18" s="62" t="str">
        <f>IF(_epmOfflineCondition_,"'MISC_INC'!$O$16:$AN$18",_xll.EVRNG($O$16:$AN$18))</f>
        <v>'MISC_INC'!$O$16:$AN$18</v>
      </c>
      <c r="C18" s="11"/>
      <c r="D18" s="11"/>
      <c r="E18" s="11"/>
      <c r="F18" s="11"/>
      <c r="G18" s="11"/>
      <c r="H18" s="11"/>
      <c r="I18" s="55"/>
      <c r="J18" s="55"/>
      <c r="K18" s="11"/>
      <c r="L18" s="11"/>
      <c r="M18" s="11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60"/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  <c r="AJ18" s="11"/>
      <c r="AK18" s="11"/>
      <c r="AL18" s="11"/>
      <c r="AM18" s="11"/>
      <c r="AN18" s="11"/>
      <c r="AO18" s="11"/>
    </row>
    <row r="19" spans="1:41" hidden="1" outlineLevel="1" x14ac:dyDescent="0.25">
      <c r="A19" s="61" t="s">
        <v>4</v>
      </c>
      <c r="B19" s="62" t="str">
        <f>IF(_epmOfflineCondition_,"'MISC_INC'!$H$34:$H$50",_xll.EVRNG(H34:H50))</f>
        <v>'MISC_INC'!$H$34:$H$50</v>
      </c>
      <c r="C19" s="11"/>
      <c r="D19" s="11"/>
      <c r="E19" s="11"/>
      <c r="F19" s="11"/>
      <c r="G19" s="63" t="str">
        <f>$B$6</f>
        <v>D_ROI_CON</v>
      </c>
      <c r="H19" s="63">
        <v>400000</v>
      </c>
      <c r="I19" s="64"/>
      <c r="J19" s="64"/>
      <c r="K19" s="63"/>
      <c r="L19" s="63"/>
      <c r="M19" s="63"/>
      <c r="N19" s="63" t="str">
        <f>IF(_epmOfflineCondition_,"Total Revenue",_xll.EVDES(H19))</f>
        <v>Total Revenue</v>
      </c>
      <c r="O19" s="65">
        <f>IF(_epmOfflineCondition_,63933.2,_xll.EVGTS($B$1,1,$B$3,$B$5,$B$7,$B$9,O$16,O$17,O$18,$G$19,$H$19))</f>
        <v>63933.2</v>
      </c>
      <c r="P19" s="65">
        <f>IF(_epmOfflineCondition_,62791.23,_xll.EVGTS($B$1,1,$B$3,$B$5,$B$7,$B$9,P$16,P$17,P$18,$G$19,$H$19))</f>
        <v>62791.23</v>
      </c>
      <c r="Q19" s="65">
        <f>IF(_epmOfflineCondition_,54424.14,_xll.EVGTS($B$1,1,$B$3,$B$5,$B$7,$B$9,Q$16,Q$17,Q$18,$G$19,$H$19))</f>
        <v>54424.14</v>
      </c>
      <c r="R19" s="65">
        <f>IF(_epmOfflineCondition_,69012.59,_xll.EVGTS($B$1,1,$B$3,$B$5,$B$7,$B$9,R$16,R$17,R$18,$G$19,$H$19))</f>
        <v>69012.59</v>
      </c>
      <c r="S19" s="65">
        <f>IF(_epmOfflineCondition_,61550.16,_xll.EVGTS($B$1,1,$B$3,$B$5,$B$7,$B$9,S$16,S$17,S$18,$G$19,$H$19))</f>
        <v>61550.16</v>
      </c>
      <c r="T19" s="65">
        <f>IF(_epmOfflineCondition_,48519.46,_xll.EVGTS($B$1,1,$B$3,$B$5,$B$7,$B$9,T$16,T$17,T$18,$G$19,$H$19))</f>
        <v>48519.46</v>
      </c>
      <c r="U19" s="65">
        <f>IF(_epmOfflineCondition_,55299.3,_xll.EVGTS($B$1,1,$B$3,$B$5,$B$7,$B$9,U$16,U$17,U$18,$G$19,$H$19))</f>
        <v>55299.3</v>
      </c>
      <c r="V19" s="65">
        <f>IF(_epmOfflineCondition_,68432.76,_xll.EVGTS($B$1,1,$B$3,$B$5,$B$7,$B$9,V$16,V$17,V$18,$G$19,$H$19))</f>
        <v>68432.759999999995</v>
      </c>
      <c r="W19" s="65">
        <f>IF(_epmOfflineCondition_,53040.12,_xll.EVGTS($B$1,1,$B$3,$B$5,$B$7,$B$9,W$16,W$17,W$18,$G$19,$H$19))</f>
        <v>53040.12</v>
      </c>
      <c r="X19" s="65">
        <f>IF(_epmOfflineCondition_,60217.81,_xll.EVGTS($B$1,1,$B$3,$B$5,$B$7,$B$9,X$16,X$17,X$18,$G$19,$H$19))</f>
        <v>60217.81</v>
      </c>
      <c r="Y19" s="65">
        <f>IF(_epmOfflineCondition_,98858.01,_xll.EVGTS($B$1,1,$B$3,$B$5,$B$7,$B$9,Y$16,Y$17,Y$18,$G$19,$H$19))</f>
        <v>98858.01</v>
      </c>
      <c r="Z19" s="65">
        <f>IF(_epmOfflineCondition_,76324,_xll.EVGTS($B$1,1,$B$3,$B$5,$B$7,$B$9,Z$16,Z$17,Z$18,$G$19,$H$19))</f>
        <v>76324</v>
      </c>
      <c r="AA19" s="65">
        <f>SUM(O19:Z19)</f>
        <v>772402.78</v>
      </c>
      <c r="AB19" s="63"/>
      <c r="AC19" s="63"/>
      <c r="AD19" s="65">
        <f>IF(_epmOfflineCondition_,800225.505999999,_xll.EVGTS($B$1,1,$B$3,$B$5,$B$7,$B$9,AD$16,AD$17,AD$18,$G$19,$H$19))</f>
        <v>800225.505999999</v>
      </c>
      <c r="AE19" s="63"/>
      <c r="AF19" s="63"/>
      <c r="AG19" s="65">
        <f>IF(_epmOfflineCondition_,233665.19,_xll.EVGTS($B$1,1,$B$3,$B$5,$B$7,$B$9,AG$16,AG$17,AG$18,$G$19,$H$19))</f>
        <v>233665.19</v>
      </c>
      <c r="AH19" s="63"/>
      <c r="AI19" s="63"/>
      <c r="AJ19" s="11"/>
      <c r="AK19" s="11"/>
      <c r="AL19" s="11"/>
      <c r="AM19" s="11"/>
      <c r="AN19" s="11"/>
      <c r="AO19" s="11"/>
    </row>
    <row r="20" spans="1:41" hidden="1" outlineLevel="1" x14ac:dyDescent="0.25">
      <c r="A20" s="61" t="s">
        <v>5</v>
      </c>
      <c r="B20" s="62"/>
      <c r="C20" s="11"/>
      <c r="D20" s="11"/>
      <c r="E20" s="11"/>
      <c r="F20" s="11"/>
      <c r="G20" s="63" t="s">
        <v>750</v>
      </c>
      <c r="H20" s="63">
        <v>900200</v>
      </c>
      <c r="I20" s="64"/>
      <c r="J20" s="64"/>
      <c r="K20" s="63"/>
      <c r="L20" s="64"/>
      <c r="M20" s="64"/>
      <c r="N20" s="63" t="str">
        <f>IF(_epmOfflineCondition_,"Total Rooms Occupied",_xll.EVDES(H20))</f>
        <v>Total Rooms Occupied</v>
      </c>
      <c r="O20" s="65">
        <f>IF(_epmOfflineCondition_,2885,_xll.EVGTS($B$1,1,$B$3,$B$5,$B$7,$B$9,O$16,O$17,O$18,$G$20,$H$20))</f>
        <v>2885</v>
      </c>
      <c r="P20" s="65">
        <f>IF(_epmOfflineCondition_,2648,_xll.EVGTS($B$1,1,$B$3,$B$5,$B$7,$B$9,P$16,P$17,P$18,$G$20,$H$20))</f>
        <v>2648</v>
      </c>
      <c r="Q20" s="65">
        <f>IF(_epmOfflineCondition_,3038,_xll.EVGTS($B$1,1,$B$3,$B$5,$B$7,$B$9,Q$16,Q$17,Q$18,$G$20,$H$20))</f>
        <v>3038</v>
      </c>
      <c r="R20" s="65">
        <f>IF(_epmOfflineCondition_,2737,_xll.EVGTS($B$1,1,$B$3,$B$5,$B$7,$B$9,R$16,R$17,R$18,$G$20,$H$20))</f>
        <v>2737</v>
      </c>
      <c r="S20" s="65">
        <f>IF(_epmOfflineCondition_,2600,_xll.EVGTS($B$1,1,$B$3,$B$5,$B$7,$B$9,S$16,S$17,S$18,$G$20,$H$20))</f>
        <v>2600</v>
      </c>
      <c r="T20" s="65">
        <f>IF(_epmOfflineCondition_,2202,_xll.EVGTS($B$1,1,$B$3,$B$5,$B$7,$B$9,T$16,T$17,T$18,$G$20,$H$20))</f>
        <v>2202</v>
      </c>
      <c r="U20" s="65">
        <f>IF(_epmOfflineCondition_,2516,_xll.EVGTS($B$1,1,$B$3,$B$5,$B$7,$B$9,U$16,U$17,U$18,$G$20,$H$20))</f>
        <v>2516</v>
      </c>
      <c r="V20" s="65">
        <f>IF(_epmOfflineCondition_,2830,_xll.EVGTS($B$1,1,$B$3,$B$5,$B$7,$B$9,V$16,V$17,V$18,$G$20,$H$20))</f>
        <v>2830</v>
      </c>
      <c r="W20" s="65">
        <f>IF(_epmOfflineCondition_,2120,_xll.EVGTS($B$1,1,$B$3,$B$5,$B$7,$B$9,W$16,W$17,W$18,$G$20,$H$20))</f>
        <v>2120</v>
      </c>
      <c r="X20" s="65">
        <f>IF(_epmOfflineCondition_,2772,_xll.EVGTS($B$1,1,$B$3,$B$5,$B$7,$B$9,X$16,X$17,X$18,$G$20,$H$20))</f>
        <v>2772</v>
      </c>
      <c r="Y20" s="65">
        <f>IF(_epmOfflineCondition_,2993,_xll.EVGTS($B$1,1,$B$3,$B$5,$B$7,$B$9,Y$16,Y$17,Y$18,$G$20,$H$20))</f>
        <v>2993</v>
      </c>
      <c r="Z20" s="65">
        <f>IF(_epmOfflineCondition_,3541,_xll.EVGTS($B$1,1,$B$3,$B$5,$B$7,$B$9,Z$16,Z$17,Z$18,$G$20,$H$20))</f>
        <v>3541</v>
      </c>
      <c r="AA20" s="65">
        <f>SUM(O20:Z20)</f>
        <v>32882</v>
      </c>
      <c r="AB20" s="63"/>
      <c r="AC20" s="63"/>
      <c r="AD20" s="65">
        <f>IF(_epmOfflineCondition_,36386,_xll.EVGTS($B$1,1,$B$3,$B$5,$B$7,$B$9,AD$16,AD$17,AD$18,$G$20,$H$20))</f>
        <v>36386</v>
      </c>
      <c r="AE20" s="63"/>
      <c r="AF20" s="63"/>
      <c r="AG20" s="65">
        <f>IF(_epmOfflineCondition_,15180,_xll.EVGTS($B$1,1,$B$3,$B$5,$B$7,$B$9,AG$16,AG$17,AG$18,$G$20,$H$20))</f>
        <v>15180</v>
      </c>
      <c r="AH20" s="63"/>
      <c r="AI20" s="63"/>
      <c r="AJ20" s="11"/>
      <c r="AK20" s="11"/>
      <c r="AL20" s="11"/>
      <c r="AM20" s="11"/>
      <c r="AN20" s="11"/>
      <c r="AO20" s="11"/>
    </row>
    <row r="21" spans="1:41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idden="1" outlineLevel="1" x14ac:dyDescent="0.25">
      <c r="A22" s="61" t="s">
        <v>7</v>
      </c>
      <c r="B22" s="62" t="str">
        <f>IF(_epmOfflineCondition_,"'MISC_INC'!$A$36:$F$41",_xll.EVRNG(A36:F41))</f>
        <v>'MISC_INC'!$A$36:$F$41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idden="1" outlineLevel="1" x14ac:dyDescent="0.25">
      <c r="A23" s="61" t="s">
        <v>47</v>
      </c>
      <c r="B23" s="62" t="str">
        <f>IF(_epmOfflineCondition_,"'MISC_INC'!$A$45:$B$66",_xll.EVRNG($A$45:$B$66))</f>
        <v>'MISC_INC'!$A$45:$B$66</v>
      </c>
      <c r="C23" s="11"/>
      <c r="D23" s="11"/>
      <c r="E23" s="11"/>
      <c r="F23" s="11"/>
      <c r="G23" s="11"/>
      <c r="H23" s="11"/>
      <c r="I23" s="55"/>
      <c r="J23" s="55"/>
      <c r="K23" s="6"/>
      <c r="L23" s="6"/>
      <c r="M23" s="6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380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22.5" x14ac:dyDescent="0.3">
      <c r="A26" s="57" t="s">
        <v>9</v>
      </c>
      <c r="B26" s="58" t="s">
        <v>10</v>
      </c>
      <c r="C26" s="11"/>
      <c r="D26" s="11"/>
      <c r="E26" s="11"/>
      <c r="F26" s="11"/>
      <c r="G26" s="11"/>
      <c r="H26" s="11"/>
      <c r="I26" s="55"/>
      <c r="J26" s="55"/>
      <c r="K26" s="11"/>
      <c r="L26" s="11"/>
      <c r="M26" s="11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8" x14ac:dyDescent="0.25">
      <c r="A27" s="61" t="s">
        <v>11</v>
      </c>
      <c r="B27" s="62" t="s">
        <v>21</v>
      </c>
      <c r="C27" s="11"/>
      <c r="D27" s="11"/>
      <c r="E27" s="11"/>
      <c r="F27" s="11"/>
      <c r="G27" s="11"/>
      <c r="H27" s="11"/>
      <c r="I27" s="55"/>
      <c r="J27" s="55"/>
      <c r="K27" s="11"/>
      <c r="L27" s="11"/>
      <c r="M27" s="11"/>
      <c r="N27" s="67" t="str">
        <f>IF(_epmOfflineCondition_,"Miscellaneous Income",IF(_xll.EVDES(B6,$B$1)="#NODATA","",_xll.EVDES(B6,$B$1)))</f>
        <v>Miscellaneous Income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x14ac:dyDescent="0.25">
      <c r="A28" s="61" t="s">
        <v>12</v>
      </c>
      <c r="B28" s="62" t="s">
        <v>22</v>
      </c>
      <c r="C28" s="11"/>
      <c r="D28" s="11"/>
      <c r="E28" s="11"/>
      <c r="F28" s="11"/>
      <c r="G28" s="11"/>
      <c r="H28" s="11"/>
      <c r="I28" s="55"/>
      <c r="J28" s="55"/>
      <c r="K28" s="11"/>
      <c r="L28" s="11"/>
      <c r="M28" s="11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" customHeight="1" x14ac:dyDescent="0.25">
      <c r="A29" s="61" t="s">
        <v>13</v>
      </c>
      <c r="B29" s="62" t="str">
        <f>"DEP(455000) AND "&amp;$E$6&amp;"=Y,400000"</f>
        <v>DEP(455000) AND D1139=Y,400000</v>
      </c>
      <c r="C29" s="11"/>
      <c r="D29" s="11"/>
      <c r="E29" s="11"/>
      <c r="F29" s="11"/>
      <c r="G29" s="11"/>
      <c r="H29" s="11"/>
      <c r="I29" s="55"/>
      <c r="J29" s="55"/>
      <c r="K29" s="11"/>
      <c r="L29" s="11"/>
      <c r="M29" s="11"/>
      <c r="N29" s="68" t="str">
        <f>IF(_epmOfflineCondition_,"Local Currency",_xll.EVDES(B9,B1))</f>
        <v>Local Currency</v>
      </c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x14ac:dyDescent="0.25">
      <c r="A30" s="61" t="s">
        <v>14</v>
      </c>
      <c r="B30" s="62"/>
      <c r="C30" s="11"/>
      <c r="D30" s="11"/>
      <c r="E30" s="11"/>
      <c r="F30" s="11"/>
      <c r="G30" s="11"/>
      <c r="H30" s="11"/>
      <c r="I30" s="55"/>
      <c r="J30" s="55"/>
      <c r="K30" s="11"/>
      <c r="L30" s="11"/>
      <c r="M30" s="11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  <c r="AJ30" s="69" t="s">
        <v>749</v>
      </c>
      <c r="AK30" s="70"/>
      <c r="AL30" s="71"/>
      <c r="AM30" s="70" t="s">
        <v>751</v>
      </c>
      <c r="AN30" s="70"/>
      <c r="AO30" s="11"/>
    </row>
    <row r="31" spans="1:41" x14ac:dyDescent="0.25">
      <c r="A31" s="61" t="s">
        <v>15</v>
      </c>
      <c r="B31" s="62"/>
      <c r="C31" s="11"/>
      <c r="D31" s="11"/>
      <c r="E31" s="11"/>
      <c r="F31" s="11"/>
      <c r="G31" s="72"/>
      <c r="H31" s="11"/>
      <c r="I31" s="55"/>
      <c r="J31" s="55"/>
      <c r="K31" s="55"/>
      <c r="L31" s="55"/>
      <c r="M31" s="55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  <c r="AJ31" s="73" t="str">
        <f>IF(_epmOfflineCondition_,"2019",_xll.EVPRO($B$1,AA$16,"YEAR"))</f>
        <v>2019</v>
      </c>
      <c r="AK31" s="76" t="str">
        <f>IF(_epmOfflineCondition_,"2019",_xll.EVPRO($B$1,AD$16,"YEAR"))</f>
        <v>2019</v>
      </c>
      <c r="AL31" s="76" t="str">
        <f>IF(_epmOfflineCondition_,"2018",_xll.EVPRO($B$1,AG$16,"YEAR"))</f>
        <v>2018</v>
      </c>
      <c r="AM31" s="73" t="str">
        <f>"vs "&amp;AK31</f>
        <v>vs 2019</v>
      </c>
      <c r="AN31" s="73" t="str">
        <f>"vs "&amp;AL31</f>
        <v>vs 2018</v>
      </c>
      <c r="AO31" s="11"/>
    </row>
    <row r="32" spans="1:41" s="8" customFormat="1" ht="30" customHeight="1" x14ac:dyDescent="0.25">
      <c r="A32" s="77" t="s">
        <v>16</v>
      </c>
      <c r="B32" s="78"/>
      <c r="C32" s="79"/>
      <c r="D32" s="79"/>
      <c r="E32" s="79"/>
      <c r="F32" s="79"/>
      <c r="G32" s="359"/>
      <c r="H32" s="80"/>
      <c r="I32" s="81"/>
      <c r="J32" s="81"/>
      <c r="K32" s="174" t="s">
        <v>117</v>
      </c>
      <c r="L32" s="174"/>
      <c r="M32" s="174"/>
      <c r="N32" s="82" t="s">
        <v>120</v>
      </c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  <c r="AJ32" s="83" t="str">
        <f>Z32</f>
        <v>Actual</v>
      </c>
      <c r="AK32" s="76" t="str">
        <f>AD32</f>
        <v>Budget</v>
      </c>
      <c r="AL32" s="83" t="str">
        <f>AG32</f>
        <v>Actual</v>
      </c>
      <c r="AM32" s="73" t="s">
        <v>748</v>
      </c>
      <c r="AN32" s="73" t="s">
        <v>748</v>
      </c>
      <c r="AO32" s="79"/>
    </row>
    <row r="33" spans="1:41" x14ac:dyDescent="0.25">
      <c r="A33" s="61" t="s">
        <v>17</v>
      </c>
      <c r="B33" s="62"/>
      <c r="C33" s="11"/>
      <c r="D33" s="11"/>
      <c r="E33" s="11"/>
      <c r="F33" s="11"/>
      <c r="G33" s="11"/>
      <c r="H33" s="11" t="s">
        <v>69</v>
      </c>
      <c r="I33" s="55" t="str">
        <f>IF(_epmOfflineCondition_,"B1",_xll.EVPRO($B$1,$H33,"STYLE"))</f>
        <v>B1</v>
      </c>
      <c r="J33" s="55" t="str">
        <f>IF(_epmOfflineCondition_,"Y",_xll.EVPRO($B$1,$H33,"CALC"))</f>
        <v>Y</v>
      </c>
      <c r="K33" s="11"/>
      <c r="L33" s="11"/>
      <c r="M33" s="11"/>
      <c r="N33" s="101" t="str">
        <f>IF(_epmOfflineCondition_,"Revenues",IF(_xll.EVDES(H33,$B$1)="#NODATA","",_xll.EVDES(H33,$B$1)))</f>
        <v>Revenues</v>
      </c>
      <c r="O33" s="125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7"/>
      <c r="AC33" s="11"/>
      <c r="AD33" s="125"/>
      <c r="AE33" s="126"/>
      <c r="AF33" s="127"/>
      <c r="AG33" s="125"/>
      <c r="AH33" s="126"/>
      <c r="AI33" s="127"/>
      <c r="AJ33" s="11"/>
      <c r="AK33" s="11"/>
      <c r="AL33" s="11"/>
      <c r="AM33" s="11"/>
      <c r="AN33" s="11"/>
      <c r="AO33" s="11"/>
    </row>
    <row r="34" spans="1:41" x14ac:dyDescent="0.25">
      <c r="A34" s="11"/>
      <c r="B34" s="11"/>
      <c r="C34" s="11"/>
      <c r="D34" s="11"/>
      <c r="E34" s="11"/>
      <c r="F34" s="11"/>
      <c r="G34" s="11"/>
      <c r="H34" s="84" t="s">
        <v>641</v>
      </c>
      <c r="I34" s="118" t="str">
        <f>IF(_epmOfflineCondition_,"T5",_xll.EVPRO($B$1,$H34,"STYLE"))</f>
        <v>T5</v>
      </c>
      <c r="J34" s="118" t="str">
        <f>IF(_epmOfflineCondition_,"Y",_xll.EVPRO($B$1,$H34,"CALC"))</f>
        <v>Y</v>
      </c>
      <c r="K34" s="175" t="str">
        <f t="shared" ref="K34:K50" si="0">IF(AND(I34&gt;="T5"),"&gt;","")</f>
        <v>&gt;</v>
      </c>
      <c r="L34" s="86" t="str">
        <f>IF(_epmOfflineCondition_,"455100",_xll.EVPRO($B$1,H34,"JDEID"))</f>
        <v>455100</v>
      </c>
      <c r="M34" s="86" t="str">
        <f>IF(_epmOfflineCondition_,"",IF(AND(I34="N",J34="N"),_xll.EVPRO($B$1,H34,"PSFTID"),""))</f>
        <v/>
      </c>
      <c r="N34" s="86" t="str">
        <f>IF(_epmOfflineCondition_,"Space Rent &amp; Concessions",IF(_xll.EVDES(H34,$B$1)="#NODATA","",_xll.EVDES(H34,$B$1)))</f>
        <v>Space Rent &amp; Concessions</v>
      </c>
      <c r="O34" s="463">
        <v>4900</v>
      </c>
      <c r="P34" s="229"/>
      <c r="Q34" s="229">
        <v>1650</v>
      </c>
      <c r="R34" s="229">
        <v>1500</v>
      </c>
      <c r="S34" s="229"/>
      <c r="T34" s="229"/>
      <c r="U34" s="229">
        <v>-8050</v>
      </c>
      <c r="V34" s="229"/>
      <c r="W34" s="229"/>
      <c r="X34" s="229"/>
      <c r="Y34" s="229"/>
      <c r="Z34" s="229"/>
      <c r="AA34" s="229">
        <f t="shared" ref="AA34:AA50" si="1">IF($I34="B1","",SUM(O34:Z34))</f>
        <v>0</v>
      </c>
      <c r="AB34" s="464" t="str">
        <f t="shared" ref="AB34:AB50" si="2">IF(AA34=0,"",IFERROR(AA34/AA$19,""))</f>
        <v/>
      </c>
      <c r="AC34" s="455"/>
      <c r="AD34" s="229">
        <v>10200</v>
      </c>
      <c r="AE34" s="464">
        <f t="shared" ref="AE34:AE50" si="3">IF(AD34=0,"",IFERROR(AD34/AD$19,""))</f>
        <v>1.2746407010925758E-2</v>
      </c>
      <c r="AF34" s="465">
        <f t="shared" ref="AF34:AF50" si="4">IF(AND($AA34="",AD34=""),"",$AA34-AD34)</f>
        <v>-10200</v>
      </c>
      <c r="AG34" s="229">
        <v>11600.39</v>
      </c>
      <c r="AH34" s="464">
        <f t="shared" ref="AH34:AH50" si="5">IF(AG34=0,"",IFERROR(AG34/AG$19,""))</f>
        <v>4.9645349399283646E-2</v>
      </c>
      <c r="AI34" s="466">
        <f t="shared" ref="AI34:AI50" si="6">IF(AND($AA34="",AG34=""),"",$AA34-AG34)</f>
        <v>-11600.39</v>
      </c>
      <c r="AJ34" s="458">
        <f t="shared" ref="AJ34:AJ50" si="7">IFERROR(AA34/AA$20,0)</f>
        <v>0</v>
      </c>
      <c r="AK34" s="459">
        <f t="shared" ref="AK34:AK50" si="8">IFERROR(AD34/AD$20,0)</f>
        <v>0.28032759852690597</v>
      </c>
      <c r="AL34" s="460">
        <f t="shared" ref="AL34:AL50" si="9">IFERROR(AG34/AG$20,0)</f>
        <v>0.76418906455862978</v>
      </c>
      <c r="AM34" s="461">
        <f t="shared" ref="AM34:AM50" si="10">+IFERROR(ROUND(($AB34-AE34)*100,2)&amp;" pts.",0)</f>
        <v>0</v>
      </c>
      <c r="AN34" s="462">
        <f t="shared" ref="AN34:AN50" si="11">+IFERROR(ROUND(($AB34-AH34)*100,2)&amp;" pts.",0)</f>
        <v>0</v>
      </c>
      <c r="AO34" s="11"/>
    </row>
    <row r="35" spans="1:41" x14ac:dyDescent="0.25">
      <c r="A35" s="93" t="s">
        <v>92</v>
      </c>
      <c r="B35" s="94" t="s">
        <v>93</v>
      </c>
      <c r="C35" s="94" t="s">
        <v>94</v>
      </c>
      <c r="D35" s="94" t="s">
        <v>95</v>
      </c>
      <c r="E35" s="94" t="s">
        <v>96</v>
      </c>
      <c r="F35" s="95" t="s">
        <v>97</v>
      </c>
      <c r="G35" s="11"/>
      <c r="H35" s="84" t="s">
        <v>642</v>
      </c>
      <c r="I35" s="118" t="str">
        <f>IF(_epmOfflineCondition_,"T5",_xll.EVPRO($B$1,$H35,"STYLE"))</f>
        <v>T5</v>
      </c>
      <c r="J35" s="118" t="str">
        <f>IF(_epmOfflineCondition_,"Y",_xll.EVPRO($B$1,$H35,"CALC"))</f>
        <v>Y</v>
      </c>
      <c r="K35" s="175" t="str">
        <f t="shared" si="0"/>
        <v>&gt;</v>
      </c>
      <c r="L35" s="86" t="str">
        <f>IF(_epmOfflineCondition_,"455200",_xll.EVPRO($B$1,H35,"JDEID"))</f>
        <v>455200</v>
      </c>
      <c r="M35" s="86" t="str">
        <f>IF(_epmOfflineCondition_,"",IF(AND(I35="N",J35="N"),_xll.EVPRO($B$1,H35,"PSFTID"),""))</f>
        <v/>
      </c>
      <c r="N35" s="86" t="str">
        <f>IF(_epmOfflineCondition_,"Commissions",IF(_xll.EVDES(H35,$B$1)="#NODATA","",_xll.EVDES(H35,$B$1)))</f>
        <v>Commissions</v>
      </c>
      <c r="O35" s="463"/>
      <c r="P35" s="229"/>
      <c r="Q35" s="229"/>
      <c r="R35" s="229"/>
      <c r="S35" s="229">
        <v>-9.8600000000000101</v>
      </c>
      <c r="T35" s="229"/>
      <c r="U35" s="229">
        <v>381.86</v>
      </c>
      <c r="V35" s="229"/>
      <c r="W35" s="229"/>
      <c r="X35" s="229"/>
      <c r="Y35" s="229"/>
      <c r="Z35" s="229"/>
      <c r="AA35" s="229">
        <f t="shared" si="1"/>
        <v>372</v>
      </c>
      <c r="AB35" s="464">
        <f t="shared" si="2"/>
        <v>4.8161400972689404E-4</v>
      </c>
      <c r="AC35" s="455"/>
      <c r="AD35" s="229">
        <v>2093.9895000000001</v>
      </c>
      <c r="AE35" s="464">
        <f t="shared" si="3"/>
        <v>2.6167492591769536E-3</v>
      </c>
      <c r="AF35" s="465">
        <f t="shared" si="4"/>
        <v>-1721.9895000000001</v>
      </c>
      <c r="AG35" s="229">
        <v>900.86</v>
      </c>
      <c r="AH35" s="464">
        <f t="shared" si="5"/>
        <v>3.8553453340653778E-3</v>
      </c>
      <c r="AI35" s="466">
        <f t="shared" si="6"/>
        <v>-528.86</v>
      </c>
      <c r="AJ35" s="458">
        <f t="shared" si="7"/>
        <v>1.1313180463475458E-2</v>
      </c>
      <c r="AK35" s="459">
        <f t="shared" si="8"/>
        <v>5.7549318419172213E-2</v>
      </c>
      <c r="AL35" s="460">
        <f t="shared" si="9"/>
        <v>5.9345191040843216E-2</v>
      </c>
      <c r="AM35" s="461" t="str">
        <f t="shared" si="10"/>
        <v>-0.21 pts.</v>
      </c>
      <c r="AN35" s="462" t="str">
        <f t="shared" si="11"/>
        <v>-0.34 pts.</v>
      </c>
      <c r="AO35" s="11"/>
    </row>
    <row r="36" spans="1:41" x14ac:dyDescent="0.25">
      <c r="A36" s="11"/>
      <c r="B36" s="11"/>
      <c r="C36" s="11"/>
      <c r="D36" s="11"/>
      <c r="E36" s="11"/>
      <c r="F36" s="11"/>
      <c r="G36" s="11"/>
      <c r="H36" s="84" t="s">
        <v>643</v>
      </c>
      <c r="I36" s="118" t="str">
        <f>IF(_epmOfflineCondition_,"N",_xll.EVPRO($B$1,$H36,"STYLE"))</f>
        <v>N</v>
      </c>
      <c r="J36" s="118" t="str">
        <f>IF(_epmOfflineCondition_,"N",_xll.EVPRO($B$1,$H36,"CALC"))</f>
        <v>N</v>
      </c>
      <c r="K36" s="175" t="str">
        <f t="shared" si="0"/>
        <v/>
      </c>
      <c r="L36" s="86" t="str">
        <f>IF(_epmOfflineCondition_,"455250",_xll.EVPRO($B$1,H36,"JDEID"))</f>
        <v>455250</v>
      </c>
      <c r="M36" s="86" t="str">
        <f>IF(_epmOfflineCondition_,"206088",IF(AND(I36="N",J36="N"),_xll.EVPRO($B$1,H36,"PSFTID"),""))</f>
        <v>206088</v>
      </c>
      <c r="N36" s="86" t="str">
        <f>IF(_epmOfflineCondition_,"Cash Discounts Earned",IF(_xll.EVDES(H36,$B$1)="#NODATA","",_xll.EVDES(H36,$B$1)))</f>
        <v>Cash Discounts Earned</v>
      </c>
      <c r="O36" s="463"/>
      <c r="P36" s="229"/>
      <c r="Q36" s="229"/>
      <c r="R36" s="229"/>
      <c r="S36" s="229"/>
      <c r="T36" s="229"/>
      <c r="U36" s="229">
        <v>2459.94</v>
      </c>
      <c r="V36" s="229"/>
      <c r="W36" s="229"/>
      <c r="X36" s="229"/>
      <c r="Y36" s="229"/>
      <c r="Z36" s="229"/>
      <c r="AA36" s="229">
        <f t="shared" si="1"/>
        <v>2459.94</v>
      </c>
      <c r="AB36" s="464">
        <f t="shared" si="2"/>
        <v>3.1847891588375693E-3</v>
      </c>
      <c r="AC36" s="455"/>
      <c r="AD36" s="229"/>
      <c r="AE36" s="464" t="str">
        <f t="shared" si="3"/>
        <v/>
      </c>
      <c r="AF36" s="465">
        <f t="shared" si="4"/>
        <v>2459.94</v>
      </c>
      <c r="AG36" s="229">
        <v>315.33999999999997</v>
      </c>
      <c r="AH36" s="464">
        <f t="shared" si="5"/>
        <v>1.3495377723999025E-3</v>
      </c>
      <c r="AI36" s="466">
        <f t="shared" si="6"/>
        <v>2144.6</v>
      </c>
      <c r="AJ36" s="458">
        <f t="shared" si="7"/>
        <v>7.4811142874521022E-2</v>
      </c>
      <c r="AK36" s="459">
        <f t="shared" si="8"/>
        <v>0</v>
      </c>
      <c r="AL36" s="460">
        <f t="shared" si="9"/>
        <v>2.0773386034255596E-2</v>
      </c>
      <c r="AM36" s="461">
        <f t="shared" si="10"/>
        <v>0</v>
      </c>
      <c r="AN36" s="462" t="str">
        <f t="shared" si="11"/>
        <v>0.18 pts.</v>
      </c>
      <c r="AO36" s="11"/>
    </row>
    <row r="37" spans="1:41" x14ac:dyDescent="0.25">
      <c r="A37" s="11" t="s">
        <v>209</v>
      </c>
      <c r="B37" s="11" t="s">
        <v>21</v>
      </c>
      <c r="C37" s="391"/>
      <c r="D37" s="11" t="s">
        <v>590</v>
      </c>
      <c r="E37" s="11"/>
      <c r="F37" s="11" t="s">
        <v>99</v>
      </c>
      <c r="G37" s="11"/>
      <c r="H37" s="84" t="s">
        <v>644</v>
      </c>
      <c r="I37" s="118" t="str">
        <f>IF(_epmOfflineCondition_,"T5",_xll.EVPRO($B$1,$H37,"STYLE"))</f>
        <v>T5</v>
      </c>
      <c r="J37" s="118" t="str">
        <f>IF(_epmOfflineCondition_,"Y",_xll.EVPRO($B$1,$H37,"CALC"))</f>
        <v>Y</v>
      </c>
      <c r="K37" s="175" t="str">
        <f t="shared" si="0"/>
        <v>&gt;</v>
      </c>
      <c r="L37" s="86" t="str">
        <f>IF(_epmOfflineCondition_,"455300",_xll.EVPRO($B$1,H37,"JDEID"))</f>
        <v>455300</v>
      </c>
      <c r="M37" s="86" t="str">
        <f>IF(_epmOfflineCondition_,"",IF(AND(I37="N",J37="N"),_xll.EVPRO($B$1,H37,"PSFTID"),""))</f>
        <v/>
      </c>
      <c r="N37" s="86" t="str">
        <f>IF(_epmOfflineCondition_,"Attrition Penalties",IF(_xll.EVDES(H37,$B$1)="#NODATA","",_xll.EVDES(H37,$B$1)))</f>
        <v>Attrition Penalties</v>
      </c>
      <c r="O37" s="463"/>
      <c r="P37" s="229">
        <v>12452.33</v>
      </c>
      <c r="Q37" s="229"/>
      <c r="R37" s="229"/>
      <c r="S37" s="229">
        <v>889.47</v>
      </c>
      <c r="T37" s="229">
        <v>3100.97</v>
      </c>
      <c r="U37" s="229"/>
      <c r="V37" s="229"/>
      <c r="W37" s="229"/>
      <c r="X37" s="229"/>
      <c r="Y37" s="229"/>
      <c r="Z37" s="229"/>
      <c r="AA37" s="229">
        <f t="shared" si="1"/>
        <v>16442.77</v>
      </c>
      <c r="AB37" s="464">
        <f t="shared" si="2"/>
        <v>2.1287818254615811E-2</v>
      </c>
      <c r="AC37" s="455"/>
      <c r="AD37" s="229">
        <v>2574.9999999995998</v>
      </c>
      <c r="AE37" s="464">
        <f t="shared" si="3"/>
        <v>3.2178429463851693E-3</v>
      </c>
      <c r="AF37" s="465">
        <f t="shared" si="4"/>
        <v>13867.770000000401</v>
      </c>
      <c r="AG37" s="229">
        <v>500</v>
      </c>
      <c r="AH37" s="464">
        <f t="shared" si="5"/>
        <v>2.1398138079531657E-3</v>
      </c>
      <c r="AI37" s="466">
        <f t="shared" si="6"/>
        <v>15942.77</v>
      </c>
      <c r="AJ37" s="458">
        <f t="shared" si="7"/>
        <v>0.5000538288425278</v>
      </c>
      <c r="AK37" s="459">
        <f t="shared" si="8"/>
        <v>7.076897707908536E-2</v>
      </c>
      <c r="AL37" s="460">
        <f t="shared" si="9"/>
        <v>3.2938076416337288E-2</v>
      </c>
      <c r="AM37" s="461" t="str">
        <f t="shared" si="10"/>
        <v>1.81 pts.</v>
      </c>
      <c r="AN37" s="462" t="str">
        <f t="shared" si="11"/>
        <v>1.91 pts.</v>
      </c>
      <c r="AO37" s="11"/>
    </row>
    <row r="38" spans="1:41" x14ac:dyDescent="0.25">
      <c r="A38" s="11" t="s">
        <v>105</v>
      </c>
      <c r="B38" s="11"/>
      <c r="C38" s="100" t="s">
        <v>101</v>
      </c>
      <c r="D38" s="11" t="s">
        <v>106</v>
      </c>
      <c r="E38" s="11"/>
      <c r="F38" s="11" t="s">
        <v>98</v>
      </c>
      <c r="G38" s="11"/>
      <c r="H38" s="84" t="s">
        <v>645</v>
      </c>
      <c r="I38" s="118" t="str">
        <f>IF(_epmOfflineCondition_,"T5",_xll.EVPRO($B$1,$H38,"STYLE"))</f>
        <v>T5</v>
      </c>
      <c r="J38" s="118" t="str">
        <f>IF(_epmOfflineCondition_,"Y",_xll.EVPRO($B$1,$H38,"CALC"))</f>
        <v>Y</v>
      </c>
      <c r="K38" s="175" t="str">
        <f t="shared" si="0"/>
        <v>&gt;</v>
      </c>
      <c r="L38" s="86" t="str">
        <f>IF(_epmOfflineCondition_,"455400",_xll.EVPRO($B$1,H38,"JDEID"))</f>
        <v>455400</v>
      </c>
      <c r="M38" s="86" t="str">
        <f>IF(_epmOfflineCondition_,"",IF(AND(I38="N",J38="N"),_xll.EVPRO($B$1,H38,"PSFTID"),""))</f>
        <v/>
      </c>
      <c r="N38" s="86" t="str">
        <f>IF(_epmOfflineCondition_,"Cancellation Penalties",IF(_xll.EVDES(H38,$B$1)="#NODATA","",_xll.EVDES(H38,$B$1)))</f>
        <v>Cancellation Penalties</v>
      </c>
      <c r="O38" s="463"/>
      <c r="P38" s="229">
        <v>406</v>
      </c>
      <c r="Q38" s="229"/>
      <c r="R38" s="229"/>
      <c r="S38" s="229">
        <v>0.01</v>
      </c>
      <c r="T38" s="229">
        <v>1350</v>
      </c>
      <c r="U38" s="229"/>
      <c r="V38" s="229">
        <v>-345</v>
      </c>
      <c r="W38" s="229">
        <v>147.06</v>
      </c>
      <c r="X38" s="229"/>
      <c r="Y38" s="229">
        <v>31281.38</v>
      </c>
      <c r="Z38" s="229">
        <v>-3204.95</v>
      </c>
      <c r="AA38" s="229">
        <f t="shared" si="1"/>
        <v>29634.500000000004</v>
      </c>
      <c r="AB38" s="464">
        <f t="shared" si="2"/>
        <v>3.8366640782934523E-2</v>
      </c>
      <c r="AC38" s="455"/>
      <c r="AD38" s="229">
        <v>5340</v>
      </c>
      <c r="AE38" s="464">
        <f t="shared" si="3"/>
        <v>6.6731189645434855E-3</v>
      </c>
      <c r="AF38" s="465">
        <f t="shared" si="4"/>
        <v>24294.500000000004</v>
      </c>
      <c r="AG38" s="229">
        <v>1184.75</v>
      </c>
      <c r="AH38" s="464">
        <f t="shared" si="5"/>
        <v>5.070288817945026E-3</v>
      </c>
      <c r="AI38" s="466">
        <f t="shared" si="6"/>
        <v>28449.750000000004</v>
      </c>
      <c r="AJ38" s="458">
        <f t="shared" si="7"/>
        <v>0.90123775926038574</v>
      </c>
      <c r="AK38" s="459">
        <f t="shared" si="8"/>
        <v>0.14675974275820369</v>
      </c>
      <c r="AL38" s="460">
        <f t="shared" si="9"/>
        <v>7.8046772068511197E-2</v>
      </c>
      <c r="AM38" s="461" t="str">
        <f t="shared" si="10"/>
        <v>3.17 pts.</v>
      </c>
      <c r="AN38" s="462" t="str">
        <f t="shared" si="11"/>
        <v>3.33 pts.</v>
      </c>
      <c r="AO38" s="11"/>
    </row>
    <row r="39" spans="1:41" x14ac:dyDescent="0.25">
      <c r="A39" s="11" t="s">
        <v>104</v>
      </c>
      <c r="B39" s="11"/>
      <c r="C39" s="100" t="s">
        <v>101</v>
      </c>
      <c r="D39" s="11" t="s">
        <v>106</v>
      </c>
      <c r="E39" s="11"/>
      <c r="F39" s="11" t="s">
        <v>98</v>
      </c>
      <c r="G39" s="11"/>
      <c r="H39" s="84" t="s">
        <v>646</v>
      </c>
      <c r="I39" s="118" t="str">
        <f>IF(_epmOfflineCondition_,"N",_xll.EVPRO($B$1,$H39,"STYLE"))</f>
        <v>N</v>
      </c>
      <c r="J39" s="118" t="str">
        <f>IF(_epmOfflineCondition_,"N",_xll.EVPRO($B$1,$H39,"CALC"))</f>
        <v>N</v>
      </c>
      <c r="K39" s="175" t="str">
        <f t="shared" si="0"/>
        <v/>
      </c>
      <c r="L39" s="86" t="str">
        <f>IF(_epmOfflineCondition_,"455500",_xll.EVPRO($B$1,H39,"JDEID"))</f>
        <v>455500</v>
      </c>
      <c r="M39" s="86" t="str">
        <f>IF(_epmOfflineCondition_,"206065",IF(AND(I39="N",J39="N"),_xll.EVPRO($B$1,H39,"PSFTID"),""))</f>
        <v>206065</v>
      </c>
      <c r="N39" s="86" t="str">
        <f>IF(_epmOfflineCondition_,"Guest Foreign Currency Trans. (Gain/Loss)",IF(_xll.EVDES(H39,$B$1)="#NODATA","",_xll.EVDES(H39,$B$1)))</f>
        <v>Guest Foreign Currency Trans. (Gain/Loss)</v>
      </c>
      <c r="O39" s="463"/>
      <c r="P39" s="229"/>
      <c r="Q39" s="229"/>
      <c r="R39" s="229"/>
      <c r="S39" s="229"/>
      <c r="T39" s="229"/>
      <c r="U39" s="229"/>
      <c r="V39" s="229"/>
      <c r="W39" s="229"/>
      <c r="X39" s="229"/>
      <c r="Y39" s="229"/>
      <c r="Z39" s="229"/>
      <c r="AA39" s="229">
        <f t="shared" si="1"/>
        <v>0</v>
      </c>
      <c r="AB39" s="464" t="str">
        <f t="shared" si="2"/>
        <v/>
      </c>
      <c r="AC39" s="455"/>
      <c r="AD39" s="229"/>
      <c r="AE39" s="464" t="str">
        <f t="shared" si="3"/>
        <v/>
      </c>
      <c r="AF39" s="465">
        <f t="shared" si="4"/>
        <v>0</v>
      </c>
      <c r="AG39" s="229"/>
      <c r="AH39" s="464" t="str">
        <f t="shared" si="5"/>
        <v/>
      </c>
      <c r="AI39" s="466">
        <f t="shared" si="6"/>
        <v>0</v>
      </c>
      <c r="AJ39" s="458">
        <f t="shared" si="7"/>
        <v>0</v>
      </c>
      <c r="AK39" s="459">
        <f t="shared" si="8"/>
        <v>0</v>
      </c>
      <c r="AL39" s="460">
        <f t="shared" si="9"/>
        <v>0</v>
      </c>
      <c r="AM39" s="461">
        <f t="shared" si="10"/>
        <v>0</v>
      </c>
      <c r="AN39" s="462">
        <f t="shared" si="11"/>
        <v>0</v>
      </c>
      <c r="AO39" s="11"/>
    </row>
    <row r="40" spans="1:41" x14ac:dyDescent="0.25">
      <c r="A40" s="11" t="s">
        <v>108</v>
      </c>
      <c r="B40" s="11"/>
      <c r="C40" s="102" t="s">
        <v>101</v>
      </c>
      <c r="D40" s="11" t="s">
        <v>106</v>
      </c>
      <c r="E40" s="11"/>
      <c r="F40" s="11" t="s">
        <v>98</v>
      </c>
      <c r="G40" s="11"/>
      <c r="H40" s="84" t="s">
        <v>647</v>
      </c>
      <c r="I40" s="118" t="str">
        <f>IF(_epmOfflineCondition_,"N",_xll.EVPRO($B$1,$H40,"STYLE"))</f>
        <v>N</v>
      </c>
      <c r="J40" s="118" t="str">
        <f>IF(_epmOfflineCondition_,"N",_xll.EVPRO($B$1,$H40,"CALC"))</f>
        <v>N</v>
      </c>
      <c r="K40" s="175" t="str">
        <f t="shared" si="0"/>
        <v/>
      </c>
      <c r="L40" s="86" t="str">
        <f>IF(_epmOfflineCondition_,"455510",_xll.EVPRO($B$1,H40,"JDEID"))</f>
        <v>455510</v>
      </c>
      <c r="M40" s="86" t="str">
        <f>IF(_epmOfflineCondition_,"207065",IF(AND(I40="N",J40="N"),_xll.EVPRO($B$1,H40,"PSFTID"),""))</f>
        <v>207065</v>
      </c>
      <c r="N40" s="86" t="str">
        <f>IF(_epmOfflineCondition_,"Guest Laundry &amp; Dry Cleaning",IF(_xll.EVDES(H40,$B$1)="#NODATA","",_xll.EVDES(H40,$B$1)))</f>
        <v>Guest Laundry &amp; Dry Cleaning</v>
      </c>
      <c r="O40" s="463"/>
      <c r="P40" s="229"/>
      <c r="Q40" s="229"/>
      <c r="R40" s="229"/>
      <c r="S40" s="229"/>
      <c r="T40" s="229"/>
      <c r="U40" s="229"/>
      <c r="V40" s="229"/>
      <c r="W40" s="229"/>
      <c r="X40" s="229"/>
      <c r="Y40" s="229"/>
      <c r="Z40" s="229"/>
      <c r="AA40" s="229">
        <f t="shared" si="1"/>
        <v>0</v>
      </c>
      <c r="AB40" s="464" t="str">
        <f t="shared" si="2"/>
        <v/>
      </c>
      <c r="AC40" s="455"/>
      <c r="AD40" s="229"/>
      <c r="AE40" s="464" t="str">
        <f t="shared" si="3"/>
        <v/>
      </c>
      <c r="AF40" s="465">
        <f t="shared" si="4"/>
        <v>0</v>
      </c>
      <c r="AG40" s="229"/>
      <c r="AH40" s="464" t="str">
        <f t="shared" si="5"/>
        <v/>
      </c>
      <c r="AI40" s="466">
        <f t="shared" si="6"/>
        <v>0</v>
      </c>
      <c r="AJ40" s="458">
        <f t="shared" si="7"/>
        <v>0</v>
      </c>
      <c r="AK40" s="459">
        <f t="shared" si="8"/>
        <v>0</v>
      </c>
      <c r="AL40" s="460">
        <f t="shared" si="9"/>
        <v>0</v>
      </c>
      <c r="AM40" s="461">
        <f t="shared" si="10"/>
        <v>0</v>
      </c>
      <c r="AN40" s="462">
        <f t="shared" si="11"/>
        <v>0</v>
      </c>
      <c r="AO40" s="11"/>
    </row>
    <row r="41" spans="1:41" x14ac:dyDescent="0.25">
      <c r="A41" s="11" t="s">
        <v>108</v>
      </c>
      <c r="B41" s="11"/>
      <c r="C41" s="192" t="s">
        <v>101</v>
      </c>
      <c r="D41" s="11" t="s">
        <v>107</v>
      </c>
      <c r="E41" s="11"/>
      <c r="F41" s="11" t="s">
        <v>99</v>
      </c>
      <c r="G41" s="11"/>
      <c r="H41" s="84" t="s">
        <v>648</v>
      </c>
      <c r="I41" s="118" t="str">
        <f>IF(_epmOfflineCondition_,"N",_xll.EVPRO($B$1,$H41,"STYLE"))</f>
        <v>N</v>
      </c>
      <c r="J41" s="118" t="str">
        <f>IF(_epmOfflineCondition_,"N",_xll.EVPRO($B$1,$H41,"CALC"))</f>
        <v>N</v>
      </c>
      <c r="K41" s="175" t="str">
        <f t="shared" si="0"/>
        <v/>
      </c>
      <c r="L41" s="86" t="str">
        <f>IF(_epmOfflineCondition_,"455550",_xll.EVPRO($B$1,H41,"JDEID"))</f>
        <v>455550</v>
      </c>
      <c r="M41" s="86" t="str">
        <f>IF(_epmOfflineCondition_,"207070",IF(AND(I41="N",J41="N"),_xll.EVPRO($B$1,H41,"PSFTID"),""))</f>
        <v>207070</v>
      </c>
      <c r="N41" s="86" t="str">
        <f>IF(_epmOfflineCondition_,"Interest Income (Unrestricted Accounts)",IF(_xll.EVDES(H41,$B$1)="#NODATA","",_xll.EVDES(H41,$B$1)))</f>
        <v>Interest Income (Unrestricted Accounts)</v>
      </c>
      <c r="O41" s="463"/>
      <c r="P41" s="229"/>
      <c r="Q41" s="229"/>
      <c r="R41" s="229"/>
      <c r="S41" s="229"/>
      <c r="T41" s="229"/>
      <c r="U41" s="229"/>
      <c r="V41" s="229"/>
      <c r="W41" s="229"/>
      <c r="X41" s="229"/>
      <c r="Y41" s="229"/>
      <c r="Z41" s="229"/>
      <c r="AA41" s="229">
        <f t="shared" si="1"/>
        <v>0</v>
      </c>
      <c r="AB41" s="464" t="str">
        <f t="shared" si="2"/>
        <v/>
      </c>
      <c r="AC41" s="455"/>
      <c r="AD41" s="229"/>
      <c r="AE41" s="464" t="str">
        <f t="shared" si="3"/>
        <v/>
      </c>
      <c r="AF41" s="465">
        <f t="shared" si="4"/>
        <v>0</v>
      </c>
      <c r="AG41" s="229"/>
      <c r="AH41" s="464" t="str">
        <f t="shared" si="5"/>
        <v/>
      </c>
      <c r="AI41" s="466">
        <f t="shared" si="6"/>
        <v>0</v>
      </c>
      <c r="AJ41" s="458">
        <f t="shared" si="7"/>
        <v>0</v>
      </c>
      <c r="AK41" s="459">
        <f t="shared" si="8"/>
        <v>0</v>
      </c>
      <c r="AL41" s="460">
        <f t="shared" si="9"/>
        <v>0</v>
      </c>
      <c r="AM41" s="461">
        <f t="shared" si="10"/>
        <v>0</v>
      </c>
      <c r="AN41" s="462">
        <f t="shared" si="11"/>
        <v>0</v>
      </c>
      <c r="AO41" s="11"/>
    </row>
    <row r="42" spans="1:41" x14ac:dyDescent="0.25">
      <c r="A42" s="11"/>
      <c r="B42" s="11"/>
      <c r="C42" s="11"/>
      <c r="D42" s="11"/>
      <c r="E42" s="11"/>
      <c r="F42" s="11"/>
      <c r="G42" s="11"/>
      <c r="H42" s="84" t="s">
        <v>649</v>
      </c>
      <c r="I42" s="118" t="str">
        <f>IF(_epmOfflineCondition_,"N",_xll.EVPRO($B$1,$H42,"STYLE"))</f>
        <v>N</v>
      </c>
      <c r="J42" s="118" t="str">
        <f>IF(_epmOfflineCondition_,"N",_xll.EVPRO($B$1,$H42,"CALC"))</f>
        <v>N</v>
      </c>
      <c r="K42" s="175" t="str">
        <f t="shared" si="0"/>
        <v/>
      </c>
      <c r="L42" s="86" t="str">
        <f>IF(_epmOfflineCondition_,"455560",_xll.EVPRO($B$1,H42,"JDEID"))</f>
        <v>455560</v>
      </c>
      <c r="M42" s="86" t="str">
        <f>IF(_epmOfflineCondition_,"207075",IF(AND(I42="N",J42="N"),_xll.EVPRO($B$1,H42,"PSFTID"),""))</f>
        <v>207075</v>
      </c>
      <c r="N42" s="86" t="str">
        <f>IF(_epmOfflineCondition_,"Net Rev: Renting Mixed Ownership Units",IF(_xll.EVDES(H42,$B$1)="#NODATA","",_xll.EVDES(H42,$B$1)))</f>
        <v>Net Rev: Renting Mixed Ownership Units</v>
      </c>
      <c r="O42" s="463"/>
      <c r="P42" s="229"/>
      <c r="Q42" s="229"/>
      <c r="R42" s="229"/>
      <c r="S42" s="229"/>
      <c r="T42" s="229"/>
      <c r="U42" s="229"/>
      <c r="V42" s="229"/>
      <c r="W42" s="229"/>
      <c r="X42" s="229"/>
      <c r="Y42" s="229"/>
      <c r="Z42" s="229"/>
      <c r="AA42" s="229">
        <f t="shared" si="1"/>
        <v>0</v>
      </c>
      <c r="AB42" s="464" t="str">
        <f t="shared" si="2"/>
        <v/>
      </c>
      <c r="AC42" s="455"/>
      <c r="AD42" s="229"/>
      <c r="AE42" s="464" t="str">
        <f t="shared" si="3"/>
        <v/>
      </c>
      <c r="AF42" s="465">
        <f t="shared" si="4"/>
        <v>0</v>
      </c>
      <c r="AG42" s="229"/>
      <c r="AH42" s="464" t="str">
        <f t="shared" si="5"/>
        <v/>
      </c>
      <c r="AI42" s="466">
        <f t="shared" si="6"/>
        <v>0</v>
      </c>
      <c r="AJ42" s="458">
        <f t="shared" si="7"/>
        <v>0</v>
      </c>
      <c r="AK42" s="459">
        <f t="shared" si="8"/>
        <v>0</v>
      </c>
      <c r="AL42" s="460">
        <f t="shared" si="9"/>
        <v>0</v>
      </c>
      <c r="AM42" s="461">
        <f t="shared" si="10"/>
        <v>0</v>
      </c>
      <c r="AN42" s="462">
        <f t="shared" si="11"/>
        <v>0</v>
      </c>
      <c r="AO42" s="11"/>
    </row>
    <row r="43" spans="1:41" x14ac:dyDescent="0.25">
      <c r="A43" s="11"/>
      <c r="B43" s="11"/>
      <c r="C43" s="11"/>
      <c r="D43" s="11"/>
      <c r="E43" s="11"/>
      <c r="F43" s="11"/>
      <c r="G43" s="11"/>
      <c r="H43" s="84" t="s">
        <v>650</v>
      </c>
      <c r="I43" s="118" t="str">
        <f>IF(_epmOfflineCondition_,"N",_xll.EVPRO($B$1,$H43,"STYLE"))</f>
        <v>N</v>
      </c>
      <c r="J43" s="118" t="str">
        <f>IF(_epmOfflineCondition_,"N",_xll.EVPRO($B$1,$H43,"CALC"))</f>
        <v>N</v>
      </c>
      <c r="K43" s="175" t="str">
        <f t="shared" si="0"/>
        <v/>
      </c>
      <c r="L43" s="86" t="str">
        <f>IF(_epmOfflineCondition_,"455565",_xll.EVPRO($B$1,H43,"JDEID"))</f>
        <v>455565</v>
      </c>
      <c r="M43" s="86" t="str">
        <f>IF(_epmOfflineCondition_,"207080",IF(AND(I43="N",J43="N"),_xll.EVPRO($B$1,H43,"PSFTID"),""))</f>
        <v>207080</v>
      </c>
      <c r="N43" s="86" t="str">
        <f>IF(_epmOfflineCondition_,"Other Breakage",IF(_xll.EVDES(H43,$B$1)="#NODATA","",_xll.EVDES(H43,$B$1)))</f>
        <v>Other Breakage</v>
      </c>
      <c r="O43" s="463"/>
      <c r="P43" s="229"/>
      <c r="Q43" s="229"/>
      <c r="R43" s="229"/>
      <c r="S43" s="229"/>
      <c r="T43" s="229"/>
      <c r="U43" s="229"/>
      <c r="V43" s="229"/>
      <c r="W43" s="229"/>
      <c r="X43" s="229"/>
      <c r="Y43" s="229"/>
      <c r="Z43" s="229"/>
      <c r="AA43" s="229">
        <f t="shared" si="1"/>
        <v>0</v>
      </c>
      <c r="AB43" s="464" t="str">
        <f t="shared" si="2"/>
        <v/>
      </c>
      <c r="AC43" s="455"/>
      <c r="AD43" s="229"/>
      <c r="AE43" s="464" t="str">
        <f t="shared" si="3"/>
        <v/>
      </c>
      <c r="AF43" s="465">
        <f t="shared" si="4"/>
        <v>0</v>
      </c>
      <c r="AG43" s="229"/>
      <c r="AH43" s="464" t="str">
        <f t="shared" si="5"/>
        <v/>
      </c>
      <c r="AI43" s="466">
        <f t="shared" si="6"/>
        <v>0</v>
      </c>
      <c r="AJ43" s="458">
        <f t="shared" si="7"/>
        <v>0</v>
      </c>
      <c r="AK43" s="459">
        <f t="shared" si="8"/>
        <v>0</v>
      </c>
      <c r="AL43" s="460">
        <f t="shared" si="9"/>
        <v>0</v>
      </c>
      <c r="AM43" s="461">
        <f t="shared" si="10"/>
        <v>0</v>
      </c>
      <c r="AN43" s="462">
        <f t="shared" si="11"/>
        <v>0</v>
      </c>
      <c r="AO43" s="11"/>
    </row>
    <row r="44" spans="1:41" x14ac:dyDescent="0.25">
      <c r="A44" s="57" t="s">
        <v>23</v>
      </c>
      <c r="B44" s="58" t="s">
        <v>24</v>
      </c>
      <c r="C44" s="11"/>
      <c r="D44" s="11"/>
      <c r="E44" s="11"/>
      <c r="F44" s="11"/>
      <c r="G44" s="11"/>
      <c r="H44" s="84" t="s">
        <v>651</v>
      </c>
      <c r="I44" s="118" t="str">
        <f>IF(_epmOfflineCondition_,"N",_xll.EVPRO($B$1,$H44,"STYLE"))</f>
        <v>N</v>
      </c>
      <c r="J44" s="118" t="str">
        <f>IF(_epmOfflineCondition_,"N",_xll.EVPRO($B$1,$H44,"CALC"))</f>
        <v>N</v>
      </c>
      <c r="K44" s="175" t="str">
        <f t="shared" si="0"/>
        <v/>
      </c>
      <c r="L44" s="86" t="str">
        <f>IF(_epmOfflineCondition_,"455570",_xll.EVPRO($B$1,H44,"JDEID"))</f>
        <v>455570</v>
      </c>
      <c r="M44" s="86" t="str">
        <f>IF(_epmOfflineCondition_,"NA",IF(AND(I44="N",J44="N"),_xll.EVPRO($B$1,H44,"PSFTID"),""))</f>
        <v>NA</v>
      </c>
      <c r="N44" s="86" t="str">
        <f>IF(_epmOfflineCondition_,"Interest Income - FF&amp;E Reserves",IF(_xll.EVDES(H44,$B$1)="#NODATA","",_xll.EVDES(H44,$B$1)))</f>
        <v>Interest Income - FF&amp;E Reserves</v>
      </c>
      <c r="O44" s="463"/>
      <c r="P44" s="229"/>
      <c r="Q44" s="229"/>
      <c r="R44" s="229"/>
      <c r="S44" s="229"/>
      <c r="T44" s="229"/>
      <c r="U44" s="229"/>
      <c r="V44" s="229"/>
      <c r="W44" s="229"/>
      <c r="X44" s="229"/>
      <c r="Y44" s="229"/>
      <c r="Z44" s="229"/>
      <c r="AA44" s="229">
        <f t="shared" si="1"/>
        <v>0</v>
      </c>
      <c r="AB44" s="464" t="str">
        <f t="shared" si="2"/>
        <v/>
      </c>
      <c r="AC44" s="455"/>
      <c r="AD44" s="229"/>
      <c r="AE44" s="464" t="str">
        <f t="shared" si="3"/>
        <v/>
      </c>
      <c r="AF44" s="465">
        <f t="shared" si="4"/>
        <v>0</v>
      </c>
      <c r="AG44" s="229"/>
      <c r="AH44" s="464" t="str">
        <f t="shared" si="5"/>
        <v/>
      </c>
      <c r="AI44" s="466">
        <f t="shared" si="6"/>
        <v>0</v>
      </c>
      <c r="AJ44" s="458">
        <f t="shared" si="7"/>
        <v>0</v>
      </c>
      <c r="AK44" s="459">
        <f t="shared" si="8"/>
        <v>0</v>
      </c>
      <c r="AL44" s="460">
        <f t="shared" si="9"/>
        <v>0</v>
      </c>
      <c r="AM44" s="461">
        <f t="shared" si="10"/>
        <v>0</v>
      </c>
      <c r="AN44" s="462">
        <f t="shared" si="11"/>
        <v>0</v>
      </c>
      <c r="AO44" s="11"/>
    </row>
    <row r="45" spans="1:41" ht="14.25" customHeight="1" x14ac:dyDescent="0.25">
      <c r="A45" s="61" t="s">
        <v>25</v>
      </c>
      <c r="B45" s="62"/>
      <c r="C45" s="11"/>
      <c r="D45" s="11"/>
      <c r="E45" s="11"/>
      <c r="F45" s="11"/>
      <c r="G45" s="11"/>
      <c r="H45" s="84" t="s">
        <v>652</v>
      </c>
      <c r="I45" s="118" t="str">
        <f>IF(_epmOfflineCondition_,"T5",_xll.EVPRO($B$1,$H45,"STYLE"))</f>
        <v>T5</v>
      </c>
      <c r="J45" s="118" t="str">
        <f>IF(_epmOfflineCondition_,"Y",_xll.EVPRO($B$1,$H45,"CALC"))</f>
        <v>Y</v>
      </c>
      <c r="K45" s="175" t="str">
        <f t="shared" si="0"/>
        <v>&gt;</v>
      </c>
      <c r="L45" s="86" t="str">
        <f>IF(_epmOfflineCondition_,"455575",_xll.EVPRO($B$1,H45,"JDEID"))</f>
        <v>455575</v>
      </c>
      <c r="M45" s="86" t="str">
        <f>IF(_epmOfflineCondition_,"",IF(AND(I45="N",J45="N"),_xll.EVPRO($B$1,H45,"PSFTID"),""))</f>
        <v/>
      </c>
      <c r="N45" s="86" t="str">
        <f>IF(_epmOfflineCondition_,"Package Breakage",IF(_xll.EVDES(H45,$B$1)="#NODATA","",_xll.EVDES(H45,$B$1)))</f>
        <v>Package Breakage</v>
      </c>
      <c r="O45" s="463"/>
      <c r="P45" s="229"/>
      <c r="Q45" s="229"/>
      <c r="R45" s="229"/>
      <c r="S45" s="229">
        <v>1787.69</v>
      </c>
      <c r="T45" s="229">
        <v>185.33</v>
      </c>
      <c r="U45" s="229">
        <v>763.96</v>
      </c>
      <c r="V45" s="229">
        <v>422.82</v>
      </c>
      <c r="W45" s="229">
        <v>633.80999999999995</v>
      </c>
      <c r="X45" s="229">
        <v>1030.33</v>
      </c>
      <c r="Y45" s="229">
        <v>1033.1199999999999</v>
      </c>
      <c r="Z45" s="229">
        <v>351.18</v>
      </c>
      <c r="AA45" s="229">
        <f t="shared" si="1"/>
        <v>6208.2400000000007</v>
      </c>
      <c r="AB45" s="464">
        <f t="shared" si="2"/>
        <v>8.0375681713626152E-3</v>
      </c>
      <c r="AC45" s="455"/>
      <c r="AD45" s="229"/>
      <c r="AE45" s="464" t="str">
        <f t="shared" si="3"/>
        <v/>
      </c>
      <c r="AF45" s="465">
        <f t="shared" si="4"/>
        <v>6208.2400000000007</v>
      </c>
      <c r="AG45" s="229"/>
      <c r="AH45" s="464" t="str">
        <f t="shared" si="5"/>
        <v/>
      </c>
      <c r="AI45" s="466">
        <f t="shared" si="6"/>
        <v>6208.2400000000007</v>
      </c>
      <c r="AJ45" s="458">
        <f t="shared" si="7"/>
        <v>0.18880360075421204</v>
      </c>
      <c r="AK45" s="459">
        <f t="shared" si="8"/>
        <v>0</v>
      </c>
      <c r="AL45" s="460">
        <f t="shared" si="9"/>
        <v>0</v>
      </c>
      <c r="AM45" s="461">
        <f t="shared" si="10"/>
        <v>0</v>
      </c>
      <c r="AN45" s="462">
        <f t="shared" si="11"/>
        <v>0</v>
      </c>
      <c r="AO45" s="11"/>
    </row>
    <row r="46" spans="1:41" x14ac:dyDescent="0.25">
      <c r="A46" s="61" t="s">
        <v>26</v>
      </c>
      <c r="B46" s="62"/>
      <c r="C46" s="11"/>
      <c r="D46" s="11"/>
      <c r="E46" s="11"/>
      <c r="F46" s="11"/>
      <c r="G46" s="11"/>
      <c r="H46" s="84" t="s">
        <v>653</v>
      </c>
      <c r="I46" s="118" t="str">
        <f>IF(_epmOfflineCondition_,"N",_xll.EVPRO($B$1,$H46,"STYLE"))</f>
        <v>N</v>
      </c>
      <c r="J46" s="118" t="str">
        <f>IF(_epmOfflineCondition_,"N",_xll.EVPRO($B$1,$H46,"CALC"))</f>
        <v>N</v>
      </c>
      <c r="K46" s="175" t="str">
        <f t="shared" si="0"/>
        <v/>
      </c>
      <c r="L46" s="86" t="str">
        <f>IF(_epmOfflineCondition_,"455580",_xll.EVPRO($B$1,H46,"JDEID"))</f>
        <v>455580</v>
      </c>
      <c r="M46" s="86" t="str">
        <f>IF(_epmOfflineCondition_,"207095",IF(AND(I46="N",J46="N"),_xll.EVPRO($B$1,H46,"PSFTID"),""))</f>
        <v>207095</v>
      </c>
      <c r="N46" s="86" t="str">
        <f>IF(_epmOfflineCondition_,"Resort Fees",IF(_xll.EVDES(H46,$B$1)="#NODATA","",_xll.EVDES(H46,$B$1)))</f>
        <v>Resort Fees</v>
      </c>
      <c r="O46" s="463">
        <v>59033.2</v>
      </c>
      <c r="P46" s="229">
        <v>49932.9</v>
      </c>
      <c r="Q46" s="229">
        <v>52774.14</v>
      </c>
      <c r="R46" s="229">
        <v>67512.59</v>
      </c>
      <c r="S46" s="229">
        <v>58882.85</v>
      </c>
      <c r="T46" s="229">
        <v>43883.16</v>
      </c>
      <c r="U46" s="229">
        <v>59743.54</v>
      </c>
      <c r="V46" s="229">
        <v>68354.94</v>
      </c>
      <c r="W46" s="229">
        <v>52259.25</v>
      </c>
      <c r="X46" s="229">
        <v>59187.48</v>
      </c>
      <c r="Y46" s="229">
        <v>66543.509999999995</v>
      </c>
      <c r="Z46" s="229">
        <v>79177.77</v>
      </c>
      <c r="AA46" s="229">
        <f t="shared" si="1"/>
        <v>717285.33</v>
      </c>
      <c r="AB46" s="464">
        <f t="shared" si="2"/>
        <v>0.92864156962252253</v>
      </c>
      <c r="AC46" s="455"/>
      <c r="AD46" s="229">
        <v>780016.51650000003</v>
      </c>
      <c r="AE46" s="464">
        <f t="shared" si="3"/>
        <v>0.97474588181896937</v>
      </c>
      <c r="AF46" s="465">
        <f t="shared" si="4"/>
        <v>-62731.186500000069</v>
      </c>
      <c r="AG46" s="229">
        <v>219163.85</v>
      </c>
      <c r="AH46" s="464">
        <f t="shared" si="5"/>
        <v>0.9379396648683529</v>
      </c>
      <c r="AI46" s="466">
        <f t="shared" si="6"/>
        <v>498121.48</v>
      </c>
      <c r="AJ46" s="458">
        <f t="shared" si="7"/>
        <v>21.813920381971897</v>
      </c>
      <c r="AK46" s="459">
        <f t="shared" si="8"/>
        <v>21.437270282526246</v>
      </c>
      <c r="AL46" s="460">
        <f t="shared" si="9"/>
        <v>14.437671277997365</v>
      </c>
      <c r="AM46" s="461" t="str">
        <f t="shared" si="10"/>
        <v>-4.61 pts.</v>
      </c>
      <c r="AN46" s="462" t="str">
        <f t="shared" si="11"/>
        <v>-0.93 pts.</v>
      </c>
      <c r="AO46" s="11"/>
    </row>
    <row r="47" spans="1:41" x14ac:dyDescent="0.25">
      <c r="A47" s="61" t="s">
        <v>27</v>
      </c>
      <c r="B47" s="62"/>
      <c r="C47" s="11"/>
      <c r="D47" s="11"/>
      <c r="E47" s="11"/>
      <c r="F47" s="11"/>
      <c r="G47" s="11"/>
      <c r="H47" s="84" t="s">
        <v>654</v>
      </c>
      <c r="I47" s="118" t="str">
        <f>IF(_epmOfflineCondition_,"N",_xll.EVPRO($B$1,$H47,"STYLE"))</f>
        <v>N</v>
      </c>
      <c r="J47" s="118" t="str">
        <f>IF(_epmOfflineCondition_,"N",_xll.EVPRO($B$1,$H47,"CALC"))</f>
        <v>N</v>
      </c>
      <c r="K47" s="175" t="str">
        <f t="shared" si="0"/>
        <v/>
      </c>
      <c r="L47" s="86" t="str">
        <f>IF(_epmOfflineCondition_,"455600",_xll.EVPRO($B$1,H47,"JDEID"))</f>
        <v>455600</v>
      </c>
      <c r="M47" s="86" t="str">
        <f>IF(_epmOfflineCondition_,"290040",IF(AND(I47="N",J47="N"),_xll.EVPRO($B$1,H47,"PSFTID"),""))</f>
        <v>290040</v>
      </c>
      <c r="N47" s="86" t="str">
        <f>IF(_epmOfflineCondition_,"Proceeds from Business Interruption",IF(_xll.EVDES(H47,$B$1)="#NODATA","",_xll.EVDES(H47,$B$1)))</f>
        <v>Proceeds from Business Interruption</v>
      </c>
      <c r="O47" s="463"/>
      <c r="P47" s="229"/>
      <c r="Q47" s="229"/>
      <c r="R47" s="229"/>
      <c r="S47" s="229"/>
      <c r="T47" s="229"/>
      <c r="U47" s="229"/>
      <c r="V47" s="229"/>
      <c r="W47" s="229"/>
      <c r="X47" s="229"/>
      <c r="Y47" s="229"/>
      <c r="Z47" s="229"/>
      <c r="AA47" s="229">
        <f t="shared" si="1"/>
        <v>0</v>
      </c>
      <c r="AB47" s="464" t="str">
        <f t="shared" si="2"/>
        <v/>
      </c>
      <c r="AC47" s="455"/>
      <c r="AD47" s="229"/>
      <c r="AE47" s="464" t="str">
        <f t="shared" si="3"/>
        <v/>
      </c>
      <c r="AF47" s="465">
        <f t="shared" si="4"/>
        <v>0</v>
      </c>
      <c r="AG47" s="229"/>
      <c r="AH47" s="464" t="str">
        <f t="shared" si="5"/>
        <v/>
      </c>
      <c r="AI47" s="466">
        <f t="shared" si="6"/>
        <v>0</v>
      </c>
      <c r="AJ47" s="458">
        <f t="shared" si="7"/>
        <v>0</v>
      </c>
      <c r="AK47" s="459">
        <f t="shared" si="8"/>
        <v>0</v>
      </c>
      <c r="AL47" s="460">
        <f t="shared" si="9"/>
        <v>0</v>
      </c>
      <c r="AM47" s="461">
        <f t="shared" si="10"/>
        <v>0</v>
      </c>
      <c r="AN47" s="462">
        <f t="shared" si="11"/>
        <v>0</v>
      </c>
      <c r="AO47" s="11"/>
    </row>
    <row r="48" spans="1:41" x14ac:dyDescent="0.25">
      <c r="A48" s="61" t="s">
        <v>28</v>
      </c>
      <c r="B48" s="62"/>
      <c r="C48" s="11"/>
      <c r="D48" s="11"/>
      <c r="E48" s="11"/>
      <c r="F48" s="11"/>
      <c r="G48" s="11"/>
      <c r="H48" s="84" t="s">
        <v>655</v>
      </c>
      <c r="I48" s="118" t="str">
        <f>IF(_epmOfflineCondition_,"N",_xll.EVPRO($B$1,$H48,"STYLE"))</f>
        <v>N</v>
      </c>
      <c r="J48" s="118" t="str">
        <f>IF(_epmOfflineCondition_,"N",_xll.EVPRO($B$1,$H48,"CALC"))</f>
        <v>N</v>
      </c>
      <c r="K48" s="175" t="str">
        <f t="shared" si="0"/>
        <v/>
      </c>
      <c r="L48" s="86" t="str">
        <f>IF(_epmOfflineCondition_,"455610",_xll.EVPRO($B$1,H48,"JDEID"))</f>
        <v>455610</v>
      </c>
      <c r="M48" s="86" t="str">
        <f>IF(_epmOfflineCondition_,"NA",IF(AND(I48="N",J48="N"),_xll.EVPRO($B$1,H48,"PSFTID"),""))</f>
        <v>NA</v>
      </c>
      <c r="N48" s="86" t="str">
        <f>IF(_epmOfflineCondition_,"Shared Facilities &amp; Services Revenue",IF(_xll.EVDES(H48,$B$1)="#NODATA","",_xll.EVDES(H48,$B$1)))</f>
        <v>Shared Facilities &amp; Services Revenue</v>
      </c>
      <c r="O48" s="463"/>
      <c r="P48" s="229"/>
      <c r="Q48" s="229"/>
      <c r="R48" s="229"/>
      <c r="S48" s="229"/>
      <c r="T48" s="229"/>
      <c r="U48" s="229"/>
      <c r="V48" s="229"/>
      <c r="W48" s="229"/>
      <c r="X48" s="229"/>
      <c r="Y48" s="229"/>
      <c r="Z48" s="229"/>
      <c r="AA48" s="229">
        <f t="shared" si="1"/>
        <v>0</v>
      </c>
      <c r="AB48" s="464" t="str">
        <f t="shared" si="2"/>
        <v/>
      </c>
      <c r="AC48" s="455"/>
      <c r="AD48" s="229"/>
      <c r="AE48" s="464" t="str">
        <f t="shared" si="3"/>
        <v/>
      </c>
      <c r="AF48" s="465">
        <f t="shared" si="4"/>
        <v>0</v>
      </c>
      <c r="AG48" s="229"/>
      <c r="AH48" s="464" t="str">
        <f t="shared" si="5"/>
        <v/>
      </c>
      <c r="AI48" s="466">
        <f t="shared" si="6"/>
        <v>0</v>
      </c>
      <c r="AJ48" s="458">
        <f t="shared" si="7"/>
        <v>0</v>
      </c>
      <c r="AK48" s="459">
        <f t="shared" si="8"/>
        <v>0</v>
      </c>
      <c r="AL48" s="460">
        <f t="shared" si="9"/>
        <v>0</v>
      </c>
      <c r="AM48" s="461">
        <f t="shared" si="10"/>
        <v>0</v>
      </c>
      <c r="AN48" s="462">
        <f t="shared" si="11"/>
        <v>0</v>
      </c>
      <c r="AO48" s="11"/>
    </row>
    <row r="49" spans="1:41" x14ac:dyDescent="0.25">
      <c r="A49" s="61" t="s">
        <v>29</v>
      </c>
      <c r="B49" s="62"/>
      <c r="C49" s="11"/>
      <c r="D49" s="11"/>
      <c r="E49" s="11"/>
      <c r="F49" s="11"/>
      <c r="G49" s="11"/>
      <c r="H49" s="84" t="s">
        <v>656</v>
      </c>
      <c r="I49" s="118" t="str">
        <f>IF(_epmOfflineCondition_,"N",_xll.EVPRO($B$1,$H49,"STYLE"))</f>
        <v>N</v>
      </c>
      <c r="J49" s="118" t="str">
        <f>IF(_epmOfflineCondition_,"N",_xll.EVPRO($B$1,$H49,"CALC"))</f>
        <v>N</v>
      </c>
      <c r="K49" s="175" t="str">
        <f t="shared" si="0"/>
        <v/>
      </c>
      <c r="L49" s="86" t="str">
        <f>IF(_epmOfflineCondition_,"455650",_xll.EVPRO($B$1,H49,"JDEID"))</f>
        <v>455650</v>
      </c>
      <c r="M49" s="86" t="str">
        <f>IF(_epmOfflineCondition_,"290098",IF(AND(I49="N",J49="N"),_xll.EVPRO($B$1,H49,"PSFTID"),""))</f>
        <v>290098</v>
      </c>
      <c r="N49" s="86" t="str">
        <f>IF(_epmOfflineCondition_,"Other",IF(_xll.EVDES(H49,$B$1)="#NODATA","",_xll.EVDES(H49,$B$1)))</f>
        <v>Other</v>
      </c>
      <c r="O49" s="463"/>
      <c r="P49" s="229"/>
      <c r="Q49" s="229"/>
      <c r="R49" s="229"/>
      <c r="S49" s="229"/>
      <c r="T49" s="229"/>
      <c r="U49" s="229"/>
      <c r="V49" s="229"/>
      <c r="W49" s="229"/>
      <c r="X49" s="229"/>
      <c r="Y49" s="229"/>
      <c r="Z49" s="229"/>
      <c r="AA49" s="229">
        <f t="shared" si="1"/>
        <v>0</v>
      </c>
      <c r="AB49" s="464" t="str">
        <f t="shared" si="2"/>
        <v/>
      </c>
      <c r="AC49" s="455"/>
      <c r="AD49" s="229"/>
      <c r="AE49" s="464" t="str">
        <f t="shared" si="3"/>
        <v/>
      </c>
      <c r="AF49" s="465">
        <f t="shared" si="4"/>
        <v>0</v>
      </c>
      <c r="AG49" s="229">
        <v>0</v>
      </c>
      <c r="AH49" s="464" t="str">
        <f t="shared" si="5"/>
        <v/>
      </c>
      <c r="AI49" s="466">
        <f t="shared" si="6"/>
        <v>0</v>
      </c>
      <c r="AJ49" s="467">
        <f t="shared" si="7"/>
        <v>0</v>
      </c>
      <c r="AK49" s="468">
        <f t="shared" si="8"/>
        <v>0</v>
      </c>
      <c r="AL49" s="469">
        <f t="shared" si="9"/>
        <v>0</v>
      </c>
      <c r="AM49" s="470">
        <f t="shared" si="10"/>
        <v>0</v>
      </c>
      <c r="AN49" s="471">
        <f t="shared" si="11"/>
        <v>0</v>
      </c>
      <c r="AO49" s="11"/>
    </row>
    <row r="50" spans="1:41" x14ac:dyDescent="0.25">
      <c r="A50" s="61" t="s">
        <v>30</v>
      </c>
      <c r="B50" s="62" t="s">
        <v>78</v>
      </c>
      <c r="C50" s="11"/>
      <c r="D50" s="11"/>
      <c r="E50" s="11"/>
      <c r="F50" s="11"/>
      <c r="G50" s="11"/>
      <c r="H50" s="84" t="s">
        <v>280</v>
      </c>
      <c r="I50" s="184" t="str">
        <f>IF(_epmOfflineCondition_,"T3",_xll.EVPRO($B$1,$H50,"STYLE"))</f>
        <v>T3</v>
      </c>
      <c r="J50" s="184" t="str">
        <f>IF(_epmOfflineCondition_,"Y",_xll.EVPRO($B$1,$H50,"CALC"))</f>
        <v>Y</v>
      </c>
      <c r="K50" s="185" t="str">
        <f t="shared" si="0"/>
        <v/>
      </c>
      <c r="L50" s="186" t="str">
        <f>IF(_epmOfflineCondition_,"400000",_xll.EVPRO($B$1,H50,"JDEID"))</f>
        <v>400000</v>
      </c>
      <c r="M50" s="186" t="str">
        <f>IF(_epmOfflineCondition_,"",IF(AND(I50="N",J50="N"),_xll.EVPRO($B$1,H50,"PSFTID"),""))</f>
        <v/>
      </c>
      <c r="N50" s="186" t="str">
        <f>IF(_epmOfflineCondition_,"Total Revenue",IF(_xll.EVDES(H50,$B$1)="#NODATA","",_xll.EVDES(H50,$B$1)))</f>
        <v>Total Revenue</v>
      </c>
      <c r="O50" s="472">
        <v>63933.2</v>
      </c>
      <c r="P50" s="236">
        <v>62791.23</v>
      </c>
      <c r="Q50" s="236">
        <v>54424.14</v>
      </c>
      <c r="R50" s="236">
        <v>69012.59</v>
      </c>
      <c r="S50" s="236">
        <v>61550.16</v>
      </c>
      <c r="T50" s="236">
        <v>48519.46</v>
      </c>
      <c r="U50" s="236">
        <v>55299.3</v>
      </c>
      <c r="V50" s="236">
        <v>68432.759999999995</v>
      </c>
      <c r="W50" s="236">
        <v>53040.12</v>
      </c>
      <c r="X50" s="236">
        <v>60217.81</v>
      </c>
      <c r="Y50" s="236">
        <v>98858.01</v>
      </c>
      <c r="Z50" s="236">
        <v>76324</v>
      </c>
      <c r="AA50" s="236">
        <f t="shared" si="1"/>
        <v>772402.78</v>
      </c>
      <c r="AB50" s="237">
        <f t="shared" si="2"/>
        <v>1</v>
      </c>
      <c r="AC50" s="238"/>
      <c r="AD50" s="236">
        <v>800225.50600000005</v>
      </c>
      <c r="AE50" s="237">
        <f t="shared" si="3"/>
        <v>1.0000000000000013</v>
      </c>
      <c r="AF50" s="239">
        <f t="shared" si="4"/>
        <v>-27822.726000000024</v>
      </c>
      <c r="AG50" s="236">
        <v>233665.19</v>
      </c>
      <c r="AH50" s="237">
        <f t="shared" si="5"/>
        <v>1</v>
      </c>
      <c r="AI50" s="473">
        <f t="shared" si="6"/>
        <v>538737.59000000008</v>
      </c>
      <c r="AJ50" s="215">
        <f t="shared" si="7"/>
        <v>23.490139894167022</v>
      </c>
      <c r="AK50" s="216">
        <f t="shared" si="8"/>
        <v>21.992675919309626</v>
      </c>
      <c r="AL50" s="218">
        <f t="shared" si="9"/>
        <v>15.392963768115942</v>
      </c>
      <c r="AM50" s="423" t="str">
        <f t="shared" si="10"/>
        <v>0 pts.</v>
      </c>
      <c r="AN50" s="474" t="str">
        <f t="shared" si="11"/>
        <v>0 pts.</v>
      </c>
      <c r="AO50" s="11"/>
    </row>
    <row r="51" spans="1:41" x14ac:dyDescent="0.25">
      <c r="A51" s="61" t="s">
        <v>31</v>
      </c>
      <c r="B51" s="62" t="s">
        <v>78</v>
      </c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</row>
    <row r="52" spans="1:41" ht="15.75" thickBot="1" x14ac:dyDescent="0.3">
      <c r="A52" s="61" t="s">
        <v>32</v>
      </c>
      <c r="B52" s="62"/>
      <c r="C52" s="11"/>
      <c r="D52" s="11"/>
      <c r="E52" s="11"/>
      <c r="F52" s="11"/>
      <c r="G52" s="11"/>
      <c r="H52" s="84" t="s">
        <v>81</v>
      </c>
      <c r="I52" s="132" t="str">
        <f>IF(_epmOfflineCondition_,"T3",_xll.EVPRO($B$1,$H52,"STYLE"))</f>
        <v>T3</v>
      </c>
      <c r="J52" s="132" t="str">
        <f>IF(_epmOfflineCondition_,"Y",_xll.EVPRO($B$1,$H52,"CALC"))</f>
        <v>Y</v>
      </c>
      <c r="K52" s="102"/>
      <c r="L52" s="102"/>
      <c r="M52" s="102"/>
      <c r="N52" s="102" t="str">
        <f>IF(_epmOfflineCondition_,"Department Profit (Loss)",IF(_xll.EVDES(H52,$B$1)="#NODATA","",_xll.EVDES(H52,$B$1)))</f>
        <v>Department Profit (Loss)</v>
      </c>
      <c r="O52" s="122">
        <f>IF(_epmOfflineCondition_,63933.2,_xll.EVGTS($B$1,1,$B$3,$B$5,$B$7,$B$9,O$16,O$17,O$18,$B$6,$H52))</f>
        <v>63933.2</v>
      </c>
      <c r="P52" s="122">
        <f>IF(_epmOfflineCondition_,62791.23,_xll.EVGTS($B$1,1,$B$3,$B$5,$B$7,$B$9,P$16,P$17,P$18,$B$6,$H52))</f>
        <v>62791.23</v>
      </c>
      <c r="Q52" s="122">
        <f>IF(_epmOfflineCondition_,54424.14,_xll.EVGTS($B$1,1,$B$3,$B$5,$B$7,$B$9,Q$16,Q$17,Q$18,$B$6,$H52))</f>
        <v>54424.14</v>
      </c>
      <c r="R52" s="122">
        <f>IF(_epmOfflineCondition_,69012.59,_xll.EVGTS($B$1,1,$B$3,$B$5,$B$7,$B$9,R$16,R$17,R$18,$B$6,$H52))</f>
        <v>69012.59</v>
      </c>
      <c r="S52" s="122">
        <f>IF(_epmOfflineCondition_,61550.16,_xll.EVGTS($B$1,1,$B$3,$B$5,$B$7,$B$9,S$16,S$17,S$18,$B$6,$H52))</f>
        <v>61550.16</v>
      </c>
      <c r="T52" s="122">
        <f>IF(_epmOfflineCondition_,48519.46,_xll.EVGTS($B$1,1,$B$3,$B$5,$B$7,$B$9,T$16,T$17,T$18,$B$6,$H52))</f>
        <v>48519.46</v>
      </c>
      <c r="U52" s="122">
        <f>IF(_epmOfflineCondition_,55299.3,_xll.EVGTS($B$1,1,$B$3,$B$5,$B$7,$B$9,U$16,U$17,U$18,$B$6,$H52))</f>
        <v>55299.3</v>
      </c>
      <c r="V52" s="122">
        <f>IF(_epmOfflineCondition_,68432.76,_xll.EVGTS($B$1,1,$B$3,$B$5,$B$7,$B$9,V$16,V$17,V$18,$B$6,$H52))</f>
        <v>68432.759999999995</v>
      </c>
      <c r="W52" s="122">
        <f>IF(_epmOfflineCondition_,53040.12,_xll.EVGTS($B$1,1,$B$3,$B$5,$B$7,$B$9,W$16,W$17,W$18,$B$6,$H52))</f>
        <v>53040.12</v>
      </c>
      <c r="X52" s="122">
        <f>IF(_epmOfflineCondition_,60217.81,_xll.EVGTS($B$1,1,$B$3,$B$5,$B$7,$B$9,X$16,X$17,X$18,$B$6,$H52))</f>
        <v>60217.81</v>
      </c>
      <c r="Y52" s="122">
        <f>IF(_epmOfflineCondition_,98858.01,_xll.EVGTS($B$1,1,$B$3,$B$5,$B$7,$B$9,Y$16,Y$17,Y$18,$B$6,$H52))</f>
        <v>98858.01</v>
      </c>
      <c r="Z52" s="122">
        <f>IF(_epmOfflineCondition_,76324,_xll.EVGTS($B$1,1,$B$3,$B$5,$B$7,$B$9,Z$16,Z$17,Z$18,$B$6,$H52))</f>
        <v>76324</v>
      </c>
      <c r="AA52" s="122">
        <f>IF($I52="B1","",SUM(O52:Z52))</f>
        <v>772402.78</v>
      </c>
      <c r="AB52" s="123">
        <f>IF(AA52=0,"",IFERROR(AA52/AA$19,""))</f>
        <v>1</v>
      </c>
      <c r="AC52" s="11"/>
      <c r="AD52" s="122">
        <f>IF(_epmOfflineCondition_,800225.505999999,_xll.EVGTS($B$1,1,$B$3,$B$5,$B$7,$B$9,AD$16,AD$17,AD$18,$B$6,$H52))</f>
        <v>800225.505999999</v>
      </c>
      <c r="AE52" s="123">
        <f>IF(AD52=0,"",IFERROR(AD52/AD$19,""))</f>
        <v>1</v>
      </c>
      <c r="AF52" s="124">
        <f>IF(AND($AA52="",AD52=""),"",$AA52-AD52)</f>
        <v>-27822.725999998976</v>
      </c>
      <c r="AG52" s="122">
        <f>IF(_epmOfflineCondition_,233665.19,_xll.EVGTS($B$1,1,$B$3,$B$5,$B$7,$B$9,AG$16,AG$17,AG$18,$B$6,$H52))</f>
        <v>233665.19</v>
      </c>
      <c r="AH52" s="123">
        <f>IF(AG52=0,"",IFERROR(AG52/AG$19,""))</f>
        <v>1</v>
      </c>
      <c r="AI52" s="124">
        <f>IF(AND($AA52="",AG52=""),"",$AA52-AG52)</f>
        <v>538737.59000000008</v>
      </c>
      <c r="AJ52" s="415">
        <f>IFERROR(AA52/AA$20,0)</f>
        <v>23.490139894167022</v>
      </c>
      <c r="AK52" s="416">
        <f>IFERROR(AD52/AD$20,0)</f>
        <v>21.992675919309598</v>
      </c>
      <c r="AL52" s="417">
        <f>IFERROR(AG52/AG$20,0)</f>
        <v>15.392963768115942</v>
      </c>
      <c r="AM52" s="418" t="str">
        <f>+IFERROR(ROUND(($AB52-AE52)*100,2)&amp;" pts.",0)</f>
        <v>0 pts.</v>
      </c>
      <c r="AN52" s="540" t="str">
        <f>+IFERROR(ROUND(($AB52-AH52)*100,2)&amp;" pts.",0)</f>
        <v>0 pts.</v>
      </c>
      <c r="AO52" s="11"/>
    </row>
    <row r="53" spans="1:41" ht="15.75" thickTop="1" x14ac:dyDescent="0.25">
      <c r="A53" s="61" t="s">
        <v>33</v>
      </c>
      <c r="B53" s="62"/>
      <c r="C53" s="11"/>
      <c r="D53" s="11"/>
      <c r="E53" s="11"/>
      <c r="F53" s="11"/>
      <c r="G53" s="11"/>
      <c r="H53" s="11"/>
      <c r="I53" s="55"/>
      <c r="J53" s="55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</row>
    <row r="54" spans="1:41" x14ac:dyDescent="0.25">
      <c r="A54" s="61" t="s">
        <v>34</v>
      </c>
      <c r="B54" s="62"/>
      <c r="C54" s="11"/>
      <c r="D54" s="11"/>
      <c r="E54" s="11"/>
      <c r="F54" s="11"/>
      <c r="G54" s="11"/>
      <c r="H54" s="11"/>
      <c r="I54" s="55"/>
      <c r="J54" s="55"/>
      <c r="K54" s="11"/>
      <c r="L54" s="11"/>
      <c r="M54" s="11"/>
      <c r="N54" s="100" t="str">
        <f>N52&amp;" - Check"</f>
        <v>Department Profit (Loss) - Check</v>
      </c>
      <c r="O54" s="205">
        <f t="shared" ref="O54:AA54" si="12">SUMIF($H$34:$H$50,"400000",O$34:O$50)-O52</f>
        <v>0</v>
      </c>
      <c r="P54" s="205">
        <f t="shared" si="12"/>
        <v>0</v>
      </c>
      <c r="Q54" s="205">
        <f t="shared" si="12"/>
        <v>0</v>
      </c>
      <c r="R54" s="205">
        <f t="shared" si="12"/>
        <v>0</v>
      </c>
      <c r="S54" s="205">
        <f t="shared" si="12"/>
        <v>0</v>
      </c>
      <c r="T54" s="205">
        <f t="shared" si="12"/>
        <v>0</v>
      </c>
      <c r="U54" s="205">
        <f t="shared" si="12"/>
        <v>0</v>
      </c>
      <c r="V54" s="205">
        <f t="shared" si="12"/>
        <v>0</v>
      </c>
      <c r="W54" s="205">
        <f t="shared" si="12"/>
        <v>0</v>
      </c>
      <c r="X54" s="205">
        <f t="shared" si="12"/>
        <v>0</v>
      </c>
      <c r="Y54" s="205">
        <f t="shared" si="12"/>
        <v>0</v>
      </c>
      <c r="Z54" s="205">
        <f t="shared" si="12"/>
        <v>0</v>
      </c>
      <c r="AA54" s="205">
        <f t="shared" si="12"/>
        <v>0</v>
      </c>
      <c r="AB54" s="96"/>
      <c r="AC54" s="11"/>
      <c r="AD54" s="205">
        <f>SUMIF($H$34:$H$50,"400000",AD$34:AD$50)-AD52</f>
        <v>1.0477378964424133E-9</v>
      </c>
      <c r="AE54" s="205"/>
      <c r="AF54" s="87"/>
      <c r="AG54" s="205">
        <f>SUMIF($H$34:$H$50,"400000",AG$34:AG$50)-AG52</f>
        <v>0</v>
      </c>
      <c r="AH54" s="96"/>
      <c r="AI54" s="87"/>
      <c r="AJ54" s="11"/>
      <c r="AK54" s="11"/>
      <c r="AL54" s="11"/>
      <c r="AM54" s="11"/>
      <c r="AN54" s="11"/>
      <c r="AO54" s="11"/>
    </row>
    <row r="55" spans="1:41" x14ac:dyDescent="0.25">
      <c r="A55" s="61" t="s">
        <v>35</v>
      </c>
      <c r="B55" s="62"/>
      <c r="C55" s="11"/>
      <c r="D55" s="11"/>
      <c r="E55" s="11"/>
      <c r="F55" s="11"/>
      <c r="G55" s="11"/>
      <c r="H55" s="11"/>
      <c r="I55" s="55"/>
      <c r="J55" s="55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</row>
    <row r="56" spans="1:41" x14ac:dyDescent="0.25">
      <c r="A56" s="61" t="s">
        <v>36</v>
      </c>
      <c r="B56" s="62"/>
      <c r="C56" s="11"/>
      <c r="D56" s="11"/>
      <c r="E56" s="11"/>
      <c r="F56" s="11"/>
      <c r="G56" s="11"/>
      <c r="H56" s="11"/>
      <c r="I56" s="55"/>
      <c r="J56" s="55"/>
      <c r="K56" s="11"/>
      <c r="L56" s="11"/>
      <c r="M56" s="11"/>
      <c r="N56" s="11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1"/>
      <c r="AC56" s="11"/>
      <c r="AD56" s="133"/>
      <c r="AE56" s="11"/>
      <c r="AF56" s="11"/>
      <c r="AG56" s="133"/>
      <c r="AH56" s="11"/>
      <c r="AI56" s="11"/>
      <c r="AJ56" s="11"/>
      <c r="AK56" s="11"/>
      <c r="AL56" s="11"/>
      <c r="AM56" s="11"/>
      <c r="AN56" s="11"/>
      <c r="AO56" s="11"/>
    </row>
    <row r="57" spans="1:41" x14ac:dyDescent="0.25">
      <c r="A57" s="61" t="s">
        <v>37</v>
      </c>
      <c r="B57" s="62"/>
      <c r="C57" s="11"/>
      <c r="D57" s="11"/>
      <c r="E57" s="11"/>
      <c r="F57" s="11"/>
      <c r="G57" s="11"/>
      <c r="H57" s="11"/>
      <c r="I57" s="55"/>
      <c r="J57" s="55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</row>
    <row r="58" spans="1:41" x14ac:dyDescent="0.25">
      <c r="A58" s="61" t="s">
        <v>38</v>
      </c>
      <c r="B58" s="62"/>
      <c r="C58" s="11"/>
      <c r="D58" s="11"/>
      <c r="E58" s="11"/>
      <c r="F58" s="11"/>
      <c r="G58" s="11"/>
      <c r="H58" s="11"/>
      <c r="I58" s="55"/>
      <c r="J58" s="55"/>
      <c r="K58" s="11"/>
      <c r="L58" s="11"/>
      <c r="M58" s="11"/>
      <c r="N58" s="11"/>
      <c r="O58" s="133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1"/>
      <c r="AC58" s="11"/>
      <c r="AD58" s="133"/>
      <c r="AE58" s="11"/>
      <c r="AF58" s="11"/>
      <c r="AG58" s="133"/>
      <c r="AH58" s="11"/>
      <c r="AI58" s="11"/>
      <c r="AJ58" s="11"/>
      <c r="AK58" s="11"/>
      <c r="AL58" s="11"/>
      <c r="AM58" s="11"/>
      <c r="AN58" s="11"/>
      <c r="AO58" s="11"/>
    </row>
    <row r="59" spans="1:41" x14ac:dyDescent="0.25">
      <c r="A59" s="61" t="s">
        <v>39</v>
      </c>
      <c r="B59" s="62"/>
      <c r="C59" s="11"/>
      <c r="D59" s="11"/>
      <c r="E59" s="11"/>
      <c r="F59" s="11"/>
      <c r="G59" s="11"/>
      <c r="H59" s="11"/>
      <c r="I59" s="55"/>
      <c r="J59" s="55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</row>
    <row r="60" spans="1:41" x14ac:dyDescent="0.25">
      <c r="A60" s="61" t="s">
        <v>40</v>
      </c>
      <c r="B60" s="62"/>
      <c r="C60" s="11"/>
      <c r="D60" s="11"/>
      <c r="E60" s="11"/>
      <c r="F60" s="11"/>
      <c r="G60" s="11"/>
      <c r="H60" s="11"/>
      <c r="I60" s="55"/>
      <c r="J60" s="55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</row>
    <row r="61" spans="1:41" x14ac:dyDescent="0.25">
      <c r="A61" s="61" t="s">
        <v>41</v>
      </c>
      <c r="B61" s="62"/>
      <c r="C61" s="11"/>
      <c r="D61" s="11"/>
      <c r="E61" s="11"/>
      <c r="F61" s="11"/>
      <c r="G61" s="11"/>
      <c r="H61" s="11"/>
      <c r="I61" s="55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</row>
    <row r="62" spans="1:41" x14ac:dyDescent="0.25">
      <c r="A62" s="61" t="s">
        <v>42</v>
      </c>
      <c r="B62" s="62"/>
      <c r="C62" s="11"/>
      <c r="D62" s="11"/>
      <c r="E62" s="11"/>
      <c r="F62" s="11"/>
      <c r="G62" s="11"/>
      <c r="H62" s="55"/>
      <c r="I62" s="55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</row>
    <row r="63" spans="1:41" x14ac:dyDescent="0.25">
      <c r="A63" s="61" t="s">
        <v>43</v>
      </c>
      <c r="B63" s="62"/>
      <c r="C63" s="11"/>
      <c r="D63" s="11"/>
      <c r="E63" s="11"/>
      <c r="F63" s="11"/>
      <c r="G63" s="11"/>
      <c r="H63" s="55"/>
      <c r="I63" s="55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</row>
    <row r="64" spans="1:41" x14ac:dyDescent="0.25">
      <c r="A64" s="61" t="s">
        <v>44</v>
      </c>
      <c r="B64" s="62"/>
      <c r="C64" s="11"/>
      <c r="D64" s="11"/>
      <c r="E64" s="11"/>
      <c r="F64" s="11"/>
      <c r="G64" s="11"/>
      <c r="H64" s="55"/>
      <c r="I64" s="55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</row>
    <row r="65" spans="1:41" x14ac:dyDescent="0.25">
      <c r="A65" s="61" t="s">
        <v>45</v>
      </c>
      <c r="B65" s="62"/>
      <c r="C65" s="11"/>
      <c r="D65" s="11"/>
      <c r="E65" s="11"/>
      <c r="F65" s="11"/>
      <c r="G65" s="11"/>
      <c r="H65" s="55"/>
      <c r="I65" s="55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</row>
    <row r="66" spans="1:41" x14ac:dyDescent="0.25">
      <c r="A66" s="61" t="s">
        <v>46</v>
      </c>
      <c r="B66" s="62"/>
      <c r="C66" s="11"/>
      <c r="D66" s="11"/>
      <c r="E66" s="11"/>
      <c r="F66" s="11"/>
      <c r="G66" s="11"/>
      <c r="H66" s="55"/>
      <c r="I66" s="55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</row>
    <row r="67" spans="1:41" x14ac:dyDescent="0.25">
      <c r="A67" s="11"/>
      <c r="B67" s="11"/>
      <c r="C67" s="204"/>
      <c r="D67" s="11"/>
      <c r="E67" s="11"/>
      <c r="F67" s="11"/>
      <c r="G67" s="11"/>
      <c r="H67" s="55"/>
      <c r="I67" s="55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</row>
    <row r="68" spans="1:41" x14ac:dyDescent="0.25">
      <c r="A68" s="11"/>
      <c r="B68" s="11"/>
      <c r="C68" s="204"/>
      <c r="D68" s="11"/>
      <c r="E68" s="11"/>
      <c r="F68" s="11"/>
      <c r="G68" s="11"/>
      <c r="H68" s="55"/>
      <c r="I68" s="55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</row>
    <row r="69" spans="1:41" x14ac:dyDescent="0.25">
      <c r="A69" s="11"/>
      <c r="B69" s="11"/>
      <c r="C69" s="11"/>
      <c r="D69" s="11"/>
      <c r="E69" s="11"/>
      <c r="F69" s="11"/>
      <c r="G69" s="11"/>
      <c r="H69" s="55"/>
      <c r="I69" s="55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</row>
    <row r="70" spans="1:41" x14ac:dyDescent="0.25">
      <c r="A70" s="11"/>
      <c r="B70" s="11"/>
      <c r="C70" s="11"/>
      <c r="D70" s="11"/>
      <c r="E70" s="11"/>
      <c r="F70" s="11"/>
      <c r="G70" s="11"/>
      <c r="H70" s="55"/>
      <c r="I70" s="55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</row>
    <row r="71" spans="1:41" x14ac:dyDescent="0.25">
      <c r="A71" s="11"/>
      <c r="B71" s="11"/>
      <c r="C71" s="11"/>
      <c r="D71" s="11"/>
      <c r="E71" s="11"/>
      <c r="F71" s="11"/>
      <c r="G71" s="11"/>
      <c r="H71" s="55"/>
      <c r="I71" s="55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</row>
    <row r="72" spans="1:41" x14ac:dyDescent="0.25">
      <c r="A72" s="11"/>
      <c r="B72" s="11"/>
      <c r="C72" s="11"/>
      <c r="D72" s="11"/>
      <c r="E72" s="11"/>
      <c r="F72" s="11"/>
      <c r="G72" s="11"/>
      <c r="H72" s="55"/>
      <c r="I72" s="55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</row>
    <row r="73" spans="1:41" x14ac:dyDescent="0.25">
      <c r="A73" s="11"/>
      <c r="B73" s="11"/>
      <c r="C73" s="11"/>
      <c r="D73" s="11"/>
      <c r="E73" s="11"/>
      <c r="F73" s="11"/>
      <c r="G73" s="11"/>
      <c r="H73" s="55"/>
      <c r="I73" s="55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</row>
    <row r="74" spans="1:41" x14ac:dyDescent="0.25">
      <c r="A74" s="11"/>
      <c r="B74" s="11"/>
      <c r="C74" s="11"/>
      <c r="D74" s="11"/>
      <c r="E74" s="11"/>
      <c r="F74" s="11"/>
      <c r="G74" s="11"/>
      <c r="H74" s="55"/>
      <c r="I74" s="55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</row>
    <row r="75" spans="1:41" x14ac:dyDescent="0.25">
      <c r="A75" s="11"/>
      <c r="B75" s="11"/>
      <c r="C75" s="11"/>
      <c r="D75" s="11"/>
      <c r="E75" s="11"/>
      <c r="F75" s="11"/>
      <c r="G75" s="11"/>
      <c r="H75" s="55"/>
      <c r="I75" s="55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</row>
    <row r="76" spans="1:41" x14ac:dyDescent="0.25">
      <c r="A76" s="11"/>
      <c r="B76" s="11"/>
      <c r="C76" s="11"/>
      <c r="D76" s="11"/>
      <c r="E76" s="11"/>
      <c r="F76" s="11"/>
      <c r="G76" s="11"/>
      <c r="H76" s="55"/>
      <c r="I76" s="55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</row>
    <row r="77" spans="1:41" x14ac:dyDescent="0.25">
      <c r="A77" s="11"/>
      <c r="B77" s="11"/>
      <c r="C77" s="11"/>
      <c r="D77" s="11"/>
      <c r="E77" s="11"/>
      <c r="F77" s="11"/>
      <c r="G77" s="11"/>
      <c r="H77" s="55"/>
      <c r="I77" s="55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</row>
    <row r="78" spans="1:41" x14ac:dyDescent="0.25">
      <c r="A78" s="11"/>
      <c r="B78" s="11"/>
      <c r="C78" s="11"/>
      <c r="D78" s="11"/>
      <c r="E78" s="11"/>
      <c r="F78" s="11"/>
      <c r="G78" s="11"/>
      <c r="H78" s="55"/>
      <c r="I78" s="55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  <row r="79" spans="1:41" x14ac:dyDescent="0.25">
      <c r="A79" s="11"/>
      <c r="B79" s="11"/>
      <c r="C79" s="11"/>
      <c r="D79" s="11"/>
      <c r="E79" s="11"/>
      <c r="F79" s="11"/>
      <c r="G79" s="11"/>
      <c r="H79" s="55"/>
      <c r="I79" s="55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</row>
    <row r="80" spans="1:41" x14ac:dyDescent="0.25">
      <c r="A80" s="11"/>
      <c r="B80" s="11"/>
      <c r="C80" s="11"/>
      <c r="D80" s="11"/>
      <c r="E80" s="11"/>
      <c r="F80" s="11"/>
      <c r="G80" s="11"/>
      <c r="H80" s="55"/>
      <c r="I80" s="55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x14ac:dyDescent="0.25">
      <c r="A81" s="11"/>
      <c r="B81" s="11"/>
      <c r="C81" s="11"/>
      <c r="D81" s="11"/>
      <c r="E81" s="11"/>
      <c r="F81" s="11"/>
      <c r="G81" s="11"/>
      <c r="H81" s="55"/>
      <c r="I81" s="55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</row>
    <row r="82" spans="1:41" x14ac:dyDescent="0.25">
      <c r="A82" s="11"/>
      <c r="B82" s="11"/>
      <c r="C82" s="11"/>
      <c r="D82" s="11"/>
      <c r="E82" s="11"/>
      <c r="F82" s="11"/>
      <c r="G82" s="11"/>
      <c r="H82" s="55"/>
      <c r="I82" s="55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x14ac:dyDescent="0.25">
      <c r="A83" s="11"/>
      <c r="B83" s="11"/>
      <c r="C83" s="11"/>
      <c r="D83" s="11"/>
      <c r="E83" s="11"/>
      <c r="F83" s="11"/>
      <c r="G83" s="11"/>
      <c r="H83" s="55"/>
      <c r="I83" s="55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x14ac:dyDescent="0.25">
      <c r="A84" s="11"/>
      <c r="B84" s="11"/>
      <c r="C84" s="11"/>
      <c r="D84" s="11"/>
      <c r="E84" s="11"/>
      <c r="F84" s="11"/>
      <c r="G84" s="11"/>
      <c r="H84" s="55"/>
      <c r="I84" s="55"/>
      <c r="J84" s="55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x14ac:dyDescent="0.25">
      <c r="A85" s="11"/>
      <c r="B85" s="11"/>
      <c r="C85" s="11"/>
      <c r="D85" s="11"/>
      <c r="E85" s="11"/>
      <c r="F85" s="11"/>
      <c r="G85" s="11"/>
      <c r="H85" s="11"/>
      <c r="I85" s="55"/>
      <c r="J85" s="55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x14ac:dyDescent="0.25">
      <c r="A86" s="11"/>
      <c r="B86" s="11"/>
      <c r="C86" s="11"/>
      <c r="D86" s="11"/>
      <c r="E86" s="11"/>
      <c r="F86" s="11"/>
      <c r="G86" s="11"/>
      <c r="H86" s="11"/>
      <c r="I86" s="55"/>
      <c r="J86" s="55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x14ac:dyDescent="0.25">
      <c r="A87" s="11"/>
      <c r="B87" s="11"/>
      <c r="C87" s="11"/>
      <c r="D87" s="11"/>
      <c r="E87" s="11"/>
      <c r="F87" s="11"/>
      <c r="G87" s="11"/>
      <c r="H87" s="11"/>
      <c r="I87" s="55"/>
      <c r="J87" s="55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x14ac:dyDescent="0.25">
      <c r="A88" s="11"/>
      <c r="B88" s="11"/>
      <c r="C88" s="11"/>
      <c r="D88" s="11"/>
      <c r="E88" s="11"/>
      <c r="F88" s="11"/>
      <c r="G88" s="11"/>
      <c r="H88" s="11"/>
      <c r="I88" s="55"/>
      <c r="J88" s="55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x14ac:dyDescent="0.25">
      <c r="A89" s="11"/>
      <c r="B89" s="11"/>
      <c r="C89" s="11"/>
      <c r="D89" s="11"/>
      <c r="E89" s="11"/>
      <c r="F89" s="11"/>
      <c r="G89" s="11"/>
      <c r="H89" s="11"/>
      <c r="I89" s="55"/>
      <c r="J89" s="55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x14ac:dyDescent="0.25">
      <c r="A90" s="11"/>
      <c r="B90" s="11"/>
      <c r="C90" s="11"/>
      <c r="D90" s="11"/>
      <c r="E90" s="11"/>
      <c r="F90" s="11"/>
      <c r="G90" s="11"/>
      <c r="H90" s="11"/>
      <c r="I90" s="55"/>
      <c r="J90" s="55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x14ac:dyDescent="0.25">
      <c r="A91" s="11"/>
      <c r="B91" s="11"/>
      <c r="C91" s="11"/>
      <c r="D91" s="11"/>
      <c r="E91" s="11"/>
      <c r="F91" s="11"/>
      <c r="G91" s="11"/>
      <c r="H91" s="11"/>
      <c r="I91" s="55"/>
      <c r="J91" s="55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x14ac:dyDescent="0.25">
      <c r="A92" s="11"/>
      <c r="B92" s="11"/>
      <c r="C92" s="11"/>
      <c r="D92" s="11"/>
      <c r="E92" s="11"/>
      <c r="F92" s="11"/>
      <c r="G92" s="11"/>
      <c r="H92" s="11"/>
      <c r="I92" s="55"/>
      <c r="J92" s="55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x14ac:dyDescent="0.25">
      <c r="A93" s="11"/>
      <c r="B93" s="11"/>
      <c r="C93" s="11"/>
      <c r="D93" s="11"/>
      <c r="E93" s="11"/>
      <c r="F93" s="11"/>
      <c r="G93" s="11"/>
      <c r="H93" s="11"/>
      <c r="I93" s="55"/>
      <c r="J93" s="55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x14ac:dyDescent="0.25">
      <c r="A94" s="11"/>
      <c r="B94" s="11"/>
      <c r="C94" s="11"/>
      <c r="D94" s="11"/>
      <c r="E94" s="11"/>
      <c r="F94" s="11"/>
      <c r="G94" s="11"/>
      <c r="H94" s="11"/>
      <c r="I94" s="55"/>
      <c r="J94" s="55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x14ac:dyDescent="0.25">
      <c r="A95" s="11"/>
      <c r="B95" s="11"/>
      <c r="C95" s="11"/>
      <c r="D95" s="11"/>
      <c r="E95" s="11"/>
      <c r="F95" s="11"/>
      <c r="G95" s="11"/>
      <c r="H95" s="11"/>
      <c r="I95" s="55"/>
      <c r="J95" s="55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x14ac:dyDescent="0.25">
      <c r="A96" s="11"/>
      <c r="B96" s="11"/>
      <c r="C96" s="11"/>
      <c r="D96" s="11"/>
      <c r="E96" s="11"/>
      <c r="F96" s="11"/>
      <c r="G96" s="11"/>
      <c r="H96" s="11"/>
      <c r="I96" s="55"/>
      <c r="J96" s="55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x14ac:dyDescent="0.25">
      <c r="A97" s="11"/>
      <c r="B97" s="11"/>
      <c r="C97" s="11"/>
      <c r="D97" s="11"/>
      <c r="E97" s="11"/>
      <c r="F97" s="11"/>
      <c r="G97" s="11"/>
      <c r="H97" s="11"/>
      <c r="I97" s="55"/>
      <c r="J97" s="55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x14ac:dyDescent="0.25">
      <c r="A98" s="11"/>
      <c r="B98" s="11"/>
      <c r="C98" s="11"/>
      <c r="D98" s="11"/>
      <c r="E98" s="11"/>
      <c r="F98" s="11"/>
      <c r="G98" s="11"/>
      <c r="H98" s="11"/>
      <c r="I98" s="55"/>
      <c r="J98" s="55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x14ac:dyDescent="0.25">
      <c r="A99" s="11"/>
      <c r="B99" s="11"/>
      <c r="C99" s="11"/>
      <c r="D99" s="11"/>
      <c r="E99" s="11"/>
      <c r="F99" s="11"/>
      <c r="G99" s="11"/>
      <c r="H99" s="11"/>
      <c r="I99" s="55"/>
      <c r="J99" s="55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x14ac:dyDescent="0.25">
      <c r="A100" s="11"/>
      <c r="B100" s="11"/>
      <c r="C100" s="11"/>
      <c r="D100" s="11"/>
      <c r="E100" s="263"/>
      <c r="F100" s="11"/>
      <c r="G100" s="11"/>
      <c r="H100" s="11"/>
      <c r="I100" s="55"/>
      <c r="J100" s="55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x14ac:dyDescent="0.25">
      <c r="A101" s="11"/>
      <c r="B101" s="11"/>
      <c r="C101" s="11"/>
      <c r="D101" s="11"/>
      <c r="E101" s="11"/>
      <c r="F101" s="11"/>
      <c r="G101" s="11"/>
      <c r="H101" s="11"/>
      <c r="I101" s="55"/>
      <c r="J101" s="55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x14ac:dyDescent="0.25">
      <c r="A102" s="11"/>
      <c r="B102" s="11"/>
      <c r="C102" s="11"/>
      <c r="D102" s="11"/>
      <c r="E102" s="11"/>
      <c r="F102" s="11"/>
      <c r="G102" s="11"/>
      <c r="H102" s="11"/>
      <c r="I102" s="55"/>
      <c r="J102" s="55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x14ac:dyDescent="0.25">
      <c r="A103" s="11"/>
      <c r="B103" s="11"/>
      <c r="C103" s="11"/>
      <c r="D103" s="11"/>
      <c r="E103" s="11"/>
      <c r="F103" s="11"/>
      <c r="G103" s="11"/>
      <c r="H103" s="11"/>
      <c r="I103" s="55"/>
      <c r="J103" s="55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x14ac:dyDescent="0.25">
      <c r="A104" s="11"/>
      <c r="B104" s="11"/>
      <c r="C104" s="11"/>
      <c r="D104" s="11"/>
      <c r="E104" s="263"/>
      <c r="F104" s="11"/>
      <c r="G104" s="11"/>
      <c r="H104" s="11"/>
      <c r="I104" s="55"/>
      <c r="J104" s="55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x14ac:dyDescent="0.25">
      <c r="A105" s="11"/>
      <c r="B105" s="11"/>
      <c r="C105" s="11"/>
      <c r="D105" s="11"/>
      <c r="E105" s="11"/>
      <c r="F105" s="11"/>
      <c r="G105" s="11"/>
      <c r="H105" s="11"/>
      <c r="I105" s="55"/>
      <c r="J105" s="55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x14ac:dyDescent="0.25">
      <c r="A106" s="11"/>
      <c r="B106" s="11"/>
      <c r="C106" s="11"/>
      <c r="D106" s="11"/>
      <c r="E106" s="11"/>
      <c r="F106" s="11"/>
      <c r="G106" s="11"/>
      <c r="H106" s="11"/>
      <c r="I106" s="55"/>
      <c r="J106" s="55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x14ac:dyDescent="0.25">
      <c r="A107" s="11"/>
      <c r="B107" s="11"/>
      <c r="C107" s="11"/>
      <c r="D107" s="11"/>
      <c r="E107" s="11"/>
      <c r="F107" s="11"/>
      <c r="G107" s="11"/>
      <c r="H107" s="11"/>
      <c r="I107" s="55"/>
      <c r="J107" s="55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x14ac:dyDescent="0.25">
      <c r="A108" s="11"/>
      <c r="B108" s="11"/>
      <c r="C108" s="11"/>
      <c r="D108" s="11"/>
      <c r="E108" s="11"/>
      <c r="F108" s="11"/>
      <c r="G108" s="11"/>
      <c r="H108" s="11"/>
      <c r="I108" s="55"/>
      <c r="J108" s="55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x14ac:dyDescent="0.25">
      <c r="A109" s="11"/>
      <c r="B109" s="11"/>
      <c r="C109" s="11"/>
      <c r="D109" s="11"/>
      <c r="E109" s="11"/>
      <c r="F109" s="11"/>
      <c r="G109" s="11"/>
      <c r="H109" s="11"/>
      <c r="I109" s="55"/>
      <c r="J109" s="55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x14ac:dyDescent="0.25">
      <c r="A110" s="11"/>
      <c r="B110" s="11"/>
      <c r="C110" s="11"/>
      <c r="D110" s="11"/>
      <c r="E110" s="11"/>
      <c r="F110" s="11"/>
      <c r="G110" s="11"/>
      <c r="H110" s="11"/>
      <c r="I110" s="55"/>
      <c r="J110" s="55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x14ac:dyDescent="0.25">
      <c r="A111" s="11"/>
      <c r="B111" s="11"/>
      <c r="C111" s="11"/>
      <c r="D111" s="11"/>
      <c r="E111" s="11"/>
      <c r="F111" s="11"/>
      <c r="G111" s="11"/>
      <c r="H111" s="11"/>
      <c r="I111" s="55"/>
      <c r="J111" s="55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x14ac:dyDescent="0.25">
      <c r="A112" s="11"/>
      <c r="B112" s="11"/>
      <c r="C112" s="11"/>
      <c r="D112" s="11"/>
      <c r="E112" s="11"/>
      <c r="F112" s="11"/>
      <c r="G112" s="11"/>
      <c r="H112" s="11"/>
      <c r="I112" s="55"/>
      <c r="J112" s="55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x14ac:dyDescent="0.25">
      <c r="A113" s="11"/>
      <c r="B113" s="11"/>
      <c r="C113" s="11"/>
      <c r="D113" s="11"/>
      <c r="E113" s="11"/>
      <c r="F113" s="11"/>
      <c r="G113" s="11"/>
      <c r="H113" s="11"/>
      <c r="I113" s="55"/>
      <c r="J113" s="55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  <row r="114" spans="1:41" x14ac:dyDescent="0.25">
      <c r="A114" s="11"/>
      <c r="B114" s="11"/>
      <c r="C114" s="11"/>
      <c r="D114" s="11"/>
      <c r="E114" s="11"/>
      <c r="F114" s="11"/>
      <c r="G114" s="11"/>
      <c r="H114" s="11"/>
      <c r="I114" s="55"/>
      <c r="J114" s="55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x14ac:dyDescent="0.25">
      <c r="A115" s="11"/>
      <c r="B115" s="11"/>
      <c r="C115" s="11"/>
      <c r="D115" s="11"/>
      <c r="E115" s="11"/>
      <c r="F115" s="11"/>
      <c r="G115" s="11"/>
      <c r="H115" s="11"/>
      <c r="I115" s="55"/>
      <c r="J115" s="55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x14ac:dyDescent="0.25">
      <c r="A116" s="11"/>
      <c r="B116" s="11"/>
      <c r="C116" s="11"/>
      <c r="D116" s="11"/>
      <c r="E116" s="11"/>
      <c r="F116" s="11"/>
      <c r="G116" s="11"/>
      <c r="H116" s="11"/>
      <c r="I116" s="55"/>
      <c r="J116" s="55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x14ac:dyDescent="0.25">
      <c r="A117" s="11"/>
      <c r="B117" s="11"/>
      <c r="C117" s="11"/>
      <c r="D117" s="11"/>
      <c r="E117" s="11"/>
      <c r="F117" s="11"/>
      <c r="G117" s="11"/>
      <c r="H117" s="11"/>
      <c r="I117" s="55"/>
      <c r="J117" s="55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x14ac:dyDescent="0.25">
      <c r="A118" s="11"/>
      <c r="B118" s="11"/>
      <c r="C118" s="11"/>
      <c r="D118" s="11"/>
      <c r="E118" s="11"/>
      <c r="F118" s="11"/>
      <c r="G118" s="11"/>
      <c r="H118" s="11"/>
      <c r="I118" s="55"/>
      <c r="J118" s="55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x14ac:dyDescent="0.25">
      <c r="A119" s="11"/>
      <c r="B119" s="11"/>
      <c r="C119" s="11"/>
      <c r="D119" s="11"/>
      <c r="E119" s="11"/>
      <c r="F119" s="11"/>
      <c r="G119" s="11"/>
      <c r="H119" s="11"/>
      <c r="I119" s="55"/>
      <c r="J119" s="55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x14ac:dyDescent="0.25">
      <c r="A120" s="11"/>
      <c r="B120" s="11"/>
      <c r="C120" s="11"/>
      <c r="D120" s="11"/>
      <c r="E120" s="11"/>
      <c r="F120" s="11"/>
      <c r="G120" s="11"/>
      <c r="H120" s="11"/>
      <c r="I120" s="55"/>
      <c r="J120" s="55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x14ac:dyDescent="0.25">
      <c r="A121" s="11"/>
      <c r="B121" s="11"/>
      <c r="C121" s="11"/>
      <c r="D121" s="11"/>
      <c r="E121" s="11"/>
      <c r="F121" s="11"/>
      <c r="G121" s="11"/>
      <c r="H121" s="11"/>
      <c r="I121" s="55"/>
      <c r="J121" s="55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x14ac:dyDescent="0.25">
      <c r="A122" s="11"/>
      <c r="B122" s="11"/>
      <c r="C122" s="11"/>
      <c r="D122" s="11"/>
      <c r="E122" s="11"/>
      <c r="F122" s="11"/>
      <c r="G122" s="11"/>
      <c r="H122" s="11"/>
      <c r="I122" s="55"/>
      <c r="J122" s="55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x14ac:dyDescent="0.25">
      <c r="A123" s="11"/>
      <c r="B123" s="11"/>
      <c r="C123" s="11"/>
      <c r="D123" s="11"/>
      <c r="E123" s="11"/>
      <c r="F123" s="11"/>
      <c r="G123" s="11"/>
      <c r="H123" s="11"/>
      <c r="I123" s="55"/>
      <c r="J123" s="55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x14ac:dyDescent="0.25">
      <c r="A124" s="11"/>
      <c r="B124" s="11"/>
      <c r="C124" s="11"/>
      <c r="D124" s="11"/>
      <c r="E124" s="11"/>
      <c r="F124" s="11"/>
      <c r="G124" s="11"/>
      <c r="H124" s="11"/>
      <c r="I124" s="55"/>
      <c r="J124" s="11"/>
      <c r="K124" s="263"/>
      <c r="L124" s="263"/>
      <c r="M124" s="263"/>
      <c r="N124" s="11"/>
      <c r="O124" s="263"/>
      <c r="P124" s="263"/>
      <c r="Q124" s="263"/>
      <c r="R124" s="263"/>
      <c r="S124" s="263"/>
      <c r="T124" s="263"/>
      <c r="U124" s="263"/>
      <c r="V124" s="263"/>
      <c r="W124" s="263"/>
      <c r="X124" s="263"/>
      <c r="Y124" s="263"/>
      <c r="Z124" s="263"/>
      <c r="AA124" s="263"/>
      <c r="AB124" s="11"/>
      <c r="AC124" s="11"/>
      <c r="AD124" s="263"/>
      <c r="AE124" s="11"/>
      <c r="AF124" s="263"/>
      <c r="AG124" s="11"/>
      <c r="AH124" s="263"/>
      <c r="AI124" s="11"/>
      <c r="AJ124" s="11"/>
      <c r="AK124" s="11"/>
      <c r="AL124" s="11"/>
      <c r="AM124" s="11"/>
      <c r="AN124" s="11"/>
      <c r="AO124" s="11"/>
    </row>
    <row r="125" spans="1:41" x14ac:dyDescent="0.25">
      <c r="A125" s="11"/>
      <c r="B125" s="11"/>
      <c r="C125" s="11"/>
      <c r="D125" s="11"/>
      <c r="E125" s="11"/>
      <c r="F125" s="11"/>
      <c r="G125" s="11"/>
      <c r="H125" s="11"/>
      <c r="I125" s="263"/>
      <c r="J125" s="55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x14ac:dyDescent="0.25">
      <c r="A126" s="11"/>
      <c r="B126" s="11"/>
      <c r="C126" s="11"/>
      <c r="D126" s="11"/>
      <c r="E126" s="11"/>
      <c r="F126" s="11"/>
      <c r="G126" s="11"/>
      <c r="H126" s="11"/>
      <c r="I126" s="55"/>
      <c r="J126" s="55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x14ac:dyDescent="0.25">
      <c r="A127" s="11"/>
      <c r="B127" s="11"/>
      <c r="C127" s="11"/>
      <c r="D127" s="11"/>
      <c r="E127" s="11"/>
      <c r="F127" s="11"/>
      <c r="G127" s="11"/>
      <c r="H127" s="11"/>
      <c r="I127" s="55"/>
      <c r="J127" s="55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x14ac:dyDescent="0.25">
      <c r="A128" s="11"/>
      <c r="B128" s="11"/>
      <c r="C128" s="11"/>
      <c r="D128" s="11"/>
      <c r="E128" s="11"/>
      <c r="F128" s="11"/>
      <c r="G128" s="11"/>
      <c r="H128" s="11"/>
      <c r="I128" s="55"/>
      <c r="J128" s="11"/>
      <c r="K128" s="263"/>
      <c r="L128" s="263"/>
      <c r="M128" s="263"/>
      <c r="N128" s="11"/>
      <c r="O128" s="263"/>
      <c r="P128" s="263"/>
      <c r="Q128" s="263"/>
      <c r="R128" s="263"/>
      <c r="S128" s="263"/>
      <c r="T128" s="263"/>
      <c r="U128" s="263"/>
      <c r="V128" s="263"/>
      <c r="W128" s="263"/>
      <c r="X128" s="263"/>
      <c r="Y128" s="263"/>
      <c r="Z128" s="263"/>
      <c r="AA128" s="263"/>
      <c r="AB128" s="11"/>
      <c r="AC128" s="11"/>
      <c r="AD128" s="263"/>
      <c r="AE128" s="11"/>
      <c r="AF128" s="263"/>
      <c r="AG128" s="11"/>
      <c r="AH128" s="263"/>
      <c r="AI128" s="11"/>
      <c r="AJ128" s="11"/>
      <c r="AK128" s="11"/>
      <c r="AL128" s="11"/>
      <c r="AM128" s="11"/>
      <c r="AN128" s="11"/>
      <c r="AO128" s="11"/>
    </row>
    <row r="129" spans="1:41" x14ac:dyDescent="0.25">
      <c r="A129" s="11"/>
      <c r="B129" s="11"/>
      <c r="C129" s="11"/>
      <c r="D129" s="11"/>
      <c r="E129" s="11"/>
      <c r="F129" s="11"/>
      <c r="G129" s="11"/>
      <c r="H129" s="11"/>
      <c r="I129" s="263"/>
      <c r="J129" s="55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x14ac:dyDescent="0.25">
      <c r="A130" s="11"/>
      <c r="B130" s="11"/>
      <c r="C130" s="11"/>
      <c r="D130" s="11"/>
      <c r="E130" s="11"/>
      <c r="F130" s="11"/>
      <c r="G130" s="11"/>
      <c r="H130" s="11"/>
      <c r="I130" s="55"/>
      <c r="J130" s="55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x14ac:dyDescent="0.25">
      <c r="A131" s="11"/>
      <c r="B131" s="11"/>
      <c r="C131" s="11"/>
      <c r="D131" s="11"/>
      <c r="E131" s="11"/>
      <c r="F131" s="11"/>
      <c r="G131" s="11"/>
      <c r="H131" s="11"/>
      <c r="I131" s="55"/>
      <c r="J131" s="55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x14ac:dyDescent="0.25">
      <c r="A132" s="11"/>
      <c r="B132" s="11"/>
      <c r="C132" s="11"/>
      <c r="D132" s="11"/>
      <c r="E132" s="11"/>
      <c r="F132" s="11"/>
      <c r="G132" s="11"/>
      <c r="H132" s="11"/>
      <c r="I132" s="55"/>
      <c r="J132" s="55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x14ac:dyDescent="0.25">
      <c r="A133" s="11"/>
      <c r="B133" s="11"/>
      <c r="C133" s="11"/>
      <c r="D133" s="11"/>
      <c r="E133" s="11"/>
      <c r="F133" s="11"/>
      <c r="G133" s="11"/>
      <c r="H133" s="11"/>
      <c r="I133" s="55"/>
      <c r="J133" s="55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x14ac:dyDescent="0.25">
      <c r="A134" s="11"/>
      <c r="B134" s="11"/>
      <c r="C134" s="11"/>
      <c r="D134" s="11"/>
      <c r="E134" s="11"/>
      <c r="F134" s="11"/>
      <c r="G134" s="11"/>
      <c r="H134" s="11"/>
      <c r="I134" s="55"/>
      <c r="J134" s="55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x14ac:dyDescent="0.25">
      <c r="A135" s="11"/>
      <c r="B135" s="11"/>
      <c r="C135" s="11"/>
      <c r="D135" s="11"/>
      <c r="E135" s="11"/>
      <c r="F135" s="11"/>
      <c r="G135" s="11"/>
      <c r="H135" s="11"/>
      <c r="I135" s="55"/>
      <c r="J135" s="55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x14ac:dyDescent="0.25">
      <c r="A136" s="11"/>
      <c r="B136" s="11"/>
      <c r="C136" s="11"/>
      <c r="D136" s="11"/>
      <c r="E136" s="11"/>
      <c r="F136" s="11"/>
      <c r="G136" s="11"/>
      <c r="H136" s="11"/>
      <c r="I136" s="55"/>
      <c r="J136" s="55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x14ac:dyDescent="0.25">
      <c r="A137" s="11"/>
      <c r="B137" s="11"/>
      <c r="C137" s="11"/>
      <c r="D137" s="11"/>
      <c r="E137" s="11"/>
      <c r="F137" s="11"/>
      <c r="G137" s="11"/>
      <c r="H137" s="11"/>
      <c r="I137" s="55"/>
      <c r="J137" s="55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x14ac:dyDescent="0.25">
      <c r="A138" s="11"/>
      <c r="B138" s="11"/>
      <c r="C138" s="11"/>
      <c r="D138" s="11"/>
      <c r="E138" s="11"/>
      <c r="F138" s="11"/>
      <c r="G138" s="11"/>
      <c r="H138" s="11"/>
      <c r="I138" s="55"/>
      <c r="J138" s="55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x14ac:dyDescent="0.25">
      <c r="A139" s="11"/>
      <c r="B139" s="11"/>
      <c r="C139" s="11"/>
      <c r="D139" s="11"/>
      <c r="E139" s="11"/>
      <c r="F139" s="11"/>
      <c r="G139" s="11"/>
      <c r="H139" s="11"/>
      <c r="I139" s="55"/>
      <c r="J139" s="55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x14ac:dyDescent="0.25">
      <c r="A140" s="11"/>
      <c r="B140" s="11"/>
      <c r="C140" s="11"/>
      <c r="D140" s="11"/>
      <c r="E140" s="11"/>
      <c r="F140" s="11"/>
      <c r="G140" s="11"/>
      <c r="H140" s="11"/>
      <c r="I140" s="55"/>
      <c r="J140" s="55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</row>
    <row r="141" spans="1:41" x14ac:dyDescent="0.25">
      <c r="A141" s="11"/>
      <c r="B141" s="11"/>
      <c r="C141" s="11"/>
      <c r="D141" s="11"/>
      <c r="E141" s="11"/>
      <c r="F141" s="11"/>
      <c r="G141" s="11"/>
      <c r="H141" s="11"/>
      <c r="I141" s="55"/>
      <c r="J141" s="55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x14ac:dyDescent="0.25">
      <c r="A142" s="11"/>
      <c r="B142" s="11"/>
      <c r="C142" s="11"/>
      <c r="D142" s="11"/>
      <c r="E142" s="11"/>
      <c r="F142" s="11"/>
      <c r="G142" s="11"/>
      <c r="H142" s="11"/>
      <c r="I142" s="55"/>
      <c r="J142" s="55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</row>
    <row r="143" spans="1:41" x14ac:dyDescent="0.25">
      <c r="A143" s="11"/>
      <c r="B143" s="11"/>
      <c r="C143" s="11"/>
      <c r="D143" s="11"/>
      <c r="E143" s="11"/>
      <c r="F143" s="11"/>
      <c r="G143" s="11"/>
      <c r="H143" s="11"/>
      <c r="I143" s="55"/>
      <c r="J143" s="55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x14ac:dyDescent="0.25">
      <c r="A144" s="11"/>
      <c r="B144" s="11"/>
      <c r="C144" s="11"/>
      <c r="D144" s="11"/>
      <c r="E144" s="11"/>
      <c r="F144" s="11"/>
      <c r="G144" s="11"/>
      <c r="H144" s="11"/>
      <c r="I144" s="55"/>
      <c r="J144" s="55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</row>
    <row r="145" spans="1:41" x14ac:dyDescent="0.25">
      <c r="A145" s="11"/>
      <c r="B145" s="11"/>
      <c r="C145" s="11"/>
      <c r="D145" s="11"/>
      <c r="E145" s="11"/>
      <c r="F145" s="11"/>
      <c r="G145" s="11"/>
      <c r="H145" s="11"/>
      <c r="I145" s="55"/>
      <c r="J145" s="55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</row>
    <row r="146" spans="1:41" x14ac:dyDescent="0.25">
      <c r="A146" s="11"/>
      <c r="B146" s="11"/>
      <c r="C146" s="11"/>
      <c r="D146" s="11"/>
      <c r="E146" s="11"/>
      <c r="F146" s="11"/>
      <c r="G146" s="11"/>
      <c r="H146" s="11"/>
      <c r="I146" s="55"/>
      <c r="J146" s="55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</row>
    <row r="147" spans="1:41" x14ac:dyDescent="0.25">
      <c r="A147" s="11"/>
      <c r="B147" s="11"/>
      <c r="C147" s="11"/>
      <c r="D147" s="11"/>
      <c r="E147" s="11"/>
      <c r="F147" s="11"/>
      <c r="G147" s="11"/>
      <c r="H147" s="11"/>
      <c r="I147" s="55"/>
      <c r="J147" s="55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</row>
    <row r="148" spans="1:41" x14ac:dyDescent="0.25">
      <c r="A148" s="11"/>
      <c r="B148" s="11"/>
      <c r="C148" s="11"/>
      <c r="D148" s="11"/>
      <c r="E148" s="11"/>
      <c r="F148" s="11"/>
      <c r="G148" s="11"/>
      <c r="H148" s="11"/>
      <c r="I148" s="55"/>
      <c r="J148" s="55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x14ac:dyDescent="0.25">
      <c r="A149" s="11"/>
      <c r="B149" s="11"/>
      <c r="C149" s="11"/>
      <c r="D149" s="11"/>
      <c r="E149" s="11"/>
      <c r="F149" s="11"/>
      <c r="G149" s="11"/>
      <c r="H149" s="11"/>
      <c r="I149" s="55"/>
      <c r="J149" s="55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</row>
    <row r="150" spans="1:41" x14ac:dyDescent="0.25">
      <c r="A150" s="11"/>
      <c r="B150" s="11"/>
      <c r="C150" s="11"/>
      <c r="D150" s="11"/>
      <c r="E150" s="11"/>
      <c r="F150" s="11"/>
      <c r="G150" s="11"/>
      <c r="H150" s="11"/>
      <c r="I150" s="55"/>
      <c r="J150" s="55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x14ac:dyDescent="0.25">
      <c r="A151" s="11"/>
      <c r="B151" s="11"/>
      <c r="C151" s="11"/>
      <c r="D151" s="11"/>
      <c r="E151" s="11"/>
      <c r="F151" s="11"/>
      <c r="G151" s="11"/>
      <c r="H151" s="11"/>
      <c r="I151" s="55"/>
      <c r="J151" s="55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</row>
    <row r="152" spans="1:41" x14ac:dyDescent="0.25">
      <c r="A152" s="11"/>
      <c r="B152" s="11"/>
      <c r="C152" s="11"/>
      <c r="D152" s="11"/>
      <c r="E152" s="11"/>
      <c r="F152" s="11"/>
      <c r="G152" s="11"/>
      <c r="H152" s="11"/>
      <c r="I152" s="55"/>
      <c r="J152" s="55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x14ac:dyDescent="0.25">
      <c r="A153" s="11"/>
      <c r="B153" s="11"/>
      <c r="C153" s="11"/>
      <c r="D153" s="11"/>
      <c r="E153" s="11"/>
      <c r="F153" s="11"/>
      <c r="G153" s="11"/>
      <c r="H153" s="11"/>
      <c r="I153" s="55"/>
      <c r="J153" s="55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x14ac:dyDescent="0.25">
      <c r="A154" s="11"/>
      <c r="B154" s="11"/>
      <c r="C154" s="11"/>
      <c r="D154" s="11"/>
      <c r="E154" s="11"/>
      <c r="F154" s="11"/>
      <c r="G154" s="11"/>
      <c r="H154" s="11"/>
      <c r="I154" s="55"/>
      <c r="J154" s="55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x14ac:dyDescent="0.25">
      <c r="A155" s="11"/>
      <c r="B155" s="11"/>
      <c r="C155" s="11"/>
      <c r="D155" s="11"/>
      <c r="E155" s="11"/>
      <c r="F155" s="11"/>
      <c r="G155" s="11"/>
      <c r="H155" s="11"/>
      <c r="I155" s="55"/>
      <c r="J155" s="55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x14ac:dyDescent="0.25">
      <c r="A156" s="11"/>
      <c r="B156" s="11"/>
      <c r="C156" s="11"/>
      <c r="D156" s="11"/>
      <c r="E156" s="11"/>
      <c r="F156" s="11"/>
      <c r="G156" s="11"/>
      <c r="H156" s="11"/>
      <c r="I156" s="55"/>
      <c r="J156" s="55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x14ac:dyDescent="0.25">
      <c r="A157" s="11"/>
      <c r="B157" s="11"/>
      <c r="C157" s="11"/>
      <c r="D157" s="11"/>
      <c r="E157" s="11"/>
      <c r="F157" s="11"/>
      <c r="G157" s="263"/>
      <c r="H157" s="11"/>
      <c r="I157" s="55"/>
      <c r="J157" s="55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</row>
    <row r="158" spans="1:41" x14ac:dyDescent="0.25">
      <c r="A158" s="11"/>
      <c r="B158" s="11"/>
      <c r="C158" s="11"/>
      <c r="D158" s="11"/>
      <c r="E158" s="11"/>
      <c r="F158" s="11"/>
      <c r="G158" s="11"/>
      <c r="H158" s="11"/>
      <c r="I158" s="55"/>
      <c r="J158" s="55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</row>
    <row r="159" spans="1:41" x14ac:dyDescent="0.25">
      <c r="A159" s="11"/>
      <c r="B159" s="11"/>
      <c r="C159" s="11"/>
      <c r="D159" s="11"/>
      <c r="E159" s="11"/>
      <c r="F159" s="11"/>
      <c r="G159" s="11"/>
      <c r="H159" s="11"/>
      <c r="I159" s="55"/>
      <c r="J159" s="55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</row>
    <row r="160" spans="1:41" x14ac:dyDescent="0.25">
      <c r="A160" s="11"/>
      <c r="B160" s="11"/>
      <c r="C160" s="11"/>
      <c r="D160" s="11"/>
      <c r="E160" s="11"/>
      <c r="F160" s="11"/>
      <c r="G160" s="11"/>
      <c r="H160" s="11"/>
      <c r="I160" s="55"/>
      <c r="J160" s="55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</row>
    <row r="161" spans="1:41" x14ac:dyDescent="0.25">
      <c r="A161" s="11"/>
      <c r="B161" s="11"/>
      <c r="C161" s="11"/>
      <c r="D161" s="11"/>
      <c r="E161" s="11"/>
      <c r="F161" s="11"/>
      <c r="G161" s="263"/>
      <c r="H161" s="11"/>
      <c r="I161" s="55"/>
      <c r="J161" s="55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</row>
  </sheetData>
  <sheetProtection algorithmName="SHA-512" hashValue="8AuPZG4PPP+wKpqobHNA+VXTq+grhEhW/GZPSD4D11Aqn99SK6KURQPuWGe3XqU/UkyQ43HIc5yliCwqgGptCQ==" saltValue="P0VSTH5qfz0mu3n+ijJOJg==" spinCount="100000" sheet="1" scenarios="1"/>
  <mergeCells count="2">
    <mergeCell ref="AD31:AE31"/>
    <mergeCell ref="AG31:AH31"/>
  </mergeCells>
  <dataValidations disablePrompts="1" count="2">
    <dataValidation type="list" allowBlank="1" sqref="B28" xr:uid="{00000000-0002-0000-1D00-000000000000}">
      <formula1>"ACCOUNT,BUSINESSUNIT,CATEGORY,DATASRC,DEPARTMENT,INTCO,MEASURES,RPTCURRENCY,TIME"</formula1>
    </dataValidation>
    <dataValidation type="list" allowBlank="1" sqref="B29" xr:uid="{00000000-0002-0000-1D00-000001000000}">
      <formula1>"SELF,ALL,BAS,DEP,BASMEMBERS,MEMBERS,NOEXPAND,GDEP"</formula1>
    </dataValidation>
  </dataValidations>
  <pageMargins left="0.25" right="0.25" top="0.5" bottom="0.5" header="0.3" footer="0.3"/>
  <pageSetup scale="49" fitToHeight="0" orientation="landscape" r:id="rId1"/>
  <headerFooter>
    <oddFooter>&amp;L&amp;F&amp;C&amp;P of &amp;N&amp;R&amp;D</oddFooter>
  </headerFooter>
  <customProperties>
    <customPr name="EpmWorksheetKeyString_GUID" r:id="rId2"/>
    <customPr name="FPMExcelClientCellBasedFunctionStatus" r:id="rId3"/>
    <customPr name="FPMExcelClientRefreshTime" r:id="rId4"/>
  </customProperties>
  <legacyDrawing r:id="rId5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2">
    <tabColor theme="2" tint="-0.499984740745262"/>
    <pageSetUpPr fitToPage="1"/>
  </sheetPr>
  <dimension ref="A1:AO109"/>
  <sheetViews>
    <sheetView topLeftCell="K1" zoomScale="85" zoomScaleNormal="85" workbookViewId="0">
      <pane xSplit="4" ySplit="32" topLeftCell="O33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2" width="9.7109375" style="2" hidden="1" customWidth="1" outlineLevel="1" collapsed="1"/>
    <col min="13" max="13" width="9.7109375" style="2" hidden="1" customWidth="1" outlineLevel="1"/>
    <col min="14" max="14" width="36.7109375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40" width="0" style="1" hidden="1" customWidth="1" outlineLevel="1"/>
    <col min="41" max="41" width="9.140625" style="1" collapsed="1"/>
    <col min="42" max="16384" width="9.140625" style="1"/>
  </cols>
  <sheetData>
    <row r="1" spans="1:41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11"/>
      <c r="H1" s="11"/>
      <c r="I1" s="11"/>
      <c r="J1" s="11"/>
      <c r="K1" s="11"/>
      <c r="L1" s="51"/>
      <c r="M1" s="51"/>
      <c r="N1" s="5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</row>
    <row r="2" spans="1:41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11"/>
      <c r="H2" s="11"/>
      <c r="I2" s="11"/>
      <c r="J2" s="11"/>
      <c r="K2" s="11"/>
      <c r="L2" s="51"/>
      <c r="M2" s="5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</row>
    <row r="3" spans="1:41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11"/>
      <c r="H3" s="11"/>
      <c r="I3" s="11"/>
      <c r="J3" s="11"/>
      <c r="K3" s="11"/>
      <c r="L3" s="55"/>
      <c r="M3" s="55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11"/>
      <c r="H4" s="11"/>
      <c r="I4" s="55"/>
      <c r="J4" s="55"/>
      <c r="K4" s="11"/>
      <c r="L4" s="55"/>
      <c r="M4" s="55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11"/>
      <c r="H5" s="11"/>
      <c r="I5" s="55"/>
      <c r="J5" s="55"/>
      <c r="K5" s="11"/>
      <c r="L5" s="55"/>
      <c r="M5" s="55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idden="1" outlineLevel="1" x14ac:dyDescent="0.25">
      <c r="A6" s="49" t="s">
        <v>52</v>
      </c>
      <c r="B6" s="52" t="s">
        <v>497</v>
      </c>
      <c r="C6" s="11" t="str">
        <f>IF(_epmOfflineCondition_,"Administrative &amp; General",_xll.EVDES(B6,$B$1))</f>
        <v>Administrative &amp; General</v>
      </c>
      <c r="D6" s="11"/>
      <c r="E6" s="54" t="str">
        <f>IF(_epmOfflineCondition_,"D_AG",_xll.EVPRO($B$1,$B$6,$F$6))</f>
        <v>D_AG</v>
      </c>
      <c r="F6" s="11" t="s">
        <v>278</v>
      </c>
      <c r="G6" s="11"/>
      <c r="H6" s="11"/>
      <c r="I6" s="55"/>
      <c r="J6" s="55"/>
      <c r="K6" s="11"/>
      <c r="L6" s="55"/>
      <c r="M6" s="55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11"/>
      <c r="H7" s="11"/>
      <c r="I7" s="55"/>
      <c r="J7" s="55"/>
      <c r="K7" s="11"/>
      <c r="L7" s="55"/>
      <c r="M7" s="55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11"/>
      <c r="H8" s="11"/>
      <c r="I8" s="55"/>
      <c r="J8" s="55"/>
      <c r="K8" s="11"/>
      <c r="L8" s="55"/>
      <c r="M8" s="55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55"/>
      <c r="M9" s="55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55"/>
      <c r="M10" s="55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55"/>
      <c r="M11" s="55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55"/>
      <c r="M12" s="55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  <c r="AJ12" s="11"/>
      <c r="AK12" s="11"/>
      <c r="AL12" s="11"/>
      <c r="AM12" s="11"/>
      <c r="AN12" s="11"/>
      <c r="AO12" s="11"/>
    </row>
    <row r="13" spans="1:41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55"/>
      <c r="M13" s="55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  <c r="AJ13" s="11"/>
      <c r="AK13" s="11"/>
      <c r="AL13" s="11"/>
      <c r="AM13" s="11"/>
      <c r="AN13" s="11"/>
      <c r="AO13" s="11"/>
    </row>
    <row r="14" spans="1:41" hidden="1" outlineLevel="1" x14ac:dyDescent="0.25">
      <c r="A14" s="56" t="str">
        <f>IF(_epmOfflineCondition_,"Evdre:Ok",_xll.EVDRE($B$1,A17:B24,A27:C33))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55"/>
      <c r="M14" s="55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  <c r="AJ14" s="11"/>
      <c r="AK14" s="11"/>
      <c r="AL14" s="11"/>
      <c r="AM14" s="11"/>
      <c r="AN14" s="11"/>
      <c r="AO14" s="11"/>
    </row>
    <row r="15" spans="1:41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55"/>
      <c r="M15" s="55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  <c r="AJ15" s="11"/>
      <c r="AK15" s="11"/>
      <c r="AL15" s="11"/>
      <c r="AM15" s="11"/>
      <c r="AN15" s="11"/>
      <c r="AO15" s="11"/>
    </row>
    <row r="16" spans="1:41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55"/>
      <c r="M16" s="55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  <c r="AJ16" s="11"/>
      <c r="AK16" s="11"/>
      <c r="AL16" s="11"/>
      <c r="AM16" s="11"/>
      <c r="AN16" s="11"/>
      <c r="AO16" s="11"/>
    </row>
    <row r="17" spans="1:41" hidden="1" outlineLevel="1" x14ac:dyDescent="0.25">
      <c r="A17" s="61" t="s">
        <v>2</v>
      </c>
      <c r="B17" s="62" t="str">
        <f>IF(_epmOfflineCondition_,"'AG'!$B$2:$B$10",_xll.EVRNG($B$2:$B$10))</f>
        <v>'AG'!$B$2:$B$10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55"/>
      <c r="M17" s="55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/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  <c r="AJ17" s="11"/>
      <c r="AK17" s="11"/>
      <c r="AL17" s="11"/>
      <c r="AM17" s="11"/>
      <c r="AN17" s="11"/>
      <c r="AO17" s="11"/>
    </row>
    <row r="18" spans="1:41" hidden="1" outlineLevel="1" x14ac:dyDescent="0.25">
      <c r="A18" s="61" t="s">
        <v>3</v>
      </c>
      <c r="B18" s="62" t="str">
        <f>IF(_epmOfflineCondition_,"'AG'!$O$16:$AN$18",_xll.EVRNG($O$16:$AN$18))</f>
        <v>'AG'!$O$16:$AN$18</v>
      </c>
      <c r="C18" s="11"/>
      <c r="D18" s="11"/>
      <c r="E18" s="11"/>
      <c r="F18" s="11"/>
      <c r="G18" s="11"/>
      <c r="H18" s="11"/>
      <c r="I18" s="55"/>
      <c r="J18" s="55"/>
      <c r="K18" s="11"/>
      <c r="L18" s="55"/>
      <c r="M18" s="55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60"/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  <c r="AJ18" s="11"/>
      <c r="AK18" s="11"/>
      <c r="AL18" s="11"/>
      <c r="AM18" s="11"/>
      <c r="AN18" s="11"/>
      <c r="AO18" s="11"/>
    </row>
    <row r="19" spans="1:41" hidden="1" outlineLevel="1" x14ac:dyDescent="0.25">
      <c r="A19" s="61" t="s">
        <v>4</v>
      </c>
      <c r="B19" s="62" t="str">
        <f>IF(_epmOfflineCondition_,"'AG'!$G$35:$H$36,'AG'!$G$38:$H$47,'AG'!$G$50:$H$72",_xll.EVRNG(G35:H36,G38:H47,G50:H72))</f>
        <v>'AG'!$G$35:$H$36,'AG'!$G$38:$H$47,'AG'!$G$50:$H$72</v>
      </c>
      <c r="C19" s="11"/>
      <c r="D19" s="11"/>
      <c r="E19" s="11"/>
      <c r="F19" s="11"/>
      <c r="G19" s="63" t="s">
        <v>499</v>
      </c>
      <c r="H19" s="63">
        <v>400000</v>
      </c>
      <c r="I19" s="64"/>
      <c r="J19" s="64"/>
      <c r="K19" s="63"/>
      <c r="L19" s="64"/>
      <c r="M19" s="64"/>
      <c r="N19" s="63" t="str">
        <f>IF(_epmOfflineCondition_,"Total Revenue",_xll.EVDES(H19))</f>
        <v>Total Revenue</v>
      </c>
      <c r="O19" s="65">
        <f>IF(_epmOfflineCondition_,816981.25,_xll.EVGTS($B$1,1,$B$3,$B$5,$B$7,$B$9,O$16,O$17,O$18,$G$19,$H$19))</f>
        <v>816981.25</v>
      </c>
      <c r="P19" s="65">
        <f>IF(_epmOfflineCondition_,866773.26,_xll.EVGTS($B$1,1,$B$3,$B$5,$B$7,$B$9,P$16,P$17,P$18,$G$19,$H$19))</f>
        <v>866773.26</v>
      </c>
      <c r="Q19" s="65">
        <f>IF(_epmOfflineCondition_,969793.68,_xll.EVGTS($B$1,1,$B$3,$B$5,$B$7,$B$9,Q$16,Q$17,Q$18,$G$19,$H$19))</f>
        <v>969793.68</v>
      </c>
      <c r="R19" s="65">
        <f>IF(_epmOfflineCondition_,760228.83,_xll.EVGTS($B$1,1,$B$3,$B$5,$B$7,$B$9,R$16,R$17,R$18,$G$19,$H$19))</f>
        <v>760228.83</v>
      </c>
      <c r="S19" s="65">
        <f>IF(_epmOfflineCondition_,618655.29,_xll.EVGTS($B$1,1,$B$3,$B$5,$B$7,$B$9,S$16,S$17,S$18,$G$19,$H$19))</f>
        <v>618655.29</v>
      </c>
      <c r="T19" s="65">
        <f>IF(_epmOfflineCondition_,453678.77,_xll.EVGTS($B$1,1,$B$3,$B$5,$B$7,$B$9,T$16,T$17,T$18,$G$19,$H$19))</f>
        <v>453678.77</v>
      </c>
      <c r="U19" s="65">
        <f>IF(_epmOfflineCondition_,542439.38,_xll.EVGTS($B$1,1,$B$3,$B$5,$B$7,$B$9,U$16,U$17,U$18,$G$19,$H$19))</f>
        <v>542439.38</v>
      </c>
      <c r="V19" s="65">
        <f>IF(_epmOfflineCondition_,530393.92,_xll.EVGTS($B$1,1,$B$3,$B$5,$B$7,$B$9,V$16,V$17,V$18,$G$19,$H$19))</f>
        <v>530393.92000000004</v>
      </c>
      <c r="W19" s="65">
        <f>IF(_epmOfflineCondition_,366989.98,_xll.EVGTS($B$1,1,$B$3,$B$5,$B$7,$B$9,W$16,W$17,W$18,$G$19,$H$19))</f>
        <v>366989.98</v>
      </c>
      <c r="X19" s="65">
        <f>IF(_epmOfflineCondition_,549087,_xll.EVGTS($B$1,1,$B$3,$B$5,$B$7,$B$9,X$16,X$17,X$18,$G$19,$H$19))</f>
        <v>549087</v>
      </c>
      <c r="Y19" s="65">
        <f>IF(_epmOfflineCondition_,756850.37,_xll.EVGTS($B$1,1,$B$3,$B$5,$B$7,$B$9,Y$16,Y$17,Y$18,$G$19,$H$19))</f>
        <v>756850.37</v>
      </c>
      <c r="Z19" s="65">
        <f>IF(_epmOfflineCondition_,1154118.08,_xll.EVGTS($B$1,1,$B$3,$B$5,$B$7,$B$9,Z$16,Z$17,Z$18,$G$19,$H$19))</f>
        <v>1154118.08</v>
      </c>
      <c r="AA19" s="65">
        <f>SUM(O19:Z19)</f>
        <v>8385989.8099999996</v>
      </c>
      <c r="AB19" s="63"/>
      <c r="AC19" s="63"/>
      <c r="AD19" s="65">
        <f>IF(_epmOfflineCondition_,13047408.7892219,_xll.EVGTS($B$1,1,$B$3,$B$5,$B$7,$B$9,AD$16,AD$17,AD$18,$G$19,$H$19))</f>
        <v>13047408.7892219</v>
      </c>
      <c r="AE19" s="63"/>
      <c r="AF19" s="63"/>
      <c r="AG19" s="65">
        <f>IF(_epmOfflineCondition_,3258668.97,_xll.EVGTS($B$1,1,$B$3,$B$5,$B$7,$B$9,AG$16,AG$17,AG$18,$G$19,$H$19))</f>
        <v>3258668.97</v>
      </c>
      <c r="AH19" s="63"/>
      <c r="AI19" s="63"/>
      <c r="AJ19" s="11"/>
      <c r="AK19" s="11"/>
      <c r="AL19" s="11"/>
      <c r="AM19" s="11"/>
      <c r="AN19" s="11"/>
      <c r="AO19" s="11"/>
    </row>
    <row r="20" spans="1:41" hidden="1" outlineLevel="1" x14ac:dyDescent="0.25">
      <c r="A20" s="61" t="s">
        <v>5</v>
      </c>
      <c r="B20" s="62"/>
      <c r="C20" s="11"/>
      <c r="D20" s="11"/>
      <c r="E20" s="11"/>
      <c r="F20" s="11"/>
      <c r="G20" s="63" t="s">
        <v>750</v>
      </c>
      <c r="H20" s="63">
        <v>904100</v>
      </c>
      <c r="I20" s="64"/>
      <c r="J20" s="64"/>
      <c r="K20" s="63"/>
      <c r="L20" s="64"/>
      <c r="M20" s="64"/>
      <c r="N20" s="63" t="str">
        <f>IF(_epmOfflineCondition_,"Available rooms",_xll.EVDES(H20))</f>
        <v>Available rooms</v>
      </c>
      <c r="O20" s="65">
        <f>IF(_epmOfflineCondition_,4092,_xll.EVGTS($B$1,1,$B$3,$B$5,$B$7,$B$9,O$16,O$17,O$18,$G$20,$H$20))</f>
        <v>4092</v>
      </c>
      <c r="P20" s="65">
        <f>IF(_epmOfflineCondition_,3696,_xll.EVGTS($B$1,1,$B$3,$B$5,$B$7,$B$9,P$16,P$17,P$18,$G$20,$H$20))</f>
        <v>3696</v>
      </c>
      <c r="Q20" s="65">
        <f>IF(_epmOfflineCondition_,4092,_xll.EVGTS($B$1,1,$B$3,$B$5,$B$7,$B$9,Q$16,Q$17,Q$18,$G$20,$H$20))</f>
        <v>4092</v>
      </c>
      <c r="R20" s="65">
        <f>IF(_epmOfflineCondition_,3960,_xll.EVGTS($B$1,1,$B$3,$B$5,$B$7,$B$9,R$16,R$17,R$18,$G$20,$H$20))</f>
        <v>3960</v>
      </c>
      <c r="S20" s="65">
        <f>IF(_epmOfflineCondition_,4092,_xll.EVGTS($B$1,1,$B$3,$B$5,$B$7,$B$9,S$16,S$17,S$18,$G$20,$H$20))</f>
        <v>4092</v>
      </c>
      <c r="T20" s="65">
        <f>IF(_epmOfflineCondition_,3960,_xll.EVGTS($B$1,1,$B$3,$B$5,$B$7,$B$9,T$16,T$17,T$18,$G$20,$H$20))</f>
        <v>3960</v>
      </c>
      <c r="U20" s="65">
        <f>IF(_epmOfflineCondition_,4092,_xll.EVGTS($B$1,1,$B$3,$B$5,$B$7,$B$9,U$16,U$17,U$18,$G$20,$H$20))</f>
        <v>4092</v>
      </c>
      <c r="V20" s="65">
        <f>IF(_epmOfflineCondition_,4092,_xll.EVGTS($B$1,1,$B$3,$B$5,$B$7,$B$9,V$16,V$17,V$18,$G$20,$H$20))</f>
        <v>4092</v>
      </c>
      <c r="W20" s="65">
        <f>IF(_epmOfflineCondition_,3960,_xll.EVGTS($B$1,1,$B$3,$B$5,$B$7,$B$9,W$16,W$17,W$18,$G$20,$H$20))</f>
        <v>3960</v>
      </c>
      <c r="X20" s="65">
        <f>IF(_epmOfflineCondition_,4092,_xll.EVGTS($B$1,1,$B$3,$B$5,$B$7,$B$9,X$16,X$17,X$18,$G$20,$H$20))</f>
        <v>4092</v>
      </c>
      <c r="Y20" s="65">
        <f>IF(_epmOfflineCondition_,3960,_xll.EVGTS($B$1,1,$B$3,$B$5,$B$7,$B$9,Y$16,Y$17,Y$18,$G$20,$H$20))</f>
        <v>3960</v>
      </c>
      <c r="Z20" s="65">
        <f>IF(_epmOfflineCondition_,4092,_xll.EVGTS($B$1,1,$B$3,$B$5,$B$7,$B$9,Z$16,Z$17,Z$18,$G$20,$H$20))</f>
        <v>4092</v>
      </c>
      <c r="AA20" s="65">
        <f>SUM(O20:Z20)</f>
        <v>48180</v>
      </c>
      <c r="AB20" s="63"/>
      <c r="AC20" s="63"/>
      <c r="AD20" s="65">
        <f>IF(_epmOfflineCondition_,48180,_xll.EVGTS($B$1,1,$B$3,$B$5,$B$7,$B$9,AD$16,AD$17,AD$18,$G$20,$H$20))</f>
        <v>48180</v>
      </c>
      <c r="AE20" s="63"/>
      <c r="AF20" s="63"/>
      <c r="AG20" s="65">
        <f>IF(_epmOfflineCondition_,37251,_xll.EVGTS($B$1,1,$B$3,$B$5,$B$7,$B$9,AG$16,AG$17,AG$18,$G$20,$H$20))</f>
        <v>37251</v>
      </c>
      <c r="AH20" s="63"/>
      <c r="AI20" s="63"/>
      <c r="AJ20" s="11"/>
      <c r="AK20" s="11"/>
      <c r="AL20" s="11"/>
      <c r="AM20" s="11"/>
      <c r="AN20" s="11"/>
      <c r="AO20" s="11"/>
    </row>
    <row r="21" spans="1:41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55"/>
      <c r="J21" s="55"/>
      <c r="K21" s="11"/>
      <c r="L21" s="55"/>
      <c r="M21" s="55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idden="1" outlineLevel="1" x14ac:dyDescent="0.25">
      <c r="A22" s="61" t="s">
        <v>7</v>
      </c>
      <c r="B22" s="62" t="str">
        <f>IF(_epmOfflineCondition_,"'AG'!$A$36:$F$42",_xll.EVRNG(A36:F42))</f>
        <v>'AG'!$A$36:$F$42</v>
      </c>
      <c r="C22" s="11"/>
      <c r="D22" s="11"/>
      <c r="E22" s="11"/>
      <c r="F22" s="11"/>
      <c r="G22" s="11"/>
      <c r="H22" s="11"/>
      <c r="I22" s="55"/>
      <c r="J22" s="55"/>
      <c r="K22" s="11"/>
      <c r="L22" s="55"/>
      <c r="M22" s="55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idden="1" outlineLevel="1" x14ac:dyDescent="0.25">
      <c r="A23" s="61" t="s">
        <v>47</v>
      </c>
      <c r="B23" s="62" t="str">
        <f>IF(_epmOfflineCondition_,"'AG'!$A$59:$B$80",_xll.EVRNG($A$59:$B$80))</f>
        <v>'AG'!$A$59:$B$80</v>
      </c>
      <c r="C23" s="11"/>
      <c r="D23" s="11"/>
      <c r="E23" s="11"/>
      <c r="F23" s="11"/>
      <c r="G23" s="11"/>
      <c r="H23" s="11"/>
      <c r="I23" s="55"/>
      <c r="J23" s="55"/>
      <c r="K23" s="6"/>
      <c r="L23" s="55"/>
      <c r="M23" s="55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55"/>
      <c r="M24" s="55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55"/>
      <c r="M25" s="55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22.5" x14ac:dyDescent="0.3">
      <c r="A26" s="57" t="s">
        <v>9</v>
      </c>
      <c r="B26" s="58" t="s">
        <v>10</v>
      </c>
      <c r="C26" s="58" t="s">
        <v>357</v>
      </c>
      <c r="D26" s="11"/>
      <c r="E26" s="11"/>
      <c r="F26" s="11"/>
      <c r="G26" s="11"/>
      <c r="H26" s="11"/>
      <c r="I26" s="55"/>
      <c r="J26" s="55"/>
      <c r="K26" s="11"/>
      <c r="L26" s="55"/>
      <c r="M26" s="55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8" x14ac:dyDescent="0.25">
      <c r="A27" s="61" t="s">
        <v>11</v>
      </c>
      <c r="B27" s="62" t="s">
        <v>21</v>
      </c>
      <c r="C27" s="62" t="s">
        <v>21</v>
      </c>
      <c r="D27" s="11"/>
      <c r="E27" s="11"/>
      <c r="F27" s="11"/>
      <c r="G27" s="11"/>
      <c r="H27" s="11"/>
      <c r="I27" s="55"/>
      <c r="J27" s="55"/>
      <c r="K27" s="11"/>
      <c r="L27" s="55"/>
      <c r="M27" s="55"/>
      <c r="N27" s="67" t="str">
        <f>IF(_epmOfflineCondition_,"Administrative &amp; General Department",IF(_xll.EVDES(B6,$B$1)="#NODATA","",_xll.EVDES(B6,$B$1)&amp;" Department"))</f>
        <v>Administrative &amp; General Department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x14ac:dyDescent="0.25">
      <c r="A28" s="61" t="s">
        <v>12</v>
      </c>
      <c r="B28" s="62" t="s">
        <v>52</v>
      </c>
      <c r="C28" s="62" t="s">
        <v>22</v>
      </c>
      <c r="D28" s="11"/>
      <c r="E28" s="11"/>
      <c r="F28" s="11"/>
      <c r="G28" s="11"/>
      <c r="H28" s="11"/>
      <c r="I28" s="55"/>
      <c r="J28" s="55"/>
      <c r="K28" s="11"/>
      <c r="L28" s="55"/>
      <c r="M28" s="55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" customHeight="1" x14ac:dyDescent="0.25">
      <c r="A29" s="61" t="s">
        <v>13</v>
      </c>
      <c r="B29" s="62" t="s">
        <v>739</v>
      </c>
      <c r="C29" s="62" t="s">
        <v>736</v>
      </c>
      <c r="D29" s="11"/>
      <c r="E29" s="11"/>
      <c r="F29" s="11"/>
      <c r="G29" s="11"/>
      <c r="H29" s="11"/>
      <c r="I29" s="55"/>
      <c r="J29" s="55"/>
      <c r="K29" s="11"/>
      <c r="L29" s="55"/>
      <c r="M29" s="55"/>
      <c r="N29" s="68" t="str">
        <f>IF(_epmOfflineCondition_,"Local Currency",_xll.EVDES(B9,B1))</f>
        <v>Local Currency</v>
      </c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x14ac:dyDescent="0.25">
      <c r="A30" s="61" t="s">
        <v>14</v>
      </c>
      <c r="B30" s="582"/>
      <c r="C30" s="62"/>
      <c r="D30" s="11"/>
      <c r="E30" s="11"/>
      <c r="F30" s="11"/>
      <c r="G30" s="11"/>
      <c r="H30" s="11"/>
      <c r="I30" s="55"/>
      <c r="J30" s="55"/>
      <c r="K30" s="11"/>
      <c r="L30" s="55"/>
      <c r="M30" s="55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  <c r="AJ30" s="69" t="s">
        <v>753</v>
      </c>
      <c r="AK30" s="70"/>
      <c r="AL30" s="71"/>
      <c r="AM30" s="70" t="s">
        <v>751</v>
      </c>
      <c r="AN30" s="70"/>
      <c r="AO30" s="11"/>
    </row>
    <row r="31" spans="1:41" x14ac:dyDescent="0.25">
      <c r="A31" s="61" t="s">
        <v>15</v>
      </c>
      <c r="B31" s="62"/>
      <c r="C31" s="62"/>
      <c r="D31" s="11"/>
      <c r="E31" s="11"/>
      <c r="F31" s="11"/>
      <c r="G31" s="72"/>
      <c r="H31" s="11"/>
      <c r="I31" s="55"/>
      <c r="J31" s="55"/>
      <c r="K31" s="173"/>
      <c r="L31" s="55"/>
      <c r="M31" s="55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  <c r="AJ31" s="73" t="str">
        <f>IF(_epmOfflineCondition_,"2019",_xll.EVPRO($B$1,AA$16,"YEAR"))</f>
        <v>2019</v>
      </c>
      <c r="AK31" s="76" t="str">
        <f>IF(_epmOfflineCondition_,"2019",_xll.EVPRO($B$1,AD$16,"YEAR"))</f>
        <v>2019</v>
      </c>
      <c r="AL31" s="76" t="str">
        <f>IF(_epmOfflineCondition_,"2018",_xll.EVPRO($B$1,AG$16,"YEAR"))</f>
        <v>2018</v>
      </c>
      <c r="AM31" s="73" t="str">
        <f>"vs "&amp;AK31</f>
        <v>vs 2019</v>
      </c>
      <c r="AN31" s="73" t="str">
        <f>"vs "&amp;AL31</f>
        <v>vs 2018</v>
      </c>
      <c r="AO31" s="11"/>
    </row>
    <row r="32" spans="1:41" s="8" customFormat="1" ht="30" customHeight="1" x14ac:dyDescent="0.25">
      <c r="A32" s="77" t="s">
        <v>16</v>
      </c>
      <c r="B32" s="78"/>
      <c r="C32" s="78" t="s">
        <v>78</v>
      </c>
      <c r="D32" s="79"/>
      <c r="E32" s="79"/>
      <c r="F32" s="79"/>
      <c r="G32" s="79"/>
      <c r="H32" s="80"/>
      <c r="I32" s="81"/>
      <c r="J32" s="81"/>
      <c r="K32" s="174" t="s">
        <v>117</v>
      </c>
      <c r="L32" s="81"/>
      <c r="M32" s="81"/>
      <c r="N32" s="82" t="s">
        <v>120</v>
      </c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  <c r="AJ32" s="83" t="str">
        <f>Z32</f>
        <v>Actual</v>
      </c>
      <c r="AK32" s="76" t="str">
        <f>AD32</f>
        <v>Budget</v>
      </c>
      <c r="AL32" s="83" t="str">
        <f>AG32</f>
        <v>Actual</v>
      </c>
      <c r="AM32" s="73" t="s">
        <v>748</v>
      </c>
      <c r="AN32" s="73" t="s">
        <v>748</v>
      </c>
      <c r="AO32" s="79"/>
    </row>
    <row r="33" spans="1:41" x14ac:dyDescent="0.25">
      <c r="A33" s="61" t="s">
        <v>17</v>
      </c>
      <c r="B33" s="62"/>
      <c r="C33" s="62"/>
      <c r="D33" s="11"/>
      <c r="E33" s="11"/>
      <c r="F33" s="11"/>
      <c r="G33" s="11"/>
      <c r="H33" s="11" t="s">
        <v>73</v>
      </c>
      <c r="I33" s="55" t="str">
        <f>IF(_epmOfflineCondition_,"B1",_xll.EVPRO($B$1,$H33,"STYLE"))</f>
        <v>B1</v>
      </c>
      <c r="J33" s="55" t="str">
        <f>IF(_epmOfflineCondition_,"Y",_xll.EVPRO($B$1,$H33,"CALC"))</f>
        <v>Y</v>
      </c>
      <c r="K33" s="11"/>
      <c r="L33" s="55"/>
      <c r="M33" s="55"/>
      <c r="N33" s="101" t="str">
        <f>IF(_epmOfflineCondition_,"Labor &amp; Related Expenses",IF(_xll.EVDES(H33,$B$1)="#NODATA","",_xll.EVDES(H33,$B$1)))</f>
        <v>Labor &amp; Related Expenses</v>
      </c>
      <c r="O33" s="199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114"/>
      <c r="AC33" s="11"/>
      <c r="AD33" s="199"/>
      <c r="AE33" s="200"/>
      <c r="AF33" s="114"/>
      <c r="AG33" s="199"/>
      <c r="AH33" s="200"/>
      <c r="AI33" s="114"/>
      <c r="AJ33" s="11"/>
      <c r="AK33" s="11"/>
      <c r="AL33" s="11"/>
      <c r="AM33" s="11"/>
      <c r="AN33" s="11"/>
      <c r="AO33" s="11"/>
    </row>
    <row r="34" spans="1:41" x14ac:dyDescent="0.25">
      <c r="A34" s="11"/>
      <c r="B34" s="11"/>
      <c r="C34" s="11"/>
      <c r="D34" s="11"/>
      <c r="E34" s="11"/>
      <c r="F34" s="11"/>
      <c r="G34" s="11"/>
      <c r="H34" s="11" t="s">
        <v>74</v>
      </c>
      <c r="I34" s="55" t="str">
        <f>IF(_epmOfflineCondition_,"B1",_xll.EVPRO($B$1,$H34,"STYLE"))</f>
        <v>B1</v>
      </c>
      <c r="J34" s="55" t="str">
        <f>IF(_epmOfflineCondition_,"Y",_xll.EVPRO($B$1,$H34,"CALC"))</f>
        <v>Y</v>
      </c>
      <c r="K34" s="11"/>
      <c r="L34" s="55"/>
      <c r="M34" s="55"/>
      <c r="N34" s="49" t="str">
        <f>IF(_epmOfflineCondition_,"Salaries &amp; Wages",IF(_xll.EVDES(H34,$B$1)="#NODATA","",_xll.EVDES(H34,$B$1)))</f>
        <v>Salaries &amp; Wages</v>
      </c>
      <c r="O34" s="115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7"/>
      <c r="AC34" s="11"/>
      <c r="AD34" s="115"/>
      <c r="AE34" s="116"/>
      <c r="AF34" s="117"/>
      <c r="AG34" s="115"/>
      <c r="AH34" s="116"/>
      <c r="AI34" s="117"/>
      <c r="AJ34" s="11"/>
      <c r="AK34" s="11"/>
      <c r="AL34" s="11"/>
      <c r="AM34" s="11"/>
      <c r="AN34" s="11"/>
      <c r="AO34" s="11"/>
    </row>
    <row r="35" spans="1:41" x14ac:dyDescent="0.25">
      <c r="A35" s="93" t="s">
        <v>92</v>
      </c>
      <c r="B35" s="94" t="s">
        <v>93</v>
      </c>
      <c r="C35" s="94" t="s">
        <v>94</v>
      </c>
      <c r="D35" s="94" t="s">
        <v>95</v>
      </c>
      <c r="E35" s="94" t="s">
        <v>96</v>
      </c>
      <c r="F35" s="95" t="s">
        <v>97</v>
      </c>
      <c r="G35" s="84" t="s">
        <v>497</v>
      </c>
      <c r="H35" s="84" t="s">
        <v>819</v>
      </c>
      <c r="I35" s="118" t="str">
        <f>IF(_epmOfflineCondition_,"T3",_xll.EVPRO($B$1,$H35,"STYLE"))</f>
        <v>T3</v>
      </c>
      <c r="J35" s="118" t="str">
        <f>IF(_epmOfflineCondition_,"Y",_xll.EVPRO($B$1,$H35,"CALC"))</f>
        <v>Y</v>
      </c>
      <c r="K35" s="175" t="str">
        <f t="shared" ref="K35:K47" si="0">IF(AND(I35&gt;="T3"),"&gt;","")</f>
        <v>&gt;</v>
      </c>
      <c r="L35" s="86" t="str">
        <f>IF(_epmOfflineCondition_,"",_xll.EVPRO($B$1,H35,"JDEID"))</f>
        <v/>
      </c>
      <c r="M35" s="86" t="str">
        <f>IF(_epmOfflineCondition_,"",IF(AND(I35="N",J35="N"),_xll.EVPRO($B$1,H35,"PSFTID"),""))</f>
        <v/>
      </c>
      <c r="N35" s="86" t="str">
        <f>IF(_epmOfflineCondition_,"Management",IF(_xll.EVDES(H35,$B$1)="#NODATA","",_xll.EVDES(H35,$B$1)))</f>
        <v>Management</v>
      </c>
      <c r="O35" s="240">
        <v>21790.94</v>
      </c>
      <c r="P35" s="240">
        <v>27045.71</v>
      </c>
      <c r="Q35" s="240">
        <v>28980.17</v>
      </c>
      <c r="R35" s="240">
        <v>21836.880000000001</v>
      </c>
      <c r="S35" s="240">
        <v>22815.61</v>
      </c>
      <c r="T35" s="240">
        <v>25210.25</v>
      </c>
      <c r="U35" s="240">
        <v>26622.1</v>
      </c>
      <c r="V35" s="240">
        <v>27656.36</v>
      </c>
      <c r="W35" s="240">
        <v>28655.52</v>
      </c>
      <c r="X35" s="240">
        <v>29975.03</v>
      </c>
      <c r="Y35" s="240">
        <v>28443.41</v>
      </c>
      <c r="Z35" s="240">
        <v>25260.07</v>
      </c>
      <c r="AA35" s="223">
        <f t="shared" ref="AA35:AA47" si="1">IF($I35="B1","",SUM(O35:Z35))</f>
        <v>314292.05</v>
      </c>
      <c r="AB35" s="242">
        <f>IF(AA35=0,"",IFERROR(AA35/AA$19,""))</f>
        <v>3.7478229418454301E-2</v>
      </c>
      <c r="AC35" s="136"/>
      <c r="AD35" s="134">
        <v>359172.17292193801</v>
      </c>
      <c r="AE35" s="138">
        <f>IF(AD35=0,"",IFERROR(AD35/AD$19,""))</f>
        <v>2.7528237884187404E-2</v>
      </c>
      <c r="AF35" s="137">
        <f>IF(AND($AA35="",AD35=""),"",$AA35-AD35)</f>
        <v>-44880.122921938018</v>
      </c>
      <c r="AG35" s="134">
        <v>302708.38</v>
      </c>
      <c r="AH35" s="138">
        <f>IF(AG35=0,"",IFERROR(AG35/AG$19,""))</f>
        <v>9.2893258808058668E-2</v>
      </c>
      <c r="AI35" s="137">
        <f>IF(AND($AA35="",AG35=""),"",$AA35-AG35)</f>
        <v>11583.669999999984</v>
      </c>
      <c r="AJ35" s="458">
        <f t="shared" ref="AJ35:AJ47" si="2">IFERROR(AA35/AA$20,0)</f>
        <v>6.523288709007887</v>
      </c>
      <c r="AK35" s="459">
        <f t="shared" ref="AK35:AK47" si="3">IFERROR(AD35/AD$20,0)</f>
        <v>7.454798109629265</v>
      </c>
      <c r="AL35" s="460">
        <f t="shared" ref="AL35:AL47" si="4">IFERROR(AG35/AG$20,0)</f>
        <v>8.1261813105688443</v>
      </c>
      <c r="AM35" s="461" t="str">
        <f t="shared" ref="AM35:AM47" si="5">+IFERROR(ROUND(($AB35-AE35)*100,2)&amp;" pts.",0)</f>
        <v>0.99 pts.</v>
      </c>
      <c r="AN35" s="462" t="str">
        <f t="shared" ref="AN35:AN47" si="6">+IFERROR(ROUND(($AB35-AH35)*100,2)&amp;" pts.",0)</f>
        <v>-5.54 pts.</v>
      </c>
      <c r="AO35" s="11"/>
    </row>
    <row r="36" spans="1:41" hidden="1" x14ac:dyDescent="0.25">
      <c r="A36" s="11"/>
      <c r="B36" s="11"/>
      <c r="C36" s="11"/>
      <c r="D36" s="11"/>
      <c r="E36" s="11"/>
      <c r="F36" s="11"/>
      <c r="G36" s="84"/>
      <c r="H36" s="181"/>
      <c r="I36" s="118" t="str">
        <f>IF(_epmOfflineCondition_,"",_xll.EVPRO($B$1,$H36,"STYLE"))</f>
        <v/>
      </c>
      <c r="J36" s="118" t="str">
        <f>IF(_epmOfflineCondition_,"",_xll.EVPRO($B$1,$H36,"CALC"))</f>
        <v/>
      </c>
      <c r="K36" s="175" t="str">
        <f t="shared" si="0"/>
        <v/>
      </c>
      <c r="L36" s="86" t="str">
        <f>IF(_epmOfflineCondition_,"",_xll.EVPRO($B$1,H36,"JDEID"))</f>
        <v/>
      </c>
      <c r="M36" s="86" t="str">
        <f>IF(_epmOfflineCondition_,"",IF(AND(I36="N",J36="N"),_xll.EVPRO($B$1,H36,"PSFTID"),""))</f>
        <v/>
      </c>
      <c r="N36" s="86" t="str">
        <f>IF(_epmOfflineCondition_,"",IF(_xll.EVDES(H36,$B$1)="#NODATA","",_xll.EVDES(H36,$B$1)))</f>
        <v/>
      </c>
      <c r="O36" s="240"/>
      <c r="P36" s="240"/>
      <c r="Q36" s="240"/>
      <c r="R36" s="240"/>
      <c r="S36" s="240"/>
      <c r="T36" s="240"/>
      <c r="U36" s="240"/>
      <c r="V36" s="240"/>
      <c r="W36" s="240"/>
      <c r="X36" s="240"/>
      <c r="Y36" s="240"/>
      <c r="Z36" s="240"/>
      <c r="AA36" s="223">
        <f t="shared" si="1"/>
        <v>0</v>
      </c>
      <c r="AB36" s="242" t="str">
        <f>IF(AA36=0,"",IFERROR(AA36/AA$19,""))</f>
        <v/>
      </c>
      <c r="AC36" s="136"/>
      <c r="AD36" s="134"/>
      <c r="AE36" s="138" t="str">
        <f>IF(AD36=0,"",IFERROR(AD36/AD$19,""))</f>
        <v/>
      </c>
      <c r="AF36" s="137">
        <f>IF(AND($AA36="",AD36=""),"",$AA36-AD36)</f>
        <v>0</v>
      </c>
      <c r="AG36" s="134"/>
      <c r="AH36" s="138" t="str">
        <f>IF(AG36=0,"",IFERROR(AG36/AG$19,""))</f>
        <v/>
      </c>
      <c r="AI36" s="137">
        <f>IF(AND($AA36="",AG36=""),"",$AA36-AG36)</f>
        <v>0</v>
      </c>
      <c r="AJ36" s="458">
        <f t="shared" si="2"/>
        <v>0</v>
      </c>
      <c r="AK36" s="459">
        <f t="shared" si="3"/>
        <v>0</v>
      </c>
      <c r="AL36" s="460">
        <f t="shared" si="4"/>
        <v>0</v>
      </c>
      <c r="AM36" s="461">
        <f t="shared" si="5"/>
        <v>0</v>
      </c>
      <c r="AN36" s="462">
        <f t="shared" si="6"/>
        <v>0</v>
      </c>
      <c r="AO36" s="11"/>
    </row>
    <row r="37" spans="1:41" x14ac:dyDescent="0.25">
      <c r="A37" s="11" t="s">
        <v>108</v>
      </c>
      <c r="B37" s="11"/>
      <c r="C37" s="100" t="s">
        <v>101</v>
      </c>
      <c r="D37" s="11" t="s">
        <v>106</v>
      </c>
      <c r="E37" s="11"/>
      <c r="F37" s="11" t="s">
        <v>98</v>
      </c>
      <c r="G37" s="84" t="s">
        <v>497</v>
      </c>
      <c r="H37" s="181" t="s">
        <v>75</v>
      </c>
      <c r="I37" s="118" t="str">
        <f>IF(_epmOfflineCondition_,"B1",_xll.EVPRO($B$1,$H37,"STYLE"))</f>
        <v>B1</v>
      </c>
      <c r="J37" s="118" t="str">
        <f>IF(_epmOfflineCondition_,"Y",_xll.EVPRO($B$1,$H37,"CALC"))</f>
        <v>Y</v>
      </c>
      <c r="K37" s="175" t="str">
        <f t="shared" si="0"/>
        <v/>
      </c>
      <c r="L37" s="86" t="str">
        <f>IF(_epmOfflineCondition_,"",_xll.EVPRO($B$1,H37,"JDEID"))</f>
        <v/>
      </c>
      <c r="M37" s="86" t="str">
        <f>IF(_epmOfflineCondition_,"",IF(AND(I37="N",J37="N"),_xll.EVPRO($B$1,H37,"PSFTID"),""))</f>
        <v/>
      </c>
      <c r="N37" s="49" t="str">
        <f>IF(_epmOfflineCondition_,"Non-Management",IF(_xll.EVDES(H37,$B$1)="#NODATA","",_xll.EVDES(H37,$B$1)))</f>
        <v>Non-Management</v>
      </c>
      <c r="O37" s="193"/>
      <c r="P37" s="193"/>
      <c r="Q37" s="193"/>
      <c r="R37" s="193"/>
      <c r="S37" s="193"/>
      <c r="T37" s="193"/>
      <c r="U37" s="193"/>
      <c r="V37" s="193"/>
      <c r="W37" s="193"/>
      <c r="X37" s="193"/>
      <c r="Y37" s="193"/>
      <c r="Z37" s="193"/>
      <c r="AA37" s="193" t="str">
        <f t="shared" si="1"/>
        <v/>
      </c>
      <c r="AB37" s="194"/>
      <c r="AC37" s="11"/>
      <c r="AD37" s="87"/>
      <c r="AE37" s="96"/>
      <c r="AF37" s="88"/>
      <c r="AG37" s="87"/>
      <c r="AH37" s="96"/>
      <c r="AI37" s="88"/>
      <c r="AJ37" s="393">
        <f t="shared" si="2"/>
        <v>0</v>
      </c>
      <c r="AK37" s="394">
        <f t="shared" si="3"/>
        <v>0</v>
      </c>
      <c r="AL37" s="395">
        <f t="shared" si="4"/>
        <v>0</v>
      </c>
      <c r="AM37" s="396" t="str">
        <f t="shared" si="5"/>
        <v>0 pts.</v>
      </c>
      <c r="AN37" s="397" t="str">
        <f t="shared" si="6"/>
        <v>0 pts.</v>
      </c>
      <c r="AO37" s="11"/>
    </row>
    <row r="38" spans="1:41" x14ac:dyDescent="0.25">
      <c r="A38" s="11" t="s">
        <v>100</v>
      </c>
      <c r="B38" s="11"/>
      <c r="C38" s="49" t="s">
        <v>101</v>
      </c>
      <c r="D38" s="11" t="s">
        <v>106</v>
      </c>
      <c r="E38" s="11"/>
      <c r="F38" s="11" t="s">
        <v>98</v>
      </c>
      <c r="G38" s="84" t="s">
        <v>497</v>
      </c>
      <c r="H38" s="181" t="s">
        <v>810</v>
      </c>
      <c r="I38" s="118" t="str">
        <f>IF(_epmOfflineCondition_,"T3",_xll.EVPRO($B$1,$H38,"STYLE"))</f>
        <v>T3</v>
      </c>
      <c r="J38" s="118" t="str">
        <f>IF(_epmOfflineCondition_,"Y",_xll.EVPRO($B$1,$H38,"CALC"))</f>
        <v>Y</v>
      </c>
      <c r="K38" s="175" t="str">
        <f t="shared" si="0"/>
        <v>&gt;</v>
      </c>
      <c r="L38" s="86" t="str">
        <f>IF(_epmOfflineCondition_,"",_xll.EVPRO($B$1,H38,"JDEID"))</f>
        <v/>
      </c>
      <c r="M38" s="86" t="str">
        <f>IF(_epmOfflineCondition_,"",IF(AND(I38="N",J38="N"),_xll.EVPRO($B$1,H38,"PSFTID"),""))</f>
        <v/>
      </c>
      <c r="N38" s="86" t="str">
        <f>IF(_epmOfflineCondition_,"Accounting",IF(_xll.EVDES(H38,$B$1)="#NODATA","",_xll.EVDES(H38,$B$1)))</f>
        <v>Accounting</v>
      </c>
      <c r="O38" s="248">
        <v>3824.5</v>
      </c>
      <c r="P38" s="248">
        <v>3247.74</v>
      </c>
      <c r="Q38" s="248">
        <v>3925.8</v>
      </c>
      <c r="R38" s="248">
        <v>4103.82</v>
      </c>
      <c r="S38" s="248">
        <v>4424.87</v>
      </c>
      <c r="T38" s="248">
        <v>2548.37</v>
      </c>
      <c r="U38" s="248">
        <v>70.13</v>
      </c>
      <c r="V38" s="248">
        <v>4770.92</v>
      </c>
      <c r="W38" s="248">
        <v>4884.5</v>
      </c>
      <c r="X38" s="248">
        <v>5926.29</v>
      </c>
      <c r="Y38" s="248">
        <v>5205.5</v>
      </c>
      <c r="Z38" s="248">
        <v>6148.46</v>
      </c>
      <c r="AA38" s="248">
        <f t="shared" si="1"/>
        <v>49080.9</v>
      </c>
      <c r="AB38" s="249">
        <f t="shared" ref="AB38:AB47" si="7">IF(AA38=0,"",IFERROR(AA38/AA$19,""))</f>
        <v>5.8527259288429787E-3</v>
      </c>
      <c r="AC38" s="136"/>
      <c r="AD38" s="228">
        <v>54128.5714285715</v>
      </c>
      <c r="AE38" s="230">
        <f t="shared" ref="AE38:AE47" si="8">IF(AD38=0,"",IFERROR(AD38/AD$19,""))</f>
        <v>4.1486069995205184E-3</v>
      </c>
      <c r="AF38" s="231">
        <f t="shared" ref="AF38:AF47" si="9">IF(AND($AA38="",AD38=""),"",$AA38-AD38)</f>
        <v>-5047.6714285714988</v>
      </c>
      <c r="AG38" s="228">
        <v>32220.48</v>
      </c>
      <c r="AH38" s="230">
        <f t="shared" ref="AH38:AH47" si="10">IF(AG38=0,"",IFERROR(AG38/AG$19,""))</f>
        <v>9.8876198523472607E-3</v>
      </c>
      <c r="AI38" s="231">
        <f t="shared" ref="AI38:AI47" si="11">IF(AND($AA38="",AG38=""),"",$AA38-AG38)</f>
        <v>16860.420000000002</v>
      </c>
      <c r="AJ38" s="467">
        <f t="shared" si="2"/>
        <v>1.0186986301369862</v>
      </c>
      <c r="AK38" s="468">
        <f t="shared" si="3"/>
        <v>1.1234655755203715</v>
      </c>
      <c r="AL38" s="469">
        <f t="shared" si="4"/>
        <v>0.86495610856084404</v>
      </c>
      <c r="AM38" s="470" t="str">
        <f t="shared" si="5"/>
        <v>0.17 pts.</v>
      </c>
      <c r="AN38" s="471" t="str">
        <f t="shared" si="6"/>
        <v>-0.4 pts.</v>
      </c>
      <c r="AO38" s="11"/>
    </row>
    <row r="39" spans="1:41" x14ac:dyDescent="0.25">
      <c r="A39" s="11" t="s">
        <v>109</v>
      </c>
      <c r="B39" s="11"/>
      <c r="C39" s="102" t="s">
        <v>101</v>
      </c>
      <c r="D39" s="11" t="s">
        <v>106</v>
      </c>
      <c r="E39" s="11"/>
      <c r="F39" s="11" t="s">
        <v>98</v>
      </c>
      <c r="G39" s="84" t="s">
        <v>497</v>
      </c>
      <c r="H39" s="181" t="s">
        <v>811</v>
      </c>
      <c r="I39" s="118" t="str">
        <f>IF(_epmOfflineCondition_,"T3",_xll.EVPRO($B$1,$H39,"STYLE"))</f>
        <v>T3</v>
      </c>
      <c r="J39" s="118" t="str">
        <f>IF(_epmOfflineCondition_,"Y",_xll.EVPRO($B$1,$H39,"CALC"))</f>
        <v>Y</v>
      </c>
      <c r="K39" s="175" t="str">
        <f t="shared" si="0"/>
        <v>&gt;</v>
      </c>
      <c r="L39" s="86" t="str">
        <f>IF(_epmOfflineCondition_,"",_xll.EVPRO($B$1,H39,"JDEID"))</f>
        <v/>
      </c>
      <c r="M39" s="86" t="str">
        <f>IF(_epmOfflineCondition_,"",IF(AND(I39="N",J39="N"),_xll.EVPRO($B$1,H39,"PSFTID"),""))</f>
        <v/>
      </c>
      <c r="N39" s="86" t="str">
        <f>IF(_epmOfflineCondition_,"Human Resources",IF(_xll.EVDES(H39,$B$1)="#NODATA","",_xll.EVDES(H39,$B$1)))</f>
        <v>Human Resources</v>
      </c>
      <c r="O39" s="248">
        <v>397.02</v>
      </c>
      <c r="P39" s="248">
        <v>588.04999999999995</v>
      </c>
      <c r="Q39" s="248">
        <v>432.42</v>
      </c>
      <c r="R39" s="248">
        <v>491.21</v>
      </c>
      <c r="S39" s="248">
        <v>480</v>
      </c>
      <c r="T39" s="248">
        <v>447.73</v>
      </c>
      <c r="U39" s="248">
        <v>466.25</v>
      </c>
      <c r="V39" s="248">
        <v>457.86</v>
      </c>
      <c r="W39" s="248">
        <v>455.13</v>
      </c>
      <c r="X39" s="248">
        <v>1630.21</v>
      </c>
      <c r="Y39" s="248">
        <v>-311.98</v>
      </c>
      <c r="Z39" s="248">
        <v>434.95</v>
      </c>
      <c r="AA39" s="248">
        <f t="shared" si="1"/>
        <v>5968.8499999999995</v>
      </c>
      <c r="AB39" s="249">
        <f t="shared" si="7"/>
        <v>7.1176451858817602E-4</v>
      </c>
      <c r="AC39" s="136"/>
      <c r="AD39" s="228">
        <v>5062.9410714283003</v>
      </c>
      <c r="AE39" s="230">
        <f t="shared" si="8"/>
        <v>3.8804188273848327E-4</v>
      </c>
      <c r="AF39" s="231">
        <f t="shared" si="9"/>
        <v>905.90892857169911</v>
      </c>
      <c r="AG39" s="228">
        <v>3374.38</v>
      </c>
      <c r="AH39" s="230">
        <f t="shared" si="10"/>
        <v>1.0355086788701952E-3</v>
      </c>
      <c r="AI39" s="231">
        <f t="shared" si="11"/>
        <v>2594.4699999999993</v>
      </c>
      <c r="AJ39" s="467">
        <f t="shared" si="2"/>
        <v>0.12388646741386466</v>
      </c>
      <c r="AK39" s="468">
        <f t="shared" si="3"/>
        <v>0.10508387445886883</v>
      </c>
      <c r="AL39" s="469">
        <f t="shared" si="4"/>
        <v>9.0584950739577466E-2</v>
      </c>
      <c r="AM39" s="470" t="str">
        <f t="shared" si="5"/>
        <v>0.03 pts.</v>
      </c>
      <c r="AN39" s="471" t="str">
        <f t="shared" si="6"/>
        <v>-0.03 pts.</v>
      </c>
      <c r="AO39" s="11"/>
    </row>
    <row r="40" spans="1:41" x14ac:dyDescent="0.25">
      <c r="A40" s="11" t="s">
        <v>109</v>
      </c>
      <c r="B40" s="11"/>
      <c r="C40" s="192" t="s">
        <v>101</v>
      </c>
      <c r="D40" s="11" t="s">
        <v>107</v>
      </c>
      <c r="E40" s="11"/>
      <c r="F40" s="11" t="s">
        <v>99</v>
      </c>
      <c r="G40" s="84" t="s">
        <v>497</v>
      </c>
      <c r="H40" s="181" t="s">
        <v>812</v>
      </c>
      <c r="I40" s="184" t="str">
        <f>IF(_epmOfflineCondition_,"T2",_xll.EVPRO($B$1,$H40,"STYLE"))</f>
        <v>T2</v>
      </c>
      <c r="J40" s="184" t="str">
        <f>IF(_epmOfflineCondition_,"Y",_xll.EVPRO($B$1,$H40,"CALC"))</f>
        <v>Y</v>
      </c>
      <c r="K40" s="185" t="str">
        <f t="shared" si="0"/>
        <v/>
      </c>
      <c r="L40" s="186" t="str">
        <f>IF(_epmOfflineCondition_,"",_xll.EVPRO($B$1,H40,"JDEID"))</f>
        <v/>
      </c>
      <c r="M40" s="186" t="str">
        <f>IF(_epmOfflineCondition_,"",IF(AND(I40="N",J40="N"),_xll.EVPRO($B$1,H40,"PSFTID"),""))</f>
        <v/>
      </c>
      <c r="N40" s="186" t="str">
        <f>IF(_epmOfflineCondition_,"Total Salaries and Wages",IF(_xll.EVDES(H40,$B$1)="#NODATA","",_xll.EVDES(H40,$B$1)))</f>
        <v>Total Salaries and Wages</v>
      </c>
      <c r="O40" s="236">
        <v>26012.46</v>
      </c>
      <c r="P40" s="236">
        <v>30881.5</v>
      </c>
      <c r="Q40" s="236">
        <v>33338.39</v>
      </c>
      <c r="R40" s="236">
        <v>26431.91</v>
      </c>
      <c r="S40" s="236">
        <v>27720.48</v>
      </c>
      <c r="T40" s="236">
        <v>28206.35</v>
      </c>
      <c r="U40" s="236">
        <v>27158.48</v>
      </c>
      <c r="V40" s="236">
        <v>32885.14</v>
      </c>
      <c r="W40" s="236">
        <v>33995.15</v>
      </c>
      <c r="X40" s="236">
        <v>37531.53</v>
      </c>
      <c r="Y40" s="236">
        <v>33336.93</v>
      </c>
      <c r="Z40" s="236">
        <v>31843.48</v>
      </c>
      <c r="AA40" s="236">
        <f t="shared" si="1"/>
        <v>369341.8</v>
      </c>
      <c r="AB40" s="237">
        <f t="shared" si="7"/>
        <v>4.4042719865885455E-2</v>
      </c>
      <c r="AC40" s="238"/>
      <c r="AD40" s="236">
        <v>418363.68542193703</v>
      </c>
      <c r="AE40" s="237">
        <f t="shared" si="8"/>
        <v>3.2064886766446345E-2</v>
      </c>
      <c r="AF40" s="239">
        <f t="shared" si="9"/>
        <v>-49021.885421937041</v>
      </c>
      <c r="AG40" s="236">
        <v>338303.24</v>
      </c>
      <c r="AH40" s="237">
        <f t="shared" si="10"/>
        <v>0.10381638733927613</v>
      </c>
      <c r="AI40" s="239">
        <f t="shared" si="11"/>
        <v>31038.559999999998</v>
      </c>
      <c r="AJ40" s="215">
        <f t="shared" si="2"/>
        <v>7.6658738065587375</v>
      </c>
      <c r="AK40" s="216">
        <f t="shared" si="3"/>
        <v>8.6833475596084888</v>
      </c>
      <c r="AL40" s="218">
        <f t="shared" si="4"/>
        <v>9.0817223698692651</v>
      </c>
      <c r="AM40" s="423" t="str">
        <f t="shared" si="5"/>
        <v>1.2 pts.</v>
      </c>
      <c r="AN40" s="474" t="str">
        <f t="shared" si="6"/>
        <v>-5.98 pts.</v>
      </c>
      <c r="AO40" s="11"/>
    </row>
    <row r="41" spans="1:41" x14ac:dyDescent="0.25">
      <c r="A41" s="11" t="s">
        <v>110</v>
      </c>
      <c r="B41" s="11"/>
      <c r="C41" s="102" t="s">
        <v>101</v>
      </c>
      <c r="D41" s="11" t="s">
        <v>106</v>
      </c>
      <c r="E41" s="11"/>
      <c r="F41" s="11" t="s">
        <v>98</v>
      </c>
      <c r="G41" s="84" t="s">
        <v>497</v>
      </c>
      <c r="H41" s="181" t="s">
        <v>813</v>
      </c>
      <c r="I41" s="118" t="str">
        <f>IF(_epmOfflineCondition_,"T3",_xll.EVPRO($B$1,$H41,"STYLE"))</f>
        <v>T3</v>
      </c>
      <c r="J41" s="118" t="str">
        <f>IF(_epmOfflineCondition_,"Y",_xll.EVPRO($B$1,$H41,"CALC"))</f>
        <v>Y</v>
      </c>
      <c r="K41" s="175" t="str">
        <f t="shared" si="0"/>
        <v>&gt;</v>
      </c>
      <c r="L41" s="86" t="str">
        <f>IF(_epmOfflineCondition_,"",_xll.EVPRO($B$1,H41,"JDEID"))</f>
        <v/>
      </c>
      <c r="M41" s="86" t="str">
        <f>IF(_epmOfflineCondition_,"",IF(AND(I41="N",J41="N"),_xll.EVPRO($B$1,H41,"PSFTID"),""))</f>
        <v/>
      </c>
      <c r="N41" s="86" t="str">
        <f>IF(_epmOfflineCondition_,"Bonuses &amp; Incentives",IF(_xll.EVDES(H41,$B$1)="#NODATA","",_xll.EVDES(H41,$B$1)))</f>
        <v>Bonuses &amp; Incentives</v>
      </c>
      <c r="O41" s="248">
        <v>6257.74</v>
      </c>
      <c r="P41" s="248">
        <v>25375.72</v>
      </c>
      <c r="Q41" s="248">
        <v>6281.39</v>
      </c>
      <c r="R41" s="248">
        <v>6281.39</v>
      </c>
      <c r="S41" s="248">
        <v>617.83000000000004</v>
      </c>
      <c r="T41" s="248">
        <v>6065.09</v>
      </c>
      <c r="U41" s="248">
        <v>6877.49</v>
      </c>
      <c r="V41" s="248">
        <v>2733.98</v>
      </c>
      <c r="W41" s="248">
        <v>6877.49</v>
      </c>
      <c r="X41" s="248">
        <v>6065.09</v>
      </c>
      <c r="Y41" s="248">
        <v>8617.52</v>
      </c>
      <c r="Z41" s="248">
        <v>6065.09</v>
      </c>
      <c r="AA41" s="248">
        <f t="shared" si="1"/>
        <v>88115.82</v>
      </c>
      <c r="AB41" s="249">
        <f t="shared" si="7"/>
        <v>1.0507503824405436E-2</v>
      </c>
      <c r="AC41" s="136"/>
      <c r="AD41" s="248">
        <v>96062.049583048807</v>
      </c>
      <c r="AE41" s="249">
        <f t="shared" si="8"/>
        <v>7.3625385036148313E-3</v>
      </c>
      <c r="AF41" s="250">
        <f t="shared" si="9"/>
        <v>-7946.2295830488001</v>
      </c>
      <c r="AG41" s="248">
        <v>99611.92</v>
      </c>
      <c r="AH41" s="249">
        <f t="shared" si="10"/>
        <v>3.0568284448972426E-2</v>
      </c>
      <c r="AI41" s="250">
        <f t="shared" si="11"/>
        <v>-11496.099999999991</v>
      </c>
      <c r="AJ41" s="532">
        <f t="shared" si="2"/>
        <v>1.8288879202988793</v>
      </c>
      <c r="AK41" s="533">
        <f t="shared" si="3"/>
        <v>1.9938158900591285</v>
      </c>
      <c r="AL41" s="534">
        <f t="shared" si="4"/>
        <v>2.6740737161418484</v>
      </c>
      <c r="AM41" s="535" t="str">
        <f t="shared" si="5"/>
        <v>0.31 pts.</v>
      </c>
      <c r="AN41" s="536" t="str">
        <f t="shared" si="6"/>
        <v>-2.01 pts.</v>
      </c>
      <c r="AO41" s="11"/>
    </row>
    <row r="42" spans="1:41" x14ac:dyDescent="0.25">
      <c r="A42" s="11" t="s">
        <v>110</v>
      </c>
      <c r="B42" s="11"/>
      <c r="C42" s="105" t="s">
        <v>101</v>
      </c>
      <c r="D42" s="11" t="s">
        <v>107</v>
      </c>
      <c r="E42" s="11"/>
      <c r="F42" s="11" t="s">
        <v>99</v>
      </c>
      <c r="G42" s="84" t="s">
        <v>497</v>
      </c>
      <c r="H42" s="181" t="s">
        <v>814</v>
      </c>
      <c r="I42" s="184" t="str">
        <f>IF(_epmOfflineCondition_,"T2",_xll.EVPRO($B$1,$H42,"STYLE"))</f>
        <v>T2</v>
      </c>
      <c r="J42" s="184" t="str">
        <f>IF(_epmOfflineCondition_,"Y",_xll.EVPRO($B$1,$H42,"CALC"))</f>
        <v>Y</v>
      </c>
      <c r="K42" s="185" t="str">
        <f t="shared" si="0"/>
        <v/>
      </c>
      <c r="L42" s="186" t="str">
        <f>IF(_epmOfflineCondition_,"",_xll.EVPRO($B$1,H42,"JDEID"))</f>
        <v/>
      </c>
      <c r="M42" s="186" t="str">
        <f>IF(_epmOfflineCondition_,"",IF(AND(I42="N",J42="N"),_xll.EVPRO($B$1,H42,"PSFTID"),""))</f>
        <v/>
      </c>
      <c r="N42" s="186" t="str">
        <f>IF(_epmOfflineCondition_,"Total Labor Expense",IF(_xll.EVDES(H42,$B$1)="#NODATA","",_xll.EVDES(H42,$B$1)))</f>
        <v>Total Labor Expense</v>
      </c>
      <c r="O42" s="236">
        <v>32270.2</v>
      </c>
      <c r="P42" s="236">
        <v>56257.22</v>
      </c>
      <c r="Q42" s="236">
        <v>39619.78</v>
      </c>
      <c r="R42" s="236">
        <v>32713.3</v>
      </c>
      <c r="S42" s="236">
        <v>28338.31</v>
      </c>
      <c r="T42" s="236">
        <v>34271.440000000002</v>
      </c>
      <c r="U42" s="236">
        <v>34035.97</v>
      </c>
      <c r="V42" s="236">
        <v>35619.120000000003</v>
      </c>
      <c r="W42" s="236">
        <v>40872.639999999999</v>
      </c>
      <c r="X42" s="236">
        <v>43596.62</v>
      </c>
      <c r="Y42" s="236">
        <v>41954.45</v>
      </c>
      <c r="Z42" s="236">
        <v>37908.57</v>
      </c>
      <c r="AA42" s="236">
        <f t="shared" si="1"/>
        <v>457457.62000000005</v>
      </c>
      <c r="AB42" s="237">
        <f t="shared" si="7"/>
        <v>5.4550223690290896E-2</v>
      </c>
      <c r="AC42" s="238"/>
      <c r="AD42" s="236">
        <v>514425.735004986</v>
      </c>
      <c r="AE42" s="237">
        <f t="shared" si="8"/>
        <v>3.9427425270061191E-2</v>
      </c>
      <c r="AF42" s="239">
        <f t="shared" si="9"/>
        <v>-56968.115004985943</v>
      </c>
      <c r="AG42" s="236">
        <v>437915.16</v>
      </c>
      <c r="AH42" s="237">
        <f t="shared" si="10"/>
        <v>0.13438467178824853</v>
      </c>
      <c r="AI42" s="239">
        <f t="shared" si="11"/>
        <v>19542.460000000079</v>
      </c>
      <c r="AJ42" s="215">
        <f t="shared" si="2"/>
        <v>9.4947617268576181</v>
      </c>
      <c r="AK42" s="216">
        <f t="shared" si="3"/>
        <v>10.677163449667621</v>
      </c>
      <c r="AL42" s="218">
        <f t="shared" si="4"/>
        <v>11.755796086011113</v>
      </c>
      <c r="AM42" s="423" t="str">
        <f t="shared" si="5"/>
        <v>1.51 pts.</v>
      </c>
      <c r="AN42" s="474" t="str">
        <f t="shared" si="6"/>
        <v>-7.98 pts.</v>
      </c>
      <c r="AO42" s="11"/>
    </row>
    <row r="43" spans="1:41" x14ac:dyDescent="0.25">
      <c r="A43" s="11"/>
      <c r="B43" s="11"/>
      <c r="C43" s="204"/>
      <c r="D43" s="11"/>
      <c r="E43" s="11"/>
      <c r="F43" s="11"/>
      <c r="G43" s="84" t="s">
        <v>497</v>
      </c>
      <c r="H43" s="181" t="s">
        <v>815</v>
      </c>
      <c r="I43" s="118" t="str">
        <f>IF(_epmOfflineCondition_,"T3",_xll.EVPRO($B$1,$H43,"STYLE"))</f>
        <v>T3</v>
      </c>
      <c r="J43" s="118" t="str">
        <f>IF(_epmOfflineCondition_,"Y",_xll.EVPRO($B$1,$H43,"CALC"))</f>
        <v>Y</v>
      </c>
      <c r="K43" s="175" t="str">
        <f t="shared" si="0"/>
        <v>&gt;</v>
      </c>
      <c r="L43" s="86" t="str">
        <f>IF(_epmOfflineCondition_,"",_xll.EVPRO($B$1,H43,"JDEID"))</f>
        <v/>
      </c>
      <c r="M43" s="86" t="str">
        <f>IF(_epmOfflineCondition_,"",IF(AND(I43="N",J43="N"),_xll.EVPRO($B$1,H43,"PSFTID"),""))</f>
        <v/>
      </c>
      <c r="N43" s="86" t="str">
        <f>IF(_epmOfflineCondition_,"Payroll Taxes",IF(_xll.EVDES(H43,$B$1)="#NODATA","",_xll.EVDES(H43,$B$1)))</f>
        <v>Payroll Taxes</v>
      </c>
      <c r="O43" s="248">
        <v>3020.97</v>
      </c>
      <c r="P43" s="248">
        <v>4499.3599999999997</v>
      </c>
      <c r="Q43" s="248">
        <v>2799.22</v>
      </c>
      <c r="R43" s="248">
        <v>3415.88</v>
      </c>
      <c r="S43" s="248">
        <v>2521.69</v>
      </c>
      <c r="T43" s="248">
        <v>2687.42</v>
      </c>
      <c r="U43" s="248">
        <v>2778.35</v>
      </c>
      <c r="V43" s="248">
        <v>2821.2</v>
      </c>
      <c r="W43" s="248">
        <v>2858.01</v>
      </c>
      <c r="X43" s="248">
        <v>2975.7</v>
      </c>
      <c r="Y43" s="248">
        <v>3294.88</v>
      </c>
      <c r="Z43" s="248">
        <v>3318.48</v>
      </c>
      <c r="AA43" s="248">
        <f t="shared" si="1"/>
        <v>36991.160000000003</v>
      </c>
      <c r="AB43" s="249">
        <f t="shared" si="7"/>
        <v>4.4110666526078219E-3</v>
      </c>
      <c r="AC43" s="136"/>
      <c r="AD43" s="248">
        <v>41008.040419573903</v>
      </c>
      <c r="AE43" s="249">
        <f t="shared" si="8"/>
        <v>3.1430026514881254E-3</v>
      </c>
      <c r="AF43" s="250">
        <f t="shared" si="9"/>
        <v>-4016.8804195738994</v>
      </c>
      <c r="AG43" s="248">
        <v>30993.61</v>
      </c>
      <c r="AH43" s="249">
        <f t="shared" si="10"/>
        <v>9.5111256421974034E-3</v>
      </c>
      <c r="AI43" s="250">
        <f t="shared" si="11"/>
        <v>5997.5500000000029</v>
      </c>
      <c r="AJ43" s="532">
        <f t="shared" si="2"/>
        <v>0.76777002905770031</v>
      </c>
      <c r="AK43" s="533">
        <f t="shared" si="3"/>
        <v>0.85114239143989001</v>
      </c>
      <c r="AL43" s="534">
        <f t="shared" si="4"/>
        <v>0.8320208853453599</v>
      </c>
      <c r="AM43" s="535" t="str">
        <f t="shared" si="5"/>
        <v>0.13 pts.</v>
      </c>
      <c r="AN43" s="536" t="str">
        <f t="shared" si="6"/>
        <v>-0.51 pts.</v>
      </c>
      <c r="AO43" s="11"/>
    </row>
    <row r="44" spans="1:41" x14ac:dyDescent="0.25">
      <c r="A44" s="11"/>
      <c r="B44" s="11"/>
      <c r="C44" s="11"/>
      <c r="D44" s="11"/>
      <c r="E44" s="11"/>
      <c r="F44" s="11"/>
      <c r="G44" s="84" t="s">
        <v>497</v>
      </c>
      <c r="H44" s="181" t="s">
        <v>816</v>
      </c>
      <c r="I44" s="118" t="str">
        <f>IF(_epmOfflineCondition_,"T3",_xll.EVPRO($B$1,$H44,"STYLE"))</f>
        <v>T3</v>
      </c>
      <c r="J44" s="118" t="str">
        <f>IF(_epmOfflineCondition_,"Y",_xll.EVPRO($B$1,$H44,"CALC"))</f>
        <v>Y</v>
      </c>
      <c r="K44" s="175" t="str">
        <f t="shared" si="0"/>
        <v>&gt;</v>
      </c>
      <c r="L44" s="86" t="str">
        <f>IF(_epmOfflineCondition_,"",_xll.EVPRO($B$1,H44,"JDEID"))</f>
        <v/>
      </c>
      <c r="M44" s="86" t="str">
        <f>IF(_epmOfflineCondition_,"",IF(AND(I44="N",J44="N"),_xll.EVPRO($B$1,H44,"PSFTID"),""))</f>
        <v/>
      </c>
      <c r="N44" s="86" t="str">
        <f>IF(_epmOfflineCondition_,"Supplemental Pay",IF(_xll.EVDES(H44,$B$1)="#NODATA","",_xll.EVDES(H44,$B$1)))</f>
        <v>Supplemental Pay</v>
      </c>
      <c r="O44" s="248">
        <v>5954.2</v>
      </c>
      <c r="P44" s="248">
        <v>2165.44</v>
      </c>
      <c r="Q44" s="248">
        <v>2345.17</v>
      </c>
      <c r="R44" s="248">
        <v>2409.75</v>
      </c>
      <c r="S44" s="248">
        <v>2394.08</v>
      </c>
      <c r="T44" s="248">
        <v>1525.38</v>
      </c>
      <c r="U44" s="248">
        <v>2478.02</v>
      </c>
      <c r="V44" s="248">
        <v>1819.14</v>
      </c>
      <c r="W44" s="248">
        <v>2901.94</v>
      </c>
      <c r="X44" s="248">
        <v>1965.96</v>
      </c>
      <c r="Y44" s="248">
        <v>3739.48</v>
      </c>
      <c r="Z44" s="248">
        <v>2540.6999999999998</v>
      </c>
      <c r="AA44" s="248">
        <f t="shared" si="1"/>
        <v>32239.26</v>
      </c>
      <c r="AB44" s="249">
        <f t="shared" si="7"/>
        <v>3.84441917179005E-3</v>
      </c>
      <c r="AC44" s="136"/>
      <c r="AD44" s="228">
        <v>33414.904647586998</v>
      </c>
      <c r="AE44" s="230">
        <f t="shared" si="8"/>
        <v>2.561037611942543E-3</v>
      </c>
      <c r="AF44" s="231">
        <f t="shared" si="9"/>
        <v>-1175.6446475869998</v>
      </c>
      <c r="AG44" s="228">
        <v>41673.57</v>
      </c>
      <c r="AH44" s="230">
        <f t="shared" si="10"/>
        <v>1.2788525125950427E-2</v>
      </c>
      <c r="AI44" s="231">
        <f t="shared" si="11"/>
        <v>-9434.3100000000013</v>
      </c>
      <c r="AJ44" s="467">
        <f t="shared" si="2"/>
        <v>0.66914196762141964</v>
      </c>
      <c r="AK44" s="468">
        <f t="shared" si="3"/>
        <v>0.6935430603484225</v>
      </c>
      <c r="AL44" s="469">
        <f t="shared" si="4"/>
        <v>1.1187235242006925</v>
      </c>
      <c r="AM44" s="470" t="str">
        <f t="shared" si="5"/>
        <v>0.13 pts.</v>
      </c>
      <c r="AN44" s="471" t="str">
        <f t="shared" si="6"/>
        <v>-0.89 pts.</v>
      </c>
      <c r="AO44" s="11"/>
    </row>
    <row r="45" spans="1:41" x14ac:dyDescent="0.25">
      <c r="A45" s="56" t="str">
        <f>IF(_epmOfflineCondition_,"Evdre:Ok",_xll.EVDRE($B$1,A48:B55))</f>
        <v>Evdre:Ok</v>
      </c>
      <c r="B45" s="11" t="s">
        <v>737</v>
      </c>
      <c r="C45" s="11"/>
      <c r="D45" s="11"/>
      <c r="E45" s="11"/>
      <c r="F45" s="11"/>
      <c r="G45" s="84" t="s">
        <v>497</v>
      </c>
      <c r="H45" s="181" t="s">
        <v>817</v>
      </c>
      <c r="I45" s="118" t="str">
        <f>IF(_epmOfflineCondition_,"T3",_xll.EVPRO($B$1,$H45,"STYLE"))</f>
        <v>T3</v>
      </c>
      <c r="J45" s="118" t="str">
        <f>IF(_epmOfflineCondition_,"Y",_xll.EVPRO($B$1,$H45,"CALC"))</f>
        <v>Y</v>
      </c>
      <c r="K45" s="175" t="str">
        <f t="shared" si="0"/>
        <v>&gt;</v>
      </c>
      <c r="L45" s="86" t="str">
        <f>IF(_epmOfflineCondition_,"",_xll.EVPRO($B$1,H45,"JDEID"))</f>
        <v/>
      </c>
      <c r="M45" s="86" t="str">
        <f>IF(_epmOfflineCondition_,"",IF(AND(I45="N",J45="N"),_xll.EVPRO($B$1,H45,"PSFTID"),""))</f>
        <v/>
      </c>
      <c r="N45" s="86" t="str">
        <f>IF(_epmOfflineCondition_,"Employee Benefits",IF(_xll.EVDES(H45,$B$1)="#NODATA","",_xll.EVDES(H45,$B$1)))</f>
        <v>Employee Benefits</v>
      </c>
      <c r="O45" s="248">
        <v>1525.96</v>
      </c>
      <c r="P45" s="248">
        <v>3422.16</v>
      </c>
      <c r="Q45" s="248">
        <v>3038.48</v>
      </c>
      <c r="R45" s="248">
        <v>2723.03</v>
      </c>
      <c r="S45" s="248">
        <v>2658.99</v>
      </c>
      <c r="T45" s="248">
        <v>2461.02</v>
      </c>
      <c r="U45" s="248">
        <v>2362.89</v>
      </c>
      <c r="V45" s="248">
        <v>2702.54</v>
      </c>
      <c r="W45" s="248">
        <v>2714.77</v>
      </c>
      <c r="X45" s="248">
        <v>-68.650000000000006</v>
      </c>
      <c r="Y45" s="248">
        <v>4043.39</v>
      </c>
      <c r="Z45" s="248">
        <v>2841.9</v>
      </c>
      <c r="AA45" s="248">
        <f t="shared" si="1"/>
        <v>30426.480000000003</v>
      </c>
      <c r="AB45" s="249">
        <f t="shared" si="7"/>
        <v>3.6282514872266469E-3</v>
      </c>
      <c r="AC45" s="136"/>
      <c r="AD45" s="228">
        <v>41787.324005182898</v>
      </c>
      <c r="AE45" s="230">
        <f t="shared" si="8"/>
        <v>3.2027297281972374E-3</v>
      </c>
      <c r="AF45" s="231">
        <f t="shared" si="9"/>
        <v>-11360.844005182895</v>
      </c>
      <c r="AG45" s="228">
        <v>31441.67</v>
      </c>
      <c r="AH45" s="230">
        <f t="shared" si="10"/>
        <v>9.6486234991828568E-3</v>
      </c>
      <c r="AI45" s="231">
        <f t="shared" si="11"/>
        <v>-1015.1899999999951</v>
      </c>
      <c r="AJ45" s="467">
        <f t="shared" si="2"/>
        <v>0.63151681195516818</v>
      </c>
      <c r="AK45" s="468">
        <f t="shared" si="3"/>
        <v>0.8673168120627418</v>
      </c>
      <c r="AL45" s="469">
        <f t="shared" si="4"/>
        <v>0.84404901881828676</v>
      </c>
      <c r="AM45" s="470" t="str">
        <f t="shared" si="5"/>
        <v>0.04 pts.</v>
      </c>
      <c r="AN45" s="471" t="str">
        <f t="shared" si="6"/>
        <v>-0.6 pts.</v>
      </c>
      <c r="AO45" s="11"/>
    </row>
    <row r="46" spans="1:41" x14ac:dyDescent="0.25">
      <c r="A46" s="11"/>
      <c r="B46" s="11"/>
      <c r="C46" s="11"/>
      <c r="D46" s="11"/>
      <c r="E46" s="11"/>
      <c r="F46" s="11"/>
      <c r="G46" s="84" t="s">
        <v>497</v>
      </c>
      <c r="H46" s="181" t="s">
        <v>818</v>
      </c>
      <c r="I46" s="184" t="str">
        <f>IF(_epmOfflineCondition_,"T2",_xll.EVPRO($B$1,$H46,"STYLE"))</f>
        <v>T2</v>
      </c>
      <c r="J46" s="184" t="str">
        <f>IF(_epmOfflineCondition_,"Y",_xll.EVPRO($B$1,$H46,"CALC"))</f>
        <v>Y</v>
      </c>
      <c r="K46" s="185" t="str">
        <f t="shared" si="0"/>
        <v/>
      </c>
      <c r="L46" s="186" t="str">
        <f>IF(_epmOfflineCondition_,"",_xll.EVPRO($B$1,H46,"JDEID"))</f>
        <v/>
      </c>
      <c r="M46" s="186" t="str">
        <f>IF(_epmOfflineCondition_,"",IF(AND(I46="N",J46="N"),_xll.EVPRO($B$1,H46,"PSFTID"),""))</f>
        <v/>
      </c>
      <c r="N46" s="186" t="str">
        <f>IF(_epmOfflineCondition_,"Total Payroll Related",IF(_xll.EVDES(H46,$B$1)="#NODATA","",_xll.EVDES(H46,$B$1)))</f>
        <v>Total Payroll Related</v>
      </c>
      <c r="O46" s="210">
        <v>10501.13</v>
      </c>
      <c r="P46" s="210">
        <v>10086.959999999999</v>
      </c>
      <c r="Q46" s="210">
        <v>8182.87</v>
      </c>
      <c r="R46" s="210">
        <v>8548.66</v>
      </c>
      <c r="S46" s="210">
        <v>7574.76</v>
      </c>
      <c r="T46" s="210">
        <v>6673.82</v>
      </c>
      <c r="U46" s="210">
        <v>7619.26</v>
      </c>
      <c r="V46" s="210">
        <v>7342.88</v>
      </c>
      <c r="W46" s="210">
        <v>8474.7199999999993</v>
      </c>
      <c r="X46" s="210">
        <v>4873.01</v>
      </c>
      <c r="Y46" s="210">
        <v>11077.75</v>
      </c>
      <c r="Z46" s="210">
        <v>8701.08</v>
      </c>
      <c r="AA46" s="210">
        <f t="shared" si="1"/>
        <v>99656.9</v>
      </c>
      <c r="AB46" s="211">
        <f t="shared" si="7"/>
        <v>1.1883737311624518E-2</v>
      </c>
      <c r="AC46" s="251"/>
      <c r="AD46" s="210">
        <v>116210.269072344</v>
      </c>
      <c r="AE46" s="211">
        <f t="shared" si="8"/>
        <v>8.9067699916279205E-3</v>
      </c>
      <c r="AF46" s="252">
        <f t="shared" si="9"/>
        <v>-16553.369072344009</v>
      </c>
      <c r="AG46" s="210">
        <v>104108.85</v>
      </c>
      <c r="AH46" s="211">
        <f t="shared" si="10"/>
        <v>3.1948274267330691E-2</v>
      </c>
      <c r="AI46" s="252">
        <f t="shared" si="11"/>
        <v>-4451.9500000000116</v>
      </c>
      <c r="AJ46" s="253">
        <f t="shared" si="2"/>
        <v>2.0684288086342879</v>
      </c>
      <c r="AK46" s="254">
        <f t="shared" si="3"/>
        <v>2.4120022638510585</v>
      </c>
      <c r="AL46" s="256">
        <f t="shared" si="4"/>
        <v>2.7947934283643394</v>
      </c>
      <c r="AM46" s="427" t="str">
        <f t="shared" si="5"/>
        <v>0.3 pts.</v>
      </c>
      <c r="AN46" s="483" t="str">
        <f t="shared" si="6"/>
        <v>-2.01 pts.</v>
      </c>
      <c r="AO46" s="11"/>
    </row>
    <row r="47" spans="1:41" x14ac:dyDescent="0.25">
      <c r="A47" s="57" t="s">
        <v>0</v>
      </c>
      <c r="B47" s="58" t="s">
        <v>1</v>
      </c>
      <c r="C47" s="11"/>
      <c r="D47" s="11"/>
      <c r="E47" s="11"/>
      <c r="F47" s="11"/>
      <c r="G47" s="84" t="s">
        <v>497</v>
      </c>
      <c r="H47" s="181" t="s">
        <v>76</v>
      </c>
      <c r="I47" s="184" t="str">
        <f>IF(_epmOfflineCondition_,"T1",_xll.EVPRO($B$1,$H47,"STYLE"))</f>
        <v>T1</v>
      </c>
      <c r="J47" s="184" t="str">
        <f>IF(_epmOfflineCondition_,"Y",_xll.EVPRO($B$1,$H47,"CALC"))</f>
        <v>Y</v>
      </c>
      <c r="K47" s="185" t="str">
        <f t="shared" si="0"/>
        <v/>
      </c>
      <c r="L47" s="186" t="str">
        <f>IF(_epmOfflineCondition_,"600000",_xll.EVPRO($B$1,H47,"JDEID"))</f>
        <v>600000</v>
      </c>
      <c r="M47" s="186" t="str">
        <f>IF(_epmOfflineCondition_,"",IF(AND(I47="N",J47="N"),_xll.EVPRO($B$1,H47,"PSFTID"),""))</f>
        <v/>
      </c>
      <c r="N47" s="186" t="str">
        <f>IF(_epmOfflineCondition_,"Total Labor &amp; Related Exp",IF(_xll.EVDES(H47,$B$1)="#NODATA","",_xll.EVDES(H47,$B$1)))</f>
        <v>Total Labor &amp; Related Exp</v>
      </c>
      <c r="O47" s="210">
        <v>42771.33</v>
      </c>
      <c r="P47" s="210">
        <v>66344.179999999993</v>
      </c>
      <c r="Q47" s="210">
        <v>47802.65</v>
      </c>
      <c r="R47" s="210">
        <v>41261.96</v>
      </c>
      <c r="S47" s="210">
        <v>35913.07</v>
      </c>
      <c r="T47" s="210">
        <v>40945.26</v>
      </c>
      <c r="U47" s="210">
        <v>41655.230000000003</v>
      </c>
      <c r="V47" s="210">
        <v>42962</v>
      </c>
      <c r="W47" s="210">
        <v>49347.360000000001</v>
      </c>
      <c r="X47" s="210">
        <v>48469.63</v>
      </c>
      <c r="Y47" s="210">
        <v>53032.2</v>
      </c>
      <c r="Z47" s="210">
        <v>46609.65</v>
      </c>
      <c r="AA47" s="210">
        <f t="shared" si="1"/>
        <v>557114.52</v>
      </c>
      <c r="AB47" s="211">
        <f t="shared" si="7"/>
        <v>6.6433961001915412E-2</v>
      </c>
      <c r="AC47" s="251"/>
      <c r="AD47" s="210">
        <v>630636.00407733</v>
      </c>
      <c r="AE47" s="211">
        <f t="shared" si="8"/>
        <v>4.8334195261689111E-2</v>
      </c>
      <c r="AF47" s="252">
        <f t="shared" si="9"/>
        <v>-73521.48407732998</v>
      </c>
      <c r="AG47" s="210">
        <v>542024.01</v>
      </c>
      <c r="AH47" s="211">
        <f t="shared" si="10"/>
        <v>0.16633294605557924</v>
      </c>
      <c r="AI47" s="252">
        <f t="shared" si="11"/>
        <v>15090.510000000009</v>
      </c>
      <c r="AJ47" s="253">
        <f t="shared" si="2"/>
        <v>11.563190535491906</v>
      </c>
      <c r="AK47" s="254">
        <f t="shared" si="3"/>
        <v>13.08916571351868</v>
      </c>
      <c r="AL47" s="256">
        <f t="shared" si="4"/>
        <v>14.550589514375453</v>
      </c>
      <c r="AM47" s="427" t="str">
        <f t="shared" si="5"/>
        <v>1.81 pts.</v>
      </c>
      <c r="AN47" s="483" t="str">
        <f t="shared" si="6"/>
        <v>-9.99 pts.</v>
      </c>
      <c r="AO47" s="11"/>
    </row>
    <row r="48" spans="1:41" x14ac:dyDescent="0.25">
      <c r="A48" s="61" t="s">
        <v>2</v>
      </c>
      <c r="B48" s="62" t="str">
        <f>IF(_epmOfflineCondition_,"'AG'!$B$2:$B$10",_xll.EVRNG($B$2:$B$10))</f>
        <v>'AG'!$B$2:$B$10</v>
      </c>
      <c r="C48" s="11"/>
      <c r="D48" s="11"/>
      <c r="E48" s="11"/>
      <c r="F48" s="11"/>
      <c r="G48" s="102"/>
      <c r="H48" s="102"/>
      <c r="I48" s="102"/>
      <c r="J48" s="102"/>
      <c r="K48" s="102"/>
      <c r="L48" s="102"/>
      <c r="M48" s="102"/>
      <c r="N48" s="102"/>
      <c r="O48" s="125"/>
      <c r="P48" s="126"/>
      <c r="Q48" s="126"/>
      <c r="R48" s="126"/>
      <c r="S48" s="126"/>
      <c r="T48" s="126"/>
      <c r="U48" s="126"/>
      <c r="V48" s="126"/>
      <c r="W48" s="126"/>
      <c r="X48" s="126"/>
      <c r="Y48" s="126"/>
      <c r="Z48" s="126"/>
      <c r="AA48" s="126"/>
      <c r="AB48" s="127"/>
      <c r="AC48" s="11"/>
      <c r="AD48" s="125"/>
      <c r="AE48" s="126"/>
      <c r="AF48" s="127"/>
      <c r="AG48" s="125"/>
      <c r="AH48" s="126"/>
      <c r="AI48" s="127"/>
      <c r="AJ48" s="11"/>
      <c r="AK48" s="11"/>
      <c r="AL48" s="11"/>
      <c r="AM48" s="11"/>
      <c r="AN48" s="11"/>
      <c r="AO48" s="11"/>
    </row>
    <row r="49" spans="1:41" x14ac:dyDescent="0.25">
      <c r="A49" s="61" t="s">
        <v>3</v>
      </c>
      <c r="B49" s="62" t="str">
        <f>IF(_epmOfflineCondition_,"'AG'!$O$16:$AN$18",_xll.EVRNG($O$16:$AN$18))</f>
        <v>'AG'!$O$16:$AN$18</v>
      </c>
      <c r="C49" s="11"/>
      <c r="D49" s="11"/>
      <c r="E49" s="11"/>
      <c r="F49" s="11"/>
      <c r="G49" s="72"/>
      <c r="H49" s="11" t="s">
        <v>82</v>
      </c>
      <c r="I49" s="55" t="str">
        <f>IF(_epmOfflineCondition_,"B1",_xll.EVPRO($B$1,$H49,"STYLE"))</f>
        <v>B1</v>
      </c>
      <c r="J49" s="55" t="str">
        <f>IF(_epmOfflineCondition_,"Y",_xll.EVPRO($B$1,$H49,"CALC"))</f>
        <v>Y</v>
      </c>
      <c r="K49" s="11"/>
      <c r="L49" s="11"/>
      <c r="M49" s="11"/>
      <c r="N49" s="101" t="str">
        <f>IF(_epmOfflineCondition_,"Other Expenses",IF(_xll.EVDES(H49,$B$1)="#NODATA","",_xll.EVDES(H49,$B$1)))</f>
        <v>Other Expenses</v>
      </c>
      <c r="O49" s="115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7"/>
      <c r="AC49" s="11"/>
      <c r="AD49" s="115"/>
      <c r="AE49" s="116"/>
      <c r="AF49" s="117"/>
      <c r="AG49" s="115"/>
      <c r="AH49" s="116"/>
      <c r="AI49" s="117"/>
      <c r="AJ49" s="11"/>
      <c r="AK49" s="11"/>
      <c r="AL49" s="11"/>
      <c r="AM49" s="11"/>
      <c r="AN49" s="11"/>
      <c r="AO49" s="11"/>
    </row>
    <row r="50" spans="1:41" x14ac:dyDescent="0.25">
      <c r="A50" s="61" t="s">
        <v>4</v>
      </c>
      <c r="B50" s="62" t="str">
        <f>IF(_epmOfflineCondition_,"'AG'!$G$73:$H$77",_xll.EVRNG(G73:H77))</f>
        <v>'AG'!$G$73:$H$77</v>
      </c>
      <c r="C50" s="11"/>
      <c r="D50" s="11"/>
      <c r="E50" s="11"/>
      <c r="F50" s="11"/>
      <c r="G50" s="84" t="s">
        <v>788</v>
      </c>
      <c r="H50" s="84" t="s">
        <v>789</v>
      </c>
      <c r="I50" s="118" t="str">
        <f>IF(_epmOfflineCondition_,"N",_xll.EVPRO($B$1,$H50,"STYLE"))</f>
        <v>N</v>
      </c>
      <c r="J50" s="118" t="str">
        <f>IF(_epmOfflineCondition_,"N",_xll.EVPRO($B$1,$H50,"CALC"))</f>
        <v>N</v>
      </c>
      <c r="K50" s="175" t="str">
        <f t="shared" ref="K50:K72" si="12">IF(AND(I50&gt;="T3"),"&gt;","")</f>
        <v/>
      </c>
      <c r="L50" s="86" t="str">
        <f>IF(_epmOfflineCondition_,"701100",_xll.EVPRO($B$1,H50,"JDEID"))</f>
        <v>701100</v>
      </c>
      <c r="M50" s="86" t="str">
        <f>IF(_epmOfflineCondition_,"690015",IF(AND(I50="N",J50="N"),_xll.EVPRO($B$1,H50,"PSFTID"),""))</f>
        <v>690015</v>
      </c>
      <c r="N50" s="86" t="str">
        <f>IF(_epmOfflineCondition_,"Dues and Subscriptions",IF(_xll.EVDES(H50,$B$1)="#NODATA","",_xll.EVDES(H50,$B$1)))</f>
        <v>Dues and Subscriptions</v>
      </c>
      <c r="O50" s="134"/>
      <c r="P50" s="134">
        <v>50</v>
      </c>
      <c r="Q50" s="134">
        <v>347.37</v>
      </c>
      <c r="R50" s="134">
        <v>4.29</v>
      </c>
      <c r="S50" s="134"/>
      <c r="T50" s="134"/>
      <c r="U50" s="134"/>
      <c r="V50" s="134"/>
      <c r="W50" s="134"/>
      <c r="X50" s="134">
        <v>10.78</v>
      </c>
      <c r="Y50" s="134">
        <v>20</v>
      </c>
      <c r="Z50" s="134"/>
      <c r="AA50" s="134">
        <f t="shared" ref="AA50:AA74" si="13">IF($I50="B1","",SUM(O50:Z50))</f>
        <v>432.44</v>
      </c>
      <c r="AB50" s="138">
        <f t="shared" ref="AB50:AB74" si="14">IF(AA50=0,"",IFERROR(AA50/AA$19,""))</f>
        <v>5.1566959869702013E-5</v>
      </c>
      <c r="AC50" s="136"/>
      <c r="AD50" s="134">
        <v>1465</v>
      </c>
      <c r="AE50" s="138">
        <f t="shared" ref="AE50:AE74" si="15">IF(AD50=0,"",IFERROR(AD50/AD$19,""))</f>
        <v>1.1228283130135354E-4</v>
      </c>
      <c r="AF50" s="137">
        <f t="shared" ref="AF50:AF74" si="16">IF(AND($AA50="",AD50=""),"",$AA50-AD50)</f>
        <v>-1032.56</v>
      </c>
      <c r="AG50" s="134">
        <v>155.21</v>
      </c>
      <c r="AH50" s="138">
        <f t="shared" ref="AH50:AH74" si="17">IF(AG50=0,"",IFERROR(AG50/AG$19,""))</f>
        <v>4.7629876317262137E-5</v>
      </c>
      <c r="AI50" s="137">
        <f t="shared" ref="AI50:AI74" si="18">IF(AND($AA50="",AG50=""),"",$AA50-AG50)</f>
        <v>277.23</v>
      </c>
      <c r="AJ50" s="458">
        <f t="shared" ref="AJ50:AJ74" si="19">IFERROR(AA50/AA$20,0)</f>
        <v>8.9755085097550855E-3</v>
      </c>
      <c r="AK50" s="459">
        <f t="shared" ref="AK50:AK74" si="20">IFERROR(AD50/AD$20,0)</f>
        <v>3.0406807804068077E-2</v>
      </c>
      <c r="AL50" s="460">
        <f t="shared" ref="AL50:AL74" si="21">IFERROR(AG50/AG$20,0)</f>
        <v>4.1665995543743797E-3</v>
      </c>
      <c r="AM50" s="461" t="str">
        <f t="shared" ref="AM50:AM74" si="22">+IFERROR(ROUND(($AB50-AE50)*100,2)&amp;" pts.",0)</f>
        <v>-0.01 pts.</v>
      </c>
      <c r="AN50" s="462" t="str">
        <f t="shared" ref="AN50:AN74" si="23">+IFERROR(ROUND(($AB50-AH50)*100,2)&amp;" pts.",0)</f>
        <v>0 pts.</v>
      </c>
      <c r="AO50" s="11"/>
    </row>
    <row r="51" spans="1:41" x14ac:dyDescent="0.25">
      <c r="A51" s="61" t="s">
        <v>5</v>
      </c>
      <c r="B51" s="62"/>
      <c r="C51" s="11"/>
      <c r="D51" s="11"/>
      <c r="E51" s="11"/>
      <c r="F51" s="11"/>
      <c r="G51" s="84" t="s">
        <v>788</v>
      </c>
      <c r="H51" s="84" t="s">
        <v>790</v>
      </c>
      <c r="I51" s="118" t="str">
        <f>IF(_epmOfflineCondition_,"N",_xll.EVPRO($B$1,$H51,"STYLE"))</f>
        <v>N</v>
      </c>
      <c r="J51" s="118" t="str">
        <f>IF(_epmOfflineCondition_,"N",_xll.EVPRO($B$1,$H51,"CALC"))</f>
        <v>N</v>
      </c>
      <c r="K51" s="175" t="str">
        <f t="shared" si="12"/>
        <v/>
      </c>
      <c r="L51" s="86" t="str">
        <f>IF(_epmOfflineCondition_,"701200",_xll.EVPRO($B$1,H51,"JDEID"))</f>
        <v>701200</v>
      </c>
      <c r="M51" s="86" t="str">
        <f>IF(_epmOfflineCondition_,"690010",IF(AND(I51="N",J51="N"),_xll.EVPRO($B$1,H51,"PSFTID"),""))</f>
        <v>690010</v>
      </c>
      <c r="N51" s="86" t="str">
        <f>IF(_epmOfflineCondition_,"Postage and Overnight Delivery",IF(_xll.EVDES(H51,$B$1)="#NODATA","",_xll.EVDES(H51,$B$1)))</f>
        <v>Postage and Overnight Delivery</v>
      </c>
      <c r="O51" s="134">
        <v>83.9</v>
      </c>
      <c r="P51" s="134">
        <v>441.75</v>
      </c>
      <c r="Q51" s="134">
        <v>423.97</v>
      </c>
      <c r="R51" s="134">
        <v>452.97</v>
      </c>
      <c r="S51" s="134">
        <v>467.36</v>
      </c>
      <c r="T51" s="134">
        <v>444.4</v>
      </c>
      <c r="U51" s="134">
        <v>323.14</v>
      </c>
      <c r="V51" s="134">
        <v>374.91</v>
      </c>
      <c r="W51" s="134">
        <v>-29.59</v>
      </c>
      <c r="X51" s="134">
        <v>196.34</v>
      </c>
      <c r="Y51" s="134">
        <v>160.01</v>
      </c>
      <c r="Z51" s="134">
        <v>-18.260000000000002</v>
      </c>
      <c r="AA51" s="134">
        <f t="shared" si="13"/>
        <v>3320.8999999999996</v>
      </c>
      <c r="AB51" s="138">
        <f t="shared" si="14"/>
        <v>3.9600572803462537E-4</v>
      </c>
      <c r="AC51" s="136"/>
      <c r="AD51" s="134">
        <v>2547.02</v>
      </c>
      <c r="AE51" s="138">
        <f t="shared" si="15"/>
        <v>1.9521270783697848E-4</v>
      </c>
      <c r="AF51" s="137">
        <f t="shared" si="16"/>
        <v>773.87999999999965</v>
      </c>
      <c r="AG51" s="134">
        <v>3759.6</v>
      </c>
      <c r="AH51" s="138">
        <f t="shared" si="17"/>
        <v>1.1537225887660505E-3</v>
      </c>
      <c r="AI51" s="137">
        <f t="shared" si="18"/>
        <v>-438.70000000000027</v>
      </c>
      <c r="AJ51" s="458">
        <f t="shared" si="19"/>
        <v>6.8926940639269393E-2</v>
      </c>
      <c r="AK51" s="459">
        <f t="shared" si="20"/>
        <v>5.286467413864674E-2</v>
      </c>
      <c r="AL51" s="460">
        <f t="shared" si="21"/>
        <v>0.10092614963356689</v>
      </c>
      <c r="AM51" s="461" t="str">
        <f t="shared" si="22"/>
        <v>0.02 pts.</v>
      </c>
      <c r="AN51" s="462" t="str">
        <f t="shared" si="23"/>
        <v>-0.08 pts.</v>
      </c>
      <c r="AO51" s="11"/>
    </row>
    <row r="52" spans="1:41" x14ac:dyDescent="0.25">
      <c r="A52" s="61" t="s">
        <v>6</v>
      </c>
      <c r="B52" s="62"/>
      <c r="C52" s="11"/>
      <c r="D52" s="11"/>
      <c r="E52" s="11"/>
      <c r="F52" s="11"/>
      <c r="G52" s="84" t="s">
        <v>788</v>
      </c>
      <c r="H52" s="84" t="s">
        <v>791</v>
      </c>
      <c r="I52" s="118" t="str">
        <f>IF(_epmOfflineCondition_,"N",_xll.EVPRO($B$1,$H52,"STYLE"))</f>
        <v>N</v>
      </c>
      <c r="J52" s="118" t="str">
        <f>IF(_epmOfflineCondition_,"N",_xll.EVPRO($B$1,$H52,"CALC"))</f>
        <v>N</v>
      </c>
      <c r="K52" s="175" t="str">
        <f t="shared" si="12"/>
        <v/>
      </c>
      <c r="L52" s="86" t="str">
        <f>IF(_epmOfflineCondition_,"701400",_xll.EVPRO($B$1,H52,"JDEID"))</f>
        <v>701400</v>
      </c>
      <c r="M52" s="86" t="str">
        <f>IF(_epmOfflineCondition_,"590399",IF(AND(I52="N",J52="N"),_xll.EVPRO($B$1,H52,"PSFTID"),""))</f>
        <v>590399</v>
      </c>
      <c r="N52" s="86" t="str">
        <f>IF(_epmOfflineCondition_,"Professional Fees",IF(_xll.EVDES(H52,$B$1)="#NODATA","",_xll.EVDES(H52,$B$1)))</f>
        <v>Professional Fees</v>
      </c>
      <c r="O52" s="134"/>
      <c r="P52" s="134"/>
      <c r="Q52" s="134"/>
      <c r="R52" s="134"/>
      <c r="S52" s="134"/>
      <c r="T52" s="134"/>
      <c r="U52" s="134"/>
      <c r="V52" s="134">
        <v>2515.25</v>
      </c>
      <c r="W52" s="134"/>
      <c r="X52" s="134"/>
      <c r="Y52" s="134">
        <v>63.97</v>
      </c>
      <c r="Z52" s="134"/>
      <c r="AA52" s="134">
        <f t="shared" si="13"/>
        <v>2579.2199999999998</v>
      </c>
      <c r="AB52" s="138">
        <f t="shared" si="14"/>
        <v>3.075629780666285E-4</v>
      </c>
      <c r="AC52" s="136"/>
      <c r="AD52" s="134"/>
      <c r="AE52" s="138" t="str">
        <f t="shared" si="15"/>
        <v/>
      </c>
      <c r="AF52" s="137">
        <f t="shared" si="16"/>
        <v>2579.2199999999998</v>
      </c>
      <c r="AG52" s="134"/>
      <c r="AH52" s="138" t="str">
        <f t="shared" si="17"/>
        <v/>
      </c>
      <c r="AI52" s="137">
        <f t="shared" si="18"/>
        <v>2579.2199999999998</v>
      </c>
      <c r="AJ52" s="458">
        <f t="shared" si="19"/>
        <v>5.353300124533001E-2</v>
      </c>
      <c r="AK52" s="459">
        <f t="shared" si="20"/>
        <v>0</v>
      </c>
      <c r="AL52" s="460">
        <f t="shared" si="21"/>
        <v>0</v>
      </c>
      <c r="AM52" s="461">
        <f t="shared" si="22"/>
        <v>0</v>
      </c>
      <c r="AN52" s="462">
        <f t="shared" si="23"/>
        <v>0</v>
      </c>
      <c r="AO52" s="11"/>
    </row>
    <row r="53" spans="1:41" x14ac:dyDescent="0.25">
      <c r="A53" s="61" t="s">
        <v>7</v>
      </c>
      <c r="B53" s="62"/>
      <c r="C53" s="11"/>
      <c r="D53" s="11"/>
      <c r="E53" s="11"/>
      <c r="F53" s="11"/>
      <c r="G53" s="84" t="s">
        <v>788</v>
      </c>
      <c r="H53" s="84" t="s">
        <v>792</v>
      </c>
      <c r="I53" s="118" t="str">
        <f>IF(_epmOfflineCondition_,"T4",_xll.EVPRO($B$1,$H53,"STYLE"))</f>
        <v>T4</v>
      </c>
      <c r="J53" s="118" t="str">
        <f>IF(_epmOfflineCondition_,"Y",_xll.EVPRO($B$1,$H53,"CALC"))</f>
        <v>Y</v>
      </c>
      <c r="K53" s="175" t="str">
        <f t="shared" si="12"/>
        <v>&gt;</v>
      </c>
      <c r="L53" s="86" t="str">
        <f>IF(_epmOfflineCondition_,"701500",_xll.EVPRO($B$1,H53,"JDEID"))</f>
        <v>701500</v>
      </c>
      <c r="M53" s="86" t="str">
        <f>IF(_epmOfflineCondition_,"",IF(AND(I53="N",J53="N"),_xll.EVPRO($B$1,H53,"PSFTID"),""))</f>
        <v/>
      </c>
      <c r="N53" s="86" t="str">
        <f>IF(_epmOfflineCondition_,"Operating Supplies",IF(_xll.EVDES(H53,$B$1)="#NODATA","",_xll.EVDES(H53,$B$1)))</f>
        <v>Operating Supplies</v>
      </c>
      <c r="O53" s="134">
        <v>21.06</v>
      </c>
      <c r="P53" s="134">
        <v>644.83000000000004</v>
      </c>
      <c r="Q53" s="134">
        <v>566.25</v>
      </c>
      <c r="R53" s="134">
        <v>193.5</v>
      </c>
      <c r="S53" s="134">
        <v>108.47</v>
      </c>
      <c r="T53" s="134">
        <v>112.73</v>
      </c>
      <c r="U53" s="134">
        <v>280.57</v>
      </c>
      <c r="V53" s="134">
        <v>269.99</v>
      </c>
      <c r="W53" s="134">
        <v>505.17</v>
      </c>
      <c r="X53" s="134">
        <v>197.92</v>
      </c>
      <c r="Y53" s="134">
        <v>220.21</v>
      </c>
      <c r="Z53" s="134">
        <v>31.99</v>
      </c>
      <c r="AA53" s="134">
        <f t="shared" si="13"/>
        <v>3152.6899999999996</v>
      </c>
      <c r="AB53" s="138">
        <f t="shared" si="14"/>
        <v>3.759472729433235E-4</v>
      </c>
      <c r="AC53" s="136"/>
      <c r="AD53" s="134">
        <v>2650</v>
      </c>
      <c r="AE53" s="138">
        <f t="shared" si="15"/>
        <v>2.0310546276354054E-4</v>
      </c>
      <c r="AF53" s="137">
        <f t="shared" si="16"/>
        <v>502.6899999999996</v>
      </c>
      <c r="AG53" s="134">
        <v>4212.93</v>
      </c>
      <c r="AH53" s="138">
        <f t="shared" si="17"/>
        <v>1.292837670467645E-3</v>
      </c>
      <c r="AI53" s="137">
        <f t="shared" si="18"/>
        <v>-1060.2400000000007</v>
      </c>
      <c r="AJ53" s="458">
        <f t="shared" si="19"/>
        <v>6.5435657949356574E-2</v>
      </c>
      <c r="AK53" s="459">
        <f t="shared" si="20"/>
        <v>5.5002075550020756E-2</v>
      </c>
      <c r="AL53" s="460">
        <f t="shared" si="21"/>
        <v>0.11309575581863575</v>
      </c>
      <c r="AM53" s="461" t="str">
        <f t="shared" si="22"/>
        <v>0.02 pts.</v>
      </c>
      <c r="AN53" s="462" t="str">
        <f t="shared" si="23"/>
        <v>-0.09 pts.</v>
      </c>
      <c r="AO53" s="11"/>
    </row>
    <row r="54" spans="1:41" x14ac:dyDescent="0.25">
      <c r="A54" s="61" t="s">
        <v>47</v>
      </c>
      <c r="B54" s="62" t="str">
        <f>IF(_epmOfflineCondition_,"'AG'!$A$59:$B$80",_xll.EVRNG($A$59:$B$80))</f>
        <v>'AG'!$A$59:$B$80</v>
      </c>
      <c r="C54" s="11"/>
      <c r="D54" s="11"/>
      <c r="E54" s="11"/>
      <c r="F54" s="11"/>
      <c r="G54" s="84" t="s">
        <v>788</v>
      </c>
      <c r="H54" s="84" t="s">
        <v>793</v>
      </c>
      <c r="I54" s="118" t="str">
        <f>IF(_epmOfflineCondition_,"N",_xll.EVPRO($B$1,$H54,"STYLE"))</f>
        <v>N</v>
      </c>
      <c r="J54" s="118" t="str">
        <f>IF(_epmOfflineCondition_,"N",_xll.EVPRO($B$1,$H54,"CALC"))</f>
        <v>N</v>
      </c>
      <c r="K54" s="175" t="str">
        <f t="shared" si="12"/>
        <v/>
      </c>
      <c r="L54" s="86" t="str">
        <f>IF(_epmOfflineCondition_,"702300",_xll.EVPRO($B$1,H54,"JDEID"))</f>
        <v>702300</v>
      </c>
      <c r="M54" s="86" t="str">
        <f>IF(_epmOfflineCondition_,"590040",IF(AND(I54="N",J54="N"),_xll.EVPRO($B$1,H54,"PSFTID"),""))</f>
        <v>590040</v>
      </c>
      <c r="N54" s="86" t="str">
        <f>IF(_epmOfflineCondition_,"Decorations",IF(_xll.EVDES(H54,$B$1)="#NODATA","",_xll.EVDES(H54,$B$1)))</f>
        <v>Decorations</v>
      </c>
      <c r="O54" s="134"/>
      <c r="P54" s="134"/>
      <c r="Q54" s="134"/>
      <c r="R54" s="134"/>
      <c r="S54" s="134"/>
      <c r="T54" s="134"/>
      <c r="U54" s="134"/>
      <c r="V54" s="134"/>
      <c r="W54" s="134"/>
      <c r="X54" s="134"/>
      <c r="Y54" s="134">
        <v>1.69</v>
      </c>
      <c r="Z54" s="134"/>
      <c r="AA54" s="134">
        <f t="shared" si="13"/>
        <v>1.69</v>
      </c>
      <c r="AB54" s="138">
        <f t="shared" si="14"/>
        <v>2.0152659832530848E-7</v>
      </c>
      <c r="AC54" s="136"/>
      <c r="AD54" s="134"/>
      <c r="AE54" s="138" t="str">
        <f t="shared" si="15"/>
        <v/>
      </c>
      <c r="AF54" s="137">
        <f t="shared" si="16"/>
        <v>1.69</v>
      </c>
      <c r="AG54" s="134">
        <v>24.61</v>
      </c>
      <c r="AH54" s="138">
        <f t="shared" si="17"/>
        <v>7.5521632379860902E-6</v>
      </c>
      <c r="AI54" s="137">
        <f t="shared" si="18"/>
        <v>-22.919999999999998</v>
      </c>
      <c r="AJ54" s="458">
        <f t="shared" si="19"/>
        <v>3.5076795350767954E-5</v>
      </c>
      <c r="AK54" s="459">
        <f t="shared" si="20"/>
        <v>0</v>
      </c>
      <c r="AL54" s="460">
        <f t="shared" si="21"/>
        <v>6.6065340527771067E-4</v>
      </c>
      <c r="AM54" s="461">
        <f t="shared" si="22"/>
        <v>0</v>
      </c>
      <c r="AN54" s="462" t="str">
        <f t="shared" si="23"/>
        <v>0 pts.</v>
      </c>
      <c r="AO54" s="11"/>
    </row>
    <row r="55" spans="1:41" x14ac:dyDescent="0.25">
      <c r="A55" s="61" t="s">
        <v>8</v>
      </c>
      <c r="B55" s="62"/>
      <c r="C55" s="11"/>
      <c r="D55" s="11"/>
      <c r="E55" s="11"/>
      <c r="F55" s="11"/>
      <c r="G55" s="84" t="s">
        <v>788</v>
      </c>
      <c r="H55" s="84" t="s">
        <v>794</v>
      </c>
      <c r="I55" s="118" t="str">
        <f>IF(_epmOfflineCondition_,"T4",_xll.EVPRO($B$1,$H55,"STYLE"))</f>
        <v>T4</v>
      </c>
      <c r="J55" s="118" t="str">
        <f>IF(_epmOfflineCondition_,"Y",_xll.EVPRO($B$1,$H55,"CALC"))</f>
        <v>Y</v>
      </c>
      <c r="K55" s="175" t="str">
        <f t="shared" si="12"/>
        <v>&gt;</v>
      </c>
      <c r="L55" s="86" t="str">
        <f>IF(_epmOfflineCondition_,"",_xll.EVPRO($B$1,H55,"JDEID"))</f>
        <v/>
      </c>
      <c r="M55" s="86" t="str">
        <f>IF(_epmOfflineCondition_,"",IF(AND(I55="N",J55="N"),_xll.EVPRO($B$1,H55,"PSFTID"),""))</f>
        <v/>
      </c>
      <c r="N55" s="86" t="str">
        <f>IF(_epmOfflineCondition_,"Contract Services",IF(_xll.EVDES(H55,$B$1)="#NODATA","",_xll.EVDES(H55,$B$1)))</f>
        <v>Contract Services</v>
      </c>
      <c r="O55" s="134">
        <v>1053.95</v>
      </c>
      <c r="P55" s="134">
        <v>1053.95</v>
      </c>
      <c r="Q55" s="134">
        <v>1053.95</v>
      </c>
      <c r="R55" s="134">
        <v>1053.97</v>
      </c>
      <c r="S55" s="134">
        <v>1507</v>
      </c>
      <c r="T55" s="134">
        <v>1156.51</v>
      </c>
      <c r="U55" s="134">
        <v>848.86</v>
      </c>
      <c r="V55" s="134">
        <v>1130.1099999999999</v>
      </c>
      <c r="W55" s="134">
        <v>942.61</v>
      </c>
      <c r="X55" s="134">
        <v>994.89</v>
      </c>
      <c r="Y55" s="134">
        <v>1011.96</v>
      </c>
      <c r="Z55" s="134">
        <v>1011.96</v>
      </c>
      <c r="AA55" s="134">
        <f t="shared" si="13"/>
        <v>12819.720000000001</v>
      </c>
      <c r="AB55" s="138">
        <f t="shared" si="14"/>
        <v>1.5287068420609018E-3</v>
      </c>
      <c r="AC55" s="136"/>
      <c r="AD55" s="134">
        <v>11529.24</v>
      </c>
      <c r="AE55" s="138">
        <f t="shared" si="15"/>
        <v>8.8364212283468754E-4</v>
      </c>
      <c r="AF55" s="137">
        <f t="shared" si="16"/>
        <v>1290.4800000000014</v>
      </c>
      <c r="AG55" s="134">
        <v>10253.73</v>
      </c>
      <c r="AH55" s="138">
        <f t="shared" si="17"/>
        <v>3.1466006809522597E-3</v>
      </c>
      <c r="AI55" s="137">
        <f t="shared" si="18"/>
        <v>2565.9900000000016</v>
      </c>
      <c r="AJ55" s="458">
        <f t="shared" si="19"/>
        <v>0.26607970112079704</v>
      </c>
      <c r="AK55" s="459">
        <f t="shared" si="20"/>
        <v>0.23929514321295142</v>
      </c>
      <c r="AL55" s="460">
        <f t="shared" si="21"/>
        <v>0.2752605299186599</v>
      </c>
      <c r="AM55" s="461" t="str">
        <f t="shared" si="22"/>
        <v>0.06 pts.</v>
      </c>
      <c r="AN55" s="462" t="str">
        <f t="shared" si="23"/>
        <v>-0.16 pts.</v>
      </c>
      <c r="AO55" s="11"/>
    </row>
    <row r="56" spans="1:41" x14ac:dyDescent="0.25">
      <c r="A56" s="11"/>
      <c r="B56" s="11"/>
      <c r="C56" s="11"/>
      <c r="D56" s="11"/>
      <c r="E56" s="11"/>
      <c r="F56" s="11"/>
      <c r="G56" s="84" t="s">
        <v>788</v>
      </c>
      <c r="H56" s="84" t="s">
        <v>795</v>
      </c>
      <c r="I56" s="118" t="str">
        <f>IF(_epmOfflineCondition_,"T4",_xll.EVPRO($B$1,$H56,"STYLE"))</f>
        <v>T4</v>
      </c>
      <c r="J56" s="118" t="str">
        <f>IF(_epmOfflineCondition_,"Y",_xll.EVPRO($B$1,$H56,"CALC"))</f>
        <v>Y</v>
      </c>
      <c r="K56" s="175" t="str">
        <f t="shared" si="12"/>
        <v>&gt;</v>
      </c>
      <c r="L56" s="86" t="str">
        <f>IF(_epmOfflineCondition_,"",_xll.EVPRO($B$1,H56,"JDEID"))</f>
        <v/>
      </c>
      <c r="M56" s="86" t="str">
        <f>IF(_epmOfflineCondition_,"",IF(AND(I56="N",J56="N"),_xll.EVPRO($B$1,H56,"PSFTID"),""))</f>
        <v/>
      </c>
      <c r="N56" s="86" t="str">
        <f>IF(_epmOfflineCondition_,"Travel - Other",IF(_xll.EVDES(H56,$B$1)="#NODATA","",_xll.EVDES(H56,$B$1)))</f>
        <v>Travel - Other</v>
      </c>
      <c r="O56" s="134">
        <v>330.14</v>
      </c>
      <c r="P56" s="134">
        <v>38.39</v>
      </c>
      <c r="Q56" s="134">
        <v>1597.17</v>
      </c>
      <c r="R56" s="134">
        <v>1279.6500000000001</v>
      </c>
      <c r="S56" s="134">
        <v>16.350000000000001</v>
      </c>
      <c r="T56" s="134"/>
      <c r="U56" s="134">
        <v>12.11</v>
      </c>
      <c r="V56" s="134">
        <v>1792.95</v>
      </c>
      <c r="W56" s="134">
        <v>130.66</v>
      </c>
      <c r="X56" s="134">
        <v>162.4</v>
      </c>
      <c r="Y56" s="134">
        <v>146.41</v>
      </c>
      <c r="Z56" s="134">
        <v>28.81</v>
      </c>
      <c r="AA56" s="134">
        <f t="shared" si="13"/>
        <v>5535.04</v>
      </c>
      <c r="AB56" s="138">
        <f t="shared" si="14"/>
        <v>6.6003419100267189E-4</v>
      </c>
      <c r="AC56" s="136"/>
      <c r="AD56" s="134">
        <v>4718</v>
      </c>
      <c r="AE56" s="138">
        <f t="shared" si="15"/>
        <v>3.6160436728995633E-4</v>
      </c>
      <c r="AF56" s="137">
        <f t="shared" si="16"/>
        <v>817.04</v>
      </c>
      <c r="AG56" s="134">
        <v>4396.3100000000004</v>
      </c>
      <c r="AH56" s="138">
        <f t="shared" si="17"/>
        <v>1.3491121806091277E-3</v>
      </c>
      <c r="AI56" s="137">
        <f t="shared" si="18"/>
        <v>1138.7299999999996</v>
      </c>
      <c r="AJ56" s="458">
        <f t="shared" si="19"/>
        <v>0.11488252386882523</v>
      </c>
      <c r="AK56" s="459">
        <f t="shared" si="20"/>
        <v>9.7924449979244502E-2</v>
      </c>
      <c r="AL56" s="460">
        <f t="shared" si="21"/>
        <v>0.11801857668250518</v>
      </c>
      <c r="AM56" s="461" t="str">
        <f t="shared" si="22"/>
        <v>0.03 pts.</v>
      </c>
      <c r="AN56" s="462" t="str">
        <f t="shared" si="23"/>
        <v>-0.07 pts.</v>
      </c>
      <c r="AO56" s="11"/>
    </row>
    <row r="57" spans="1:41" x14ac:dyDescent="0.25">
      <c r="A57" s="11"/>
      <c r="B57" s="11"/>
      <c r="C57" s="11"/>
      <c r="D57" s="11"/>
      <c r="E57" s="11"/>
      <c r="F57" s="11"/>
      <c r="G57" s="84" t="s">
        <v>788</v>
      </c>
      <c r="H57" s="84" t="s">
        <v>796</v>
      </c>
      <c r="I57" s="118" t="str">
        <f>IF(_epmOfflineCondition_,"T4",_xll.EVPRO($B$1,$H57,"STYLE"))</f>
        <v>T4</v>
      </c>
      <c r="J57" s="118" t="str">
        <f>IF(_epmOfflineCondition_,"Y",_xll.EVPRO($B$1,$H57,"CALC"))</f>
        <v>Y</v>
      </c>
      <c r="K57" s="175" t="str">
        <f t="shared" si="12"/>
        <v>&gt;</v>
      </c>
      <c r="L57" s="86" t="str">
        <f>IF(_epmOfflineCondition_,"702900",_xll.EVPRO($B$1,H57,"JDEID"))</f>
        <v>702900</v>
      </c>
      <c r="M57" s="86" t="str">
        <f>IF(_epmOfflineCondition_,"",IF(AND(I57="N",J57="N"),_xll.EVPRO($B$1,H57,"PSFTID"),""))</f>
        <v/>
      </c>
      <c r="N57" s="86" t="str">
        <f>IF(_epmOfflineCondition_,"Travel - Meals &amp; Entertainment",IF(_xll.EVDES(H57,$B$1)="#NODATA","",_xll.EVDES(H57,$B$1)))</f>
        <v>Travel - Meals &amp; Entertainment</v>
      </c>
      <c r="O57" s="134">
        <v>11.52</v>
      </c>
      <c r="P57" s="134">
        <v>73.34</v>
      </c>
      <c r="Q57" s="134">
        <v>535.19000000000005</v>
      </c>
      <c r="R57" s="134">
        <v>420.54</v>
      </c>
      <c r="S57" s="134"/>
      <c r="T57" s="134"/>
      <c r="U57" s="134">
        <v>835.92</v>
      </c>
      <c r="V57" s="134">
        <v>248.4</v>
      </c>
      <c r="W57" s="134">
        <v>69.05</v>
      </c>
      <c r="X57" s="134">
        <v>262.60000000000002</v>
      </c>
      <c r="Y57" s="134">
        <v>223.28</v>
      </c>
      <c r="Z57" s="134">
        <v>843.98</v>
      </c>
      <c r="AA57" s="134">
        <f t="shared" si="13"/>
        <v>3523.8200000000006</v>
      </c>
      <c r="AB57" s="138">
        <f t="shared" si="14"/>
        <v>4.2020322941460869E-4</v>
      </c>
      <c r="AC57" s="136"/>
      <c r="AD57" s="134">
        <v>2576</v>
      </c>
      <c r="AE57" s="138">
        <f t="shared" si="15"/>
        <v>1.9743383852033222E-4</v>
      </c>
      <c r="AF57" s="137">
        <f t="shared" si="16"/>
        <v>947.82000000000062</v>
      </c>
      <c r="AG57" s="134">
        <v>2747.36</v>
      </c>
      <c r="AH57" s="138">
        <f t="shared" si="17"/>
        <v>8.4309269376324524E-4</v>
      </c>
      <c r="AI57" s="137">
        <f t="shared" si="18"/>
        <v>776.46000000000049</v>
      </c>
      <c r="AJ57" s="458">
        <f t="shared" si="19"/>
        <v>7.3138646741386482E-2</v>
      </c>
      <c r="AK57" s="459">
        <f t="shared" si="20"/>
        <v>5.3466168534661684E-2</v>
      </c>
      <c r="AL57" s="460">
        <f t="shared" si="21"/>
        <v>7.3752650935545352E-2</v>
      </c>
      <c r="AM57" s="461" t="str">
        <f t="shared" si="22"/>
        <v>0.02 pts.</v>
      </c>
      <c r="AN57" s="462" t="str">
        <f t="shared" si="23"/>
        <v>-0.04 pts.</v>
      </c>
      <c r="AO57" s="11"/>
    </row>
    <row r="58" spans="1:41" x14ac:dyDescent="0.25">
      <c r="A58" s="57" t="s">
        <v>23</v>
      </c>
      <c r="B58" s="58" t="s">
        <v>24</v>
      </c>
      <c r="C58" s="11"/>
      <c r="D58" s="11"/>
      <c r="E58" s="11"/>
      <c r="F58" s="11"/>
      <c r="G58" s="84" t="s">
        <v>788</v>
      </c>
      <c r="H58" s="84" t="s">
        <v>797</v>
      </c>
      <c r="I58" s="118" t="str">
        <f>IF(_epmOfflineCondition_,"T4",_xll.EVPRO($B$1,$H58,"STYLE"))</f>
        <v>T4</v>
      </c>
      <c r="J58" s="118" t="str">
        <f>IF(_epmOfflineCondition_,"Y",_xll.EVPRO($B$1,$H58,"CALC"))</f>
        <v>Y</v>
      </c>
      <c r="K58" s="175" t="str">
        <f t="shared" si="12"/>
        <v>&gt;</v>
      </c>
      <c r="L58" s="86" t="str">
        <f>IF(_epmOfflineCondition_,"703000",_xll.EVPRO($B$1,H58,"JDEID"))</f>
        <v>703000</v>
      </c>
      <c r="M58" s="86" t="str">
        <f>IF(_epmOfflineCondition_,"",IF(AND(I58="N",J58="N"),_xll.EVPRO($B$1,H58,"PSFTID"),""))</f>
        <v/>
      </c>
      <c r="N58" s="86" t="str">
        <f>IF(_epmOfflineCondition_,"Complimentary Services &amp; Gifts",IF(_xll.EVDES(H58,$B$1)="#NODATA","",_xll.EVDES(H58,$B$1)))</f>
        <v>Complimentary Services &amp; Gifts</v>
      </c>
      <c r="O58" s="134"/>
      <c r="P58" s="134"/>
      <c r="Q58" s="134"/>
      <c r="R58" s="134"/>
      <c r="S58" s="134"/>
      <c r="T58" s="134"/>
      <c r="U58" s="134"/>
      <c r="V58" s="134">
        <v>60.25</v>
      </c>
      <c r="W58" s="134"/>
      <c r="X58" s="134">
        <v>-60.25</v>
      </c>
      <c r="Y58" s="134"/>
      <c r="Z58" s="134">
        <v>9.61</v>
      </c>
      <c r="AA58" s="134">
        <f t="shared" si="13"/>
        <v>9.61</v>
      </c>
      <c r="AB58" s="138">
        <f t="shared" si="14"/>
        <v>1.1459589407729081E-6</v>
      </c>
      <c r="AC58" s="136"/>
      <c r="AD58" s="134"/>
      <c r="AE58" s="138" t="str">
        <f t="shared" si="15"/>
        <v/>
      </c>
      <c r="AF58" s="137">
        <f t="shared" si="16"/>
        <v>9.61</v>
      </c>
      <c r="AG58" s="134">
        <v>14.46</v>
      </c>
      <c r="AH58" s="138">
        <f t="shared" si="17"/>
        <v>4.4373945721771183E-6</v>
      </c>
      <c r="AI58" s="137">
        <f t="shared" si="18"/>
        <v>-4.8500000000000014</v>
      </c>
      <c r="AJ58" s="458">
        <f t="shared" si="19"/>
        <v>1.9946035699460355E-4</v>
      </c>
      <c r="AK58" s="459">
        <f t="shared" si="20"/>
        <v>0</v>
      </c>
      <c r="AL58" s="460">
        <f t="shared" si="21"/>
        <v>3.8817749859064188E-4</v>
      </c>
      <c r="AM58" s="461">
        <f t="shared" si="22"/>
        <v>0</v>
      </c>
      <c r="AN58" s="462" t="str">
        <f t="shared" si="23"/>
        <v>0 pts.</v>
      </c>
      <c r="AO58" s="11"/>
    </row>
    <row r="59" spans="1:41" x14ac:dyDescent="0.25">
      <c r="A59" s="61" t="s">
        <v>25</v>
      </c>
      <c r="B59" s="62"/>
      <c r="C59" s="11"/>
      <c r="D59" s="11"/>
      <c r="E59" s="11"/>
      <c r="F59" s="11"/>
      <c r="G59" s="84" t="s">
        <v>788</v>
      </c>
      <c r="H59" s="84" t="s">
        <v>798</v>
      </c>
      <c r="I59" s="118" t="str">
        <f>IF(_epmOfflineCondition_,"N",_xll.EVPRO($B$1,$H59,"STYLE"))</f>
        <v>N</v>
      </c>
      <c r="J59" s="118" t="str">
        <f>IF(_epmOfflineCondition_,"N",_xll.EVPRO($B$1,$H59,"CALC"))</f>
        <v>N</v>
      </c>
      <c r="K59" s="175" t="str">
        <f t="shared" si="12"/>
        <v/>
      </c>
      <c r="L59" s="86" t="str">
        <f>IF(_epmOfflineCondition_,"703100",_xll.EVPRO($B$1,H59,"JDEID"))</f>
        <v>703100</v>
      </c>
      <c r="M59" s="86" t="str">
        <f>IF(_epmOfflineCondition_,"690035",IF(AND(I59="N",J59="N"),_xll.EVPRO($B$1,H59,"PSFTID"),""))</f>
        <v>690035</v>
      </c>
      <c r="N59" s="86" t="str">
        <f>IF(_epmOfflineCondition_,"Training",IF(_xll.EVDES(H59,$B$1)="#NODATA","",_xll.EVDES(H59,$B$1)))</f>
        <v>Training</v>
      </c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>
        <v>51.04</v>
      </c>
      <c r="AA59" s="134">
        <f t="shared" si="13"/>
        <v>51.04</v>
      </c>
      <c r="AB59" s="138">
        <f t="shared" si="14"/>
        <v>6.0863417624400863E-6</v>
      </c>
      <c r="AC59" s="136"/>
      <c r="AD59" s="134"/>
      <c r="AE59" s="138" t="str">
        <f t="shared" si="15"/>
        <v/>
      </c>
      <c r="AF59" s="137">
        <f t="shared" si="16"/>
        <v>51.04</v>
      </c>
      <c r="AG59" s="134">
        <v>475.89</v>
      </c>
      <c r="AH59" s="138">
        <f t="shared" si="17"/>
        <v>1.4603815373121499E-4</v>
      </c>
      <c r="AI59" s="137">
        <f t="shared" si="18"/>
        <v>-424.84999999999997</v>
      </c>
      <c r="AJ59" s="458">
        <f t="shared" si="19"/>
        <v>1.0593607305936074E-3</v>
      </c>
      <c r="AK59" s="459">
        <f t="shared" si="20"/>
        <v>0</v>
      </c>
      <c r="AL59" s="460">
        <f t="shared" si="21"/>
        <v>1.2775227510670855E-2</v>
      </c>
      <c r="AM59" s="461">
        <f t="shared" si="22"/>
        <v>0</v>
      </c>
      <c r="AN59" s="462" t="str">
        <f t="shared" si="23"/>
        <v>-0.01 pts.</v>
      </c>
      <c r="AO59" s="11"/>
    </row>
    <row r="60" spans="1:41" x14ac:dyDescent="0.25">
      <c r="A60" s="61" t="s">
        <v>26</v>
      </c>
      <c r="B60" s="62"/>
      <c r="C60" s="11"/>
      <c r="D60" s="11"/>
      <c r="E60" s="11"/>
      <c r="F60" s="11"/>
      <c r="G60" s="84" t="s">
        <v>788</v>
      </c>
      <c r="H60" s="84" t="s">
        <v>799</v>
      </c>
      <c r="I60" s="118" t="str">
        <f>IF(_epmOfflineCondition_,"N",_xll.EVPRO($B$1,$H60,"STYLE"))</f>
        <v>N</v>
      </c>
      <c r="J60" s="118" t="str">
        <f>IF(_epmOfflineCondition_,"N",_xll.EVPRO($B$1,$H60,"CALC"))</f>
        <v>N</v>
      </c>
      <c r="K60" s="175" t="str">
        <f t="shared" si="12"/>
        <v/>
      </c>
      <c r="L60" s="86" t="str">
        <f>IF(_epmOfflineCondition_,"703200",_xll.EVPRO($B$1,H60,"JDEID"))</f>
        <v>703200</v>
      </c>
      <c r="M60" s="86" t="str">
        <f>IF(_epmOfflineCondition_,"590035",IF(AND(I60="N",J60="N"),_xll.EVPRO($B$1,H60,"PSFTID"),""))</f>
        <v>590035</v>
      </c>
      <c r="N60" s="86" t="str">
        <f>IF(_epmOfflineCondition_,"Uniform Costs",IF(_xll.EVDES(H60,$B$1)="#NODATA","",_xll.EVDES(H60,$B$1)))</f>
        <v>Uniform Costs</v>
      </c>
      <c r="O60" s="134"/>
      <c r="P60" s="134"/>
      <c r="Q60" s="134">
        <v>114.32</v>
      </c>
      <c r="R60" s="134"/>
      <c r="S60" s="134"/>
      <c r="T60" s="134">
        <v>15.51</v>
      </c>
      <c r="U60" s="134"/>
      <c r="V60" s="134"/>
      <c r="W60" s="134"/>
      <c r="X60" s="134">
        <v>-129.83000000000001</v>
      </c>
      <c r="Y60" s="134"/>
      <c r="Z60" s="134"/>
      <c r="AA60" s="134">
        <f t="shared" si="13"/>
        <v>0</v>
      </c>
      <c r="AB60" s="138" t="str">
        <f t="shared" si="14"/>
        <v/>
      </c>
      <c r="AC60" s="136"/>
      <c r="AD60" s="134"/>
      <c r="AE60" s="138" t="str">
        <f t="shared" si="15"/>
        <v/>
      </c>
      <c r="AF60" s="137">
        <f t="shared" si="16"/>
        <v>0</v>
      </c>
      <c r="AG60" s="134"/>
      <c r="AH60" s="138" t="str">
        <f t="shared" si="17"/>
        <v/>
      </c>
      <c r="AI60" s="137">
        <f t="shared" si="18"/>
        <v>0</v>
      </c>
      <c r="AJ60" s="458">
        <f t="shared" si="19"/>
        <v>0</v>
      </c>
      <c r="AK60" s="459">
        <f t="shared" si="20"/>
        <v>0</v>
      </c>
      <c r="AL60" s="460">
        <f t="shared" si="21"/>
        <v>0</v>
      </c>
      <c r="AM60" s="461">
        <f t="shared" si="22"/>
        <v>0</v>
      </c>
      <c r="AN60" s="462">
        <f t="shared" si="23"/>
        <v>0</v>
      </c>
      <c r="AO60" s="11"/>
    </row>
    <row r="61" spans="1:41" x14ac:dyDescent="0.25">
      <c r="A61" s="61" t="s">
        <v>27</v>
      </c>
      <c r="B61" s="62"/>
      <c r="C61" s="11"/>
      <c r="D61" s="11"/>
      <c r="E61" s="11"/>
      <c r="F61" s="11"/>
      <c r="G61" s="84" t="s">
        <v>788</v>
      </c>
      <c r="H61" s="84" t="s">
        <v>800</v>
      </c>
      <c r="I61" s="118" t="str">
        <f>IF(_epmOfflineCondition_,"N",_xll.EVPRO($B$1,$H61,"STYLE"))</f>
        <v>N</v>
      </c>
      <c r="J61" s="118" t="str">
        <f>IF(_epmOfflineCondition_,"N",_xll.EVPRO($B$1,$H61,"CALC"))</f>
        <v>N</v>
      </c>
      <c r="K61" s="175" t="str">
        <f t="shared" si="12"/>
        <v/>
      </c>
      <c r="L61" s="86" t="str">
        <f>IF(_epmOfflineCondition_,"703300",_xll.EVPRO($B$1,H61,"JDEID"))</f>
        <v>703300</v>
      </c>
      <c r="M61" s="86" t="str">
        <f>IF(_epmOfflineCondition_,"590115",IF(AND(I61="N",J61="N"),_xll.EVPRO($B$1,H61,"PSFTID"),""))</f>
        <v>590115</v>
      </c>
      <c r="N61" s="86" t="str">
        <f>IF(_epmOfflineCondition_,"Uniforms Laundry",IF(_xll.EVDES(H61,$B$1)="#NODATA","",_xll.EVDES(H61,$B$1)))</f>
        <v>Uniforms Laundry</v>
      </c>
      <c r="O61" s="134"/>
      <c r="P61" s="134"/>
      <c r="Q61" s="134">
        <v>17.920000000000002</v>
      </c>
      <c r="R61" s="134"/>
      <c r="S61" s="134">
        <v>114.24</v>
      </c>
      <c r="T61" s="134"/>
      <c r="U61" s="134">
        <v>35.86</v>
      </c>
      <c r="V61" s="134">
        <v>42.9</v>
      </c>
      <c r="W61" s="134">
        <v>6.6</v>
      </c>
      <c r="X61" s="134">
        <v>33</v>
      </c>
      <c r="Y61" s="134"/>
      <c r="Z61" s="134"/>
      <c r="AA61" s="134">
        <f t="shared" si="13"/>
        <v>250.51999999999998</v>
      </c>
      <c r="AB61" s="138">
        <f t="shared" si="14"/>
        <v>2.9873635155299575E-5</v>
      </c>
      <c r="AC61" s="136"/>
      <c r="AD61" s="134">
        <v>240</v>
      </c>
      <c r="AE61" s="138">
        <f t="shared" si="15"/>
        <v>1.8394457004999897E-5</v>
      </c>
      <c r="AF61" s="137">
        <f t="shared" si="16"/>
        <v>10.519999999999982</v>
      </c>
      <c r="AG61" s="134">
        <v>135.38999999999999</v>
      </c>
      <c r="AH61" s="138">
        <f t="shared" si="17"/>
        <v>4.154763839052973E-5</v>
      </c>
      <c r="AI61" s="137">
        <f t="shared" si="18"/>
        <v>115.13</v>
      </c>
      <c r="AJ61" s="458">
        <f t="shared" si="19"/>
        <v>5.1996679119966785E-3</v>
      </c>
      <c r="AK61" s="459">
        <f t="shared" si="20"/>
        <v>4.9813200498132005E-3</v>
      </c>
      <c r="AL61" s="460">
        <f t="shared" si="21"/>
        <v>3.6345333011194325E-3</v>
      </c>
      <c r="AM61" s="461" t="str">
        <f t="shared" si="22"/>
        <v>0 pts.</v>
      </c>
      <c r="AN61" s="462" t="str">
        <f t="shared" si="23"/>
        <v>0 pts.</v>
      </c>
      <c r="AO61" s="11"/>
    </row>
    <row r="62" spans="1:41" x14ac:dyDescent="0.25">
      <c r="A62" s="61" t="s">
        <v>28</v>
      </c>
      <c r="B62" s="62"/>
      <c r="C62" s="11"/>
      <c r="D62" s="11"/>
      <c r="E62" s="11"/>
      <c r="F62" s="11"/>
      <c r="G62" s="84" t="s">
        <v>788</v>
      </c>
      <c r="H62" s="84" t="s">
        <v>801</v>
      </c>
      <c r="I62" s="118" t="str">
        <f>IF(_epmOfflineCondition_,"N",_xll.EVPRO($B$1,$H62,"STYLE"))</f>
        <v>N</v>
      </c>
      <c r="J62" s="118" t="str">
        <f>IF(_epmOfflineCondition_,"N",_xll.EVPRO($B$1,$H62,"CALC"))</f>
        <v>N</v>
      </c>
      <c r="K62" s="175" t="str">
        <f t="shared" si="12"/>
        <v/>
      </c>
      <c r="L62" s="86" t="str">
        <f>IF(_epmOfflineCondition_,"704600",_xll.EVPRO($B$1,H62,"JDEID"))</f>
        <v>704600</v>
      </c>
      <c r="M62" s="86" t="str">
        <f>IF(_epmOfflineCondition_,"590130",IF(AND(I62="N",J62="N"),_xll.EVPRO($B$1,H62,"PSFTID"),""))</f>
        <v>590130</v>
      </c>
      <c r="N62" s="86" t="str">
        <f>IF(_epmOfflineCondition_,"Credit Card Commissions",IF(_xll.EVDES(H62,$B$1)="#NODATA","",_xll.EVDES(H62,$B$1)))</f>
        <v>Credit Card Commissions</v>
      </c>
      <c r="O62" s="134">
        <v>22315.58</v>
      </c>
      <c r="P62" s="134">
        <v>22542.95</v>
      </c>
      <c r="Q62" s="134">
        <v>28785.63</v>
      </c>
      <c r="R62" s="134">
        <v>22734.91</v>
      </c>
      <c r="S62" s="134">
        <v>24568.959999999999</v>
      </c>
      <c r="T62" s="134">
        <v>13629.31</v>
      </c>
      <c r="U62" s="134">
        <v>16665.830000000002</v>
      </c>
      <c r="V62" s="134">
        <v>15641.62</v>
      </c>
      <c r="W62" s="134">
        <v>11458.75</v>
      </c>
      <c r="X62" s="134">
        <v>19136.29</v>
      </c>
      <c r="Y62" s="134">
        <v>22338.31</v>
      </c>
      <c r="Z62" s="134">
        <v>40672.46</v>
      </c>
      <c r="AA62" s="134">
        <f t="shared" si="13"/>
        <v>260490.59999999998</v>
      </c>
      <c r="AB62" s="138">
        <f t="shared" si="14"/>
        <v>3.1062594386815738E-2</v>
      </c>
      <c r="AC62" s="136"/>
      <c r="AD62" s="134">
        <v>352280.03730899101</v>
      </c>
      <c r="AE62" s="138">
        <f t="shared" si="15"/>
        <v>2.6999999999999979E-2</v>
      </c>
      <c r="AF62" s="137">
        <f t="shared" si="16"/>
        <v>-91789.437308991037</v>
      </c>
      <c r="AG62" s="134">
        <v>94359.93</v>
      </c>
      <c r="AH62" s="138">
        <f t="shared" si="17"/>
        <v>2.8956586529253994E-2</v>
      </c>
      <c r="AI62" s="137">
        <f t="shared" si="18"/>
        <v>166130.66999999998</v>
      </c>
      <c r="AJ62" s="458">
        <f t="shared" si="19"/>
        <v>5.4066127023661261</v>
      </c>
      <c r="AK62" s="459">
        <f t="shared" si="20"/>
        <v>7.311748387484247</v>
      </c>
      <c r="AL62" s="460">
        <f t="shared" si="21"/>
        <v>2.5330844809535313</v>
      </c>
      <c r="AM62" s="461" t="str">
        <f t="shared" si="22"/>
        <v>0.41 pts.</v>
      </c>
      <c r="AN62" s="462" t="str">
        <f t="shared" si="23"/>
        <v>0.21 pts.</v>
      </c>
      <c r="AO62" s="11"/>
    </row>
    <row r="63" spans="1:41" x14ac:dyDescent="0.25">
      <c r="A63" s="61" t="s">
        <v>29</v>
      </c>
      <c r="B63" s="62"/>
      <c r="C63" s="11"/>
      <c r="D63" s="11"/>
      <c r="E63" s="11"/>
      <c r="F63" s="11"/>
      <c r="G63" s="84" t="s">
        <v>788</v>
      </c>
      <c r="H63" s="84" t="s">
        <v>917</v>
      </c>
      <c r="I63" s="118" t="str">
        <f>IF(_epmOfflineCondition_,"N",_xll.EVPRO($B$1,$H63,"STYLE"))</f>
        <v>N</v>
      </c>
      <c r="J63" s="118" t="str">
        <f>IF(_epmOfflineCondition_,"N",_xll.EVPRO($B$1,$H63,"CALC"))</f>
        <v>N</v>
      </c>
      <c r="K63" s="175" t="str">
        <f t="shared" si="12"/>
        <v/>
      </c>
      <c r="L63" s="86" t="str">
        <f>IF(_epmOfflineCondition_,"704700",_xll.EVPRO($B$1,H63,"JDEID"))</f>
        <v>704700</v>
      </c>
      <c r="M63" s="86" t="str">
        <f>IF(_epmOfflineCondition_,"690130",IF(AND(I63="N",J63="N"),_xll.EVPRO($B$1,H63,"PSFTID"),""))</f>
        <v>690130</v>
      </c>
      <c r="N63" s="86" t="str">
        <f>IF(_epmOfflineCondition_,"Cash Overages &amp; Shortages",IF(_xll.EVDES(H63,$B$1)="#NODATA","",_xll.EVDES(H63,$B$1)))</f>
        <v>Cash Overages &amp; Shortages</v>
      </c>
      <c r="O63" s="134"/>
      <c r="P63" s="134"/>
      <c r="Q63" s="134"/>
      <c r="R63" s="134"/>
      <c r="S63" s="134"/>
      <c r="T63" s="134"/>
      <c r="U63" s="134"/>
      <c r="V63" s="134"/>
      <c r="W63" s="134"/>
      <c r="X63" s="134"/>
      <c r="Y63" s="134"/>
      <c r="Z63" s="134"/>
      <c r="AA63" s="134">
        <f t="shared" si="13"/>
        <v>0</v>
      </c>
      <c r="AB63" s="138" t="str">
        <f t="shared" si="14"/>
        <v/>
      </c>
      <c r="AC63" s="136"/>
      <c r="AD63" s="134"/>
      <c r="AE63" s="138" t="str">
        <f t="shared" si="15"/>
        <v/>
      </c>
      <c r="AF63" s="137">
        <f t="shared" si="16"/>
        <v>0</v>
      </c>
      <c r="AG63" s="134">
        <v>9.7899999999999991</v>
      </c>
      <c r="AH63" s="138">
        <f t="shared" si="17"/>
        <v>3.0042941121448117E-6</v>
      </c>
      <c r="AI63" s="137">
        <f t="shared" si="18"/>
        <v>-9.7899999999999991</v>
      </c>
      <c r="AJ63" s="458">
        <f t="shared" si="19"/>
        <v>0</v>
      </c>
      <c r="AK63" s="459">
        <f t="shared" si="20"/>
        <v>0</v>
      </c>
      <c r="AL63" s="460">
        <f t="shared" si="21"/>
        <v>2.6281173659767522E-4</v>
      </c>
      <c r="AM63" s="461">
        <f t="shared" si="22"/>
        <v>0</v>
      </c>
      <c r="AN63" s="462">
        <f t="shared" si="23"/>
        <v>0</v>
      </c>
      <c r="AO63" s="11"/>
    </row>
    <row r="64" spans="1:41" x14ac:dyDescent="0.25">
      <c r="A64" s="61" t="s">
        <v>30</v>
      </c>
      <c r="B64" s="62" t="s">
        <v>78</v>
      </c>
      <c r="C64" s="11"/>
      <c r="D64" s="11"/>
      <c r="E64" s="11"/>
      <c r="F64" s="11"/>
      <c r="G64" s="84" t="s">
        <v>788</v>
      </c>
      <c r="H64" s="84" t="s">
        <v>802</v>
      </c>
      <c r="I64" s="118" t="str">
        <f>IF(_epmOfflineCondition_,"N",_xll.EVPRO($B$1,$H64,"STYLE"))</f>
        <v>N</v>
      </c>
      <c r="J64" s="118" t="str">
        <f>IF(_epmOfflineCondition_,"N",_xll.EVPRO($B$1,$H64,"CALC"))</f>
        <v>N</v>
      </c>
      <c r="K64" s="175" t="str">
        <f t="shared" si="12"/>
        <v/>
      </c>
      <c r="L64" s="86" t="str">
        <f>IF(_epmOfflineCondition_,"704800",_xll.EVPRO($B$1,H64,"JDEID"))</f>
        <v>704800</v>
      </c>
      <c r="M64" s="86" t="str">
        <f>IF(_epmOfflineCondition_,"690052",IF(AND(I64="N",J64="N"),_xll.EVPRO($B$1,H64,"PSFTID"),""))</f>
        <v>690052</v>
      </c>
      <c r="N64" s="86" t="str">
        <f>IF(_epmOfflineCondition_,"Provision for Doubtful Accounts",IF(_xll.EVDES(H64,$B$1)="#NODATA","",_xll.EVDES(H64,$B$1)))</f>
        <v>Provision for Doubtful Accounts</v>
      </c>
      <c r="O64" s="134">
        <v>-212.43</v>
      </c>
      <c r="P64" s="134">
        <v>1025.9000000000001</v>
      </c>
      <c r="Q64" s="134">
        <v>544.38</v>
      </c>
      <c r="R64" s="134">
        <v>3593.66</v>
      </c>
      <c r="S64" s="134">
        <v>3438.16</v>
      </c>
      <c r="T64" s="134">
        <v>1087.33</v>
      </c>
      <c r="U64" s="134">
        <v>3266.77</v>
      </c>
      <c r="V64" s="134">
        <v>933.27</v>
      </c>
      <c r="W64" s="134">
        <v>1480.02</v>
      </c>
      <c r="X64" s="134">
        <v>2886.66</v>
      </c>
      <c r="Y64" s="134">
        <v>-3300.74</v>
      </c>
      <c r="Z64" s="134">
        <v>1769.55</v>
      </c>
      <c r="AA64" s="134">
        <f t="shared" si="13"/>
        <v>16512.530000000002</v>
      </c>
      <c r="AB64" s="138">
        <f t="shared" si="14"/>
        <v>1.9690615388429627E-3</v>
      </c>
      <c r="AC64" s="136"/>
      <c r="AD64" s="134"/>
      <c r="AE64" s="138" t="str">
        <f t="shared" si="15"/>
        <v/>
      </c>
      <c r="AF64" s="137">
        <f t="shared" si="16"/>
        <v>16512.530000000002</v>
      </c>
      <c r="AG64" s="134">
        <v>6921.54</v>
      </c>
      <c r="AH64" s="138">
        <f t="shared" si="17"/>
        <v>2.1240390060239841E-3</v>
      </c>
      <c r="AI64" s="137">
        <f t="shared" si="18"/>
        <v>9590.9900000000016</v>
      </c>
      <c r="AJ64" s="458">
        <f t="shared" si="19"/>
        <v>0.34272581984225825</v>
      </c>
      <c r="AK64" s="459">
        <f t="shared" si="20"/>
        <v>0</v>
      </c>
      <c r="AL64" s="460">
        <f t="shared" si="21"/>
        <v>0.18580816622372553</v>
      </c>
      <c r="AM64" s="461">
        <f t="shared" si="22"/>
        <v>0</v>
      </c>
      <c r="AN64" s="462" t="str">
        <f t="shared" si="23"/>
        <v>-0.02 pts.</v>
      </c>
      <c r="AO64" s="11"/>
    </row>
    <row r="65" spans="1:41" x14ac:dyDescent="0.25">
      <c r="A65" s="61" t="s">
        <v>31</v>
      </c>
      <c r="B65" s="62" t="s">
        <v>78</v>
      </c>
      <c r="C65" s="11"/>
      <c r="D65" s="11"/>
      <c r="E65" s="11"/>
      <c r="F65" s="11"/>
      <c r="G65" s="84" t="s">
        <v>788</v>
      </c>
      <c r="H65" s="84" t="s">
        <v>803</v>
      </c>
      <c r="I65" s="118" t="str">
        <f>IF(_epmOfflineCondition_,"N",_xll.EVPRO($B$1,$H65,"STYLE"))</f>
        <v>N</v>
      </c>
      <c r="J65" s="118" t="str">
        <f>IF(_epmOfflineCondition_,"N",_xll.EVPRO($B$1,$H65,"CALC"))</f>
        <v>N</v>
      </c>
      <c r="K65" s="175" t="str">
        <f t="shared" si="12"/>
        <v/>
      </c>
      <c r="L65" s="86" t="str">
        <f>IF(_epmOfflineCondition_,"705000",_xll.EVPRO($B$1,H65,"JDEID"))</f>
        <v>705000</v>
      </c>
      <c r="M65" s="86" t="str">
        <f>IF(_epmOfflineCondition_,"690200",IF(AND(I65="N",J65="N"),_xll.EVPRO($B$1,H65,"PSFTID"),""))</f>
        <v>690200</v>
      </c>
      <c r="N65" s="86" t="str">
        <f>IF(_epmOfflineCondition_,"Bank Charges",IF(_xll.EVDES(H65,$B$1)="#NODATA","",_xll.EVDES(H65,$B$1)))</f>
        <v>Bank Charges</v>
      </c>
      <c r="O65" s="134">
        <v>1202.9000000000001</v>
      </c>
      <c r="P65" s="134">
        <v>1335</v>
      </c>
      <c r="Q65" s="134">
        <v>1255.1600000000001</v>
      </c>
      <c r="R65" s="134">
        <v>1680.81</v>
      </c>
      <c r="S65" s="134">
        <v>1401.56</v>
      </c>
      <c r="T65" s="134">
        <v>1220.81</v>
      </c>
      <c r="U65" s="134">
        <v>1152.77</v>
      </c>
      <c r="V65" s="134">
        <v>1415.01</v>
      </c>
      <c r="W65" s="134">
        <v>2310.5700000000002</v>
      </c>
      <c r="X65" s="134">
        <v>8102.03</v>
      </c>
      <c r="Y65" s="134">
        <v>2508.54</v>
      </c>
      <c r="Z65" s="134">
        <v>2200.8000000000002</v>
      </c>
      <c r="AA65" s="134">
        <f t="shared" si="13"/>
        <v>25785.96</v>
      </c>
      <c r="AB65" s="138">
        <f t="shared" si="14"/>
        <v>3.0748856824570838E-3</v>
      </c>
      <c r="AC65" s="136"/>
      <c r="AD65" s="134">
        <v>16512</v>
      </c>
      <c r="AE65" s="138">
        <f t="shared" si="15"/>
        <v>1.2655386419439928E-3</v>
      </c>
      <c r="AF65" s="137">
        <f t="shared" si="16"/>
        <v>9273.9599999999991</v>
      </c>
      <c r="AG65" s="134">
        <v>15100.84</v>
      </c>
      <c r="AH65" s="138">
        <f t="shared" si="17"/>
        <v>4.6340515526497308E-3</v>
      </c>
      <c r="AI65" s="137">
        <f t="shared" si="18"/>
        <v>10685.119999999999</v>
      </c>
      <c r="AJ65" s="458">
        <f t="shared" si="19"/>
        <v>0.53520049813200499</v>
      </c>
      <c r="AK65" s="459">
        <f t="shared" si="20"/>
        <v>0.34271481942714821</v>
      </c>
      <c r="AL65" s="460">
        <f t="shared" si="21"/>
        <v>0.40538079514643904</v>
      </c>
      <c r="AM65" s="461" t="str">
        <f t="shared" si="22"/>
        <v>0.18 pts.</v>
      </c>
      <c r="AN65" s="462" t="str">
        <f t="shared" si="23"/>
        <v>-0.16 pts.</v>
      </c>
      <c r="AO65" s="11"/>
    </row>
    <row r="66" spans="1:41" x14ac:dyDescent="0.25">
      <c r="A66" s="61" t="s">
        <v>32</v>
      </c>
      <c r="B66" s="62"/>
      <c r="C66" s="11"/>
      <c r="D66" s="11"/>
      <c r="E66" s="11"/>
      <c r="F66" s="11"/>
      <c r="G66" s="84" t="s">
        <v>788</v>
      </c>
      <c r="H66" s="84" t="s">
        <v>804</v>
      </c>
      <c r="I66" s="118" t="str">
        <f>IF(_epmOfflineCondition_,"N",_xll.EVPRO($B$1,$H66,"STYLE"))</f>
        <v>N</v>
      </c>
      <c r="J66" s="118" t="str">
        <f>IF(_epmOfflineCondition_,"N",_xll.EVPRO($B$1,$H66,"CALC"))</f>
        <v>N</v>
      </c>
      <c r="K66" s="175" t="str">
        <f t="shared" si="12"/>
        <v/>
      </c>
      <c r="L66" s="86" t="str">
        <f>IF(_epmOfflineCondition_,"705100",_xll.EVPRO($B$1,H66,"JDEID"))</f>
        <v>705100</v>
      </c>
      <c r="M66" s="86" t="str">
        <f>IF(_epmOfflineCondition_,"590055",IF(AND(I66="N",J66="N"),_xll.EVPRO($B$1,H66,"PSFTID"),""))</f>
        <v>590055</v>
      </c>
      <c r="N66" s="86" t="str">
        <f>IF(_epmOfflineCondition_,"Payroll Processing",IF(_xll.EVDES(H66,$B$1)="#NODATA","",_xll.EVDES(H66,$B$1)))</f>
        <v>Payroll Processing</v>
      </c>
      <c r="O66" s="134">
        <v>476.84</v>
      </c>
      <c r="P66" s="134">
        <v>474.37</v>
      </c>
      <c r="Q66" s="134">
        <v>356.44</v>
      </c>
      <c r="R66" s="134">
        <v>371.3</v>
      </c>
      <c r="S66" s="134">
        <v>318.39999999999998</v>
      </c>
      <c r="T66" s="134">
        <v>371.3</v>
      </c>
      <c r="U66" s="134">
        <v>372.1</v>
      </c>
      <c r="V66" s="134">
        <v>468.24</v>
      </c>
      <c r="W66" s="134"/>
      <c r="X66" s="134">
        <v>684.66</v>
      </c>
      <c r="Y66" s="134">
        <v>366.33</v>
      </c>
      <c r="Z66" s="134">
        <v>366.33</v>
      </c>
      <c r="AA66" s="134">
        <f t="shared" si="13"/>
        <v>4626.3099999999995</v>
      </c>
      <c r="AB66" s="138">
        <f t="shared" si="14"/>
        <v>5.516713118925194E-4</v>
      </c>
      <c r="AC66" s="136"/>
      <c r="AD66" s="134">
        <v>6093</v>
      </c>
      <c r="AE66" s="138">
        <f t="shared" si="15"/>
        <v>4.669892772144349E-4</v>
      </c>
      <c r="AF66" s="137">
        <f t="shared" si="16"/>
        <v>-1466.6900000000005</v>
      </c>
      <c r="AG66" s="134">
        <v>4626.13</v>
      </c>
      <c r="AH66" s="138">
        <f t="shared" si="17"/>
        <v>1.4196379081732871E-3</v>
      </c>
      <c r="AI66" s="137">
        <f t="shared" si="18"/>
        <v>0.17999999999938154</v>
      </c>
      <c r="AJ66" s="458">
        <f t="shared" si="19"/>
        <v>9.6021378165213778E-2</v>
      </c>
      <c r="AK66" s="459">
        <f t="shared" si="20"/>
        <v>0.12646326276463263</v>
      </c>
      <c r="AL66" s="460">
        <f t="shared" si="21"/>
        <v>0.12418807548790636</v>
      </c>
      <c r="AM66" s="461" t="str">
        <f t="shared" si="22"/>
        <v>0.01 pts.</v>
      </c>
      <c r="AN66" s="462" t="str">
        <f t="shared" si="23"/>
        <v>-0.09 pts.</v>
      </c>
      <c r="AO66" s="11"/>
    </row>
    <row r="67" spans="1:41" x14ac:dyDescent="0.25">
      <c r="A67" s="61" t="s">
        <v>33</v>
      </c>
      <c r="B67" s="62"/>
      <c r="C67" s="11"/>
      <c r="D67" s="11"/>
      <c r="E67" s="11"/>
      <c r="F67" s="11"/>
      <c r="G67" s="84" t="s">
        <v>788</v>
      </c>
      <c r="H67" s="84" t="s">
        <v>805</v>
      </c>
      <c r="I67" s="118" t="str">
        <f>IF(_epmOfflineCondition_,"N",_xll.EVPRO($B$1,$H67,"STYLE"))</f>
        <v>N</v>
      </c>
      <c r="J67" s="118" t="str">
        <f>IF(_epmOfflineCondition_,"N",_xll.EVPRO($B$1,$H67,"CALC"))</f>
        <v>N</v>
      </c>
      <c r="K67" s="175" t="str">
        <f t="shared" si="12"/>
        <v/>
      </c>
      <c r="L67" s="86" t="str">
        <f>IF(_epmOfflineCondition_,"705200",_xll.EVPRO($B$1,H67,"JDEID"))</f>
        <v>705200</v>
      </c>
      <c r="M67" s="86" t="str">
        <f>IF(_epmOfflineCondition_,"590305",IF(AND(I67="N",J67="N"),_xll.EVPRO($B$1,H67,"PSFTID"),""))</f>
        <v>590305</v>
      </c>
      <c r="N67" s="86" t="str">
        <f>IF(_epmOfflineCondition_,"Legal Services",IF(_xll.EVDES(H67,$B$1)="#NODATA","",_xll.EVDES(H67,$B$1)))</f>
        <v>Legal Services</v>
      </c>
      <c r="O67" s="134"/>
      <c r="P67" s="134"/>
      <c r="Q67" s="134"/>
      <c r="R67" s="134"/>
      <c r="S67" s="134"/>
      <c r="T67" s="134">
        <v>2500</v>
      </c>
      <c r="U67" s="134"/>
      <c r="V67" s="134"/>
      <c r="W67" s="134"/>
      <c r="X67" s="134"/>
      <c r="Y67" s="134"/>
      <c r="Z67" s="134"/>
      <c r="AA67" s="134">
        <f t="shared" si="13"/>
        <v>2500</v>
      </c>
      <c r="AB67" s="138">
        <f t="shared" si="14"/>
        <v>2.9811626971199483E-4</v>
      </c>
      <c r="AC67" s="136"/>
      <c r="AD67" s="134">
        <v>2500</v>
      </c>
      <c r="AE67" s="138">
        <f t="shared" si="15"/>
        <v>1.916089271354156E-4</v>
      </c>
      <c r="AF67" s="137">
        <f t="shared" si="16"/>
        <v>0</v>
      </c>
      <c r="AG67" s="134"/>
      <c r="AH67" s="138" t="str">
        <f t="shared" si="17"/>
        <v/>
      </c>
      <c r="AI67" s="137">
        <f t="shared" si="18"/>
        <v>2500</v>
      </c>
      <c r="AJ67" s="458">
        <f t="shared" si="19"/>
        <v>5.1888750518887507E-2</v>
      </c>
      <c r="AK67" s="459">
        <f t="shared" si="20"/>
        <v>5.1888750518887507E-2</v>
      </c>
      <c r="AL67" s="460">
        <f t="shared" si="21"/>
        <v>0</v>
      </c>
      <c r="AM67" s="461" t="str">
        <f t="shared" si="22"/>
        <v>0.01 pts.</v>
      </c>
      <c r="AN67" s="462">
        <f t="shared" si="23"/>
        <v>0</v>
      </c>
      <c r="AO67" s="11"/>
    </row>
    <row r="68" spans="1:41" x14ac:dyDescent="0.25">
      <c r="A68" s="61" t="s">
        <v>34</v>
      </c>
      <c r="B68" s="62"/>
      <c r="C68" s="11"/>
      <c r="D68" s="11"/>
      <c r="E68" s="11"/>
      <c r="F68" s="11"/>
      <c r="G68" s="84" t="s">
        <v>788</v>
      </c>
      <c r="H68" s="84" t="s">
        <v>918</v>
      </c>
      <c r="I68" s="118" t="str">
        <f>IF(_epmOfflineCondition_,"N",_xll.EVPRO($B$1,$H68,"STYLE"))</f>
        <v>N</v>
      </c>
      <c r="J68" s="118" t="str">
        <f>IF(_epmOfflineCondition_,"N",_xll.EVPRO($B$1,$H68,"CALC"))</f>
        <v>N</v>
      </c>
      <c r="K68" s="175" t="str">
        <f t="shared" si="12"/>
        <v/>
      </c>
      <c r="L68" s="86" t="str">
        <f>IF(_epmOfflineCondition_,"705400",_xll.EVPRO($B$1,H68,"JDEID"))</f>
        <v>705400</v>
      </c>
      <c r="M68" s="86" t="str">
        <f>IF(_epmOfflineCondition_,"590310",IF(AND(I68="N",J68="N"),_xll.EVPRO($B$1,H68,"PSFTID"),""))</f>
        <v>590310</v>
      </c>
      <c r="N68" s="86" t="str">
        <f>IF(_epmOfflineCondition_,"Audit Charges",IF(_xll.EVDES(H68,$B$1)="#NODATA","",_xll.EVDES(H68,$B$1)))</f>
        <v>Audit Charges</v>
      </c>
      <c r="O68" s="134"/>
      <c r="P68" s="134"/>
      <c r="Q68" s="134"/>
      <c r="R68" s="134"/>
      <c r="S68" s="134"/>
      <c r="T68" s="134"/>
      <c r="U68" s="134"/>
      <c r="V68" s="134"/>
      <c r="W68" s="134"/>
      <c r="X68" s="134"/>
      <c r="Y68" s="134"/>
      <c r="Z68" s="134"/>
      <c r="AA68" s="134">
        <f t="shared" si="13"/>
        <v>0</v>
      </c>
      <c r="AB68" s="138" t="str">
        <f t="shared" si="14"/>
        <v/>
      </c>
      <c r="AC68" s="136"/>
      <c r="AD68" s="134"/>
      <c r="AE68" s="138" t="str">
        <f t="shared" si="15"/>
        <v/>
      </c>
      <c r="AF68" s="137">
        <f t="shared" si="16"/>
        <v>0</v>
      </c>
      <c r="AG68" s="134">
        <v>-557.80999999999995</v>
      </c>
      <c r="AH68" s="138">
        <f t="shared" si="17"/>
        <v>-1.7117725216501506E-4</v>
      </c>
      <c r="AI68" s="137">
        <f t="shared" si="18"/>
        <v>557.80999999999995</v>
      </c>
      <c r="AJ68" s="458">
        <f t="shared" si="19"/>
        <v>0</v>
      </c>
      <c r="AK68" s="459">
        <f t="shared" si="20"/>
        <v>0</v>
      </c>
      <c r="AL68" s="460">
        <f t="shared" si="21"/>
        <v>-1.4974363104346191E-2</v>
      </c>
      <c r="AM68" s="461">
        <f t="shared" si="22"/>
        <v>0</v>
      </c>
      <c r="AN68" s="462">
        <f t="shared" si="23"/>
        <v>0</v>
      </c>
      <c r="AO68" s="11"/>
    </row>
    <row r="69" spans="1:41" x14ac:dyDescent="0.25">
      <c r="A69" s="61" t="s">
        <v>35</v>
      </c>
      <c r="B69" s="62"/>
      <c r="C69" s="11"/>
      <c r="D69" s="11"/>
      <c r="E69" s="11"/>
      <c r="F69" s="11"/>
      <c r="G69" s="84" t="s">
        <v>788</v>
      </c>
      <c r="H69" s="84" t="s">
        <v>806</v>
      </c>
      <c r="I69" s="118" t="str">
        <f>IF(_epmOfflineCondition_,"N",_xll.EVPRO($B$1,$H69,"STYLE"))</f>
        <v>N</v>
      </c>
      <c r="J69" s="118" t="str">
        <f>IF(_epmOfflineCondition_,"N",_xll.EVPRO($B$1,$H69,"CALC"))</f>
        <v>N</v>
      </c>
      <c r="K69" s="175" t="str">
        <f t="shared" si="12"/>
        <v/>
      </c>
      <c r="L69" s="86" t="str">
        <f>IF(_epmOfflineCondition_,"705500",_xll.EVPRO($B$1,H69,"JDEID"))</f>
        <v>705500</v>
      </c>
      <c r="M69" s="86" t="str">
        <f>IF(_epmOfflineCondition_,"690105",IF(AND(I69="N",J69="N"),_xll.EVPRO($B$1,H69,"PSFTID"),""))</f>
        <v>690105</v>
      </c>
      <c r="N69" s="86" t="str">
        <f>IF(_epmOfflineCondition_,"Licenses &amp; Permits",IF(_xll.EVDES(H69,$B$1)="#NODATA","",_xll.EVDES(H69,$B$1)))</f>
        <v>Licenses &amp; Permits</v>
      </c>
      <c r="O69" s="134"/>
      <c r="P69" s="134"/>
      <c r="Q69" s="134"/>
      <c r="R69" s="134"/>
      <c r="S69" s="134"/>
      <c r="T69" s="134"/>
      <c r="U69" s="134"/>
      <c r="V69" s="134">
        <v>525</v>
      </c>
      <c r="W69" s="134">
        <v>4659.8999999999996</v>
      </c>
      <c r="X69" s="134">
        <v>630</v>
      </c>
      <c r="Y69" s="134"/>
      <c r="Z69" s="134">
        <v>810</v>
      </c>
      <c r="AA69" s="134">
        <f t="shared" si="13"/>
        <v>6624.9</v>
      </c>
      <c r="AB69" s="138">
        <f t="shared" si="14"/>
        <v>7.8999619008599767E-4</v>
      </c>
      <c r="AC69" s="136"/>
      <c r="AD69" s="134">
        <v>5635</v>
      </c>
      <c r="AE69" s="138">
        <f t="shared" si="15"/>
        <v>4.3188652176322673E-4</v>
      </c>
      <c r="AF69" s="137">
        <f t="shared" si="16"/>
        <v>989.89999999999964</v>
      </c>
      <c r="AG69" s="134">
        <v>3832.65</v>
      </c>
      <c r="AH69" s="138">
        <f t="shared" si="17"/>
        <v>1.1761397169470699E-3</v>
      </c>
      <c r="AI69" s="137">
        <f t="shared" si="18"/>
        <v>2792.2499999999995</v>
      </c>
      <c r="AJ69" s="458">
        <f t="shared" si="19"/>
        <v>0.13750311332503112</v>
      </c>
      <c r="AK69" s="459">
        <f t="shared" si="20"/>
        <v>0.11695724366957244</v>
      </c>
      <c r="AL69" s="460">
        <f t="shared" si="21"/>
        <v>0.10288717081420633</v>
      </c>
      <c r="AM69" s="461" t="str">
        <f t="shared" si="22"/>
        <v>0.04 pts.</v>
      </c>
      <c r="AN69" s="462" t="str">
        <f t="shared" si="23"/>
        <v>-0.04 pts.</v>
      </c>
      <c r="AO69" s="11"/>
    </row>
    <row r="70" spans="1:41" x14ac:dyDescent="0.25">
      <c r="A70" s="61" t="s">
        <v>36</v>
      </c>
      <c r="B70" s="62"/>
      <c r="C70" s="11"/>
      <c r="D70" s="11"/>
      <c r="E70" s="11"/>
      <c r="F70" s="11"/>
      <c r="G70" s="84" t="s">
        <v>788</v>
      </c>
      <c r="H70" s="84" t="s">
        <v>807</v>
      </c>
      <c r="I70" s="118" t="str">
        <f>IF(_epmOfflineCondition_,"N",_xll.EVPRO($B$1,$H70,"STYLE"))</f>
        <v>N</v>
      </c>
      <c r="J70" s="118" t="str">
        <f>IF(_epmOfflineCondition_,"N",_xll.EVPRO($B$1,$H70,"CALC"))</f>
        <v>N</v>
      </c>
      <c r="K70" s="175" t="str">
        <f t="shared" si="12"/>
        <v/>
      </c>
      <c r="L70" s="86" t="str">
        <f>IF(_epmOfflineCondition_,"705800",_xll.EVPRO($B$1,H70,"JDEID"))</f>
        <v>705800</v>
      </c>
      <c r="M70" s="86" t="str">
        <f>IF(_epmOfflineCondition_,"690025",IF(AND(I70="N",J70="N"),_xll.EVPRO($B$1,H70,"PSFTID"),""))</f>
        <v>690025</v>
      </c>
      <c r="N70" s="86" t="str">
        <f>IF(_epmOfflineCondition_,"Donations",IF(_xll.EVDES(H70,$B$1)="#NODATA","",_xll.EVDES(H70,$B$1)))</f>
        <v>Donations</v>
      </c>
      <c r="O70" s="134">
        <v>15</v>
      </c>
      <c r="P70" s="134"/>
      <c r="Q70" s="134"/>
      <c r="R70" s="134"/>
      <c r="S70" s="134">
        <v>25</v>
      </c>
      <c r="T70" s="134">
        <v>836</v>
      </c>
      <c r="U70" s="134">
        <v>600</v>
      </c>
      <c r="V70" s="134"/>
      <c r="W70" s="134">
        <v>150</v>
      </c>
      <c r="X70" s="134"/>
      <c r="Y70" s="134"/>
      <c r="Z70" s="134">
        <v>714</v>
      </c>
      <c r="AA70" s="134">
        <f t="shared" si="13"/>
        <v>2340</v>
      </c>
      <c r="AB70" s="138">
        <f t="shared" si="14"/>
        <v>2.7903682845042716E-4</v>
      </c>
      <c r="AC70" s="136"/>
      <c r="AD70" s="134">
        <v>3081.12</v>
      </c>
      <c r="AE70" s="138">
        <f t="shared" si="15"/>
        <v>2.3614803903018868E-4</v>
      </c>
      <c r="AF70" s="137">
        <f t="shared" si="16"/>
        <v>-741.11999999999989</v>
      </c>
      <c r="AG70" s="134">
        <v>425</v>
      </c>
      <c r="AH70" s="138">
        <f t="shared" si="17"/>
        <v>1.3042134807574515E-4</v>
      </c>
      <c r="AI70" s="137">
        <f t="shared" si="18"/>
        <v>1915</v>
      </c>
      <c r="AJ70" s="458">
        <f t="shared" si="19"/>
        <v>4.8567870485678705E-2</v>
      </c>
      <c r="AK70" s="459">
        <f t="shared" si="20"/>
        <v>6.395018679950186E-2</v>
      </c>
      <c r="AL70" s="460">
        <f t="shared" si="21"/>
        <v>1.1409089688867413E-2</v>
      </c>
      <c r="AM70" s="461" t="str">
        <f t="shared" si="22"/>
        <v>0 pts.</v>
      </c>
      <c r="AN70" s="462" t="str">
        <f t="shared" si="23"/>
        <v>0.01 pts.</v>
      </c>
      <c r="AO70" s="11"/>
    </row>
    <row r="71" spans="1:41" x14ac:dyDescent="0.25">
      <c r="A71" s="61" t="s">
        <v>37</v>
      </c>
      <c r="B71" s="62"/>
      <c r="C71" s="11"/>
      <c r="D71" s="11"/>
      <c r="E71" s="11"/>
      <c r="F71" s="11"/>
      <c r="G71" s="84" t="s">
        <v>788</v>
      </c>
      <c r="H71" s="84" t="s">
        <v>808</v>
      </c>
      <c r="I71" s="118" t="str">
        <f>IF(_epmOfflineCondition_,"N",_xll.EVPRO($B$1,$H71,"STYLE"))</f>
        <v>N</v>
      </c>
      <c r="J71" s="118" t="str">
        <f>IF(_epmOfflineCondition_,"N",_xll.EVPRO($B$1,$H71,"CALC"))</f>
        <v>N</v>
      </c>
      <c r="K71" s="175" t="str">
        <f t="shared" si="12"/>
        <v/>
      </c>
      <c r="L71" s="86" t="str">
        <f>IF(_epmOfflineCondition_,"706000",_xll.EVPRO($B$1,H71,"JDEID"))</f>
        <v>706000</v>
      </c>
      <c r="M71" s="86" t="str">
        <f>IF(_epmOfflineCondition_,"590320",IF(AND(I71="N",J71="N"),_xll.EVPRO($B$1,H71,"PSFTID"),""))</f>
        <v>590320</v>
      </c>
      <c r="N71" s="86" t="str">
        <f>IF(_epmOfflineCondition_,"Security",IF(_xll.EVDES(H71,$B$1)="#NODATA","",_xll.EVDES(H71,$B$1)))</f>
        <v>Security</v>
      </c>
      <c r="O71" s="134">
        <v>429.9</v>
      </c>
      <c r="P71" s="134">
        <v>455.04</v>
      </c>
      <c r="Q71" s="134">
        <v>468.22</v>
      </c>
      <c r="R71" s="134">
        <v>438.24</v>
      </c>
      <c r="S71" s="134">
        <v>429.9</v>
      </c>
      <c r="T71" s="134">
        <v>429.9</v>
      </c>
      <c r="U71" s="134">
        <v>435.89</v>
      </c>
      <c r="V71" s="134">
        <v>566.66999999999996</v>
      </c>
      <c r="W71" s="134">
        <v>511.84</v>
      </c>
      <c r="X71" s="134">
        <v>450.21</v>
      </c>
      <c r="Y71" s="134">
        <v>460.91</v>
      </c>
      <c r="Z71" s="134">
        <v>457.71</v>
      </c>
      <c r="AA71" s="134">
        <f t="shared" si="13"/>
        <v>5534.43</v>
      </c>
      <c r="AB71" s="138">
        <f t="shared" si="14"/>
        <v>6.5996145063286222E-4</v>
      </c>
      <c r="AC71" s="136"/>
      <c r="AD71" s="134">
        <v>4940</v>
      </c>
      <c r="AE71" s="138">
        <f t="shared" si="15"/>
        <v>3.7861924001958121E-4</v>
      </c>
      <c r="AF71" s="137">
        <f t="shared" si="16"/>
        <v>594.43000000000029</v>
      </c>
      <c r="AG71" s="134">
        <v>12130.53</v>
      </c>
      <c r="AH71" s="138">
        <f t="shared" si="17"/>
        <v>3.7225413540547506E-3</v>
      </c>
      <c r="AI71" s="137">
        <f t="shared" si="18"/>
        <v>-6596.1</v>
      </c>
      <c r="AJ71" s="458">
        <f t="shared" si="19"/>
        <v>0.11486986301369864</v>
      </c>
      <c r="AK71" s="459">
        <f t="shared" si="20"/>
        <v>0.10253217102532171</v>
      </c>
      <c r="AL71" s="460">
        <f t="shared" si="21"/>
        <v>0.32564306998469844</v>
      </c>
      <c r="AM71" s="461" t="str">
        <f t="shared" si="22"/>
        <v>0.03 pts.</v>
      </c>
      <c r="AN71" s="462" t="str">
        <f t="shared" si="23"/>
        <v>-0.31 pts.</v>
      </c>
      <c r="AO71" s="11"/>
    </row>
    <row r="72" spans="1:41" x14ac:dyDescent="0.25">
      <c r="A72" s="61" t="s">
        <v>38</v>
      </c>
      <c r="B72" s="62"/>
      <c r="C72" s="11"/>
      <c r="D72" s="11"/>
      <c r="E72" s="11"/>
      <c r="F72" s="11"/>
      <c r="G72" s="84" t="s">
        <v>788</v>
      </c>
      <c r="H72" s="84" t="s">
        <v>809</v>
      </c>
      <c r="I72" s="118" t="str">
        <f>IF(_epmOfflineCondition_,"T4",_xll.EVPRO($B$1,$H72,"STYLE"))</f>
        <v>T4</v>
      </c>
      <c r="J72" s="118" t="str">
        <f>IF(_epmOfflineCondition_,"Y",_xll.EVPRO($B$1,$H72,"CALC"))</f>
        <v>Y</v>
      </c>
      <c r="K72" s="175" t="str">
        <f t="shared" si="12"/>
        <v>&gt;</v>
      </c>
      <c r="L72" s="86" t="str">
        <f>IF(_epmOfflineCondition_,"706500",_xll.EVPRO($B$1,H72,"JDEID"))</f>
        <v>706500</v>
      </c>
      <c r="M72" s="86" t="str">
        <f>IF(_epmOfflineCondition_,"",IF(AND(I72="N",J72="N"),_xll.EVPRO($B$1,H72,"PSFTID"),""))</f>
        <v/>
      </c>
      <c r="N72" s="86" t="str">
        <f>IF(_epmOfflineCondition_,"Corporate Office Reimbursement",IF(_xll.EVDES(H72,$B$1)="#NODATA","",_xll.EVDES(H72,$B$1)))</f>
        <v>Corporate Office Reimbursement</v>
      </c>
      <c r="O72" s="134">
        <v>5226.34</v>
      </c>
      <c r="P72" s="134">
        <v>5516.74</v>
      </c>
      <c r="Q72" s="134">
        <v>6261.28</v>
      </c>
      <c r="R72" s="134">
        <v>4910.47</v>
      </c>
      <c r="S72" s="134">
        <v>3925.97</v>
      </c>
      <c r="T72" s="134">
        <v>2878.19</v>
      </c>
      <c r="U72" s="134">
        <v>3429.08</v>
      </c>
      <c r="V72" s="134">
        <v>3434.7</v>
      </c>
      <c r="W72" s="134">
        <v>2359.1799999999998</v>
      </c>
      <c r="X72" s="134">
        <v>3480.93</v>
      </c>
      <c r="Y72" s="134">
        <v>4861.78</v>
      </c>
      <c r="Z72" s="134">
        <v>7264.61</v>
      </c>
      <c r="AA72" s="134">
        <f t="shared" si="13"/>
        <v>53549.27</v>
      </c>
      <c r="AB72" s="138">
        <f t="shared" si="14"/>
        <v>6.3855634472801725E-3</v>
      </c>
      <c r="AC72" s="136"/>
      <c r="AD72" s="134">
        <v>82126.5185950054</v>
      </c>
      <c r="AE72" s="138">
        <f t="shared" si="15"/>
        <v>6.2944696469422979E-3</v>
      </c>
      <c r="AF72" s="137">
        <f t="shared" si="16"/>
        <v>-28577.248595005403</v>
      </c>
      <c r="AG72" s="134">
        <v>22691.89</v>
      </c>
      <c r="AH72" s="138">
        <f t="shared" si="17"/>
        <v>6.9635456098506377E-3</v>
      </c>
      <c r="AI72" s="137">
        <f t="shared" si="18"/>
        <v>30857.379999999997</v>
      </c>
      <c r="AJ72" s="458">
        <f t="shared" si="19"/>
        <v>1.1114418845994187</v>
      </c>
      <c r="AK72" s="459">
        <f t="shared" si="20"/>
        <v>1.7045769737444043</v>
      </c>
      <c r="AL72" s="460">
        <f t="shared" si="21"/>
        <v>0.60916190169391427</v>
      </c>
      <c r="AM72" s="461" t="str">
        <f t="shared" si="22"/>
        <v>0.01 pts.</v>
      </c>
      <c r="AN72" s="462" t="str">
        <f t="shared" si="23"/>
        <v>-0.06 pts.</v>
      </c>
      <c r="AO72" s="11"/>
    </row>
    <row r="73" spans="1:41" x14ac:dyDescent="0.25">
      <c r="A73" s="61" t="s">
        <v>39</v>
      </c>
      <c r="B73" s="62"/>
      <c r="C73" s="11"/>
      <c r="D73" s="11"/>
      <c r="E73" s="11"/>
      <c r="F73" s="11"/>
      <c r="G73" s="84" t="s">
        <v>498</v>
      </c>
      <c r="H73" s="84" t="s">
        <v>79</v>
      </c>
      <c r="I73" s="132" t="str">
        <f>IF(_epmOfflineCondition_,"T3",_xll.EVPRO($B$1,$H73,"STYLE"))</f>
        <v>T3</v>
      </c>
      <c r="J73" s="132" t="str">
        <f>IF(_epmOfflineCondition_,"Y",_xll.EVPRO($B$1,$H73,"CALC"))</f>
        <v>Y</v>
      </c>
      <c r="K73" s="175"/>
      <c r="L73" s="86"/>
      <c r="M73" s="86"/>
      <c r="N73" s="86" t="str">
        <f>IF(_epmOfflineCondition_,"Human Resources (Consolidated)",IF(_xll.EVDES(G73,$B$1)="#NODATA","",_xll.EVDES(G73,$B$1)))</f>
        <v>Human Resources (Consolidated)</v>
      </c>
      <c r="O73" s="134">
        <v>3732.97</v>
      </c>
      <c r="P73" s="134">
        <v>2451.8000000000002</v>
      </c>
      <c r="Q73" s="134">
        <v>15414.35</v>
      </c>
      <c r="R73" s="134">
        <v>2281.41</v>
      </c>
      <c r="S73" s="134">
        <v>3683.48</v>
      </c>
      <c r="T73" s="134">
        <v>3858.58</v>
      </c>
      <c r="U73" s="134">
        <v>3424.97</v>
      </c>
      <c r="V73" s="134">
        <v>2367.36</v>
      </c>
      <c r="W73" s="134">
        <v>2066.88</v>
      </c>
      <c r="X73" s="134">
        <v>9219.1299999999992</v>
      </c>
      <c r="Y73" s="134">
        <v>2449.66</v>
      </c>
      <c r="Z73" s="134">
        <v>9982.6</v>
      </c>
      <c r="AA73" s="134">
        <f t="shared" si="13"/>
        <v>60933.189999999995</v>
      </c>
      <c r="AB73" s="138">
        <f t="shared" si="14"/>
        <v>7.2660701217808895E-3</v>
      </c>
      <c r="AC73" s="136"/>
      <c r="AD73" s="134">
        <v>43889</v>
      </c>
      <c r="AE73" s="138">
        <f t="shared" si="15"/>
        <v>3.3638096812185019E-3</v>
      </c>
      <c r="AF73" s="137">
        <f t="shared" si="16"/>
        <v>17044.189999999995</v>
      </c>
      <c r="AG73" s="134">
        <v>45684.480000000003</v>
      </c>
      <c r="AH73" s="138">
        <f t="shared" si="17"/>
        <v>1.4019368159386867E-2</v>
      </c>
      <c r="AI73" s="137">
        <f t="shared" si="18"/>
        <v>15248.709999999992</v>
      </c>
      <c r="AJ73" s="467">
        <f t="shared" si="19"/>
        <v>1.2646988376919883</v>
      </c>
      <c r="AK73" s="468">
        <f t="shared" si="20"/>
        <v>0.91093814860938149</v>
      </c>
      <c r="AL73" s="469">
        <f t="shared" si="21"/>
        <v>1.2263960699041638</v>
      </c>
      <c r="AM73" s="470" t="str">
        <f t="shared" si="22"/>
        <v>0.39 pts.</v>
      </c>
      <c r="AN73" s="471" t="str">
        <f t="shared" si="23"/>
        <v>-0.68 pts.</v>
      </c>
      <c r="AO73" s="11"/>
    </row>
    <row r="74" spans="1:41" x14ac:dyDescent="0.25">
      <c r="A74" s="61" t="s">
        <v>40</v>
      </c>
      <c r="B74" s="62"/>
      <c r="C74" s="11"/>
      <c r="D74" s="11"/>
      <c r="E74" s="11"/>
      <c r="F74" s="11"/>
      <c r="G74" s="84" t="s">
        <v>497</v>
      </c>
      <c r="H74" s="84" t="s">
        <v>79</v>
      </c>
      <c r="I74" s="132" t="str">
        <f>IF(_epmOfflineCondition_,"T3",_xll.EVPRO($B$1,$H74,"STYLE"))</f>
        <v>T3</v>
      </c>
      <c r="J74" s="132" t="str">
        <f>IF(_epmOfflineCondition_,"Y",_xll.EVPRO($B$1,$H74,"CALC"))</f>
        <v>Y</v>
      </c>
      <c r="K74" s="100"/>
      <c r="L74" s="55"/>
      <c r="M74" s="55"/>
      <c r="N74" s="102" t="str">
        <f>IF(_epmOfflineCondition_,"Total Operations Expense",IF(_xll.EVDES(H74,$B$1)="#NODATA","",_xll.EVDES(H74,$B$1)))</f>
        <v>Total Operations Expense</v>
      </c>
      <c r="O74" s="146">
        <v>34687.67</v>
      </c>
      <c r="P74" s="146">
        <v>36104.06</v>
      </c>
      <c r="Q74" s="146">
        <v>57741.599999999999</v>
      </c>
      <c r="R74" s="146">
        <v>39415.72</v>
      </c>
      <c r="S74" s="146">
        <v>40004.85</v>
      </c>
      <c r="T74" s="146">
        <v>28540.57</v>
      </c>
      <c r="U74" s="146">
        <v>31683.87</v>
      </c>
      <c r="V74" s="146">
        <v>31786.63</v>
      </c>
      <c r="W74" s="146">
        <v>26621.64</v>
      </c>
      <c r="X74" s="146">
        <v>46257.760000000002</v>
      </c>
      <c r="Y74" s="146">
        <v>31532.32</v>
      </c>
      <c r="Z74" s="146">
        <v>66197.19</v>
      </c>
      <c r="AA74" s="146">
        <f t="shared" si="13"/>
        <v>470573.88000000006</v>
      </c>
      <c r="AB74" s="147">
        <f t="shared" si="14"/>
        <v>5.6114291891799957E-2</v>
      </c>
      <c r="AC74" s="136"/>
      <c r="AD74" s="146">
        <v>542781.93590399704</v>
      </c>
      <c r="AE74" s="147">
        <f t="shared" si="15"/>
        <v>4.1600745762819517E-2</v>
      </c>
      <c r="AF74" s="148">
        <f t="shared" si="16"/>
        <v>-72208.055903996981</v>
      </c>
      <c r="AG74" s="146">
        <v>231400.46</v>
      </c>
      <c r="AH74" s="147">
        <f t="shared" si="17"/>
        <v>7.1010729267170697E-2</v>
      </c>
      <c r="AI74" s="148">
        <f t="shared" si="18"/>
        <v>239173.42000000007</v>
      </c>
      <c r="AJ74" s="431">
        <f t="shared" si="19"/>
        <v>9.7669962640099648</v>
      </c>
      <c r="AK74" s="432">
        <f t="shared" si="20"/>
        <v>11.265710583312517</v>
      </c>
      <c r="AL74" s="433">
        <f t="shared" si="21"/>
        <v>6.2119261227886495</v>
      </c>
      <c r="AM74" s="434" t="str">
        <f t="shared" si="22"/>
        <v>1.45 pts.</v>
      </c>
      <c r="AN74" s="550" t="str">
        <f t="shared" si="23"/>
        <v>-1.49 pts.</v>
      </c>
      <c r="AO74" s="11"/>
    </row>
    <row r="75" spans="1:41" x14ac:dyDescent="0.25">
      <c r="A75" s="61" t="s">
        <v>41</v>
      </c>
      <c r="B75" s="62"/>
      <c r="C75" s="11"/>
      <c r="D75" s="11"/>
      <c r="E75" s="11"/>
      <c r="F75" s="11"/>
      <c r="G75" s="11"/>
      <c r="H75" s="11"/>
      <c r="I75" s="55"/>
      <c r="J75" s="55"/>
      <c r="K75" s="11"/>
      <c r="L75" s="55"/>
      <c r="M75" s="55"/>
      <c r="N75" s="11"/>
      <c r="O75" s="136"/>
      <c r="P75" s="136"/>
      <c r="Q75" s="136"/>
      <c r="R75" s="136"/>
      <c r="S75" s="136"/>
      <c r="T75" s="136"/>
      <c r="U75" s="136"/>
      <c r="V75" s="136"/>
      <c r="W75" s="136"/>
      <c r="X75" s="136"/>
      <c r="Y75" s="136"/>
      <c r="Z75" s="136"/>
      <c r="AA75" s="136"/>
      <c r="AB75" s="136"/>
      <c r="AC75" s="136"/>
      <c r="AD75" s="136"/>
      <c r="AE75" s="136"/>
      <c r="AF75" s="136"/>
      <c r="AG75" s="136"/>
      <c r="AH75" s="136"/>
      <c r="AI75" s="136"/>
      <c r="AJ75" s="136"/>
      <c r="AK75" s="136"/>
      <c r="AL75" s="136"/>
      <c r="AM75" s="136"/>
      <c r="AN75" s="136"/>
      <c r="AO75" s="11"/>
    </row>
    <row r="76" spans="1:41" x14ac:dyDescent="0.25">
      <c r="A76" s="61" t="s">
        <v>42</v>
      </c>
      <c r="B76" s="62"/>
      <c r="C76" s="11"/>
      <c r="D76" s="11"/>
      <c r="E76" s="11"/>
      <c r="F76" s="11"/>
      <c r="G76" s="84" t="s">
        <v>497</v>
      </c>
      <c r="H76" s="84" t="s">
        <v>80</v>
      </c>
      <c r="I76" s="132" t="str">
        <f>IF(_epmOfflineCondition_,"T3",_xll.EVPRO($B$1,$H76,"STYLE"))</f>
        <v>T3</v>
      </c>
      <c r="J76" s="132" t="str">
        <f>IF(_epmOfflineCondition_,"Y",_xll.EVPRO($B$1,$H76,"CALC"))</f>
        <v>Y</v>
      </c>
      <c r="K76" s="102"/>
      <c r="L76" s="55"/>
      <c r="M76" s="55"/>
      <c r="N76" s="102" t="str">
        <f>IF(_epmOfflineCondition_,"Total Expenses",IF(_xll.EVDES(H76,$B$1)="#NODATA","",_xll.EVDES(H76,$B$1)))</f>
        <v>Total Expenses</v>
      </c>
      <c r="O76" s="210">
        <v>77459</v>
      </c>
      <c r="P76" s="210">
        <v>102448.24</v>
      </c>
      <c r="Q76" s="210">
        <v>105544.25</v>
      </c>
      <c r="R76" s="210">
        <v>80677.679999999993</v>
      </c>
      <c r="S76" s="210">
        <v>75917.919999999998</v>
      </c>
      <c r="T76" s="210">
        <v>69485.83</v>
      </c>
      <c r="U76" s="210">
        <v>73339.100000000006</v>
      </c>
      <c r="V76" s="210">
        <v>74748.63</v>
      </c>
      <c r="W76" s="210">
        <v>75969</v>
      </c>
      <c r="X76" s="210">
        <v>94727.39</v>
      </c>
      <c r="Y76" s="210">
        <v>84564.52</v>
      </c>
      <c r="Z76" s="210">
        <v>112806.84</v>
      </c>
      <c r="AA76" s="210">
        <f>IF($I76="B1","",SUM(O76:Z76))</f>
        <v>1027688.4</v>
      </c>
      <c r="AB76" s="211">
        <f>IF(AA76=0,"",IFERROR(AA76/AA$19,""))</f>
        <v>0.12254825289371536</v>
      </c>
      <c r="AC76" s="136"/>
      <c r="AD76" s="210">
        <v>1173417.93998133</v>
      </c>
      <c r="AE76" s="211">
        <f>IF(AD76=0,"",IFERROR(AD76/AD$19,""))</f>
        <v>8.9934941024508844E-2</v>
      </c>
      <c r="AF76" s="212">
        <f>IF(AND($AA76="",AD76=""),"",$AA76-AD76)</f>
        <v>-145729.53998132993</v>
      </c>
      <c r="AG76" s="213">
        <v>773424.47</v>
      </c>
      <c r="AH76" s="214">
        <f>IF(AG76=0,"",IFERROR(AG76/AG$19,""))</f>
        <v>0.23734367532274991</v>
      </c>
      <c r="AI76" s="212">
        <f>IF(AND($AA76="",AG76=""),"",$AA76-AG76)</f>
        <v>254263.93000000005</v>
      </c>
      <c r="AJ76" s="437">
        <f>IFERROR(AA76/AA$20,0)</f>
        <v>21.330186799501867</v>
      </c>
      <c r="AK76" s="438">
        <f>IFERROR(AD76/AD$20,0)</f>
        <v>24.354876296831257</v>
      </c>
      <c r="AL76" s="439">
        <f>IFERROR(AG76/AG$20,0)</f>
        <v>20.762515637164103</v>
      </c>
      <c r="AM76" s="440" t="str">
        <f>+IFERROR(ROUND(($AB76-AE76)*100,2)&amp;" pts.",0)</f>
        <v>3.26 pts.</v>
      </c>
      <c r="AN76" s="551" t="str">
        <f>+IFERROR(ROUND(($AB76-AH76)*100,2)&amp;" pts.",0)</f>
        <v>-11.48 pts.</v>
      </c>
      <c r="AO76" s="11"/>
    </row>
    <row r="77" spans="1:41" ht="15.75" thickBot="1" x14ac:dyDescent="0.3">
      <c r="A77" s="61" t="s">
        <v>43</v>
      </c>
      <c r="B77" s="62"/>
      <c r="C77" s="11"/>
      <c r="D77" s="11"/>
      <c r="E77" s="11"/>
      <c r="F77" s="11"/>
      <c r="G77" s="84" t="s">
        <v>497</v>
      </c>
      <c r="H77" s="84" t="s">
        <v>81</v>
      </c>
      <c r="I77" s="132" t="str">
        <f>IF(_epmOfflineCondition_,"T3",_xll.EVPRO($B$1,$H77,"STYLE"))</f>
        <v>T3</v>
      </c>
      <c r="J77" s="132" t="str">
        <f>IF(_epmOfflineCondition_,"Y",_xll.EVPRO($B$1,$H77,"CALC"))</f>
        <v>Y</v>
      </c>
      <c r="K77" s="102"/>
      <c r="L77" s="55"/>
      <c r="M77" s="55"/>
      <c r="N77" s="102" t="str">
        <f>IF(_epmOfflineCondition_,"Department Profit (Loss)",IF(_xll.EVDES(H77,$B$1)="#NODATA","",_xll.EVDES(H77,$B$1)))</f>
        <v>Department Profit (Loss)</v>
      </c>
      <c r="O77" s="161">
        <v>-77459</v>
      </c>
      <c r="P77" s="161">
        <v>-102448.24</v>
      </c>
      <c r="Q77" s="161">
        <v>-105544.25</v>
      </c>
      <c r="R77" s="161">
        <v>-80677.679999999993</v>
      </c>
      <c r="S77" s="161">
        <v>-75917.919999999998</v>
      </c>
      <c r="T77" s="161">
        <v>-69485.83</v>
      </c>
      <c r="U77" s="161">
        <v>-73339.100000000006</v>
      </c>
      <c r="V77" s="161">
        <v>-74748.63</v>
      </c>
      <c r="W77" s="161">
        <v>-75969</v>
      </c>
      <c r="X77" s="161">
        <v>-94727.39</v>
      </c>
      <c r="Y77" s="161">
        <v>-84564.52</v>
      </c>
      <c r="Z77" s="161">
        <v>-112806.84</v>
      </c>
      <c r="AA77" s="161">
        <f>IF($I77="B1","",SUM(O77:Z77))</f>
        <v>-1027688.4</v>
      </c>
      <c r="AB77" s="162">
        <f>IF(AA77=0,"",IFERROR(AA77/AA$19,""))</f>
        <v>-0.12254825289371536</v>
      </c>
      <c r="AC77" s="136"/>
      <c r="AD77" s="161">
        <v>-1173417.93998133</v>
      </c>
      <c r="AE77" s="162">
        <f>IF(AD77=0,"",IFERROR(AD77/AD$19,""))</f>
        <v>-8.9934941024508844E-2</v>
      </c>
      <c r="AF77" s="163">
        <f>IF(AND($AA77="",AD77=""),"",$AA77-AD77)</f>
        <v>145729.53998132993</v>
      </c>
      <c r="AG77" s="161">
        <v>-773424.47</v>
      </c>
      <c r="AH77" s="162">
        <f>IF(AG77=0,"",IFERROR(AG77/AG$19,""))</f>
        <v>-0.23734367532274991</v>
      </c>
      <c r="AI77" s="163">
        <f>IF(AND($AA77="",AG77=""),"",$AA77-AG77)</f>
        <v>-254263.93000000005</v>
      </c>
      <c r="AJ77" s="442">
        <f>IFERROR(AA77/AA$20,0)</f>
        <v>-21.330186799501867</v>
      </c>
      <c r="AK77" s="443">
        <f>IFERROR(AD77/AD$20,0)</f>
        <v>-24.354876296831257</v>
      </c>
      <c r="AL77" s="444">
        <f>IFERROR(AG77/AG$20,0)</f>
        <v>-20.762515637164103</v>
      </c>
      <c r="AM77" s="445" t="str">
        <f>+IFERROR(ROUND(($AB77-AE77)*100,2)&amp;" pts.",0)</f>
        <v>-3.26 pts.</v>
      </c>
      <c r="AN77" s="552" t="str">
        <f>+IFERROR(ROUND(($AB77-AH77)*100,2)&amp;" pts.",0)</f>
        <v>11.48 pts.</v>
      </c>
      <c r="AO77" s="11"/>
    </row>
    <row r="78" spans="1:41" ht="15.75" thickTop="1" x14ac:dyDescent="0.25">
      <c r="A78" s="61" t="s">
        <v>44</v>
      </c>
      <c r="B78" s="62"/>
      <c r="C78" s="11"/>
      <c r="D78" s="11"/>
      <c r="E78" s="11"/>
      <c r="F78" s="11"/>
      <c r="G78" s="11"/>
      <c r="H78" s="11"/>
      <c r="I78" s="55"/>
      <c r="J78" s="55"/>
      <c r="K78" s="11"/>
      <c r="L78" s="55"/>
      <c r="M78" s="55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  <row r="79" spans="1:41" x14ac:dyDescent="0.25">
      <c r="A79" s="61" t="s">
        <v>45</v>
      </c>
      <c r="B79" s="62"/>
      <c r="C79" s="11"/>
      <c r="D79" s="11"/>
      <c r="E79" s="11"/>
      <c r="F79" s="11"/>
      <c r="G79" s="11"/>
      <c r="H79" s="11"/>
      <c r="I79" s="55"/>
      <c r="J79" s="55"/>
      <c r="K79" s="11"/>
      <c r="L79" s="55"/>
      <c r="M79" s="55"/>
      <c r="N79" s="100" t="str">
        <f>N76&amp;" - Check"</f>
        <v>Total Expenses - Check</v>
      </c>
      <c r="O79" s="205">
        <f t="shared" ref="O79:AA79" si="24">SUMIF($H$33:$H$77,"600000",O$33:O$77)+SUMIFS(O$33:O$77,$G$33:$G$77,"D_AG_CON",$H$33:$H$77,"700000")-SUMIF($H$33:$H$77,"TOTDEPTEXP",O$33:O$77)</f>
        <v>0</v>
      </c>
      <c r="P79" s="205">
        <f t="shared" si="24"/>
        <v>0</v>
      </c>
      <c r="Q79" s="205">
        <f t="shared" si="24"/>
        <v>0</v>
      </c>
      <c r="R79" s="205">
        <f t="shared" si="24"/>
        <v>0</v>
      </c>
      <c r="S79" s="205">
        <f t="shared" si="24"/>
        <v>0</v>
      </c>
      <c r="T79" s="205">
        <f t="shared" si="24"/>
        <v>0</v>
      </c>
      <c r="U79" s="205">
        <f t="shared" si="24"/>
        <v>0</v>
      </c>
      <c r="V79" s="205">
        <f t="shared" si="24"/>
        <v>0</v>
      </c>
      <c r="W79" s="205">
        <f t="shared" si="24"/>
        <v>0</v>
      </c>
      <c r="X79" s="205">
        <f t="shared" si="24"/>
        <v>0</v>
      </c>
      <c r="Y79" s="205">
        <f t="shared" si="24"/>
        <v>0</v>
      </c>
      <c r="Z79" s="205">
        <f t="shared" si="24"/>
        <v>0</v>
      </c>
      <c r="AA79" s="205">
        <f t="shared" si="24"/>
        <v>0</v>
      </c>
      <c r="AB79" s="96"/>
      <c r="AC79" s="11"/>
      <c r="AD79" s="205">
        <f>SUMIF($H$33:$H$77,"600000",AD$33:AD$77)+SUMIFS(AD$33:AD$77,$G$33:$G$77,"D_AG_CON",$H$33:$H$77,"700000")-SUMIF($H$33:$H$77,"TOTDEPTEXP",AD$33:AD$77)</f>
        <v>-3.0267983675003052E-9</v>
      </c>
      <c r="AE79" s="96"/>
      <c r="AF79" s="87"/>
      <c r="AG79" s="205">
        <f>SUMIF($H$33:$H$77,"600000",AG$33:AG$77)+SUMIFS(AG$33:AG$77,$G$33:$G$77,"D_AG_CON",$H$33:$H$77,"700000")-SUMIF($H$33:$H$77,"TOTDEPTEXP",AG$33:AG$77)</f>
        <v>0</v>
      </c>
      <c r="AH79" s="96"/>
      <c r="AI79" s="87"/>
      <c r="AJ79" s="11"/>
      <c r="AK79" s="11"/>
      <c r="AL79" s="11"/>
      <c r="AM79" s="11"/>
      <c r="AN79" s="11"/>
      <c r="AO79" s="11"/>
    </row>
    <row r="80" spans="1:41" x14ac:dyDescent="0.25">
      <c r="A80" s="61" t="s">
        <v>46</v>
      </c>
      <c r="B80" s="62"/>
      <c r="C80" s="11"/>
      <c r="D80" s="11"/>
      <c r="E80" s="11"/>
      <c r="F80" s="11"/>
      <c r="G80" s="11"/>
      <c r="H80" s="11"/>
      <c r="I80" s="55"/>
      <c r="J80" s="55"/>
      <c r="K80" s="11"/>
      <c r="L80" s="55"/>
      <c r="M80" s="55"/>
      <c r="N80" s="100" t="str">
        <f>N77&amp;" - Check"</f>
        <v>Department Profit (Loss) - Check</v>
      </c>
      <c r="O80" s="205">
        <f t="shared" ref="O80:AA80" si="25">SUMIF($H$33:$H$77,"TOTDEPTEXP",O$33:O$77)+SUMIF($H$33:$H$77,"TOTDEPTPL",O$33:O$77)</f>
        <v>0</v>
      </c>
      <c r="P80" s="205">
        <f t="shared" si="25"/>
        <v>0</v>
      </c>
      <c r="Q80" s="205">
        <f t="shared" si="25"/>
        <v>0</v>
      </c>
      <c r="R80" s="205">
        <f t="shared" si="25"/>
        <v>0</v>
      </c>
      <c r="S80" s="205">
        <f t="shared" si="25"/>
        <v>0</v>
      </c>
      <c r="T80" s="205">
        <f t="shared" si="25"/>
        <v>0</v>
      </c>
      <c r="U80" s="205">
        <f t="shared" si="25"/>
        <v>0</v>
      </c>
      <c r="V80" s="205">
        <f t="shared" si="25"/>
        <v>0</v>
      </c>
      <c r="W80" s="205">
        <f t="shared" si="25"/>
        <v>0</v>
      </c>
      <c r="X80" s="205">
        <f t="shared" si="25"/>
        <v>0</v>
      </c>
      <c r="Y80" s="205">
        <f t="shared" si="25"/>
        <v>0</v>
      </c>
      <c r="Z80" s="205">
        <f t="shared" si="25"/>
        <v>0</v>
      </c>
      <c r="AA80" s="205">
        <f t="shared" si="25"/>
        <v>0</v>
      </c>
      <c r="AB80" s="96"/>
      <c r="AC80" s="11"/>
      <c r="AD80" s="205">
        <f>SUMIF($H$33:$H$77,"TOTDEPTEXP",AD$33:AD$77)+SUMIF($H$33:$H$77,"TOTDEPTPL",AD$33:AD$77)</f>
        <v>0</v>
      </c>
      <c r="AE80" s="96"/>
      <c r="AF80" s="87"/>
      <c r="AG80" s="205">
        <f>SUMIF($H$33:$H$77,"TOTDEPTEXP",AG$33:AG$77)+SUMIF($H$33:$H$77,"TOTDEPTPL",AG$33:AG$77)</f>
        <v>0</v>
      </c>
      <c r="AH80" s="96"/>
      <c r="AI80" s="87"/>
      <c r="AJ80" s="11"/>
      <c r="AK80" s="11"/>
      <c r="AL80" s="11"/>
      <c r="AM80" s="11"/>
      <c r="AN80" s="11"/>
      <c r="AO80" s="11"/>
    </row>
    <row r="81" spans="1:41" x14ac:dyDescent="0.25">
      <c r="A81" s="11"/>
      <c r="B81" s="11"/>
      <c r="C81" s="11"/>
      <c r="D81" s="11"/>
      <c r="E81" s="11"/>
      <c r="F81" s="11"/>
      <c r="G81" s="11"/>
      <c r="H81" s="11"/>
      <c r="I81" s="55"/>
      <c r="J81" s="55"/>
      <c r="K81" s="11"/>
      <c r="L81" s="55"/>
      <c r="M81" s="55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</row>
    <row r="82" spans="1:41" x14ac:dyDescent="0.25">
      <c r="A82" s="11"/>
      <c r="B82" s="11"/>
      <c r="C82" s="11"/>
      <c r="D82" s="11"/>
      <c r="E82" s="11"/>
      <c r="F82" s="11"/>
      <c r="G82" s="11"/>
      <c r="H82" s="11"/>
      <c r="I82" s="55"/>
      <c r="J82" s="55"/>
      <c r="K82" s="11"/>
      <c r="L82" s="55"/>
      <c r="M82" s="55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x14ac:dyDescent="0.25">
      <c r="A83" s="11"/>
      <c r="B83" s="11"/>
      <c r="C83" s="11"/>
      <c r="D83" s="11"/>
      <c r="E83" s="11"/>
      <c r="F83" s="11"/>
      <c r="G83" s="11"/>
      <c r="H83" s="11"/>
      <c r="I83" s="55"/>
      <c r="J83" s="55"/>
      <c r="K83" s="11"/>
      <c r="L83" s="55"/>
      <c r="M83" s="55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x14ac:dyDescent="0.25">
      <c r="A84" s="11"/>
      <c r="B84" s="11"/>
      <c r="C84" s="11"/>
      <c r="D84" s="11"/>
      <c r="E84" s="11"/>
      <c r="F84" s="11"/>
      <c r="G84" s="11"/>
      <c r="H84" s="11"/>
      <c r="I84" s="55"/>
      <c r="J84" s="55"/>
      <c r="K84" s="11"/>
      <c r="L84" s="55"/>
      <c r="M84" s="55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x14ac:dyDescent="0.25">
      <c r="A85" s="11"/>
      <c r="B85" s="11"/>
      <c r="C85" s="11"/>
      <c r="D85" s="11"/>
      <c r="E85" s="11"/>
      <c r="F85" s="11"/>
      <c r="G85" s="11"/>
      <c r="H85" s="11"/>
      <c r="I85" s="55"/>
      <c r="J85" s="55"/>
      <c r="K85" s="11"/>
      <c r="L85" s="55"/>
      <c r="M85" s="55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x14ac:dyDescent="0.25">
      <c r="A86" s="11"/>
      <c r="B86" s="11"/>
      <c r="C86" s="11"/>
      <c r="D86" s="11"/>
      <c r="E86" s="11"/>
      <c r="F86" s="11"/>
      <c r="G86" s="11"/>
      <c r="H86" s="11"/>
      <c r="I86" s="55"/>
      <c r="J86" s="55"/>
      <c r="K86" s="11"/>
      <c r="L86" s="55"/>
      <c r="M86" s="55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x14ac:dyDescent="0.25">
      <c r="A87" s="11"/>
      <c r="B87" s="11"/>
      <c r="C87" s="11"/>
      <c r="D87" s="11"/>
      <c r="E87" s="11"/>
      <c r="F87" s="11"/>
      <c r="G87" s="11"/>
      <c r="H87" s="55"/>
      <c r="I87" s="55"/>
      <c r="J87" s="11"/>
      <c r="K87" s="11"/>
      <c r="L87" s="55"/>
      <c r="M87" s="55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x14ac:dyDescent="0.25">
      <c r="A88" s="11"/>
      <c r="B88" s="11"/>
      <c r="C88" s="11"/>
      <c r="D88" s="11"/>
      <c r="E88" s="11"/>
      <c r="F88" s="11"/>
      <c r="G88" s="11"/>
      <c r="H88" s="55"/>
      <c r="I88" s="55"/>
      <c r="J88" s="11"/>
      <c r="K88" s="11"/>
      <c r="L88" s="55"/>
      <c r="M88" s="55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x14ac:dyDescent="0.25">
      <c r="A89" s="11"/>
      <c r="B89" s="11"/>
      <c r="C89" s="11"/>
      <c r="D89" s="11"/>
      <c r="E89" s="11"/>
      <c r="F89" s="11"/>
      <c r="G89" s="11"/>
      <c r="H89" s="55"/>
      <c r="I89" s="55"/>
      <c r="J89" s="11"/>
      <c r="K89" s="11"/>
      <c r="L89" s="55"/>
      <c r="M89" s="55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x14ac:dyDescent="0.25">
      <c r="A90" s="11"/>
      <c r="B90" s="11"/>
      <c r="C90" s="11"/>
      <c r="D90" s="11"/>
      <c r="E90" s="11"/>
      <c r="F90" s="11"/>
      <c r="G90" s="11"/>
      <c r="H90" s="55"/>
      <c r="I90" s="55"/>
      <c r="J90" s="11"/>
      <c r="K90" s="11"/>
      <c r="L90" s="55"/>
      <c r="M90" s="55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x14ac:dyDescent="0.25">
      <c r="A91" s="11"/>
      <c r="B91" s="11"/>
      <c r="C91" s="11"/>
      <c r="D91" s="11"/>
      <c r="E91" s="11"/>
      <c r="F91" s="11"/>
      <c r="G91" s="11"/>
      <c r="H91" s="55"/>
      <c r="I91" s="55"/>
      <c r="J91" s="11"/>
      <c r="K91" s="11"/>
      <c r="L91" s="55"/>
      <c r="M91" s="55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x14ac:dyDescent="0.25">
      <c r="A92" s="11"/>
      <c r="B92" s="11"/>
      <c r="C92" s="11"/>
      <c r="D92" s="11"/>
      <c r="E92" s="11"/>
      <c r="F92" s="11"/>
      <c r="G92" s="11"/>
      <c r="H92" s="55"/>
      <c r="I92" s="55"/>
      <c r="J92" s="11"/>
      <c r="K92" s="11"/>
      <c r="L92" s="55"/>
      <c r="M92" s="55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x14ac:dyDescent="0.25">
      <c r="A93" s="11"/>
      <c r="B93" s="11"/>
      <c r="C93" s="11"/>
      <c r="D93" s="11"/>
      <c r="E93" s="11"/>
      <c r="F93" s="11"/>
      <c r="G93" s="11"/>
      <c r="H93" s="55"/>
      <c r="I93" s="55"/>
      <c r="J93" s="11"/>
      <c r="K93" s="11"/>
      <c r="L93" s="55"/>
      <c r="M93" s="55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x14ac:dyDescent="0.25">
      <c r="A94" s="11"/>
      <c r="B94" s="11"/>
      <c r="C94" s="11"/>
      <c r="D94" s="11"/>
      <c r="E94" s="11"/>
      <c r="F94" s="11"/>
      <c r="G94" s="11"/>
      <c r="H94" s="55"/>
      <c r="I94" s="55"/>
      <c r="J94" s="11"/>
      <c r="K94" s="11"/>
      <c r="L94" s="55"/>
      <c r="M94" s="55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x14ac:dyDescent="0.25">
      <c r="A95" s="11"/>
      <c r="B95" s="11"/>
      <c r="C95" s="11"/>
      <c r="D95" s="11"/>
      <c r="E95" s="11"/>
      <c r="F95" s="11"/>
      <c r="G95" s="11"/>
      <c r="H95" s="55"/>
      <c r="I95" s="55"/>
      <c r="J95" s="11"/>
      <c r="K95" s="11"/>
      <c r="L95" s="55"/>
      <c r="M95" s="55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x14ac:dyDescent="0.25">
      <c r="A96" s="11"/>
      <c r="B96" s="11"/>
      <c r="C96" s="11"/>
      <c r="D96" s="11"/>
      <c r="E96" s="11"/>
      <c r="F96" s="11"/>
      <c r="G96" s="11"/>
      <c r="H96" s="55"/>
      <c r="I96" s="55"/>
      <c r="J96" s="11"/>
      <c r="K96" s="11"/>
      <c r="L96" s="55"/>
      <c r="M96" s="55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x14ac:dyDescent="0.25">
      <c r="A97" s="11"/>
      <c r="B97" s="11"/>
      <c r="C97" s="11"/>
      <c r="D97" s="11"/>
      <c r="E97" s="11"/>
      <c r="F97" s="11"/>
      <c r="G97" s="11"/>
      <c r="H97" s="55"/>
      <c r="I97" s="55"/>
      <c r="J97" s="11"/>
      <c r="K97" s="11"/>
      <c r="L97" s="55"/>
      <c r="M97" s="55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x14ac:dyDescent="0.25">
      <c r="A98" s="11"/>
      <c r="B98" s="11"/>
      <c r="C98" s="11"/>
      <c r="D98" s="11"/>
      <c r="E98" s="11"/>
      <c r="F98" s="11"/>
      <c r="G98" s="11"/>
      <c r="H98" s="55"/>
      <c r="I98" s="55"/>
      <c r="J98" s="11"/>
      <c r="K98" s="11"/>
      <c r="L98" s="55"/>
      <c r="M98" s="55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x14ac:dyDescent="0.25">
      <c r="A99" s="11"/>
      <c r="B99" s="11"/>
      <c r="C99" s="11"/>
      <c r="D99" s="11"/>
      <c r="E99" s="11"/>
      <c r="F99" s="11"/>
      <c r="G99" s="11"/>
      <c r="H99" s="55"/>
      <c r="I99" s="55"/>
      <c r="J99" s="11"/>
      <c r="K99" s="11"/>
      <c r="L99" s="55"/>
      <c r="M99" s="55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x14ac:dyDescent="0.25">
      <c r="A100" s="11"/>
      <c r="B100" s="11"/>
      <c r="C100" s="11"/>
      <c r="D100" s="11"/>
      <c r="E100" s="11"/>
      <c r="F100" s="11"/>
      <c r="G100" s="11"/>
      <c r="H100" s="55"/>
      <c r="I100" s="55"/>
      <c r="J100" s="11"/>
      <c r="K100" s="11"/>
      <c r="L100" s="55"/>
      <c r="M100" s="55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x14ac:dyDescent="0.25">
      <c r="A101" s="11"/>
      <c r="B101" s="11"/>
      <c r="C101" s="11"/>
      <c r="D101" s="11"/>
      <c r="E101" s="11"/>
      <c r="F101" s="11"/>
      <c r="G101" s="11"/>
      <c r="H101" s="55"/>
      <c r="I101" s="55"/>
      <c r="J101" s="11"/>
      <c r="K101" s="11"/>
      <c r="L101" s="55"/>
      <c r="M101" s="55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x14ac:dyDescent="0.25">
      <c r="A102" s="11"/>
      <c r="B102" s="11"/>
      <c r="C102" s="11"/>
      <c r="D102" s="11"/>
      <c r="E102" s="11"/>
      <c r="F102" s="11"/>
      <c r="G102" s="11"/>
      <c r="H102" s="55"/>
      <c r="I102" s="55"/>
      <c r="J102" s="11"/>
      <c r="K102" s="11"/>
      <c r="L102" s="55"/>
      <c r="M102" s="55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x14ac:dyDescent="0.25">
      <c r="A103" s="11"/>
      <c r="B103" s="11"/>
      <c r="C103" s="11"/>
      <c r="D103" s="11"/>
      <c r="E103" s="11"/>
      <c r="F103" s="11"/>
      <c r="G103" s="11"/>
      <c r="H103" s="55"/>
      <c r="I103" s="55"/>
      <c r="J103" s="11"/>
      <c r="K103" s="11"/>
      <c r="L103" s="55"/>
      <c r="M103" s="55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x14ac:dyDescent="0.25">
      <c r="A104" s="11"/>
      <c r="B104" s="11"/>
      <c r="C104" s="11"/>
      <c r="D104" s="11"/>
      <c r="E104" s="11"/>
      <c r="F104" s="11"/>
      <c r="G104" s="11"/>
      <c r="H104" s="55"/>
      <c r="I104" s="55"/>
      <c r="J104" s="11"/>
      <c r="K104" s="11"/>
      <c r="L104" s="55"/>
      <c r="M104" s="55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x14ac:dyDescent="0.25">
      <c r="A105" s="11"/>
      <c r="B105" s="11"/>
      <c r="C105" s="11"/>
      <c r="D105" s="11"/>
      <c r="E105" s="11"/>
      <c r="F105" s="11"/>
      <c r="G105" s="11"/>
      <c r="H105" s="55"/>
      <c r="I105" s="55"/>
      <c r="J105" s="11"/>
      <c r="K105" s="11"/>
      <c r="L105" s="55"/>
      <c r="M105" s="55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x14ac:dyDescent="0.25">
      <c r="A106" s="11"/>
      <c r="B106" s="11"/>
      <c r="C106" s="11"/>
      <c r="D106" s="11"/>
      <c r="E106" s="11"/>
      <c r="F106" s="11"/>
      <c r="G106" s="11"/>
      <c r="H106" s="55"/>
      <c r="I106" s="55"/>
      <c r="J106" s="11"/>
      <c r="K106" s="11"/>
      <c r="L106" s="55"/>
      <c r="M106" s="55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x14ac:dyDescent="0.25">
      <c r="A107" s="11"/>
      <c r="B107" s="11"/>
      <c r="C107" s="11"/>
      <c r="D107" s="11"/>
      <c r="E107" s="11"/>
      <c r="F107" s="11"/>
      <c r="G107" s="11"/>
      <c r="H107" s="55"/>
      <c r="I107" s="55"/>
      <c r="J107" s="11"/>
      <c r="K107" s="11"/>
      <c r="L107" s="55"/>
      <c r="M107" s="55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x14ac:dyDescent="0.25">
      <c r="A108" s="11"/>
      <c r="B108" s="11"/>
      <c r="C108" s="11"/>
      <c r="D108" s="11"/>
      <c r="E108" s="11"/>
      <c r="F108" s="11"/>
      <c r="G108" s="11"/>
      <c r="H108" s="55"/>
      <c r="I108" s="55"/>
      <c r="J108" s="11"/>
      <c r="K108" s="11"/>
      <c r="L108" s="55"/>
      <c r="M108" s="55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x14ac:dyDescent="0.25">
      <c r="A109" s="11"/>
      <c r="B109" s="11"/>
      <c r="C109" s="11"/>
      <c r="D109" s="11"/>
      <c r="E109" s="11"/>
      <c r="F109" s="11"/>
      <c r="G109" s="11"/>
      <c r="H109" s="55"/>
      <c r="I109" s="55"/>
      <c r="J109" s="11"/>
      <c r="K109" s="11"/>
      <c r="L109" s="55"/>
      <c r="M109" s="55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</sheetData>
  <sheetProtection algorithmName="SHA-512" hashValue="3YfqA4vXZ5dSSjP9LNTpeFciYLfR7uuI9JmInlV7D3OQwAqfGyhhYBK+KDUzIJEA4GjoTYELvYdh41yhFNwi7A==" saltValue="+VYclAKiWrSaACUMVggNeQ==" spinCount="100000" sheet="1" scenarios="1"/>
  <mergeCells count="2">
    <mergeCell ref="AD31:AE31"/>
    <mergeCell ref="AG31:AH31"/>
  </mergeCells>
  <dataValidations disablePrompts="1" count="2">
    <dataValidation type="list" allowBlank="1" sqref="B28:C28" xr:uid="{00000000-0002-0000-1E00-000000000000}">
      <formula1>"ACCOUNT,BUSINESSUNIT,CATEGORY,DATASRC,DEPARTMENT,INTCO,MEASURES,RPTCURRENCY,TIME"</formula1>
    </dataValidation>
    <dataValidation type="list" allowBlank="1" sqref="B29:C29" xr:uid="{00000000-0002-0000-1E00-000001000000}">
      <formula1>"SELF,ALL,BAS,DEP,BASMEMBERS,MEMBERS,NOEXPAND,GDEP"</formula1>
    </dataValidation>
  </dataValidations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customProperties>
    <customPr name="EpmWorksheetKeyString_GUID" r:id="rId2"/>
    <customPr name="FPMExcelClientCellBasedFunctionStatus" r:id="rId3"/>
    <customPr name="FPMExcelClientRefreshTime" r:id="rId4"/>
  </customProperties>
  <legacyDrawing r:id="rId5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3">
    <tabColor theme="2" tint="-0.499984740745262"/>
    <pageSetUpPr fitToPage="1"/>
  </sheetPr>
  <dimension ref="A1:AO78"/>
  <sheetViews>
    <sheetView topLeftCell="K25" zoomScale="85" zoomScaleNormal="85" workbookViewId="0">
      <pane xSplit="4" ySplit="8" topLeftCell="O33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2" width="9.7109375" style="2" hidden="1" customWidth="1" outlineLevel="1" collapsed="1"/>
    <col min="13" max="13" width="9.7109375" style="2" hidden="1" customWidth="1" outlineLevel="1"/>
    <col min="14" max="14" width="36.7109375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40" width="0" style="1" hidden="1" customWidth="1" outlineLevel="1"/>
    <col min="41" max="41" width="9.140625" style="1" collapsed="1"/>
    <col min="42" max="16384" width="9.140625" style="1"/>
  </cols>
  <sheetData>
    <row r="1" spans="1:41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11"/>
      <c r="H1" s="11"/>
      <c r="I1" s="11"/>
      <c r="J1" s="11"/>
      <c r="K1" s="11"/>
      <c r="L1" s="51"/>
      <c r="M1" s="51"/>
      <c r="N1" s="5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</row>
    <row r="2" spans="1:41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11"/>
      <c r="H2" s="11"/>
      <c r="I2" s="11"/>
      <c r="J2" s="11"/>
      <c r="K2" s="11"/>
      <c r="L2" s="51"/>
      <c r="M2" s="5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</row>
    <row r="3" spans="1:41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11"/>
      <c r="H3" s="11"/>
      <c r="I3" s="11"/>
      <c r="J3" s="11"/>
      <c r="K3" s="11"/>
      <c r="L3" s="55"/>
      <c r="M3" s="55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11"/>
      <c r="H4" s="11"/>
      <c r="I4" s="55"/>
      <c r="J4" s="55"/>
      <c r="K4" s="11"/>
      <c r="L4" s="55"/>
      <c r="M4" s="55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11"/>
      <c r="H5" s="11"/>
      <c r="I5" s="55"/>
      <c r="J5" s="55"/>
      <c r="K5" s="11"/>
      <c r="L5" s="55"/>
      <c r="M5" s="55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idden="1" outlineLevel="1" x14ac:dyDescent="0.25">
      <c r="A6" s="49" t="s">
        <v>52</v>
      </c>
      <c r="B6" s="52" t="s">
        <v>498</v>
      </c>
      <c r="C6" s="11" t="str">
        <f>IF(_epmOfflineCondition_,"Human Resources (Consolidated)",_xll.EVDES(B6,$B$1))</f>
        <v>Human Resources (Consolidated)</v>
      </c>
      <c r="D6" s="11"/>
      <c r="E6" s="54" t="str">
        <f>IF(_epmOfflineCondition_,"D1154",_xll.EVPRO($B$1,$B$6,$F$6))</f>
        <v>D1154</v>
      </c>
      <c r="F6" s="11" t="s">
        <v>278</v>
      </c>
      <c r="G6" s="11"/>
      <c r="H6" s="11"/>
      <c r="I6" s="55"/>
      <c r="J6" s="55"/>
      <c r="K6" s="11"/>
      <c r="L6" s="55"/>
      <c r="M6" s="55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11"/>
      <c r="H7" s="11"/>
      <c r="I7" s="55"/>
      <c r="J7" s="55"/>
      <c r="K7" s="11"/>
      <c r="L7" s="55"/>
      <c r="M7" s="55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11"/>
      <c r="H8" s="11"/>
      <c r="I8" s="55"/>
      <c r="J8" s="55"/>
      <c r="K8" s="11"/>
      <c r="L8" s="55"/>
      <c r="M8" s="55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55"/>
      <c r="M9" s="55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55"/>
      <c r="M10" s="55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55"/>
      <c r="M11" s="55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55"/>
      <c r="M12" s="55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  <c r="AJ12" s="11"/>
      <c r="AK12" s="11"/>
      <c r="AL12" s="11"/>
      <c r="AM12" s="11"/>
      <c r="AN12" s="11"/>
      <c r="AO12" s="11"/>
    </row>
    <row r="13" spans="1:41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55"/>
      <c r="M13" s="55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  <c r="AJ13" s="11"/>
      <c r="AK13" s="11"/>
      <c r="AL13" s="11"/>
      <c r="AM13" s="11"/>
      <c r="AN13" s="11"/>
      <c r="AO13" s="11"/>
    </row>
    <row r="14" spans="1:41" hidden="1" outlineLevel="1" x14ac:dyDescent="0.25">
      <c r="A14" s="56" t="str">
        <f>IF(_epmOfflineCondition_,"Evdre:Ok",_xll.EVDRE($B$1,A17:B24,A27:B33))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55"/>
      <c r="M14" s="55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  <c r="AJ14" s="11"/>
      <c r="AK14" s="11"/>
      <c r="AL14" s="11"/>
      <c r="AM14" s="11"/>
      <c r="AN14" s="11"/>
      <c r="AO14" s="11"/>
    </row>
    <row r="15" spans="1:41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55"/>
      <c r="M15" s="55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  <c r="AJ15" s="11"/>
      <c r="AK15" s="11"/>
      <c r="AL15" s="11"/>
      <c r="AM15" s="11"/>
      <c r="AN15" s="11"/>
      <c r="AO15" s="11"/>
    </row>
    <row r="16" spans="1:41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55"/>
      <c r="M16" s="55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  <c r="AJ16" s="11"/>
      <c r="AK16" s="11"/>
      <c r="AL16" s="11"/>
      <c r="AM16" s="11"/>
      <c r="AN16" s="11"/>
      <c r="AO16" s="11"/>
    </row>
    <row r="17" spans="1:41" hidden="1" outlineLevel="1" x14ac:dyDescent="0.25">
      <c r="A17" s="61" t="s">
        <v>2</v>
      </c>
      <c r="B17" s="62" t="str">
        <f>IF(_epmOfflineCondition_,"'HR_Detail'!$B$2:$B$10",_xll.EVRNG($B$2:$B$10))</f>
        <v>'HR_Detail'!$B$2:$B$10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55"/>
      <c r="M17" s="55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/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  <c r="AJ17" s="11"/>
      <c r="AK17" s="11"/>
      <c r="AL17" s="11"/>
      <c r="AM17" s="11"/>
      <c r="AN17" s="11"/>
      <c r="AO17" s="11"/>
    </row>
    <row r="18" spans="1:41" hidden="1" outlineLevel="1" x14ac:dyDescent="0.25">
      <c r="A18" s="61" t="s">
        <v>3</v>
      </c>
      <c r="B18" s="62" t="str">
        <f>IF(_epmOfflineCondition_,"'HR_Detail'!$O$16:$AN$18",_xll.EVRNG($O$16:$AN$18))</f>
        <v>'HR_Detail'!$O$16:$AN$18</v>
      </c>
      <c r="C18" s="11"/>
      <c r="D18" s="11"/>
      <c r="E18" s="11"/>
      <c r="F18" s="11"/>
      <c r="G18" s="11"/>
      <c r="H18" s="11"/>
      <c r="I18" s="55"/>
      <c r="J18" s="55"/>
      <c r="K18" s="11"/>
      <c r="L18" s="55"/>
      <c r="M18" s="55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60"/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  <c r="AJ18" s="11"/>
      <c r="AK18" s="11"/>
      <c r="AL18" s="11"/>
      <c r="AM18" s="11"/>
      <c r="AN18" s="11"/>
      <c r="AO18" s="11"/>
    </row>
    <row r="19" spans="1:41" hidden="1" outlineLevel="1" x14ac:dyDescent="0.25">
      <c r="A19" s="61" t="s">
        <v>4</v>
      </c>
      <c r="B19" s="62" t="str">
        <f>IF(_epmOfflineCondition_,"'HR_Detail'!$H$34:$H$45",_xll.EVRNG(H34:H45))</f>
        <v>'HR_Detail'!$H$34:$H$45</v>
      </c>
      <c r="C19" s="11"/>
      <c r="D19" s="11"/>
      <c r="E19" s="11"/>
      <c r="F19" s="11"/>
      <c r="G19" s="63" t="s">
        <v>499</v>
      </c>
      <c r="H19" s="63">
        <v>400000</v>
      </c>
      <c r="I19" s="64"/>
      <c r="J19" s="64"/>
      <c r="K19" s="63"/>
      <c r="L19" s="64"/>
      <c r="M19" s="64"/>
      <c r="N19" s="63" t="str">
        <f>IF(_epmOfflineCondition_,"Total Revenue",_xll.EVDES(H19))</f>
        <v>Total Revenue</v>
      </c>
      <c r="O19" s="65">
        <f>IF(_epmOfflineCondition_,816981.25,_xll.EVGTS($B$1,1,$B$3,$B$5,$B$7,$B$9,O$16,O$17,O$18,$G$19,$H$19))</f>
        <v>816981.25</v>
      </c>
      <c r="P19" s="65">
        <f>IF(_epmOfflineCondition_,866773.26,_xll.EVGTS($B$1,1,$B$3,$B$5,$B$7,$B$9,P$16,P$17,P$18,$G$19,$H$19))</f>
        <v>866773.26</v>
      </c>
      <c r="Q19" s="65">
        <f>IF(_epmOfflineCondition_,969793.68,_xll.EVGTS($B$1,1,$B$3,$B$5,$B$7,$B$9,Q$16,Q$17,Q$18,$G$19,$H$19))</f>
        <v>969793.68</v>
      </c>
      <c r="R19" s="65">
        <f>IF(_epmOfflineCondition_,760228.83,_xll.EVGTS($B$1,1,$B$3,$B$5,$B$7,$B$9,R$16,R$17,R$18,$G$19,$H$19))</f>
        <v>760228.83</v>
      </c>
      <c r="S19" s="65">
        <f>IF(_epmOfflineCondition_,618655.29,_xll.EVGTS($B$1,1,$B$3,$B$5,$B$7,$B$9,S$16,S$17,S$18,$G$19,$H$19))</f>
        <v>618655.29</v>
      </c>
      <c r="T19" s="65">
        <f>IF(_epmOfflineCondition_,453678.77,_xll.EVGTS($B$1,1,$B$3,$B$5,$B$7,$B$9,T$16,T$17,T$18,$G$19,$H$19))</f>
        <v>453678.77</v>
      </c>
      <c r="U19" s="65">
        <f>IF(_epmOfflineCondition_,542439.38,_xll.EVGTS($B$1,1,$B$3,$B$5,$B$7,$B$9,U$16,U$17,U$18,$G$19,$H$19))</f>
        <v>542439.38</v>
      </c>
      <c r="V19" s="65">
        <f>IF(_epmOfflineCondition_,530393.92,_xll.EVGTS($B$1,1,$B$3,$B$5,$B$7,$B$9,V$16,V$17,V$18,$G$19,$H$19))</f>
        <v>530393.92000000004</v>
      </c>
      <c r="W19" s="65">
        <f>IF(_epmOfflineCondition_,366989.98,_xll.EVGTS($B$1,1,$B$3,$B$5,$B$7,$B$9,W$16,W$17,W$18,$G$19,$H$19))</f>
        <v>366989.98</v>
      </c>
      <c r="X19" s="65">
        <f>IF(_epmOfflineCondition_,549087,_xll.EVGTS($B$1,1,$B$3,$B$5,$B$7,$B$9,X$16,X$17,X$18,$G$19,$H$19))</f>
        <v>549087</v>
      </c>
      <c r="Y19" s="65">
        <f>IF(_epmOfflineCondition_,756850.37,_xll.EVGTS($B$1,1,$B$3,$B$5,$B$7,$B$9,Y$16,Y$17,Y$18,$G$19,$H$19))</f>
        <v>756850.37</v>
      </c>
      <c r="Z19" s="65">
        <f>IF(_epmOfflineCondition_,1154118.08,_xll.EVGTS($B$1,1,$B$3,$B$5,$B$7,$B$9,Z$16,Z$17,Z$18,$G$19,$H$19))</f>
        <v>1154118.08</v>
      </c>
      <c r="AA19" s="65">
        <f>SUM(O19:Z19)</f>
        <v>8385989.8099999996</v>
      </c>
      <c r="AB19" s="63"/>
      <c r="AC19" s="63"/>
      <c r="AD19" s="65">
        <f>IF(_epmOfflineCondition_,13047408.7892219,_xll.EVGTS($B$1,1,$B$3,$B$5,$B$7,$B$9,AD$16,AD$17,AD$18,$G$19,$H$19))</f>
        <v>13047408.7892219</v>
      </c>
      <c r="AE19" s="63"/>
      <c r="AF19" s="63"/>
      <c r="AG19" s="65">
        <f>IF(_epmOfflineCondition_,3258668.97,_xll.EVGTS($B$1,1,$B$3,$B$5,$B$7,$B$9,AG$16,AG$17,AG$18,$G$19,$H$19))</f>
        <v>3258668.97</v>
      </c>
      <c r="AH19" s="63"/>
      <c r="AI19" s="63"/>
      <c r="AJ19" s="11"/>
      <c r="AK19" s="11"/>
      <c r="AL19" s="11"/>
      <c r="AM19" s="11"/>
      <c r="AN19" s="11"/>
      <c r="AO19" s="11"/>
    </row>
    <row r="20" spans="1:41" hidden="1" outlineLevel="1" x14ac:dyDescent="0.25">
      <c r="A20" s="61" t="s">
        <v>5</v>
      </c>
      <c r="B20" s="62"/>
      <c r="C20" s="11"/>
      <c r="D20" s="11"/>
      <c r="E20" s="11"/>
      <c r="F20" s="11"/>
      <c r="G20" s="63" t="s">
        <v>750</v>
      </c>
      <c r="H20" s="63">
        <v>904100</v>
      </c>
      <c r="I20" s="64"/>
      <c r="J20" s="64"/>
      <c r="K20" s="63"/>
      <c r="L20" s="64"/>
      <c r="M20" s="64"/>
      <c r="N20" s="63" t="str">
        <f>IF(_epmOfflineCondition_,"Available rooms",_xll.EVDES(H20))</f>
        <v>Available rooms</v>
      </c>
      <c r="O20" s="65">
        <f>IF(_epmOfflineCondition_,4092,_xll.EVGTS($B$1,1,$B$3,$B$5,$B$7,$B$9,O$16,O$17,O$18,$G$20,$H$20))</f>
        <v>4092</v>
      </c>
      <c r="P20" s="65">
        <f>IF(_epmOfflineCondition_,3696,_xll.EVGTS($B$1,1,$B$3,$B$5,$B$7,$B$9,P$16,P$17,P$18,$G$20,$H$20))</f>
        <v>3696</v>
      </c>
      <c r="Q20" s="65">
        <f>IF(_epmOfflineCondition_,4092,_xll.EVGTS($B$1,1,$B$3,$B$5,$B$7,$B$9,Q$16,Q$17,Q$18,$G$20,$H$20))</f>
        <v>4092</v>
      </c>
      <c r="R20" s="65">
        <f>IF(_epmOfflineCondition_,3960,_xll.EVGTS($B$1,1,$B$3,$B$5,$B$7,$B$9,R$16,R$17,R$18,$G$20,$H$20))</f>
        <v>3960</v>
      </c>
      <c r="S20" s="65">
        <f>IF(_epmOfflineCondition_,4092,_xll.EVGTS($B$1,1,$B$3,$B$5,$B$7,$B$9,S$16,S$17,S$18,$G$20,$H$20))</f>
        <v>4092</v>
      </c>
      <c r="T20" s="65">
        <f>IF(_epmOfflineCondition_,3960,_xll.EVGTS($B$1,1,$B$3,$B$5,$B$7,$B$9,T$16,T$17,T$18,$G$20,$H$20))</f>
        <v>3960</v>
      </c>
      <c r="U20" s="65">
        <f>IF(_epmOfflineCondition_,4092,_xll.EVGTS($B$1,1,$B$3,$B$5,$B$7,$B$9,U$16,U$17,U$18,$G$20,$H$20))</f>
        <v>4092</v>
      </c>
      <c r="V20" s="65">
        <f>IF(_epmOfflineCondition_,4092,_xll.EVGTS($B$1,1,$B$3,$B$5,$B$7,$B$9,V$16,V$17,V$18,$G$20,$H$20))</f>
        <v>4092</v>
      </c>
      <c r="W20" s="65">
        <f>IF(_epmOfflineCondition_,3960,_xll.EVGTS($B$1,1,$B$3,$B$5,$B$7,$B$9,W$16,W$17,W$18,$G$20,$H$20))</f>
        <v>3960</v>
      </c>
      <c r="X20" s="65">
        <f>IF(_epmOfflineCondition_,4092,_xll.EVGTS($B$1,1,$B$3,$B$5,$B$7,$B$9,X$16,X$17,X$18,$G$20,$H$20))</f>
        <v>4092</v>
      </c>
      <c r="Y20" s="65">
        <f>IF(_epmOfflineCondition_,3960,_xll.EVGTS($B$1,1,$B$3,$B$5,$B$7,$B$9,Y$16,Y$17,Y$18,$G$20,$H$20))</f>
        <v>3960</v>
      </c>
      <c r="Z20" s="65">
        <f>IF(_epmOfflineCondition_,4092,_xll.EVGTS($B$1,1,$B$3,$B$5,$B$7,$B$9,Z$16,Z$17,Z$18,$G$20,$H$20))</f>
        <v>4092</v>
      </c>
      <c r="AA20" s="65">
        <f>SUM(O20:Z20)</f>
        <v>48180</v>
      </c>
      <c r="AB20" s="63"/>
      <c r="AC20" s="63"/>
      <c r="AD20" s="65">
        <f>IF(_epmOfflineCondition_,48180,_xll.EVGTS($B$1,1,$B$3,$B$5,$B$7,$B$9,AD$16,AD$17,AD$18,$G$20,$H$20))</f>
        <v>48180</v>
      </c>
      <c r="AE20" s="63"/>
      <c r="AF20" s="63"/>
      <c r="AG20" s="65">
        <f>IF(_epmOfflineCondition_,37251,_xll.EVGTS($B$1,1,$B$3,$B$5,$B$7,$B$9,AG$16,AG$17,AG$18,$G$20,$H$20))</f>
        <v>37251</v>
      </c>
      <c r="AH20" s="63"/>
      <c r="AI20" s="63"/>
      <c r="AJ20" s="11"/>
      <c r="AK20" s="11"/>
      <c r="AL20" s="11"/>
      <c r="AM20" s="11"/>
      <c r="AN20" s="11"/>
      <c r="AO20" s="11"/>
    </row>
    <row r="21" spans="1:41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55"/>
      <c r="J21" s="55"/>
      <c r="K21" s="11"/>
      <c r="L21" s="55"/>
      <c r="M21" s="55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idden="1" outlineLevel="1" x14ac:dyDescent="0.25">
      <c r="A22" s="61" t="s">
        <v>7</v>
      </c>
      <c r="B22" s="62"/>
      <c r="C22" s="11"/>
      <c r="D22" s="11"/>
      <c r="E22" s="11"/>
      <c r="F22" s="11"/>
      <c r="G22" s="11"/>
      <c r="H22" s="11"/>
      <c r="I22" s="55"/>
      <c r="J22" s="55"/>
      <c r="K22" s="11"/>
      <c r="L22" s="55"/>
      <c r="M22" s="55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idden="1" outlineLevel="1" x14ac:dyDescent="0.25">
      <c r="A23" s="61" t="s">
        <v>47</v>
      </c>
      <c r="B23" s="62" t="str">
        <f>IF(_epmOfflineCondition_,"'HR_Detail'!$A$37:$B$58",_xll.EVRNG($A$37:$B$58))</f>
        <v>'HR_Detail'!$A$37:$B$58</v>
      </c>
      <c r="C23" s="11"/>
      <c r="D23" s="11"/>
      <c r="E23" s="11"/>
      <c r="F23" s="11"/>
      <c r="G23" s="11"/>
      <c r="H23" s="11"/>
      <c r="I23" s="55"/>
      <c r="J23" s="55"/>
      <c r="K23" s="6"/>
      <c r="L23" s="55"/>
      <c r="M23" s="55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55"/>
      <c r="M24" s="55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55"/>
      <c r="M25" s="55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22.5" x14ac:dyDescent="0.3">
      <c r="A26" s="57" t="s">
        <v>9</v>
      </c>
      <c r="B26" s="58" t="s">
        <v>10</v>
      </c>
      <c r="C26" s="11"/>
      <c r="D26" s="11"/>
      <c r="E26" s="11"/>
      <c r="F26" s="11"/>
      <c r="G26" s="11"/>
      <c r="H26" s="11"/>
      <c r="I26" s="55"/>
      <c r="J26" s="55"/>
      <c r="K26" s="11"/>
      <c r="L26" s="55"/>
      <c r="M26" s="55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8" x14ac:dyDescent="0.25">
      <c r="A27" s="61" t="s">
        <v>11</v>
      </c>
      <c r="B27" s="62" t="s">
        <v>21</v>
      </c>
      <c r="C27" s="11"/>
      <c r="D27" s="11"/>
      <c r="E27" s="11"/>
      <c r="F27" s="11"/>
      <c r="G27" s="11"/>
      <c r="H27" s="11"/>
      <c r="I27" s="55"/>
      <c r="J27" s="55"/>
      <c r="K27" s="11"/>
      <c r="L27" s="55"/>
      <c r="M27" s="55"/>
      <c r="N27" s="67" t="str">
        <f>IF(_epmOfflineCondition_,"Human Resources (Consolidated) Department",IF(_xll.EVDES(B6,$B$1)="#NODATA","",_xll.EVDES(B6,$B$1)&amp;" Department"))</f>
        <v>Human Resources (Consolidated) Department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x14ac:dyDescent="0.25">
      <c r="A28" s="61" t="s">
        <v>12</v>
      </c>
      <c r="B28" s="62" t="s">
        <v>22</v>
      </c>
      <c r="C28" s="11"/>
      <c r="D28" s="11"/>
      <c r="E28" s="11"/>
      <c r="F28" s="11"/>
      <c r="G28" s="11"/>
      <c r="H28" s="11"/>
      <c r="I28" s="55"/>
      <c r="J28" s="55"/>
      <c r="K28" s="11"/>
      <c r="L28" s="55"/>
      <c r="M28" s="55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" customHeight="1" x14ac:dyDescent="0.25">
      <c r="A29" s="61" t="s">
        <v>13</v>
      </c>
      <c r="B29" s="62" t="s">
        <v>111</v>
      </c>
      <c r="C29" s="11"/>
      <c r="D29" s="11"/>
      <c r="E29" s="11"/>
      <c r="F29" s="11"/>
      <c r="G29" s="11"/>
      <c r="H29" s="11"/>
      <c r="I29" s="55"/>
      <c r="J29" s="55"/>
      <c r="K29" s="11"/>
      <c r="L29" s="55"/>
      <c r="M29" s="55"/>
      <c r="N29" s="68" t="str">
        <f>IF(_epmOfflineCondition_,"Local Currency",_xll.EVDES(B9,B1))</f>
        <v>Local Currency</v>
      </c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x14ac:dyDescent="0.25">
      <c r="A30" s="61" t="s">
        <v>14</v>
      </c>
      <c r="B30" s="582"/>
      <c r="C30" s="11"/>
      <c r="D30" s="11"/>
      <c r="E30" s="11"/>
      <c r="F30" s="11"/>
      <c r="G30" s="11"/>
      <c r="H30" s="11"/>
      <c r="I30" s="55"/>
      <c r="J30" s="55"/>
      <c r="K30" s="11"/>
      <c r="L30" s="55"/>
      <c r="M30" s="55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  <c r="AJ30" s="69" t="s">
        <v>753</v>
      </c>
      <c r="AK30" s="70"/>
      <c r="AL30" s="71"/>
      <c r="AM30" s="70" t="s">
        <v>751</v>
      </c>
      <c r="AN30" s="70"/>
      <c r="AO30" s="11"/>
    </row>
    <row r="31" spans="1:41" x14ac:dyDescent="0.25">
      <c r="A31" s="61" t="s">
        <v>15</v>
      </c>
      <c r="B31" s="62"/>
      <c r="C31" s="11"/>
      <c r="D31" s="11"/>
      <c r="E31" s="11"/>
      <c r="F31" s="11"/>
      <c r="G31" s="72"/>
      <c r="H31" s="11"/>
      <c r="I31" s="55"/>
      <c r="J31" s="55"/>
      <c r="K31" s="173"/>
      <c r="L31" s="55"/>
      <c r="M31" s="55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  <c r="AJ31" s="73" t="str">
        <f>IF(_epmOfflineCondition_,"2019",_xll.EVPRO($B$1,AA$16,"YEAR"))</f>
        <v>2019</v>
      </c>
      <c r="AK31" s="76" t="str">
        <f>IF(_epmOfflineCondition_,"2019",_xll.EVPRO($B$1,AD$16,"YEAR"))</f>
        <v>2019</v>
      </c>
      <c r="AL31" s="76" t="str">
        <f>IF(_epmOfflineCondition_,"2018",_xll.EVPRO($B$1,AG$16,"YEAR"))</f>
        <v>2018</v>
      </c>
      <c r="AM31" s="73" t="str">
        <f>"vs "&amp;AK31</f>
        <v>vs 2019</v>
      </c>
      <c r="AN31" s="73" t="str">
        <f>"vs "&amp;AL31</f>
        <v>vs 2018</v>
      </c>
      <c r="AO31" s="11"/>
    </row>
    <row r="32" spans="1:41" s="8" customFormat="1" ht="30" customHeight="1" x14ac:dyDescent="0.25">
      <c r="A32" s="77" t="s">
        <v>16</v>
      </c>
      <c r="B32" s="78" t="s">
        <v>78</v>
      </c>
      <c r="C32" s="79"/>
      <c r="D32" s="79"/>
      <c r="E32" s="79"/>
      <c r="F32" s="79"/>
      <c r="G32" s="79"/>
      <c r="H32" s="80"/>
      <c r="I32" s="81"/>
      <c r="J32" s="81"/>
      <c r="K32" s="174" t="s">
        <v>117</v>
      </c>
      <c r="L32" s="81"/>
      <c r="M32" s="81"/>
      <c r="N32" s="82" t="s">
        <v>120</v>
      </c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  <c r="AJ32" s="83" t="str">
        <f>Z32</f>
        <v>Actual</v>
      </c>
      <c r="AK32" s="76" t="str">
        <f>AD32</f>
        <v>Budget</v>
      </c>
      <c r="AL32" s="83" t="str">
        <f>AG32</f>
        <v>Actual</v>
      </c>
      <c r="AM32" s="73" t="s">
        <v>748</v>
      </c>
      <c r="AN32" s="73" t="s">
        <v>748</v>
      </c>
      <c r="AO32" s="79"/>
    </row>
    <row r="33" spans="1:41" x14ac:dyDescent="0.25">
      <c r="A33" s="61" t="s">
        <v>17</v>
      </c>
      <c r="B33" s="62"/>
      <c r="C33" s="11"/>
      <c r="D33" s="11"/>
      <c r="E33" s="11"/>
      <c r="F33" s="11"/>
      <c r="G33" s="11"/>
      <c r="H33" s="11" t="s">
        <v>82</v>
      </c>
      <c r="I33" s="55" t="str">
        <f>IF(_epmOfflineCondition_,"B1",_xll.EVPRO($B$1,$H33,"STYLE"))</f>
        <v>B1</v>
      </c>
      <c r="J33" s="55" t="str">
        <f>IF(_epmOfflineCondition_,"Y",_xll.EVPRO($B$1,$H33,"CALC"))</f>
        <v>Y</v>
      </c>
      <c r="K33" s="11"/>
      <c r="L33" s="11"/>
      <c r="M33" s="11"/>
      <c r="N33" s="101" t="str">
        <f>IF(_epmOfflineCondition_,"Other Expenses",IF(_xll.EVDES(H33,$B$1)="#NODATA","",_xll.EVDES(H33,$B$1)))</f>
        <v>Other Expenses</v>
      </c>
      <c r="O33" s="115"/>
      <c r="P33" s="116"/>
      <c r="Q33" s="116"/>
      <c r="R33" s="116"/>
      <c r="S33" s="116"/>
      <c r="T33" s="116"/>
      <c r="U33" s="116"/>
      <c r="V33" s="116"/>
      <c r="W33" s="116"/>
      <c r="X33" s="116"/>
      <c r="Y33" s="116"/>
      <c r="Z33" s="116"/>
      <c r="AA33" s="116"/>
      <c r="AB33" s="117"/>
      <c r="AC33" s="11"/>
      <c r="AD33" s="115"/>
      <c r="AE33" s="116"/>
      <c r="AF33" s="117"/>
      <c r="AG33" s="115"/>
      <c r="AH33" s="116"/>
      <c r="AI33" s="117"/>
      <c r="AJ33" s="11"/>
      <c r="AK33" s="11"/>
      <c r="AL33" s="11"/>
      <c r="AM33" s="11"/>
      <c r="AN33" s="11"/>
      <c r="AO33" s="11"/>
    </row>
    <row r="34" spans="1:41" x14ac:dyDescent="0.25">
      <c r="A34" s="11"/>
      <c r="B34" s="11"/>
      <c r="C34" s="11"/>
      <c r="D34" s="11"/>
      <c r="E34" s="11"/>
      <c r="F34" s="11"/>
      <c r="G34" s="11"/>
      <c r="H34" s="84" t="s">
        <v>789</v>
      </c>
      <c r="I34" s="118" t="str">
        <f>IF(_epmOfflineCondition_,"N",_xll.EVPRO($B$1,$H34,"STYLE"))</f>
        <v>N</v>
      </c>
      <c r="J34" s="118" t="str">
        <f>IF(_epmOfflineCondition_,"N",_xll.EVPRO($B$1,$H34,"CALC"))</f>
        <v>N</v>
      </c>
      <c r="K34" s="175" t="str">
        <f t="shared" ref="K34:K45" si="0">IF(AND(I34&gt;="T3"),"&gt;","")</f>
        <v/>
      </c>
      <c r="L34" s="86" t="str">
        <f>IF(_epmOfflineCondition_,"701100",_xll.EVPRO($B$1,H34,"JDEID"))</f>
        <v>701100</v>
      </c>
      <c r="M34" s="86" t="str">
        <f>IF(_epmOfflineCondition_,"690015",IF(AND(I34="N",J34="N"),_xll.EVPRO($B$1,H34,"PSFTID"),""))</f>
        <v>690015</v>
      </c>
      <c r="N34" s="86" t="str">
        <f>IF(_epmOfflineCondition_,"Dues and Subscriptions",IF(_xll.EVDES(H34,$B$1)="#NODATA","",_xll.EVDES(H34,$B$1)))</f>
        <v>Dues and Subscriptions</v>
      </c>
      <c r="O34" s="134"/>
      <c r="P34" s="134"/>
      <c r="Q34" s="134">
        <v>116.45</v>
      </c>
      <c r="R34" s="134">
        <v>1.79</v>
      </c>
      <c r="S34" s="134">
        <v>722.3</v>
      </c>
      <c r="T34" s="134"/>
      <c r="U34" s="134">
        <v>104.13</v>
      </c>
      <c r="V34" s="134">
        <v>60.48</v>
      </c>
      <c r="W34" s="134">
        <v>-128.68</v>
      </c>
      <c r="X34" s="134">
        <v>139.47999999999999</v>
      </c>
      <c r="Y34" s="134">
        <v>49.5</v>
      </c>
      <c r="Z34" s="134"/>
      <c r="AA34" s="240">
        <f t="shared" ref="AA34:AA46" si="1">IF($I34="B1","",SUM(O34:Z34))</f>
        <v>1065.45</v>
      </c>
      <c r="AB34" s="138">
        <f t="shared" ref="AB34:AB46" si="2">IF(AA34=0,"",IFERROR(AA34/AA$19,""))</f>
        <v>1.2705119182585795E-4</v>
      </c>
      <c r="AC34" s="136"/>
      <c r="AD34" s="134">
        <v>865</v>
      </c>
      <c r="AE34" s="138">
        <f t="shared" ref="AE34:AE46" si="3">IF(AD34=0,"",IFERROR(AD34/AD$19,""))</f>
        <v>6.6296688788853797E-5</v>
      </c>
      <c r="AF34" s="137">
        <f t="shared" ref="AF34:AF46" si="4">IF(AND($AA34="",AD34=""),"",$AA34-AD34)</f>
        <v>200.45000000000005</v>
      </c>
      <c r="AG34" s="134">
        <v>-413.83</v>
      </c>
      <c r="AH34" s="138">
        <f t="shared" ref="AH34:AH46" si="5">IF(AG34=0,"",IFERROR(AG34/AG$19,""))</f>
        <v>-1.2699356817455438E-4</v>
      </c>
      <c r="AI34" s="137">
        <f t="shared" ref="AI34:AI46" si="6">IF(AND($AA34="",AG34=""),"",$AA34-AG34)</f>
        <v>1479.28</v>
      </c>
      <c r="AJ34" s="458">
        <f t="shared" ref="AJ34:AJ46" si="7">IFERROR(AA34/AA$20,0)</f>
        <v>2.2113947696139478E-2</v>
      </c>
      <c r="AK34" s="459">
        <f t="shared" ref="AK34:AK46" si="8">IFERROR(AD34/AD$20,0)</f>
        <v>1.7953507679535078E-2</v>
      </c>
      <c r="AL34" s="460">
        <f t="shared" ref="AL34:AL46" si="9">IFERROR(AG34/AG$20,0)</f>
        <v>-1.1109231966927062E-2</v>
      </c>
      <c r="AM34" s="461" t="str">
        <f t="shared" ref="AM34:AM46" si="10">+IFERROR(ROUND(($AB34-AE34)*100,2)&amp;" pts.",0)</f>
        <v>0.01 pts.</v>
      </c>
      <c r="AN34" s="462" t="str">
        <f t="shared" ref="AN34:AN46" si="11">+IFERROR(ROUND(($AB34-AH34)*100,2)&amp;" pts.",0)</f>
        <v>0.03 pts.</v>
      </c>
      <c r="AO34" s="11"/>
    </row>
    <row r="35" spans="1:41" x14ac:dyDescent="0.25">
      <c r="A35" s="11"/>
      <c r="B35" s="11"/>
      <c r="C35" s="204"/>
      <c r="D35" s="11"/>
      <c r="E35" s="11"/>
      <c r="F35" s="11"/>
      <c r="G35" s="11"/>
      <c r="H35" s="84" t="s">
        <v>790</v>
      </c>
      <c r="I35" s="118" t="str">
        <f>IF(_epmOfflineCondition_,"N",_xll.EVPRO($B$1,$H35,"STYLE"))</f>
        <v>N</v>
      </c>
      <c r="J35" s="118" t="str">
        <f>IF(_epmOfflineCondition_,"N",_xll.EVPRO($B$1,$H35,"CALC"))</f>
        <v>N</v>
      </c>
      <c r="K35" s="175" t="str">
        <f t="shared" si="0"/>
        <v/>
      </c>
      <c r="L35" s="86" t="str">
        <f>IF(_epmOfflineCondition_,"701200",_xll.EVPRO($B$1,H35,"JDEID"))</f>
        <v>701200</v>
      </c>
      <c r="M35" s="86" t="str">
        <f>IF(_epmOfflineCondition_,"690010",IF(AND(I35="N",J35="N"),_xll.EVPRO($B$1,H35,"PSFTID"),""))</f>
        <v>690010</v>
      </c>
      <c r="N35" s="86" t="str">
        <f>IF(_epmOfflineCondition_,"Postage and Overnight Delivery",IF(_xll.EVDES(H35,$B$1)="#NODATA","",_xll.EVDES(H35,$B$1)))</f>
        <v>Postage and Overnight Delivery</v>
      </c>
      <c r="O35" s="134">
        <v>-26.77</v>
      </c>
      <c r="P35" s="134">
        <v>44.45</v>
      </c>
      <c r="Q35" s="134">
        <v>78.45</v>
      </c>
      <c r="R35" s="134"/>
      <c r="S35" s="134"/>
      <c r="T35" s="134"/>
      <c r="U35" s="134"/>
      <c r="V35" s="134"/>
      <c r="W35" s="134"/>
      <c r="X35" s="134">
        <v>128.62</v>
      </c>
      <c r="Y35" s="134">
        <v>-180.3</v>
      </c>
      <c r="Z35" s="134">
        <v>218.76</v>
      </c>
      <c r="AA35" s="240">
        <f t="shared" si="1"/>
        <v>263.20999999999998</v>
      </c>
      <c r="AB35" s="138">
        <f t="shared" si="2"/>
        <v>3.1386873340357661E-5</v>
      </c>
      <c r="AC35" s="136"/>
      <c r="AD35" s="134"/>
      <c r="AE35" s="138" t="str">
        <f t="shared" si="3"/>
        <v/>
      </c>
      <c r="AF35" s="137">
        <f t="shared" si="4"/>
        <v>263.20999999999998</v>
      </c>
      <c r="AG35" s="134">
        <v>116.55</v>
      </c>
      <c r="AH35" s="138">
        <f t="shared" si="5"/>
        <v>3.5766136748771997E-5</v>
      </c>
      <c r="AI35" s="137">
        <f t="shared" si="6"/>
        <v>146.65999999999997</v>
      </c>
      <c r="AJ35" s="458">
        <f t="shared" si="7"/>
        <v>5.4630552096305513E-3</v>
      </c>
      <c r="AK35" s="459">
        <f t="shared" si="8"/>
        <v>0</v>
      </c>
      <c r="AL35" s="460">
        <f t="shared" si="9"/>
        <v>3.1287750664411693E-3</v>
      </c>
      <c r="AM35" s="461">
        <f t="shared" si="10"/>
        <v>0</v>
      </c>
      <c r="AN35" s="462" t="str">
        <f t="shared" si="11"/>
        <v>0 pts.</v>
      </c>
      <c r="AO35" s="11"/>
    </row>
    <row r="36" spans="1:41" x14ac:dyDescent="0.25">
      <c r="A36" s="57" t="s">
        <v>23</v>
      </c>
      <c r="B36" s="58" t="s">
        <v>24</v>
      </c>
      <c r="C36" s="11"/>
      <c r="D36" s="11"/>
      <c r="E36" s="11"/>
      <c r="F36" s="11"/>
      <c r="G36" s="11"/>
      <c r="H36" s="84" t="s">
        <v>792</v>
      </c>
      <c r="I36" s="118" t="str">
        <f>IF(_epmOfflineCondition_,"T4",_xll.EVPRO($B$1,$H36,"STYLE"))</f>
        <v>T4</v>
      </c>
      <c r="J36" s="118" t="str">
        <f>IF(_epmOfflineCondition_,"Y",_xll.EVPRO($B$1,$H36,"CALC"))</f>
        <v>Y</v>
      </c>
      <c r="K36" s="175" t="str">
        <f t="shared" si="0"/>
        <v>&gt;</v>
      </c>
      <c r="L36" s="86" t="str">
        <f>IF(_epmOfflineCondition_,"701500",_xll.EVPRO($B$1,H36,"JDEID"))</f>
        <v>701500</v>
      </c>
      <c r="M36" s="86" t="str">
        <f>IF(_epmOfflineCondition_,"",IF(AND(I36="N",J36="N"),_xll.EVPRO($B$1,H36,"PSFTID"),""))</f>
        <v/>
      </c>
      <c r="N36" s="86" t="str">
        <f>IF(_epmOfflineCondition_,"Operating Supplies",IF(_xll.EVDES(H36,$B$1)="#NODATA","",_xll.EVDES(H36,$B$1)))</f>
        <v>Operating Supplies</v>
      </c>
      <c r="O36" s="134">
        <v>8.93</v>
      </c>
      <c r="P36" s="134"/>
      <c r="Q36" s="134"/>
      <c r="R36" s="134">
        <v>42.17</v>
      </c>
      <c r="S36" s="134"/>
      <c r="T36" s="134">
        <v>10.9</v>
      </c>
      <c r="U36" s="134"/>
      <c r="V36" s="134"/>
      <c r="W36" s="134"/>
      <c r="X36" s="134">
        <v>11.99</v>
      </c>
      <c r="Y36" s="134">
        <v>-65.06</v>
      </c>
      <c r="Z36" s="134">
        <v>11.99</v>
      </c>
      <c r="AA36" s="240">
        <f t="shared" si="1"/>
        <v>20.919999999999995</v>
      </c>
      <c r="AB36" s="138">
        <f t="shared" si="2"/>
        <v>2.494636944949972E-6</v>
      </c>
      <c r="AC36" s="136"/>
      <c r="AD36" s="134"/>
      <c r="AE36" s="138" t="str">
        <f t="shared" si="3"/>
        <v/>
      </c>
      <c r="AF36" s="137">
        <f t="shared" si="4"/>
        <v>20.919999999999995</v>
      </c>
      <c r="AG36" s="134">
        <v>189.11</v>
      </c>
      <c r="AH36" s="138">
        <f t="shared" si="5"/>
        <v>5.8032896787303931E-5</v>
      </c>
      <c r="AI36" s="137">
        <f t="shared" si="6"/>
        <v>-168.19000000000003</v>
      </c>
      <c r="AJ36" s="458">
        <f t="shared" si="7"/>
        <v>4.3420506434205052E-4</v>
      </c>
      <c r="AK36" s="459">
        <f t="shared" si="8"/>
        <v>0</v>
      </c>
      <c r="AL36" s="460">
        <f t="shared" si="9"/>
        <v>5.0766422377922747E-3</v>
      </c>
      <c r="AM36" s="461">
        <f t="shared" si="10"/>
        <v>0</v>
      </c>
      <c r="AN36" s="462" t="str">
        <f t="shared" si="11"/>
        <v>-0.01 pts.</v>
      </c>
      <c r="AO36" s="11"/>
    </row>
    <row r="37" spans="1:41" x14ac:dyDescent="0.25">
      <c r="A37" s="61" t="s">
        <v>25</v>
      </c>
      <c r="B37" s="62"/>
      <c r="C37" s="11"/>
      <c r="D37" s="11"/>
      <c r="E37" s="11"/>
      <c r="F37" s="11"/>
      <c r="G37" s="11"/>
      <c r="H37" s="84" t="s">
        <v>793</v>
      </c>
      <c r="I37" s="118" t="str">
        <f>IF(_epmOfflineCondition_,"N",_xll.EVPRO($B$1,$H37,"STYLE"))</f>
        <v>N</v>
      </c>
      <c r="J37" s="118" t="str">
        <f>IF(_epmOfflineCondition_,"N",_xll.EVPRO($B$1,$H37,"CALC"))</f>
        <v>N</v>
      </c>
      <c r="K37" s="175" t="str">
        <f t="shared" si="0"/>
        <v/>
      </c>
      <c r="L37" s="86" t="str">
        <f>IF(_epmOfflineCondition_,"702300",_xll.EVPRO($B$1,H37,"JDEID"))</f>
        <v>702300</v>
      </c>
      <c r="M37" s="86" t="str">
        <f>IF(_epmOfflineCondition_,"590040",IF(AND(I37="N",J37="N"),_xll.EVPRO($B$1,H37,"PSFTID"),""))</f>
        <v>590040</v>
      </c>
      <c r="N37" s="86" t="str">
        <f>IF(_epmOfflineCondition_,"Decorations",IF(_xll.EVDES(H37,$B$1)="#NODATA","",_xll.EVDES(H37,$B$1)))</f>
        <v>Decorations</v>
      </c>
      <c r="O37" s="134"/>
      <c r="P37" s="134"/>
      <c r="Q37" s="134">
        <v>40.85</v>
      </c>
      <c r="R37" s="134"/>
      <c r="S37" s="134"/>
      <c r="T37" s="134"/>
      <c r="U37" s="134"/>
      <c r="V37" s="134"/>
      <c r="W37" s="134"/>
      <c r="X37" s="134">
        <v>-40.85</v>
      </c>
      <c r="Y37" s="134">
        <v>0</v>
      </c>
      <c r="Z37" s="134"/>
      <c r="AA37" s="240">
        <f t="shared" si="1"/>
        <v>0</v>
      </c>
      <c r="AB37" s="138" t="str">
        <f t="shared" si="2"/>
        <v/>
      </c>
      <c r="AC37" s="136"/>
      <c r="AD37" s="134"/>
      <c r="AE37" s="138" t="str">
        <f t="shared" si="3"/>
        <v/>
      </c>
      <c r="AF37" s="137">
        <f t="shared" si="4"/>
        <v>0</v>
      </c>
      <c r="AG37" s="134">
        <v>6.15</v>
      </c>
      <c r="AH37" s="138">
        <f t="shared" si="5"/>
        <v>1.8872736250960771E-6</v>
      </c>
      <c r="AI37" s="137">
        <f t="shared" si="6"/>
        <v>-6.15</v>
      </c>
      <c r="AJ37" s="458">
        <f t="shared" si="7"/>
        <v>0</v>
      </c>
      <c r="AK37" s="459">
        <f t="shared" si="8"/>
        <v>0</v>
      </c>
      <c r="AL37" s="460">
        <f t="shared" si="9"/>
        <v>1.6509623902714022E-4</v>
      </c>
      <c r="AM37" s="461">
        <f t="shared" si="10"/>
        <v>0</v>
      </c>
      <c r="AN37" s="462">
        <f t="shared" si="11"/>
        <v>0</v>
      </c>
      <c r="AO37" s="11"/>
    </row>
    <row r="38" spans="1:41" x14ac:dyDescent="0.25">
      <c r="A38" s="61" t="s">
        <v>26</v>
      </c>
      <c r="B38" s="62"/>
      <c r="C38" s="11"/>
      <c r="D38" s="11"/>
      <c r="E38" s="11"/>
      <c r="F38" s="11"/>
      <c r="G38" s="11"/>
      <c r="H38" s="84" t="s">
        <v>795</v>
      </c>
      <c r="I38" s="118" t="str">
        <f>IF(_epmOfflineCondition_,"T4",_xll.EVPRO($B$1,$H38,"STYLE"))</f>
        <v>T4</v>
      </c>
      <c r="J38" s="118" t="str">
        <f>IF(_epmOfflineCondition_,"Y",_xll.EVPRO($B$1,$H38,"CALC"))</f>
        <v>Y</v>
      </c>
      <c r="K38" s="175" t="str">
        <f t="shared" si="0"/>
        <v>&gt;</v>
      </c>
      <c r="L38" s="86" t="str">
        <f>IF(_epmOfflineCondition_,"",_xll.EVPRO($B$1,H38,"JDEID"))</f>
        <v/>
      </c>
      <c r="M38" s="86" t="str">
        <f>IF(_epmOfflineCondition_,"",IF(AND(I38="N",J38="N"),_xll.EVPRO($B$1,H38,"PSFTID"),""))</f>
        <v/>
      </c>
      <c r="N38" s="86" t="str">
        <f>IF(_epmOfflineCondition_,"Travel - Other",IF(_xll.EVDES(H38,$B$1)="#NODATA","",_xll.EVDES(H38,$B$1)))</f>
        <v>Travel - Other</v>
      </c>
      <c r="O38" s="134"/>
      <c r="P38" s="134">
        <v>5.44</v>
      </c>
      <c r="Q38" s="134">
        <v>2.88</v>
      </c>
      <c r="R38" s="134">
        <v>279.83999999999997</v>
      </c>
      <c r="S38" s="134">
        <v>409.19</v>
      </c>
      <c r="T38" s="134">
        <v>-1.00000000000051E-2</v>
      </c>
      <c r="U38" s="134">
        <v>260.56</v>
      </c>
      <c r="V38" s="134">
        <v>211.42</v>
      </c>
      <c r="W38" s="134">
        <v>128.76</v>
      </c>
      <c r="X38" s="134">
        <v>182.67</v>
      </c>
      <c r="Y38" s="134">
        <v>12.38</v>
      </c>
      <c r="Z38" s="134">
        <v>117.48</v>
      </c>
      <c r="AA38" s="240">
        <f t="shared" si="1"/>
        <v>1610.6100000000001</v>
      </c>
      <c r="AB38" s="138">
        <f t="shared" si="2"/>
        <v>1.920596180643344E-4</v>
      </c>
      <c r="AC38" s="136"/>
      <c r="AD38" s="134">
        <v>1050</v>
      </c>
      <c r="AE38" s="138">
        <f t="shared" si="3"/>
        <v>8.0475749396874557E-5</v>
      </c>
      <c r="AF38" s="137">
        <f t="shared" si="4"/>
        <v>560.61000000000013</v>
      </c>
      <c r="AG38" s="134">
        <v>562.02</v>
      </c>
      <c r="AH38" s="138">
        <f t="shared" si="5"/>
        <v>1.7246919069536539E-4</v>
      </c>
      <c r="AI38" s="137">
        <f t="shared" si="6"/>
        <v>1048.5900000000001</v>
      </c>
      <c r="AJ38" s="458">
        <f t="shared" si="7"/>
        <v>3.3429016189290166E-2</v>
      </c>
      <c r="AK38" s="459">
        <f t="shared" si="8"/>
        <v>2.1793275217932753E-2</v>
      </c>
      <c r="AL38" s="460">
        <f t="shared" si="9"/>
        <v>1.5087380204558267E-2</v>
      </c>
      <c r="AM38" s="461" t="str">
        <f t="shared" si="10"/>
        <v>0.01 pts.</v>
      </c>
      <c r="AN38" s="462" t="str">
        <f t="shared" si="11"/>
        <v>0 pts.</v>
      </c>
      <c r="AO38" s="11"/>
    </row>
    <row r="39" spans="1:41" x14ac:dyDescent="0.25">
      <c r="A39" s="61" t="s">
        <v>27</v>
      </c>
      <c r="B39" s="62"/>
      <c r="C39" s="11"/>
      <c r="D39" s="11"/>
      <c r="E39" s="11"/>
      <c r="F39" s="11"/>
      <c r="G39" s="11"/>
      <c r="H39" s="84" t="s">
        <v>796</v>
      </c>
      <c r="I39" s="118" t="str">
        <f>IF(_epmOfflineCondition_,"T4",_xll.EVPRO($B$1,$H39,"STYLE"))</f>
        <v>T4</v>
      </c>
      <c r="J39" s="118" t="str">
        <f>IF(_epmOfflineCondition_,"Y",_xll.EVPRO($B$1,$H39,"CALC"))</f>
        <v>Y</v>
      </c>
      <c r="K39" s="175" t="str">
        <f t="shared" si="0"/>
        <v>&gt;</v>
      </c>
      <c r="L39" s="86" t="str">
        <f>IF(_epmOfflineCondition_,"702900",_xll.EVPRO($B$1,H39,"JDEID"))</f>
        <v>702900</v>
      </c>
      <c r="M39" s="86" t="str">
        <f>IF(_epmOfflineCondition_,"",IF(AND(I39="N",J39="N"),_xll.EVPRO($B$1,H39,"PSFTID"),""))</f>
        <v/>
      </c>
      <c r="N39" s="86" t="str">
        <f>IF(_epmOfflineCondition_,"Travel - Meals &amp; Entertainment",IF(_xll.EVDES(H39,$B$1)="#NODATA","",_xll.EVDES(H39,$B$1)))</f>
        <v>Travel - Meals &amp; Entertainment</v>
      </c>
      <c r="O39" s="134">
        <v>31.32</v>
      </c>
      <c r="P39" s="134">
        <v>3.63</v>
      </c>
      <c r="Q39" s="134">
        <v>10.37</v>
      </c>
      <c r="R39" s="134">
        <v>0.44</v>
      </c>
      <c r="S39" s="134">
        <v>8.49</v>
      </c>
      <c r="T39" s="134">
        <v>0.46</v>
      </c>
      <c r="U39" s="134">
        <v>60.47</v>
      </c>
      <c r="V39" s="134">
        <v>12.39</v>
      </c>
      <c r="W39" s="134">
        <v>4.12</v>
      </c>
      <c r="X39" s="134">
        <v>91.03</v>
      </c>
      <c r="Y39" s="134">
        <v>21.68</v>
      </c>
      <c r="Z39" s="134">
        <v>100.63</v>
      </c>
      <c r="AA39" s="240">
        <f t="shared" si="1"/>
        <v>345.03</v>
      </c>
      <c r="AB39" s="138">
        <f t="shared" si="2"/>
        <v>4.1143622615491826E-5</v>
      </c>
      <c r="AC39" s="136"/>
      <c r="AD39" s="134">
        <v>600</v>
      </c>
      <c r="AE39" s="138">
        <f t="shared" si="3"/>
        <v>4.5986142512499743E-5</v>
      </c>
      <c r="AF39" s="137">
        <f t="shared" si="4"/>
        <v>-254.97000000000003</v>
      </c>
      <c r="AG39" s="134">
        <v>1028.95</v>
      </c>
      <c r="AH39" s="138">
        <f t="shared" si="5"/>
        <v>3.157577555353835E-4</v>
      </c>
      <c r="AI39" s="137">
        <f t="shared" si="6"/>
        <v>-683.92000000000007</v>
      </c>
      <c r="AJ39" s="458">
        <f t="shared" si="7"/>
        <v>7.1612702366127016E-3</v>
      </c>
      <c r="AK39" s="459">
        <f t="shared" si="8"/>
        <v>1.2453300124533001E-2</v>
      </c>
      <c r="AL39" s="460">
        <f t="shared" si="9"/>
        <v>2.7622077259670884E-2</v>
      </c>
      <c r="AM39" s="461" t="str">
        <f t="shared" si="10"/>
        <v>0 pts.</v>
      </c>
      <c r="AN39" s="462" t="str">
        <f t="shared" si="11"/>
        <v>-0.03 pts.</v>
      </c>
      <c r="AO39" s="11"/>
    </row>
    <row r="40" spans="1:41" x14ac:dyDescent="0.25">
      <c r="A40" s="61" t="s">
        <v>28</v>
      </c>
      <c r="B40" s="62"/>
      <c r="C40" s="11"/>
      <c r="D40" s="11"/>
      <c r="E40" s="11"/>
      <c r="F40" s="11"/>
      <c r="G40" s="11"/>
      <c r="H40" s="84" t="s">
        <v>798</v>
      </c>
      <c r="I40" s="118" t="str">
        <f>IF(_epmOfflineCondition_,"N",_xll.EVPRO($B$1,$H40,"STYLE"))</f>
        <v>N</v>
      </c>
      <c r="J40" s="118" t="str">
        <f>IF(_epmOfflineCondition_,"N",_xll.EVPRO($B$1,$H40,"CALC"))</f>
        <v>N</v>
      </c>
      <c r="K40" s="175" t="str">
        <f t="shared" si="0"/>
        <v/>
      </c>
      <c r="L40" s="86" t="str">
        <f>IF(_epmOfflineCondition_,"703100",_xll.EVPRO($B$1,H40,"JDEID"))</f>
        <v>703100</v>
      </c>
      <c r="M40" s="86" t="str">
        <f>IF(_epmOfflineCondition_,"690035",IF(AND(I40="N",J40="N"),_xll.EVPRO($B$1,H40,"PSFTID"),""))</f>
        <v>690035</v>
      </c>
      <c r="N40" s="86" t="str">
        <f>IF(_epmOfflineCondition_,"Training",IF(_xll.EVDES(H40,$B$1)="#NODATA","",_xll.EVDES(H40,$B$1)))</f>
        <v>Training</v>
      </c>
      <c r="O40" s="134"/>
      <c r="P40" s="134"/>
      <c r="Q40" s="134"/>
      <c r="R40" s="134"/>
      <c r="S40" s="134"/>
      <c r="T40" s="134"/>
      <c r="U40" s="134"/>
      <c r="V40" s="134">
        <v>76.069999999999993</v>
      </c>
      <c r="W40" s="134">
        <v>920.66</v>
      </c>
      <c r="X40" s="134"/>
      <c r="Y40" s="134"/>
      <c r="Z40" s="134"/>
      <c r="AA40" s="240">
        <f t="shared" si="1"/>
        <v>996.73</v>
      </c>
      <c r="AB40" s="138">
        <f t="shared" si="2"/>
        <v>1.1885657180401463E-4</v>
      </c>
      <c r="AC40" s="136"/>
      <c r="AD40" s="134">
        <v>3180</v>
      </c>
      <c r="AE40" s="138">
        <f t="shared" si="3"/>
        <v>2.4372655531624865E-4</v>
      </c>
      <c r="AF40" s="137">
        <f t="shared" si="4"/>
        <v>-2183.27</v>
      </c>
      <c r="AG40" s="134">
        <v>1174.22</v>
      </c>
      <c r="AH40" s="138">
        <f t="shared" si="5"/>
        <v>3.6033730667647411E-4</v>
      </c>
      <c r="AI40" s="137">
        <f t="shared" si="6"/>
        <v>-177.49</v>
      </c>
      <c r="AJ40" s="458">
        <f t="shared" si="7"/>
        <v>2.0687629721876297E-2</v>
      </c>
      <c r="AK40" s="459">
        <f t="shared" si="8"/>
        <v>6.6002490660024907E-2</v>
      </c>
      <c r="AL40" s="460">
        <f t="shared" si="9"/>
        <v>3.1521838339910339E-2</v>
      </c>
      <c r="AM40" s="461" t="str">
        <f t="shared" si="10"/>
        <v>-0.01 pts.</v>
      </c>
      <c r="AN40" s="462" t="str">
        <f t="shared" si="11"/>
        <v>-0.02 pts.</v>
      </c>
      <c r="AO40" s="11"/>
    </row>
    <row r="41" spans="1:41" x14ac:dyDescent="0.25">
      <c r="A41" s="61" t="s">
        <v>29</v>
      </c>
      <c r="B41" s="62"/>
      <c r="C41" s="11"/>
      <c r="D41" s="11"/>
      <c r="E41" s="11"/>
      <c r="F41" s="11"/>
      <c r="G41" s="11"/>
      <c r="H41" s="84" t="s">
        <v>799</v>
      </c>
      <c r="I41" s="118" t="str">
        <f>IF(_epmOfflineCondition_,"N",_xll.EVPRO($B$1,$H41,"STYLE"))</f>
        <v>N</v>
      </c>
      <c r="J41" s="118" t="str">
        <f>IF(_epmOfflineCondition_,"N",_xll.EVPRO($B$1,$H41,"CALC"))</f>
        <v>N</v>
      </c>
      <c r="K41" s="175" t="str">
        <f t="shared" si="0"/>
        <v/>
      </c>
      <c r="L41" s="86" t="str">
        <f>IF(_epmOfflineCondition_,"703200",_xll.EVPRO($B$1,H41,"JDEID"))</f>
        <v>703200</v>
      </c>
      <c r="M41" s="86" t="str">
        <f>IF(_epmOfflineCondition_,"590035",IF(AND(I41="N",J41="N"),_xll.EVPRO($B$1,H41,"PSFTID"),""))</f>
        <v>590035</v>
      </c>
      <c r="N41" s="86" t="str">
        <f>IF(_epmOfflineCondition_,"Uniform Costs",IF(_xll.EVDES(H41,$B$1)="#NODATA","",_xll.EVDES(H41,$B$1)))</f>
        <v>Uniform Costs</v>
      </c>
      <c r="O41" s="134"/>
      <c r="P41" s="134">
        <v>114.32</v>
      </c>
      <c r="Q41" s="134">
        <v>-114.32</v>
      </c>
      <c r="R41" s="134"/>
      <c r="S41" s="134"/>
      <c r="T41" s="134">
        <v>30.55</v>
      </c>
      <c r="U41" s="134">
        <v>17.760000000000002</v>
      </c>
      <c r="V41" s="134">
        <v>107.78</v>
      </c>
      <c r="W41" s="134"/>
      <c r="X41" s="134">
        <v>-156.09</v>
      </c>
      <c r="Y41" s="134"/>
      <c r="Z41" s="134"/>
      <c r="AA41" s="240">
        <f t="shared" si="1"/>
        <v>0</v>
      </c>
      <c r="AB41" s="138" t="str">
        <f t="shared" si="2"/>
        <v/>
      </c>
      <c r="AC41" s="136"/>
      <c r="AD41" s="134"/>
      <c r="AE41" s="138" t="str">
        <f t="shared" si="3"/>
        <v/>
      </c>
      <c r="AF41" s="137">
        <f t="shared" si="4"/>
        <v>0</v>
      </c>
      <c r="AG41" s="134">
        <v>155.74</v>
      </c>
      <c r="AH41" s="138">
        <f t="shared" si="5"/>
        <v>4.7792519410156595E-5</v>
      </c>
      <c r="AI41" s="137">
        <f t="shared" si="6"/>
        <v>-155.74</v>
      </c>
      <c r="AJ41" s="458">
        <f t="shared" si="7"/>
        <v>0</v>
      </c>
      <c r="AK41" s="459">
        <f t="shared" si="8"/>
        <v>0</v>
      </c>
      <c r="AL41" s="460">
        <f t="shared" si="9"/>
        <v>4.1808273603393198E-3</v>
      </c>
      <c r="AM41" s="461">
        <f t="shared" si="10"/>
        <v>0</v>
      </c>
      <c r="AN41" s="462">
        <f t="shared" si="11"/>
        <v>0</v>
      </c>
      <c r="AO41" s="11"/>
    </row>
    <row r="42" spans="1:41" x14ac:dyDescent="0.25">
      <c r="A42" s="61" t="s">
        <v>30</v>
      </c>
      <c r="B42" s="62" t="s">
        <v>78</v>
      </c>
      <c r="C42" s="11"/>
      <c r="D42" s="11"/>
      <c r="E42" s="11"/>
      <c r="F42" s="11"/>
      <c r="G42" s="11"/>
      <c r="H42" s="84" t="s">
        <v>800</v>
      </c>
      <c r="I42" s="118" t="str">
        <f>IF(_epmOfflineCondition_,"N",_xll.EVPRO($B$1,$H42,"STYLE"))</f>
        <v>N</v>
      </c>
      <c r="J42" s="118" t="str">
        <f>IF(_epmOfflineCondition_,"N",_xll.EVPRO($B$1,$H42,"CALC"))</f>
        <v>N</v>
      </c>
      <c r="K42" s="175" t="str">
        <f t="shared" si="0"/>
        <v/>
      </c>
      <c r="L42" s="86" t="str">
        <f>IF(_epmOfflineCondition_,"703300",_xll.EVPRO($B$1,H42,"JDEID"))</f>
        <v>703300</v>
      </c>
      <c r="M42" s="86" t="str">
        <f>IF(_epmOfflineCondition_,"590115",IF(AND(I42="N",J42="N"),_xll.EVPRO($B$1,H42,"PSFTID"),""))</f>
        <v>590115</v>
      </c>
      <c r="N42" s="86" t="str">
        <f>IF(_epmOfflineCondition_,"Uniforms Laundry",IF(_xll.EVDES(H42,$B$1)="#NODATA","",_xll.EVDES(H42,$B$1)))</f>
        <v>Uniforms Laundry</v>
      </c>
      <c r="O42" s="134"/>
      <c r="P42" s="134"/>
      <c r="Q42" s="134"/>
      <c r="R42" s="134">
        <v>0.38</v>
      </c>
      <c r="S42" s="134"/>
      <c r="T42" s="134"/>
      <c r="U42" s="134"/>
      <c r="V42" s="134"/>
      <c r="W42" s="134"/>
      <c r="X42" s="134"/>
      <c r="Y42" s="134"/>
      <c r="Z42" s="134"/>
      <c r="AA42" s="240">
        <f t="shared" si="1"/>
        <v>0.38</v>
      </c>
      <c r="AB42" s="138">
        <f t="shared" si="2"/>
        <v>4.5313672996223209E-8</v>
      </c>
      <c r="AC42" s="136"/>
      <c r="AD42" s="134"/>
      <c r="AE42" s="138" t="str">
        <f t="shared" si="3"/>
        <v/>
      </c>
      <c r="AF42" s="137">
        <f t="shared" si="4"/>
        <v>0.38</v>
      </c>
      <c r="AG42" s="134"/>
      <c r="AH42" s="138" t="str">
        <f t="shared" si="5"/>
        <v/>
      </c>
      <c r="AI42" s="137">
        <f t="shared" si="6"/>
        <v>0.38</v>
      </c>
      <c r="AJ42" s="458">
        <f t="shared" si="7"/>
        <v>7.8870900788709007E-6</v>
      </c>
      <c r="AK42" s="459">
        <f t="shared" si="8"/>
        <v>0</v>
      </c>
      <c r="AL42" s="460">
        <f t="shared" si="9"/>
        <v>0</v>
      </c>
      <c r="AM42" s="461">
        <f t="shared" si="10"/>
        <v>0</v>
      </c>
      <c r="AN42" s="462">
        <f t="shared" si="11"/>
        <v>0</v>
      </c>
      <c r="AO42" s="11"/>
    </row>
    <row r="43" spans="1:41" x14ac:dyDescent="0.25">
      <c r="A43" s="61" t="s">
        <v>31</v>
      </c>
      <c r="B43" s="62" t="s">
        <v>78</v>
      </c>
      <c r="C43" s="11"/>
      <c r="D43" s="11"/>
      <c r="E43" s="11"/>
      <c r="F43" s="11"/>
      <c r="G43" s="11"/>
      <c r="H43" s="84" t="s">
        <v>846</v>
      </c>
      <c r="I43" s="118" t="str">
        <f>IF(_epmOfflineCondition_,"N",_xll.EVPRO($B$1,$H43,"STYLE"))</f>
        <v>N</v>
      </c>
      <c r="J43" s="118" t="str">
        <f>IF(_epmOfflineCondition_,"N",_xll.EVPRO($B$1,$H43,"CALC"))</f>
        <v>N</v>
      </c>
      <c r="K43" s="175" t="str">
        <f t="shared" si="0"/>
        <v/>
      </c>
      <c r="L43" s="86" t="str">
        <f>IF(_epmOfflineCondition_,"706700",_xll.EVPRO($B$1,H43,"JDEID"))</f>
        <v>706700</v>
      </c>
      <c r="M43" s="86" t="str">
        <f>IF(_epmOfflineCondition_,"690248",IF(AND(I43="N",J43="N"),_xll.EVPRO($B$1,H43,"PSFTID"),""))</f>
        <v>690248</v>
      </c>
      <c r="N43" s="86" t="str">
        <f>IF(_epmOfflineCondition_,"Employee Relations",IF(_xll.EVDES(H43,$B$1)="#NODATA","",_xll.EVDES(H43,$B$1)))</f>
        <v>Employee Relations</v>
      </c>
      <c r="O43" s="134">
        <v>2261.1799999999998</v>
      </c>
      <c r="P43" s="134">
        <v>1767.4</v>
      </c>
      <c r="Q43" s="134">
        <v>7471.53</v>
      </c>
      <c r="R43" s="134">
        <v>1519.89</v>
      </c>
      <c r="S43" s="134">
        <v>1787.57</v>
      </c>
      <c r="T43" s="134">
        <v>1733.99</v>
      </c>
      <c r="U43" s="134">
        <v>2257.4899999999998</v>
      </c>
      <c r="V43" s="134">
        <v>1551.73</v>
      </c>
      <c r="W43" s="134">
        <v>889.65</v>
      </c>
      <c r="X43" s="134">
        <v>6254.33</v>
      </c>
      <c r="Y43" s="134">
        <v>1343.21</v>
      </c>
      <c r="Z43" s="134">
        <v>4649.55</v>
      </c>
      <c r="AA43" s="240">
        <f t="shared" si="1"/>
        <v>33487.520000000004</v>
      </c>
      <c r="AB43" s="138">
        <f t="shared" si="2"/>
        <v>3.9932698177223289E-3</v>
      </c>
      <c r="AC43" s="136"/>
      <c r="AD43" s="134">
        <v>29225</v>
      </c>
      <c r="AE43" s="138">
        <f t="shared" si="3"/>
        <v>2.2399083582130084E-3</v>
      </c>
      <c r="AF43" s="137">
        <f t="shared" si="4"/>
        <v>4262.5200000000041</v>
      </c>
      <c r="AG43" s="134">
        <v>29408.39</v>
      </c>
      <c r="AH43" s="138">
        <f t="shared" si="5"/>
        <v>9.0246632200876777E-3</v>
      </c>
      <c r="AI43" s="137">
        <f t="shared" si="6"/>
        <v>4079.1300000000047</v>
      </c>
      <c r="AJ43" s="458">
        <f t="shared" si="7"/>
        <v>0.69505022831050234</v>
      </c>
      <c r="AK43" s="459">
        <f t="shared" si="8"/>
        <v>0.60657949356579488</v>
      </c>
      <c r="AL43" s="460">
        <f t="shared" si="9"/>
        <v>0.7894657861533918</v>
      </c>
      <c r="AM43" s="461" t="str">
        <f t="shared" si="10"/>
        <v>0.18 pts.</v>
      </c>
      <c r="AN43" s="462" t="str">
        <f t="shared" si="11"/>
        <v>-0.5 pts.</v>
      </c>
      <c r="AO43" s="11"/>
    </row>
    <row r="44" spans="1:41" x14ac:dyDescent="0.25">
      <c r="A44" s="61" t="s">
        <v>32</v>
      </c>
      <c r="B44" s="62"/>
      <c r="C44" s="11"/>
      <c r="D44" s="11"/>
      <c r="E44" s="11"/>
      <c r="F44" s="11"/>
      <c r="G44" s="11"/>
      <c r="H44" s="84" t="s">
        <v>847</v>
      </c>
      <c r="I44" s="118" t="str">
        <f>IF(_epmOfflineCondition_,"N",_xll.EVPRO($B$1,$H44,"STYLE"))</f>
        <v>N</v>
      </c>
      <c r="J44" s="118" t="str">
        <f>IF(_epmOfflineCondition_,"N",_xll.EVPRO($B$1,$H44,"CALC"))</f>
        <v>N</v>
      </c>
      <c r="K44" s="175" t="str">
        <f t="shared" si="0"/>
        <v/>
      </c>
      <c r="L44" s="86" t="str">
        <f>IF(_epmOfflineCondition_,"706800",_xll.EVPRO($B$1,H44,"JDEID"))</f>
        <v>706800</v>
      </c>
      <c r="M44" s="86" t="str">
        <f>IF(_epmOfflineCondition_,"690030",IF(AND(I44="N",J44="N"),_xll.EVPRO($B$1,H44,"PSFTID"),""))</f>
        <v>690030</v>
      </c>
      <c r="N44" s="86" t="str">
        <f>IF(_epmOfflineCondition_,"Recruiting",IF(_xll.EVDES(H44,$B$1)="#NODATA","",_xll.EVDES(H44,$B$1)))</f>
        <v>Recruiting</v>
      </c>
      <c r="O44" s="134">
        <v>572.80999999999995</v>
      </c>
      <c r="P44" s="134">
        <v>516.55999999999995</v>
      </c>
      <c r="Q44" s="134">
        <v>7808.14</v>
      </c>
      <c r="R44" s="134">
        <v>1265.6600000000001</v>
      </c>
      <c r="S44" s="134">
        <v>755.93</v>
      </c>
      <c r="T44" s="134">
        <v>2082.69</v>
      </c>
      <c r="U44" s="134">
        <v>724.56</v>
      </c>
      <c r="V44" s="134">
        <v>347.49</v>
      </c>
      <c r="W44" s="134">
        <v>252.37</v>
      </c>
      <c r="X44" s="134">
        <v>2607.9499999999998</v>
      </c>
      <c r="Y44" s="134">
        <v>1268.25</v>
      </c>
      <c r="Z44" s="134">
        <v>4884.1899999999996</v>
      </c>
      <c r="AA44" s="240">
        <f t="shared" si="1"/>
        <v>23086.6</v>
      </c>
      <c r="AB44" s="138">
        <f t="shared" si="2"/>
        <v>2.7529964289331756E-3</v>
      </c>
      <c r="AC44" s="136"/>
      <c r="AD44" s="134">
        <v>8969</v>
      </c>
      <c r="AE44" s="138">
        <f t="shared" si="3"/>
        <v>6.8741618699101701E-4</v>
      </c>
      <c r="AF44" s="137">
        <f t="shared" si="4"/>
        <v>14117.599999999999</v>
      </c>
      <c r="AG44" s="134">
        <v>8457.18</v>
      </c>
      <c r="AH44" s="138">
        <f t="shared" si="5"/>
        <v>2.5952866271040718E-3</v>
      </c>
      <c r="AI44" s="137">
        <f t="shared" si="6"/>
        <v>14629.419999999998</v>
      </c>
      <c r="AJ44" s="458">
        <f t="shared" si="7"/>
        <v>0.47917393109173928</v>
      </c>
      <c r="AK44" s="459">
        <f t="shared" si="8"/>
        <v>0.18615608136156081</v>
      </c>
      <c r="AL44" s="460">
        <f t="shared" si="9"/>
        <v>0.22703229443504874</v>
      </c>
      <c r="AM44" s="461" t="str">
        <f t="shared" si="10"/>
        <v>0.21 pts.</v>
      </c>
      <c r="AN44" s="462" t="str">
        <f t="shared" si="11"/>
        <v>0.02 pts.</v>
      </c>
      <c r="AO44" s="11"/>
    </row>
    <row r="45" spans="1:41" x14ac:dyDescent="0.25">
      <c r="A45" s="61" t="s">
        <v>33</v>
      </c>
      <c r="B45" s="62"/>
      <c r="C45" s="11"/>
      <c r="D45" s="11"/>
      <c r="E45" s="11"/>
      <c r="F45" s="11"/>
      <c r="G45" s="11"/>
      <c r="H45" s="84" t="s">
        <v>848</v>
      </c>
      <c r="I45" s="118" t="str">
        <f>IF(_epmOfflineCondition_,"N",_xll.EVPRO($B$1,$H45,"STYLE"))</f>
        <v>N</v>
      </c>
      <c r="J45" s="118" t="str">
        <f>IF(_epmOfflineCondition_,"N",_xll.EVPRO($B$1,$H45,"CALC"))</f>
        <v>N</v>
      </c>
      <c r="K45" s="175" t="str">
        <f t="shared" si="0"/>
        <v/>
      </c>
      <c r="L45" s="86" t="str">
        <f>IF(_epmOfflineCondition_,"706900",_xll.EVPRO($B$1,H45,"JDEID"))</f>
        <v>706900</v>
      </c>
      <c r="M45" s="86" t="str">
        <f>IF(_epmOfflineCondition_,"690031",IF(AND(I45="N",J45="N"),_xll.EVPRO($B$1,H45,"PSFTID"),""))</f>
        <v>690031</v>
      </c>
      <c r="N45" s="86" t="str">
        <f>IF(_epmOfflineCondition_,"Relocation",IF(_xll.EVDES(H45,$B$1)="#NODATA","",_xll.EVDES(H45,$B$1)))</f>
        <v>Relocation</v>
      </c>
      <c r="O45" s="134">
        <v>885.5</v>
      </c>
      <c r="P45" s="134"/>
      <c r="Q45" s="134"/>
      <c r="R45" s="134">
        <v>-828.76</v>
      </c>
      <c r="S45" s="134"/>
      <c r="T45" s="134"/>
      <c r="U45" s="134"/>
      <c r="V45" s="134"/>
      <c r="W45" s="134"/>
      <c r="X45" s="134"/>
      <c r="Y45" s="134"/>
      <c r="Z45" s="134"/>
      <c r="AA45" s="240">
        <f t="shared" si="1"/>
        <v>56.740000000000009</v>
      </c>
      <c r="AB45" s="138">
        <f t="shared" si="2"/>
        <v>6.766046857383435E-6</v>
      </c>
      <c r="AC45" s="136"/>
      <c r="AD45" s="134"/>
      <c r="AE45" s="138" t="str">
        <f t="shared" si="3"/>
        <v/>
      </c>
      <c r="AF45" s="137">
        <f t="shared" si="4"/>
        <v>56.740000000000009</v>
      </c>
      <c r="AG45" s="134">
        <v>5000</v>
      </c>
      <c r="AH45" s="138">
        <f t="shared" si="5"/>
        <v>1.5343688008911196E-3</v>
      </c>
      <c r="AI45" s="137">
        <f t="shared" si="6"/>
        <v>-4943.26</v>
      </c>
      <c r="AJ45" s="458">
        <f t="shared" si="7"/>
        <v>1.177667081776671E-3</v>
      </c>
      <c r="AK45" s="459">
        <f t="shared" si="8"/>
        <v>0</v>
      </c>
      <c r="AL45" s="460">
        <f t="shared" si="9"/>
        <v>0.13422458457491074</v>
      </c>
      <c r="AM45" s="461">
        <f t="shared" si="10"/>
        <v>0</v>
      </c>
      <c r="AN45" s="462" t="str">
        <f t="shared" si="11"/>
        <v>-0.15 pts.</v>
      </c>
      <c r="AO45" s="11"/>
    </row>
    <row r="46" spans="1:41" x14ac:dyDescent="0.25">
      <c r="A46" s="61" t="s">
        <v>34</v>
      </c>
      <c r="B46" s="62"/>
      <c r="C46" s="11"/>
      <c r="D46" s="11"/>
      <c r="E46" s="11"/>
      <c r="F46" s="11"/>
      <c r="G46" s="11"/>
      <c r="H46" s="84" t="s">
        <v>79</v>
      </c>
      <c r="I46" s="132" t="str">
        <f>IF(_epmOfflineCondition_,"T3",_xll.EVPRO($B$1,$H46,"STYLE"))</f>
        <v>T3</v>
      </c>
      <c r="J46" s="132" t="str">
        <f>IF(_epmOfflineCondition_,"Y",_xll.EVPRO($B$1,$H46,"CALC"))</f>
        <v>Y</v>
      </c>
      <c r="K46" s="100"/>
      <c r="L46" s="55"/>
      <c r="M46" s="55"/>
      <c r="N46" s="102" t="str">
        <f>IF(_epmOfflineCondition_,"Total Operations Expense",IF(_xll.EVDES(H46,$B$1)="#NODATA","",_xll.EVDES(H46,$B$1)))</f>
        <v>Total Operations Expense</v>
      </c>
      <c r="O46" s="108">
        <f t="shared" ref="O46:Z46" si="12">SUM(O34:O45)</f>
        <v>3732.97</v>
      </c>
      <c r="P46" s="108">
        <f t="shared" si="12"/>
        <v>2451.8000000000002</v>
      </c>
      <c r="Q46" s="108">
        <f t="shared" si="12"/>
        <v>15414.35</v>
      </c>
      <c r="R46" s="108">
        <f t="shared" si="12"/>
        <v>2281.41</v>
      </c>
      <c r="S46" s="108">
        <f t="shared" si="12"/>
        <v>3683.48</v>
      </c>
      <c r="T46" s="108">
        <f t="shared" si="12"/>
        <v>3858.58</v>
      </c>
      <c r="U46" s="108">
        <f t="shared" si="12"/>
        <v>3424.97</v>
      </c>
      <c r="V46" s="108">
        <f t="shared" si="12"/>
        <v>2367.3599999999997</v>
      </c>
      <c r="W46" s="108">
        <f t="shared" si="12"/>
        <v>2066.8799999999997</v>
      </c>
      <c r="X46" s="108">
        <f t="shared" si="12"/>
        <v>9219.130000000001</v>
      </c>
      <c r="Y46" s="108">
        <f t="shared" si="12"/>
        <v>2449.66</v>
      </c>
      <c r="Z46" s="108">
        <f t="shared" si="12"/>
        <v>9982.5999999999985</v>
      </c>
      <c r="AA46" s="108">
        <f t="shared" si="1"/>
        <v>60933.19000000001</v>
      </c>
      <c r="AB46" s="109">
        <f t="shared" si="2"/>
        <v>7.2660701217808913E-3</v>
      </c>
      <c r="AC46" s="11"/>
      <c r="AD46" s="108">
        <f>SUM(AD34:AD45)</f>
        <v>43889</v>
      </c>
      <c r="AE46" s="109">
        <f t="shared" si="3"/>
        <v>3.3638096812185019E-3</v>
      </c>
      <c r="AF46" s="110">
        <f t="shared" si="4"/>
        <v>17044.19000000001</v>
      </c>
      <c r="AG46" s="108">
        <f>SUM(AG34:AG45)</f>
        <v>45684.479999999996</v>
      </c>
      <c r="AH46" s="109">
        <f t="shared" si="5"/>
        <v>1.4019368159386866E-2</v>
      </c>
      <c r="AI46" s="110">
        <f t="shared" si="6"/>
        <v>15248.710000000014</v>
      </c>
      <c r="AJ46" s="411">
        <f t="shared" si="7"/>
        <v>1.2646988376919885</v>
      </c>
      <c r="AK46" s="412">
        <f t="shared" si="8"/>
        <v>0.91093814860938149</v>
      </c>
      <c r="AL46" s="413">
        <f t="shared" si="9"/>
        <v>1.2263960699041636</v>
      </c>
      <c r="AM46" s="414" t="str">
        <f t="shared" si="10"/>
        <v>0.39 pts.</v>
      </c>
      <c r="AN46" s="538" t="str">
        <f t="shared" si="11"/>
        <v>-0.68 pts.</v>
      </c>
      <c r="AO46" s="11"/>
    </row>
    <row r="47" spans="1:41" x14ac:dyDescent="0.25">
      <c r="A47" s="61" t="s">
        <v>35</v>
      </c>
      <c r="B47" s="62"/>
      <c r="C47" s="11"/>
      <c r="D47" s="11"/>
      <c r="E47" s="11"/>
      <c r="F47" s="11"/>
      <c r="G47" s="11"/>
      <c r="H47" s="11"/>
      <c r="I47" s="55"/>
      <c r="J47" s="55"/>
      <c r="K47" s="11"/>
      <c r="L47" s="55"/>
      <c r="M47" s="55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</row>
    <row r="48" spans="1:41" x14ac:dyDescent="0.25">
      <c r="A48" s="61" t="s">
        <v>36</v>
      </c>
      <c r="B48" s="62"/>
      <c r="C48" s="11"/>
      <c r="D48" s="11"/>
      <c r="E48" s="11"/>
      <c r="F48" s="11"/>
      <c r="G48" s="11"/>
      <c r="H48" s="84" t="s">
        <v>498</v>
      </c>
      <c r="I48" s="55"/>
      <c r="J48" s="55"/>
      <c r="K48" s="11"/>
      <c r="L48" s="55"/>
      <c r="M48" s="55"/>
      <c r="N48" s="100" t="str">
        <f>N46&amp;" - Check"</f>
        <v>Total Operations Expense - Check</v>
      </c>
      <c r="O48" s="205">
        <f>INDEX(AG!O50:O74,MATCH($H$48,AG!$G50:$G73,0))-O46</f>
        <v>0</v>
      </c>
      <c r="P48" s="205">
        <f>INDEX(AG!P50:P74,MATCH($H$48,AG!$G50:$G73,0))-P46</f>
        <v>0</v>
      </c>
      <c r="Q48" s="205">
        <f>INDEX(AG!Q50:Q74,MATCH($H$48,AG!$G50:$G73,0))-Q46</f>
        <v>0</v>
      </c>
      <c r="R48" s="205">
        <f>INDEX(AG!R50:R74,MATCH($H$48,AG!$G50:$G73,0))-R46</f>
        <v>0</v>
      </c>
      <c r="S48" s="205">
        <f>INDEX(AG!S50:S74,MATCH($H$48,AG!$G50:$G73,0))-S46</f>
        <v>0</v>
      </c>
      <c r="T48" s="205">
        <f>INDEX(AG!T50:T74,MATCH($H$48,AG!$G50:$G73,0))-T46</f>
        <v>0</v>
      </c>
      <c r="U48" s="205">
        <f>INDEX(AG!U50:U74,MATCH($H$48,AG!$G50:$G73,0))-U46</f>
        <v>0</v>
      </c>
      <c r="V48" s="205">
        <f>INDEX(AG!V50:V74,MATCH($H$48,AG!$G50:$G73,0))-V46</f>
        <v>0</v>
      </c>
      <c r="W48" s="205">
        <f>INDEX(AG!W50:W74,MATCH($H$48,AG!$G50:$G73,0))-W46</f>
        <v>0</v>
      </c>
      <c r="X48" s="205">
        <f>INDEX(AG!X50:X74,MATCH($H$48,AG!$G50:$G73,0))-X46</f>
        <v>0</v>
      </c>
      <c r="Y48" s="205">
        <f>INDEX(AG!Y50:Y74,MATCH($H$48,AG!$G50:$G73,0))-Y46</f>
        <v>0</v>
      </c>
      <c r="Z48" s="205">
        <f>INDEX(AG!Z50:Z74,MATCH($H$48,AG!$G50:$G73,0))-Z46</f>
        <v>0</v>
      </c>
      <c r="AA48" s="205">
        <f>IF($I48="B1","",SUM(O48:Z48))</f>
        <v>0</v>
      </c>
      <c r="AB48" s="583"/>
      <c r="AC48" s="133"/>
      <c r="AD48" s="205">
        <f>INDEX(AG!AD50:AD74,MATCH($H$48,AG!$G50:$G73,0))-AD46</f>
        <v>0</v>
      </c>
      <c r="AE48" s="583"/>
      <c r="AF48" s="87"/>
      <c r="AG48" s="205">
        <f>INDEX(AG!AG50:AG74,MATCH($H$48,AG!$G50:$G73,0))-AG46</f>
        <v>0</v>
      </c>
      <c r="AH48" s="583"/>
      <c r="AI48" s="87"/>
      <c r="AJ48" s="11"/>
      <c r="AK48" s="11"/>
      <c r="AL48" s="11"/>
      <c r="AM48" s="11"/>
      <c r="AN48" s="11"/>
      <c r="AO48" s="11"/>
    </row>
    <row r="49" spans="1:41" x14ac:dyDescent="0.25">
      <c r="A49" s="61" t="s">
        <v>37</v>
      </c>
      <c r="B49" s="62"/>
      <c r="C49" s="11"/>
      <c r="D49" s="11"/>
      <c r="E49" s="11"/>
      <c r="F49" s="11"/>
      <c r="G49" s="11"/>
      <c r="H49" s="11"/>
      <c r="I49" s="55"/>
      <c r="J49" s="55"/>
      <c r="K49" s="11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55"/>
      <c r="W49" s="55"/>
      <c r="X49" s="55"/>
      <c r="Y49" s="55"/>
      <c r="Z49" s="55"/>
      <c r="AA49" s="55"/>
      <c r="AB49" s="55"/>
      <c r="AC49" s="11"/>
      <c r="AD49" s="55"/>
      <c r="AE49" s="55"/>
      <c r="AF49" s="55"/>
      <c r="AG49" s="55"/>
      <c r="AH49" s="55"/>
      <c r="AI49" s="55"/>
      <c r="AJ49" s="11"/>
      <c r="AK49" s="11"/>
      <c r="AL49" s="11"/>
      <c r="AM49" s="11"/>
      <c r="AN49" s="11"/>
      <c r="AO49" s="11"/>
    </row>
    <row r="50" spans="1:41" x14ac:dyDescent="0.25">
      <c r="A50" s="61" t="s">
        <v>38</v>
      </c>
      <c r="B50" s="62"/>
      <c r="C50" s="11"/>
      <c r="D50" s="11"/>
      <c r="E50" s="11"/>
      <c r="F50" s="11"/>
      <c r="G50" s="11"/>
      <c r="H50" s="11"/>
      <c r="I50" s="55"/>
      <c r="J50" s="55"/>
      <c r="K50" s="11"/>
      <c r="L50" s="55"/>
      <c r="M50" s="55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</row>
    <row r="51" spans="1:41" x14ac:dyDescent="0.25">
      <c r="A51" s="61" t="s">
        <v>39</v>
      </c>
      <c r="B51" s="62"/>
      <c r="C51" s="11"/>
      <c r="D51" s="11"/>
      <c r="E51" s="11"/>
      <c r="F51" s="11"/>
      <c r="G51" s="11"/>
      <c r="H51" s="11"/>
      <c r="I51" s="55"/>
      <c r="J51" s="55"/>
      <c r="K51" s="11"/>
      <c r="L51" s="55"/>
      <c r="M51" s="55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</row>
    <row r="52" spans="1:41" x14ac:dyDescent="0.25">
      <c r="A52" s="61" t="s">
        <v>40</v>
      </c>
      <c r="B52" s="62"/>
      <c r="C52" s="11"/>
      <c r="D52" s="11"/>
      <c r="E52" s="11"/>
      <c r="F52" s="11"/>
      <c r="G52" s="11"/>
      <c r="H52" s="11"/>
      <c r="I52" s="55"/>
      <c r="J52" s="55"/>
      <c r="K52" s="11"/>
      <c r="L52" s="55"/>
      <c r="M52" s="55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</row>
    <row r="53" spans="1:41" x14ac:dyDescent="0.25">
      <c r="A53" s="61" t="s">
        <v>41</v>
      </c>
      <c r="B53" s="62"/>
      <c r="C53" s="11"/>
      <c r="D53" s="11"/>
      <c r="E53" s="11"/>
      <c r="F53" s="11"/>
      <c r="G53" s="11"/>
      <c r="H53" s="11"/>
      <c r="I53" s="55"/>
      <c r="J53" s="55"/>
      <c r="K53" s="11"/>
      <c r="L53" s="55"/>
      <c r="M53" s="55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</row>
    <row r="54" spans="1:41" x14ac:dyDescent="0.25">
      <c r="A54" s="61" t="s">
        <v>42</v>
      </c>
      <c r="B54" s="62"/>
      <c r="C54" s="11"/>
      <c r="D54" s="11"/>
      <c r="E54" s="11"/>
      <c r="F54" s="11"/>
      <c r="G54" s="11"/>
      <c r="H54" s="11"/>
      <c r="I54" s="55"/>
      <c r="J54" s="55"/>
      <c r="K54" s="11"/>
      <c r="L54" s="55"/>
      <c r="M54" s="55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</row>
    <row r="55" spans="1:41" x14ac:dyDescent="0.25">
      <c r="A55" s="61" t="s">
        <v>43</v>
      </c>
      <c r="B55" s="62"/>
      <c r="C55" s="11"/>
      <c r="D55" s="11"/>
      <c r="E55" s="11"/>
      <c r="F55" s="11"/>
      <c r="G55" s="11"/>
      <c r="H55" s="11"/>
      <c r="I55" s="55"/>
      <c r="J55" s="55"/>
      <c r="K55" s="11"/>
      <c r="L55" s="55"/>
      <c r="M55" s="55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</row>
    <row r="56" spans="1:41" x14ac:dyDescent="0.25">
      <c r="A56" s="61" t="s">
        <v>44</v>
      </c>
      <c r="B56" s="62"/>
      <c r="C56" s="11"/>
      <c r="D56" s="11"/>
      <c r="E56" s="11"/>
      <c r="F56" s="11"/>
      <c r="G56" s="11"/>
      <c r="H56" s="55"/>
      <c r="I56" s="55"/>
      <c r="J56" s="11"/>
      <c r="K56" s="11"/>
      <c r="L56" s="55"/>
      <c r="M56" s="55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</row>
    <row r="57" spans="1:41" x14ac:dyDescent="0.25">
      <c r="A57" s="61" t="s">
        <v>45</v>
      </c>
      <c r="B57" s="62"/>
      <c r="C57" s="11"/>
      <c r="D57" s="11"/>
      <c r="E57" s="11"/>
      <c r="F57" s="11"/>
      <c r="G57" s="11"/>
      <c r="H57" s="55"/>
      <c r="I57" s="55"/>
      <c r="J57" s="11"/>
      <c r="K57" s="11"/>
      <c r="L57" s="55"/>
      <c r="M57" s="55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</row>
    <row r="58" spans="1:41" x14ac:dyDescent="0.25">
      <c r="A58" s="61" t="s">
        <v>46</v>
      </c>
      <c r="B58" s="62"/>
      <c r="C58" s="11"/>
      <c r="D58" s="11"/>
      <c r="E58" s="11"/>
      <c r="F58" s="11"/>
      <c r="G58" s="11"/>
      <c r="H58" s="55"/>
      <c r="I58" s="55"/>
      <c r="J58" s="11"/>
      <c r="K58" s="11"/>
      <c r="L58" s="55"/>
      <c r="M58" s="55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</row>
    <row r="59" spans="1:41" x14ac:dyDescent="0.25">
      <c r="A59" s="11"/>
      <c r="B59" s="11"/>
      <c r="C59" s="11"/>
      <c r="D59" s="11"/>
      <c r="E59" s="11"/>
      <c r="F59" s="11"/>
      <c r="G59" s="11"/>
      <c r="H59" s="55"/>
      <c r="I59" s="55"/>
      <c r="J59" s="11"/>
      <c r="K59" s="11"/>
      <c r="L59" s="55"/>
      <c r="M59" s="55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</row>
    <row r="60" spans="1:41" x14ac:dyDescent="0.25">
      <c r="A60" s="11"/>
      <c r="B60" s="11"/>
      <c r="C60" s="11"/>
      <c r="D60" s="11"/>
      <c r="E60" s="11"/>
      <c r="F60" s="11"/>
      <c r="G60" s="11"/>
      <c r="H60" s="55"/>
      <c r="I60" s="55"/>
      <c r="J60" s="11"/>
      <c r="K60" s="11"/>
      <c r="L60" s="55"/>
      <c r="M60" s="55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</row>
    <row r="61" spans="1:41" x14ac:dyDescent="0.25">
      <c r="A61" s="11"/>
      <c r="B61" s="11"/>
      <c r="C61" s="11"/>
      <c r="D61" s="11"/>
      <c r="E61" s="11"/>
      <c r="F61" s="11"/>
      <c r="G61" s="11"/>
      <c r="H61" s="55"/>
      <c r="I61" s="55"/>
      <c r="J61" s="11"/>
      <c r="K61" s="11"/>
      <c r="L61" s="55"/>
      <c r="M61" s="55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</row>
    <row r="62" spans="1:41" x14ac:dyDescent="0.25">
      <c r="A62" s="11"/>
      <c r="B62" s="11"/>
      <c r="C62" s="11"/>
      <c r="D62" s="11"/>
      <c r="E62" s="11"/>
      <c r="F62" s="11"/>
      <c r="G62" s="11"/>
      <c r="H62" s="55"/>
      <c r="I62" s="55"/>
      <c r="J62" s="11"/>
      <c r="K62" s="11"/>
      <c r="L62" s="55"/>
      <c r="M62" s="55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</row>
    <row r="63" spans="1:41" x14ac:dyDescent="0.25">
      <c r="A63" s="11"/>
      <c r="B63" s="11"/>
      <c r="C63" s="11"/>
      <c r="D63" s="11"/>
      <c r="E63" s="11"/>
      <c r="F63" s="11"/>
      <c r="G63" s="11"/>
      <c r="H63" s="55"/>
      <c r="I63" s="55"/>
      <c r="J63" s="11"/>
      <c r="K63" s="11"/>
      <c r="L63" s="55"/>
      <c r="M63" s="55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</row>
    <row r="64" spans="1:41" x14ac:dyDescent="0.25">
      <c r="A64" s="11"/>
      <c r="B64" s="11"/>
      <c r="C64" s="11"/>
      <c r="D64" s="11"/>
      <c r="E64" s="11"/>
      <c r="F64" s="11"/>
      <c r="G64" s="11"/>
      <c r="H64" s="55"/>
      <c r="I64" s="55"/>
      <c r="J64" s="11"/>
      <c r="K64" s="11"/>
      <c r="L64" s="55"/>
      <c r="M64" s="55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</row>
    <row r="65" spans="1:41" x14ac:dyDescent="0.25">
      <c r="A65" s="11"/>
      <c r="B65" s="11"/>
      <c r="C65" s="11"/>
      <c r="D65" s="11"/>
      <c r="E65" s="11"/>
      <c r="F65" s="11"/>
      <c r="G65" s="11"/>
      <c r="H65" s="55"/>
      <c r="I65" s="55"/>
      <c r="J65" s="11"/>
      <c r="K65" s="11"/>
      <c r="L65" s="55"/>
      <c r="M65" s="55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</row>
    <row r="66" spans="1:41" x14ac:dyDescent="0.25">
      <c r="A66" s="11"/>
      <c r="B66" s="11"/>
      <c r="C66" s="11"/>
      <c r="D66" s="11"/>
      <c r="E66" s="11"/>
      <c r="F66" s="11"/>
      <c r="G66" s="11"/>
      <c r="H66" s="55"/>
      <c r="I66" s="55"/>
      <c r="J66" s="11"/>
      <c r="K66" s="11"/>
      <c r="L66" s="55"/>
      <c r="M66" s="55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</row>
    <row r="67" spans="1:41" x14ac:dyDescent="0.25">
      <c r="A67" s="11"/>
      <c r="B67" s="11"/>
      <c r="C67" s="11"/>
      <c r="D67" s="11"/>
      <c r="E67" s="11"/>
      <c r="F67" s="11"/>
      <c r="G67" s="11"/>
      <c r="H67" s="55"/>
      <c r="I67" s="55"/>
      <c r="J67" s="11"/>
      <c r="K67" s="11"/>
      <c r="L67" s="55"/>
      <c r="M67" s="55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</row>
    <row r="68" spans="1:41" x14ac:dyDescent="0.25">
      <c r="A68" s="11"/>
      <c r="B68" s="11"/>
      <c r="C68" s="11"/>
      <c r="D68" s="11"/>
      <c r="E68" s="11"/>
      <c r="F68" s="11"/>
      <c r="G68" s="11"/>
      <c r="H68" s="55"/>
      <c r="I68" s="55"/>
      <c r="J68" s="11"/>
      <c r="K68" s="11"/>
      <c r="L68" s="55"/>
      <c r="M68" s="55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</row>
    <row r="69" spans="1:41" x14ac:dyDescent="0.25">
      <c r="A69" s="11"/>
      <c r="B69" s="11"/>
      <c r="C69" s="11"/>
      <c r="D69" s="11"/>
      <c r="E69" s="11"/>
      <c r="F69" s="11"/>
      <c r="G69" s="11"/>
      <c r="H69" s="55"/>
      <c r="I69" s="55"/>
      <c r="J69" s="11"/>
      <c r="K69" s="11"/>
      <c r="L69" s="55"/>
      <c r="M69" s="55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</row>
    <row r="70" spans="1:41" x14ac:dyDescent="0.25">
      <c r="A70" s="11"/>
      <c r="B70" s="11"/>
      <c r="C70" s="11"/>
      <c r="D70" s="11"/>
      <c r="E70" s="11"/>
      <c r="F70" s="11"/>
      <c r="G70" s="11"/>
      <c r="H70" s="55"/>
      <c r="I70" s="55"/>
      <c r="J70" s="11"/>
      <c r="K70" s="11"/>
      <c r="L70" s="55"/>
      <c r="M70" s="55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</row>
    <row r="71" spans="1:41" x14ac:dyDescent="0.25">
      <c r="A71" s="11"/>
      <c r="B71" s="11"/>
      <c r="C71" s="11"/>
      <c r="D71" s="11"/>
      <c r="E71" s="11"/>
      <c r="F71" s="11"/>
      <c r="G71" s="11"/>
      <c r="H71" s="55"/>
      <c r="I71" s="55"/>
      <c r="J71" s="11"/>
      <c r="K71" s="11"/>
      <c r="L71" s="55"/>
      <c r="M71" s="55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</row>
    <row r="72" spans="1:41" x14ac:dyDescent="0.25">
      <c r="A72" s="11"/>
      <c r="B72" s="11"/>
      <c r="C72" s="11"/>
      <c r="D72" s="11"/>
      <c r="E72" s="11"/>
      <c r="F72" s="11"/>
      <c r="G72" s="11"/>
      <c r="H72" s="55"/>
      <c r="I72" s="55"/>
      <c r="J72" s="11"/>
      <c r="K72" s="11"/>
      <c r="L72" s="55"/>
      <c r="M72" s="55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</row>
    <row r="73" spans="1:41" x14ac:dyDescent="0.25">
      <c r="A73" s="11"/>
      <c r="B73" s="11"/>
      <c r="C73" s="11"/>
      <c r="D73" s="11"/>
      <c r="E73" s="11"/>
      <c r="F73" s="11"/>
      <c r="G73" s="11"/>
      <c r="H73" s="55"/>
      <c r="I73" s="55"/>
      <c r="J73" s="11"/>
      <c r="K73" s="11"/>
      <c r="L73" s="55"/>
      <c r="M73" s="55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</row>
    <row r="74" spans="1:41" x14ac:dyDescent="0.25">
      <c r="A74" s="11"/>
      <c r="B74" s="11"/>
      <c r="C74" s="11"/>
      <c r="D74" s="11"/>
      <c r="E74" s="11"/>
      <c r="F74" s="11"/>
      <c r="G74" s="11"/>
      <c r="H74" s="55"/>
      <c r="I74" s="55"/>
      <c r="J74" s="11"/>
      <c r="K74" s="11"/>
      <c r="L74" s="55"/>
      <c r="M74" s="55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</row>
    <row r="75" spans="1:41" x14ac:dyDescent="0.25">
      <c r="A75" s="11"/>
      <c r="B75" s="11"/>
      <c r="C75" s="11"/>
      <c r="D75" s="11"/>
      <c r="E75" s="11"/>
      <c r="F75" s="11"/>
      <c r="G75" s="11"/>
      <c r="H75" s="55"/>
      <c r="I75" s="55"/>
      <c r="J75" s="11"/>
      <c r="K75" s="11"/>
      <c r="L75" s="55"/>
      <c r="M75" s="55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</row>
    <row r="76" spans="1:41" x14ac:dyDescent="0.25">
      <c r="A76" s="11"/>
      <c r="B76" s="11"/>
      <c r="C76" s="11"/>
      <c r="D76" s="11"/>
      <c r="E76" s="11"/>
      <c r="F76" s="11"/>
      <c r="G76" s="11"/>
      <c r="H76" s="55"/>
      <c r="I76" s="55"/>
      <c r="J76" s="11"/>
      <c r="K76" s="11"/>
      <c r="L76" s="55"/>
      <c r="M76" s="55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</row>
    <row r="77" spans="1:41" x14ac:dyDescent="0.25">
      <c r="A77" s="11"/>
      <c r="B77" s="11"/>
      <c r="C77" s="11"/>
      <c r="D77" s="11"/>
      <c r="E77" s="11"/>
      <c r="F77" s="11"/>
      <c r="G77" s="11"/>
      <c r="H77" s="55"/>
      <c r="I77" s="55"/>
      <c r="J77" s="11"/>
      <c r="K77" s="11"/>
      <c r="L77" s="55"/>
      <c r="M77" s="55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</row>
    <row r="78" spans="1:41" x14ac:dyDescent="0.25">
      <c r="A78" s="11"/>
      <c r="B78" s="11"/>
      <c r="C78" s="11"/>
      <c r="D78" s="11"/>
      <c r="E78" s="11"/>
      <c r="F78" s="11"/>
      <c r="G78" s="11"/>
      <c r="H78" s="55"/>
      <c r="I78" s="55"/>
      <c r="J78" s="11"/>
      <c r="K78" s="11"/>
      <c r="L78" s="55"/>
      <c r="M78" s="55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</sheetData>
  <sheetProtection algorithmName="SHA-512" hashValue="SUOFu5q0t9rf4M4btf9y5V2xSmNkZGpLOqjTNDkRId8IaR2oHA5LwU+cAzmJuv8y3l8y+AKNTvACkK4ifu5RLA==" saltValue="uYG8Lzv57B9i0VA9mVEGhQ==" spinCount="100000" sheet="1" scenarios="1"/>
  <mergeCells count="2">
    <mergeCell ref="AD31:AE31"/>
    <mergeCell ref="AG31:AH31"/>
  </mergeCells>
  <dataValidations disablePrompts="1" count="2">
    <dataValidation type="list" allowBlank="1" sqref="B29" xr:uid="{00000000-0002-0000-1F00-000000000000}">
      <formula1>"SELF,ALL,BAS,DEP,BASMEMBERS,MEMBERS,NOEXPAND,GDEP"</formula1>
    </dataValidation>
    <dataValidation type="list" allowBlank="1" sqref="B28" xr:uid="{00000000-0002-0000-1F00-000001000000}">
      <formula1>"ACCOUNT,BUSINESSUNIT,CATEGORY,DATASRC,DEPARTMENT,INTCO,MEASURES,RPTCURRENCY,TIME"</formula1>
    </dataValidation>
  </dataValidations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customProperties>
    <customPr name="EpmWorksheetKeyString_GUID" r:id="rId2"/>
    <customPr name="FPMExcelClientCellBasedFunctionStatus" r:id="rId3"/>
    <customPr name="FPMExcelClientRefreshTime" r:id="rId4"/>
  </customProperties>
  <legacyDrawing r:id="rId5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4">
    <pageSetUpPr fitToPage="1"/>
  </sheetPr>
  <dimension ref="A1:AO126"/>
  <sheetViews>
    <sheetView topLeftCell="K25" zoomScale="85" zoomScaleNormal="85" workbookViewId="0">
      <pane xSplit="4" ySplit="8" topLeftCell="O33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2" width="9.7109375" style="2" hidden="1" customWidth="1" outlineLevel="1" collapsed="1"/>
    <col min="13" max="13" width="9.7109375" style="2" hidden="1" customWidth="1" outlineLevel="1"/>
    <col min="14" max="14" width="36.7109375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40" width="9.140625" style="1" hidden="1" customWidth="1" outlineLevel="1"/>
    <col min="41" max="41" width="9.140625" style="1" collapsed="1"/>
    <col min="42" max="16384" width="9.140625" style="1"/>
  </cols>
  <sheetData>
    <row r="1" spans="1:41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11"/>
      <c r="H1" s="11"/>
      <c r="I1" s="11"/>
      <c r="J1" s="11"/>
      <c r="K1" s="11"/>
      <c r="L1" s="51"/>
      <c r="M1" s="51"/>
      <c r="N1" s="5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</row>
    <row r="2" spans="1:41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11"/>
      <c r="H2" s="11"/>
      <c r="I2" s="11"/>
      <c r="J2" s="11"/>
      <c r="K2" s="11"/>
      <c r="L2" s="51"/>
      <c r="M2" s="5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</row>
    <row r="3" spans="1:41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11"/>
      <c r="H3" s="11"/>
      <c r="I3" s="11"/>
      <c r="J3" s="11"/>
      <c r="K3" s="11"/>
      <c r="L3" s="55"/>
      <c r="M3" s="55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11"/>
      <c r="H4" s="11"/>
      <c r="I4" s="55"/>
      <c r="J4" s="55"/>
      <c r="K4" s="11"/>
      <c r="L4" s="55"/>
      <c r="M4" s="55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11"/>
      <c r="H5" s="11"/>
      <c r="I5" s="55"/>
      <c r="J5" s="55"/>
      <c r="K5" s="11"/>
      <c r="L5" s="55"/>
      <c r="M5" s="55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idden="1" outlineLevel="1" x14ac:dyDescent="0.25">
      <c r="A6" s="49" t="s">
        <v>52</v>
      </c>
      <c r="B6" s="52" t="s">
        <v>500</v>
      </c>
      <c r="C6" s="11" t="str">
        <f>IF(_epmOfflineCondition_,"Information &amp; Telecom Systems",_xll.EVDES(B6,$B$1))</f>
        <v>Information &amp; Telecom Systems</v>
      </c>
      <c r="D6" s="11"/>
      <c r="E6" s="54" t="str">
        <f>IF(_epmOfflineCondition_,"D1157",_xll.EVPRO($B$1,$B$6,$F$6))</f>
        <v>D1157</v>
      </c>
      <c r="F6" s="11" t="s">
        <v>278</v>
      </c>
      <c r="G6" s="11"/>
      <c r="H6" s="11"/>
      <c r="I6" s="55"/>
      <c r="J6" s="55"/>
      <c r="K6" s="11"/>
      <c r="L6" s="55"/>
      <c r="M6" s="55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11"/>
      <c r="H7" s="11"/>
      <c r="I7" s="55"/>
      <c r="J7" s="55"/>
      <c r="K7" s="11"/>
      <c r="L7" s="55"/>
      <c r="M7" s="55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11"/>
      <c r="H8" s="11"/>
      <c r="I8" s="55"/>
      <c r="J8" s="55"/>
      <c r="K8" s="11"/>
      <c r="L8" s="55"/>
      <c r="M8" s="55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55"/>
      <c r="M9" s="55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55"/>
      <c r="M10" s="55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55"/>
      <c r="M11" s="55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55"/>
      <c r="M12" s="55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  <c r="AJ12" s="11"/>
      <c r="AK12" s="11"/>
      <c r="AL12" s="11"/>
      <c r="AM12" s="11"/>
      <c r="AN12" s="11"/>
      <c r="AO12" s="11"/>
    </row>
    <row r="13" spans="1:41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55"/>
      <c r="M13" s="55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  <c r="AJ13" s="11"/>
      <c r="AK13" s="11"/>
      <c r="AL13" s="11"/>
      <c r="AM13" s="11"/>
      <c r="AN13" s="11"/>
      <c r="AO13" s="11"/>
    </row>
    <row r="14" spans="1:41" hidden="1" outlineLevel="1" x14ac:dyDescent="0.25">
      <c r="A14" s="56" t="str">
        <f>IF(_epmOfflineCondition_,"Evdre:Ok",_xll.EVDRE($B$1,A17:B24,A27:B33))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55"/>
      <c r="M14" s="55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  <c r="AJ14" s="11"/>
      <c r="AK14" s="11"/>
      <c r="AL14" s="11"/>
      <c r="AM14" s="11"/>
      <c r="AN14" s="11"/>
      <c r="AO14" s="11"/>
    </row>
    <row r="15" spans="1:41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55"/>
      <c r="M15" s="55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  <c r="AJ15" s="11"/>
      <c r="AK15" s="11"/>
      <c r="AL15" s="11"/>
      <c r="AM15" s="11"/>
      <c r="AN15" s="11"/>
      <c r="AO15" s="11"/>
    </row>
    <row r="16" spans="1:41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55"/>
      <c r="M16" s="55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  <c r="AJ16" s="11"/>
      <c r="AK16" s="11"/>
      <c r="AL16" s="11"/>
      <c r="AM16" s="11"/>
      <c r="AN16" s="11"/>
      <c r="AO16" s="11"/>
    </row>
    <row r="17" spans="1:41" hidden="1" outlineLevel="1" x14ac:dyDescent="0.25">
      <c r="A17" s="61" t="s">
        <v>2</v>
      </c>
      <c r="B17" s="62" t="str">
        <f>IF(_epmOfflineCondition_,"'IT'!$B$2:$B$10",_xll.EVRNG($B$2:$B$10))</f>
        <v>'IT'!$B$2:$B$10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55"/>
      <c r="M17" s="55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/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  <c r="AJ17" s="11"/>
      <c r="AK17" s="11"/>
      <c r="AL17" s="11"/>
      <c r="AM17" s="11"/>
      <c r="AN17" s="11"/>
      <c r="AO17" s="11"/>
    </row>
    <row r="18" spans="1:41" hidden="1" outlineLevel="1" x14ac:dyDescent="0.25">
      <c r="A18" s="61" t="s">
        <v>3</v>
      </c>
      <c r="B18" s="62" t="str">
        <f>IF(_epmOfflineCondition_,"'IT'!$O$16:$AN$18",_xll.EVRNG($O$16:$AN$18))</f>
        <v>'IT'!$O$16:$AN$18</v>
      </c>
      <c r="C18" s="11"/>
      <c r="D18" s="11"/>
      <c r="E18" s="11"/>
      <c r="F18" s="11"/>
      <c r="G18" s="11"/>
      <c r="H18" s="11"/>
      <c r="I18" s="55"/>
      <c r="J18" s="55"/>
      <c r="K18" s="11"/>
      <c r="L18" s="55"/>
      <c r="M18" s="55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60"/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  <c r="AJ18" s="11"/>
      <c r="AK18" s="11"/>
      <c r="AL18" s="11"/>
      <c r="AM18" s="11"/>
      <c r="AN18" s="11"/>
      <c r="AO18" s="11"/>
    </row>
    <row r="19" spans="1:41" hidden="1" outlineLevel="1" x14ac:dyDescent="0.25">
      <c r="A19" s="61" t="s">
        <v>4</v>
      </c>
      <c r="B19" s="62" t="str">
        <f>IF(_epmOfflineCondition_,"'IT'!$H$35:$H$36",_xll.EVRNG(H35:H36))</f>
        <v>'IT'!$H$35:$H$36</v>
      </c>
      <c r="C19" s="11"/>
      <c r="D19" s="11"/>
      <c r="E19" s="11"/>
      <c r="F19" s="11"/>
      <c r="G19" s="63" t="s">
        <v>499</v>
      </c>
      <c r="H19" s="63">
        <v>400000</v>
      </c>
      <c r="I19" s="64"/>
      <c r="J19" s="64"/>
      <c r="K19" s="63"/>
      <c r="L19" s="64"/>
      <c r="M19" s="64"/>
      <c r="N19" s="63" t="str">
        <f>IF(_epmOfflineCondition_,"Total Revenue",_xll.EVDES(H19))</f>
        <v>Total Revenue</v>
      </c>
      <c r="O19" s="65">
        <f>IF(_epmOfflineCondition_,816981.25,_xll.EVGTS($B$1,1,$B$3,$B$5,$B$7,$B$9,O$16,O$17,O$18,$G$19,$H$19))</f>
        <v>816981.25</v>
      </c>
      <c r="P19" s="65">
        <f>IF(_epmOfflineCondition_,866773.26,_xll.EVGTS($B$1,1,$B$3,$B$5,$B$7,$B$9,P$16,P$17,P$18,$G$19,$H$19))</f>
        <v>866773.26</v>
      </c>
      <c r="Q19" s="65">
        <f>IF(_epmOfflineCondition_,969793.68,_xll.EVGTS($B$1,1,$B$3,$B$5,$B$7,$B$9,Q$16,Q$17,Q$18,$G$19,$H$19))</f>
        <v>969793.68</v>
      </c>
      <c r="R19" s="65">
        <f>IF(_epmOfflineCondition_,760228.83,_xll.EVGTS($B$1,1,$B$3,$B$5,$B$7,$B$9,R$16,R$17,R$18,$G$19,$H$19))</f>
        <v>760228.83</v>
      </c>
      <c r="S19" s="65">
        <f>IF(_epmOfflineCondition_,618655.29,_xll.EVGTS($B$1,1,$B$3,$B$5,$B$7,$B$9,S$16,S$17,S$18,$G$19,$H$19))</f>
        <v>618655.29</v>
      </c>
      <c r="T19" s="65">
        <f>IF(_epmOfflineCondition_,453678.77,_xll.EVGTS($B$1,1,$B$3,$B$5,$B$7,$B$9,T$16,T$17,T$18,$G$19,$H$19))</f>
        <v>453678.77</v>
      </c>
      <c r="U19" s="65">
        <f>IF(_epmOfflineCondition_,542439.38,_xll.EVGTS($B$1,1,$B$3,$B$5,$B$7,$B$9,U$16,U$17,U$18,$G$19,$H$19))</f>
        <v>542439.38</v>
      </c>
      <c r="V19" s="65">
        <f>IF(_epmOfflineCondition_,530393.92,_xll.EVGTS($B$1,1,$B$3,$B$5,$B$7,$B$9,V$16,V$17,V$18,$G$19,$H$19))</f>
        <v>530393.92000000004</v>
      </c>
      <c r="W19" s="65">
        <f>IF(_epmOfflineCondition_,366989.98,_xll.EVGTS($B$1,1,$B$3,$B$5,$B$7,$B$9,W$16,W$17,W$18,$G$19,$H$19))</f>
        <v>366989.98</v>
      </c>
      <c r="X19" s="65">
        <f>IF(_epmOfflineCondition_,549087,_xll.EVGTS($B$1,1,$B$3,$B$5,$B$7,$B$9,X$16,X$17,X$18,$G$19,$H$19))</f>
        <v>549087</v>
      </c>
      <c r="Y19" s="65">
        <f>IF(_epmOfflineCondition_,756850.37,_xll.EVGTS($B$1,1,$B$3,$B$5,$B$7,$B$9,Y$16,Y$17,Y$18,$G$19,$H$19))</f>
        <v>756850.37</v>
      </c>
      <c r="Z19" s="65">
        <f>IF(_epmOfflineCondition_,1154118.08,_xll.EVGTS($B$1,1,$B$3,$B$5,$B$7,$B$9,Z$16,Z$17,Z$18,$G$19,$H$19))</f>
        <v>1154118.08</v>
      </c>
      <c r="AA19" s="65">
        <f>SUM(O19:Z19)</f>
        <v>8385989.8099999996</v>
      </c>
      <c r="AB19" s="63"/>
      <c r="AC19" s="63"/>
      <c r="AD19" s="65">
        <f>IF(_epmOfflineCondition_,13047408.7892219,_xll.EVGTS($B$1,1,$B$3,$B$5,$B$7,$B$9,AD$16,AD$17,AD$18,$G$19,$H$19))</f>
        <v>13047408.7892219</v>
      </c>
      <c r="AE19" s="63"/>
      <c r="AF19" s="63"/>
      <c r="AG19" s="65">
        <f>IF(_epmOfflineCondition_,3258668.97,_xll.EVGTS($B$1,1,$B$3,$B$5,$B$7,$B$9,AG$16,AG$17,AG$18,$G$19,$H$19))</f>
        <v>3258668.97</v>
      </c>
      <c r="AH19" s="63"/>
      <c r="AI19" s="63"/>
      <c r="AJ19" s="11"/>
      <c r="AK19" s="11"/>
      <c r="AL19" s="11"/>
      <c r="AM19" s="11"/>
      <c r="AN19" s="11"/>
      <c r="AO19" s="11"/>
    </row>
    <row r="20" spans="1:41" hidden="1" outlineLevel="1" x14ac:dyDescent="0.25">
      <c r="A20" s="61" t="s">
        <v>5</v>
      </c>
      <c r="B20" s="62"/>
      <c r="C20" s="11"/>
      <c r="D20" s="11"/>
      <c r="E20" s="11"/>
      <c r="F20" s="11"/>
      <c r="G20" s="63" t="s">
        <v>750</v>
      </c>
      <c r="H20" s="63">
        <v>904100</v>
      </c>
      <c r="I20" s="64"/>
      <c r="J20" s="64"/>
      <c r="K20" s="63"/>
      <c r="L20" s="64"/>
      <c r="M20" s="64"/>
      <c r="N20" s="63" t="str">
        <f>IF(_epmOfflineCondition_,"Available rooms",_xll.EVDES(H20))</f>
        <v>Available rooms</v>
      </c>
      <c r="O20" s="65">
        <f>IF(_epmOfflineCondition_,4092,_xll.EVGTS($B$1,1,$B$3,$B$5,$B$7,$B$9,O$16,O$17,O$18,$G$20,$H$20))</f>
        <v>4092</v>
      </c>
      <c r="P20" s="65">
        <f>IF(_epmOfflineCondition_,3696,_xll.EVGTS($B$1,1,$B$3,$B$5,$B$7,$B$9,P$16,P$17,P$18,$G$20,$H$20))</f>
        <v>3696</v>
      </c>
      <c r="Q20" s="65">
        <f>IF(_epmOfflineCondition_,4092,_xll.EVGTS($B$1,1,$B$3,$B$5,$B$7,$B$9,Q$16,Q$17,Q$18,$G$20,$H$20))</f>
        <v>4092</v>
      </c>
      <c r="R20" s="65">
        <f>IF(_epmOfflineCondition_,3960,_xll.EVGTS($B$1,1,$B$3,$B$5,$B$7,$B$9,R$16,R$17,R$18,$G$20,$H$20))</f>
        <v>3960</v>
      </c>
      <c r="S20" s="65">
        <f>IF(_epmOfflineCondition_,4092,_xll.EVGTS($B$1,1,$B$3,$B$5,$B$7,$B$9,S$16,S$17,S$18,$G$20,$H$20))</f>
        <v>4092</v>
      </c>
      <c r="T20" s="65">
        <f>IF(_epmOfflineCondition_,3960,_xll.EVGTS($B$1,1,$B$3,$B$5,$B$7,$B$9,T$16,T$17,T$18,$G$20,$H$20))</f>
        <v>3960</v>
      </c>
      <c r="U20" s="65">
        <f>IF(_epmOfflineCondition_,4092,_xll.EVGTS($B$1,1,$B$3,$B$5,$B$7,$B$9,U$16,U$17,U$18,$G$20,$H$20))</f>
        <v>4092</v>
      </c>
      <c r="V20" s="65">
        <f>IF(_epmOfflineCondition_,4092,_xll.EVGTS($B$1,1,$B$3,$B$5,$B$7,$B$9,V$16,V$17,V$18,$G$20,$H$20))</f>
        <v>4092</v>
      </c>
      <c r="W20" s="65">
        <f>IF(_epmOfflineCondition_,3960,_xll.EVGTS($B$1,1,$B$3,$B$5,$B$7,$B$9,W$16,W$17,W$18,$G$20,$H$20))</f>
        <v>3960</v>
      </c>
      <c r="X20" s="65">
        <f>IF(_epmOfflineCondition_,4092,_xll.EVGTS($B$1,1,$B$3,$B$5,$B$7,$B$9,X$16,X$17,X$18,$G$20,$H$20))</f>
        <v>4092</v>
      </c>
      <c r="Y20" s="65">
        <f>IF(_epmOfflineCondition_,3960,_xll.EVGTS($B$1,1,$B$3,$B$5,$B$7,$B$9,Y$16,Y$17,Y$18,$G$20,$H$20))</f>
        <v>3960</v>
      </c>
      <c r="Z20" s="65">
        <f>IF(_epmOfflineCondition_,4092,_xll.EVGTS($B$1,1,$B$3,$B$5,$B$7,$B$9,Z$16,Z$17,Z$18,$G$20,$H$20))</f>
        <v>4092</v>
      </c>
      <c r="AA20" s="65">
        <f>SUM(O20:Z20)</f>
        <v>48180</v>
      </c>
      <c r="AB20" s="63"/>
      <c r="AC20" s="63"/>
      <c r="AD20" s="65">
        <f>IF(_epmOfflineCondition_,48180,_xll.EVGTS($B$1,1,$B$3,$B$5,$B$7,$B$9,AD$16,AD$17,AD$18,$G$20,$H$20))</f>
        <v>48180</v>
      </c>
      <c r="AE20" s="63"/>
      <c r="AF20" s="63"/>
      <c r="AG20" s="65">
        <f>IF(_epmOfflineCondition_,37251,_xll.EVGTS($B$1,1,$B$3,$B$5,$B$7,$B$9,AG$16,AG$17,AG$18,$G$20,$H$20))</f>
        <v>37251</v>
      </c>
      <c r="AH20" s="63"/>
      <c r="AI20" s="63"/>
      <c r="AJ20" s="11"/>
      <c r="AK20" s="11"/>
      <c r="AL20" s="11"/>
      <c r="AM20" s="11"/>
      <c r="AN20" s="11"/>
      <c r="AO20" s="11"/>
    </row>
    <row r="21" spans="1:41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55"/>
      <c r="J21" s="55"/>
      <c r="K21" s="11"/>
      <c r="L21" s="55"/>
      <c r="M21" s="55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idden="1" outlineLevel="1" x14ac:dyDescent="0.25">
      <c r="A22" s="61" t="s">
        <v>7</v>
      </c>
      <c r="B22" s="62" t="str">
        <f>IF(_epmOfflineCondition_,"'IT'!$A$36:$F$42",_xll.EVRNG(A36:F42))</f>
        <v>'IT'!$A$36:$F$42</v>
      </c>
      <c r="C22" s="11"/>
      <c r="D22" s="11"/>
      <c r="E22" s="11"/>
      <c r="F22" s="11"/>
      <c r="G22" s="11"/>
      <c r="H22" s="11"/>
      <c r="I22" s="55"/>
      <c r="J22" s="55"/>
      <c r="K22" s="11"/>
      <c r="L22" s="55"/>
      <c r="M22" s="55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idden="1" outlineLevel="1" x14ac:dyDescent="0.25">
      <c r="A23" s="61" t="s">
        <v>47</v>
      </c>
      <c r="B23" s="62" t="str">
        <f>IF(_epmOfflineCondition_,"'IT'!$A$105:$B$126",_xll.EVRNG($A$105:$B$126))</f>
        <v>'IT'!$A$105:$B$126</v>
      </c>
      <c r="C23" s="11"/>
      <c r="D23" s="11"/>
      <c r="E23" s="11"/>
      <c r="F23" s="11"/>
      <c r="G23" s="11"/>
      <c r="H23" s="11"/>
      <c r="I23" s="55"/>
      <c r="J23" s="55"/>
      <c r="K23" s="6"/>
      <c r="L23" s="55"/>
      <c r="M23" s="55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55"/>
      <c r="M24" s="55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55"/>
      <c r="M25" s="55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22.5" x14ac:dyDescent="0.3">
      <c r="A26" s="57" t="s">
        <v>9</v>
      </c>
      <c r="B26" s="58" t="s">
        <v>10</v>
      </c>
      <c r="C26" s="11"/>
      <c r="D26" s="11"/>
      <c r="E26" s="11"/>
      <c r="F26" s="11"/>
      <c r="G26" s="11"/>
      <c r="H26" s="11"/>
      <c r="I26" s="55"/>
      <c r="J26" s="55"/>
      <c r="K26" s="11"/>
      <c r="L26" s="55"/>
      <c r="M26" s="55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8" x14ac:dyDescent="0.25">
      <c r="A27" s="61" t="s">
        <v>11</v>
      </c>
      <c r="B27" s="62" t="s">
        <v>21</v>
      </c>
      <c r="C27" s="11"/>
      <c r="D27" s="11"/>
      <c r="E27" s="11"/>
      <c r="F27" s="11"/>
      <c r="G27" s="11"/>
      <c r="H27" s="11"/>
      <c r="I27" s="55"/>
      <c r="J27" s="55"/>
      <c r="K27" s="11"/>
      <c r="L27" s="55"/>
      <c r="M27" s="55"/>
      <c r="N27" s="67" t="str">
        <f>IF(_epmOfflineCondition_,"Information &amp; Telecom Systems Department",IF(_xll.EVDES(B6,$B$1)="#NODATA","",_xll.EVDES(B6,$B$1)&amp;" Department"))</f>
        <v>Information &amp; Telecom Systems Department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x14ac:dyDescent="0.25">
      <c r="A28" s="61" t="s">
        <v>12</v>
      </c>
      <c r="B28" s="62" t="s">
        <v>22</v>
      </c>
      <c r="C28" s="11"/>
      <c r="D28" s="11"/>
      <c r="E28" s="11"/>
      <c r="F28" s="11"/>
      <c r="G28" s="11"/>
      <c r="H28" s="11"/>
      <c r="I28" s="55"/>
      <c r="J28" s="55"/>
      <c r="K28" s="11"/>
      <c r="L28" s="55"/>
      <c r="M28" s="55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" customHeight="1" x14ac:dyDescent="0.25">
      <c r="A29" s="61" t="s">
        <v>13</v>
      </c>
      <c r="B29" s="62" t="s">
        <v>291</v>
      </c>
      <c r="C29" s="11"/>
      <c r="D29" s="11"/>
      <c r="E29" s="11"/>
      <c r="F29" s="11"/>
      <c r="G29" s="11"/>
      <c r="H29" s="11"/>
      <c r="I29" s="55"/>
      <c r="J29" s="55"/>
      <c r="K29" s="11"/>
      <c r="L29" s="55"/>
      <c r="M29" s="55"/>
      <c r="N29" s="68" t="str">
        <f>IF(_epmOfflineCondition_,"Local Currency",_xll.EVDES(B9,B1))</f>
        <v>Local Currency</v>
      </c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x14ac:dyDescent="0.25">
      <c r="A30" s="61" t="s">
        <v>14</v>
      </c>
      <c r="B30" s="62"/>
      <c r="C30" s="11"/>
      <c r="D30" s="11"/>
      <c r="E30" s="11"/>
      <c r="F30" s="11"/>
      <c r="G30" s="11"/>
      <c r="H30" s="11"/>
      <c r="I30" s="55"/>
      <c r="J30" s="55"/>
      <c r="K30" s="11"/>
      <c r="L30" s="55"/>
      <c r="M30" s="55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  <c r="AJ30" s="69" t="s">
        <v>753</v>
      </c>
      <c r="AK30" s="70"/>
      <c r="AL30" s="71"/>
      <c r="AM30" s="70" t="s">
        <v>751</v>
      </c>
      <c r="AN30" s="70"/>
      <c r="AO30" s="11"/>
    </row>
    <row r="31" spans="1:41" x14ac:dyDescent="0.25">
      <c r="A31" s="61" t="s">
        <v>15</v>
      </c>
      <c r="B31" s="62"/>
      <c r="C31" s="11"/>
      <c r="D31" s="11"/>
      <c r="E31" s="11"/>
      <c r="F31" s="11"/>
      <c r="G31" s="72"/>
      <c r="H31" s="11"/>
      <c r="I31" s="55"/>
      <c r="J31" s="55"/>
      <c r="K31" s="173"/>
      <c r="L31" s="55"/>
      <c r="M31" s="55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  <c r="AJ31" s="73" t="str">
        <f>IF(_epmOfflineCondition_,"2019",_xll.EVPRO($B$1,AA$16,"YEAR"))</f>
        <v>2019</v>
      </c>
      <c r="AK31" s="76" t="str">
        <f>IF(_epmOfflineCondition_,"2019",_xll.EVPRO($B$1,AD$16,"YEAR"))</f>
        <v>2019</v>
      </c>
      <c r="AL31" s="76" t="str">
        <f>IF(_epmOfflineCondition_,"2018",_xll.EVPRO($B$1,AG$16,"YEAR"))</f>
        <v>2018</v>
      </c>
      <c r="AM31" s="73" t="str">
        <f>"vs "&amp;AK31</f>
        <v>vs 2019</v>
      </c>
      <c r="AN31" s="73" t="str">
        <f>"vs "&amp;AL31</f>
        <v>vs 2018</v>
      </c>
      <c r="AO31" s="11"/>
    </row>
    <row r="32" spans="1:41" s="8" customFormat="1" ht="30" customHeight="1" x14ac:dyDescent="0.25">
      <c r="A32" s="77" t="s">
        <v>16</v>
      </c>
      <c r="B32" s="78" t="s">
        <v>290</v>
      </c>
      <c r="C32" s="79"/>
      <c r="D32" s="79"/>
      <c r="E32" s="79"/>
      <c r="F32" s="79"/>
      <c r="G32" s="79"/>
      <c r="H32" s="80"/>
      <c r="I32" s="81"/>
      <c r="J32" s="81"/>
      <c r="K32" s="174" t="s">
        <v>117</v>
      </c>
      <c r="L32" s="81"/>
      <c r="M32" s="81"/>
      <c r="N32" s="82" t="s">
        <v>120</v>
      </c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  <c r="AJ32" s="83" t="str">
        <f>Z32</f>
        <v>Actual</v>
      </c>
      <c r="AK32" s="76" t="str">
        <f>AD32</f>
        <v>Budget</v>
      </c>
      <c r="AL32" s="83" t="str">
        <f>AG32</f>
        <v>Actual</v>
      </c>
      <c r="AM32" s="73" t="s">
        <v>748</v>
      </c>
      <c r="AN32" s="73" t="s">
        <v>748</v>
      </c>
      <c r="AO32" s="79"/>
    </row>
    <row r="33" spans="1:41" x14ac:dyDescent="0.25">
      <c r="A33" s="61" t="s">
        <v>17</v>
      </c>
      <c r="B33" s="62"/>
      <c r="C33" s="11"/>
      <c r="D33" s="11"/>
      <c r="E33" s="11"/>
      <c r="F33" s="11"/>
      <c r="G33" s="11"/>
      <c r="H33" s="11" t="s">
        <v>73</v>
      </c>
      <c r="I33" s="55" t="str">
        <f>IF(_epmOfflineCondition_,"B1",_xll.EVPRO($B$1,$H33,"STYLE"))</f>
        <v>B1</v>
      </c>
      <c r="J33" s="55" t="str">
        <f>IF(_epmOfflineCondition_,"Y",_xll.EVPRO($B$1,$H33,"CALC"))</f>
        <v>Y</v>
      </c>
      <c r="K33" s="11"/>
      <c r="L33" s="55"/>
      <c r="M33" s="55"/>
      <c r="N33" s="101" t="str">
        <f>IF(_epmOfflineCondition_,"Labor &amp; Related Expenses",IF(_xll.EVDES(H33,$B$1)="#NODATA","",_xll.EVDES(H33,$B$1)))</f>
        <v>Labor &amp; Related Expenses</v>
      </c>
      <c r="O33" s="199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114"/>
      <c r="AC33" s="11"/>
      <c r="AD33" s="199"/>
      <c r="AE33" s="200"/>
      <c r="AF33" s="114"/>
      <c r="AG33" s="199"/>
      <c r="AH33" s="200"/>
      <c r="AI33" s="114"/>
      <c r="AJ33" s="11"/>
      <c r="AK33" s="11"/>
      <c r="AL33" s="11"/>
      <c r="AM33" s="11"/>
      <c r="AN33" s="11"/>
      <c r="AO33" s="11"/>
    </row>
    <row r="34" spans="1:41" x14ac:dyDescent="0.25">
      <c r="A34" s="11"/>
      <c r="B34" s="11"/>
      <c r="C34" s="11"/>
      <c r="D34" s="11"/>
      <c r="E34" s="11"/>
      <c r="F34" s="11"/>
      <c r="G34" s="11"/>
      <c r="H34" s="11" t="s">
        <v>74</v>
      </c>
      <c r="I34" s="55" t="str">
        <f>IF(_epmOfflineCondition_,"B1",_xll.EVPRO($B$1,$H34,"STYLE"))</f>
        <v>B1</v>
      </c>
      <c r="J34" s="55" t="str">
        <f>IF(_epmOfflineCondition_,"Y",_xll.EVPRO($B$1,$H34,"CALC"))</f>
        <v>Y</v>
      </c>
      <c r="K34" s="11"/>
      <c r="L34" s="55"/>
      <c r="M34" s="55"/>
      <c r="N34" s="49" t="str">
        <f>IF(_epmOfflineCondition_,"Salaries &amp; Wages",IF(_xll.EVDES(H34,$B$1)="#NODATA","",_xll.EVDES(H34,$B$1)))</f>
        <v>Salaries &amp; Wages</v>
      </c>
      <c r="O34" s="115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7"/>
      <c r="AC34" s="11"/>
      <c r="AD34" s="115"/>
      <c r="AE34" s="116"/>
      <c r="AF34" s="117"/>
      <c r="AG34" s="115"/>
      <c r="AH34" s="116"/>
      <c r="AI34" s="117"/>
      <c r="AJ34" s="11"/>
      <c r="AK34" s="11"/>
      <c r="AL34" s="11"/>
      <c r="AM34" s="11"/>
      <c r="AN34" s="11"/>
      <c r="AO34" s="11"/>
    </row>
    <row r="35" spans="1:41" x14ac:dyDescent="0.25">
      <c r="A35" s="93" t="s">
        <v>92</v>
      </c>
      <c r="B35" s="94" t="s">
        <v>93</v>
      </c>
      <c r="C35" s="94" t="s">
        <v>94</v>
      </c>
      <c r="D35" s="94" t="s">
        <v>95</v>
      </c>
      <c r="E35" s="94" t="s">
        <v>96</v>
      </c>
      <c r="F35" s="95" t="s">
        <v>97</v>
      </c>
      <c r="G35" s="11"/>
      <c r="H35" s="84" t="s">
        <v>75</v>
      </c>
      <c r="I35" s="85" t="str">
        <f>IF(_epmOfflineCondition_,"B1",_xll.EVPRO($B$1,$H35,"STYLE"))</f>
        <v>B1</v>
      </c>
      <c r="J35" s="85" t="str">
        <f>IF(_epmOfflineCondition_,"Y",_xll.EVPRO($B$1,$H35,"CALC"))</f>
        <v>Y</v>
      </c>
      <c r="K35" s="261" t="str">
        <f>IF(AND(I35&gt;="T3"),"&gt;","")</f>
        <v/>
      </c>
      <c r="L35" s="102" t="str">
        <f>IF(_epmOfflineCondition_,"",_xll.EVPRO($B$1,H35,"JDEID"))</f>
        <v/>
      </c>
      <c r="M35" s="186" t="str">
        <f>IF(_epmOfflineCondition_,"",IF(AND(I35="N",J35="N"),_xll.EVPRO($B$1,H35,"PSFTID"),""))</f>
        <v/>
      </c>
      <c r="N35" s="102" t="str">
        <f>IF(_epmOfflineCondition_,"Non-Management",IF(_xll.EVDES(H35,$B$1)="#NODATA","",_xll.EVDES(H35,$B$1)))</f>
        <v>Non-Management</v>
      </c>
      <c r="O35" s="240"/>
      <c r="P35" s="240"/>
      <c r="Q35" s="240"/>
      <c r="R35" s="240"/>
      <c r="S35" s="240"/>
      <c r="T35" s="240"/>
      <c r="U35" s="240"/>
      <c r="V35" s="240"/>
      <c r="W35" s="240"/>
      <c r="X35" s="240"/>
      <c r="Y35" s="240"/>
      <c r="Z35" s="240"/>
      <c r="AA35" s="240" t="str">
        <f>IF($I35="B1","",SUM(O35:Z35))</f>
        <v/>
      </c>
      <c r="AB35" s="242" t="str">
        <f>IF(AA35=0,"",IFERROR(AA35/AA$19,""))</f>
        <v/>
      </c>
      <c r="AC35" s="136"/>
      <c r="AD35" s="134"/>
      <c r="AE35" s="138" t="str">
        <f>IF(AD35=0,"",IFERROR(AD35/AD$19,""))</f>
        <v/>
      </c>
      <c r="AF35" s="137" t="str">
        <f>IF(AND($AA35="",AD35=""),"",$AA35-AD35)</f>
        <v/>
      </c>
      <c r="AG35" s="134"/>
      <c r="AH35" s="138" t="str">
        <f>IF(AG35=0,"",IFERROR(AG35/AG$19,""))</f>
        <v/>
      </c>
      <c r="AI35" s="137" t="str">
        <f>IF(AND($AA35="",AG35=""),"",$AA35-AG35)</f>
        <v/>
      </c>
      <c r="AJ35" s="458">
        <f>IFERROR(AA35/AA$20,0)</f>
        <v>0</v>
      </c>
      <c r="AK35" s="459">
        <f>IFERROR(AD35/AD$20,0)</f>
        <v>0</v>
      </c>
      <c r="AL35" s="460">
        <f>IFERROR(AG35/AG$20,0)</f>
        <v>0</v>
      </c>
      <c r="AM35" s="461">
        <f>+IFERROR(ROUND(($AB35-AE35)*100,2)&amp;" pts.",0)</f>
        <v>0</v>
      </c>
      <c r="AN35" s="462">
        <f>+IFERROR(ROUND(($AB35-AH35)*100,2)&amp;" pts.",0)</f>
        <v>0</v>
      </c>
      <c r="AO35" s="11"/>
    </row>
    <row r="36" spans="1:41" hidden="1" x14ac:dyDescent="0.25">
      <c r="A36" s="11"/>
      <c r="B36" s="11"/>
      <c r="C36" s="11"/>
      <c r="D36" s="11"/>
      <c r="E36" s="11"/>
      <c r="F36" s="11"/>
      <c r="G36" s="11"/>
      <c r="H36" s="84"/>
      <c r="I36" s="85" t="str">
        <f>IF(_epmOfflineCondition_,"",_xll.EVPRO($B$1,$H36,"STYLE"))</f>
        <v/>
      </c>
      <c r="J36" s="85" t="str">
        <f>IF(_epmOfflineCondition_,"",_xll.EVPRO($B$1,$H36,"CALC"))</f>
        <v/>
      </c>
      <c r="K36" s="261" t="str">
        <f>IF(AND(I36&gt;="T3"),"&gt;","")</f>
        <v/>
      </c>
      <c r="L36" s="102" t="str">
        <f>IF(_epmOfflineCondition_,"",_xll.EVPRO($B$1,H36,"JDEID"))</f>
        <v/>
      </c>
      <c r="M36" s="186" t="str">
        <f>IF(_epmOfflineCondition_,"",IF(AND(I36="N",J36="N"),_xll.EVPRO($B$1,H36,"PSFTID"),""))</f>
        <v/>
      </c>
      <c r="N36" s="102" t="str">
        <f>IF(_epmOfflineCondition_,"",IF(_xll.EVDES(H36,$B$1)="#NODATA","",_xll.EVDES(H36,$B$1)))</f>
        <v/>
      </c>
      <c r="O36" s="240"/>
      <c r="P36" s="240"/>
      <c r="Q36" s="240"/>
      <c r="R36" s="240"/>
      <c r="S36" s="240"/>
      <c r="T36" s="240"/>
      <c r="U36" s="240"/>
      <c r="V36" s="240"/>
      <c r="W36" s="240"/>
      <c r="X36" s="240"/>
      <c r="Y36" s="240"/>
      <c r="Z36" s="240"/>
      <c r="AA36" s="240">
        <f>IF($I36="B1","",SUM(O36:Z36))</f>
        <v>0</v>
      </c>
      <c r="AB36" s="242" t="str">
        <f>IF(AA36=0,"",IFERROR(AA36/AA$19,""))</f>
        <v/>
      </c>
      <c r="AC36" s="136"/>
      <c r="AD36" s="134"/>
      <c r="AE36" s="138" t="str">
        <f>IF(AD36=0,"",IFERROR(AD36/AD$19,""))</f>
        <v/>
      </c>
      <c r="AF36" s="137">
        <f>IF(AND($AA36="",AD36=""),"",$AA36-AD36)</f>
        <v>0</v>
      </c>
      <c r="AG36" s="134"/>
      <c r="AH36" s="138" t="str">
        <f>IF(AG36=0,"",IFERROR(AG36/AG$19,""))</f>
        <v/>
      </c>
      <c r="AI36" s="137">
        <f>IF(AND($AA36="",AG36=""),"",$AA36-AG36)</f>
        <v>0</v>
      </c>
      <c r="AJ36" s="458">
        <f>IFERROR(AA36/AA$20,0)</f>
        <v>0</v>
      </c>
      <c r="AK36" s="459">
        <f>IFERROR(AD36/AD$20,0)</f>
        <v>0</v>
      </c>
      <c r="AL36" s="460">
        <f>IFERROR(AG36/AG$20,0)</f>
        <v>0</v>
      </c>
      <c r="AM36" s="461">
        <f>+IFERROR(ROUND(($AB36-AE36)*100,2)&amp;" pts.",0)</f>
        <v>0</v>
      </c>
      <c r="AN36" s="462">
        <f>+IFERROR(ROUND(($AB36-AH36)*100,2)&amp;" pts.",0)</f>
        <v>0</v>
      </c>
      <c r="AO36" s="11"/>
    </row>
    <row r="37" spans="1:41" x14ac:dyDescent="0.25">
      <c r="A37" s="11" t="s">
        <v>108</v>
      </c>
      <c r="B37" s="11"/>
      <c r="C37" s="100" t="s">
        <v>101</v>
      </c>
      <c r="D37" s="11" t="s">
        <v>106</v>
      </c>
      <c r="E37" s="11"/>
      <c r="F37" s="11" t="s">
        <v>98</v>
      </c>
      <c r="G37" s="11"/>
      <c r="H37" s="102"/>
      <c r="I37" s="102"/>
      <c r="J37" s="102"/>
      <c r="K37" s="102"/>
      <c r="L37" s="102"/>
      <c r="M37" s="102"/>
      <c r="N37" s="102"/>
      <c r="O37" s="199"/>
      <c r="P37" s="200"/>
      <c r="Q37" s="200"/>
      <c r="R37" s="200"/>
      <c r="S37" s="200"/>
      <c r="T37" s="200"/>
      <c r="U37" s="200"/>
      <c r="V37" s="200"/>
      <c r="W37" s="200"/>
      <c r="X37" s="200"/>
      <c r="Y37" s="200"/>
      <c r="Z37" s="200"/>
      <c r="AA37" s="200"/>
      <c r="AB37" s="114"/>
      <c r="AC37" s="11"/>
      <c r="AD37" s="199"/>
      <c r="AE37" s="200"/>
      <c r="AF37" s="114"/>
      <c r="AG37" s="199"/>
      <c r="AH37" s="200"/>
      <c r="AI37" s="114"/>
      <c r="AJ37" s="11"/>
      <c r="AK37" s="11"/>
      <c r="AL37" s="11"/>
      <c r="AM37" s="11"/>
      <c r="AN37" s="11"/>
      <c r="AO37" s="11"/>
    </row>
    <row r="38" spans="1:41" x14ac:dyDescent="0.25">
      <c r="A38" s="11" t="s">
        <v>100</v>
      </c>
      <c r="B38" s="11"/>
      <c r="C38" s="49" t="s">
        <v>101</v>
      </c>
      <c r="D38" s="11" t="s">
        <v>106</v>
      </c>
      <c r="E38" s="11"/>
      <c r="F38" s="11" t="s">
        <v>98</v>
      </c>
      <c r="G38" s="11"/>
      <c r="H38" s="11" t="s">
        <v>504</v>
      </c>
      <c r="I38" s="55" t="str">
        <f>IF(_epmOfflineCondition_,"B1",_xll.EVPRO($B$1,$H38,"STYLE"))</f>
        <v>B1</v>
      </c>
      <c r="J38" s="55" t="str">
        <f>IF(_epmOfflineCondition_,"Y",_xll.EVPRO($B$1,$H38,"CALC"))</f>
        <v>Y</v>
      </c>
      <c r="K38" s="102"/>
      <c r="L38" s="102"/>
      <c r="M38" s="102"/>
      <c r="N38" s="101" t="str">
        <f>IF(_epmOfflineCondition_,"Cost of Services",IF(_xll.EVDES(H38,$B$1)="#NODATA","",_xll.EVDES(H38,$B$1)))</f>
        <v>Cost of Services</v>
      </c>
      <c r="O38" s="115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7"/>
      <c r="AC38" s="11"/>
      <c r="AD38" s="115"/>
      <c r="AE38" s="116"/>
      <c r="AF38" s="117"/>
      <c r="AG38" s="115"/>
      <c r="AH38" s="116"/>
      <c r="AI38" s="117"/>
      <c r="AJ38" s="11"/>
      <c r="AK38" s="11"/>
      <c r="AL38" s="11"/>
      <c r="AM38" s="11"/>
      <c r="AN38" s="11"/>
      <c r="AO38" s="11"/>
    </row>
    <row r="39" spans="1:41" x14ac:dyDescent="0.25">
      <c r="A39" s="11" t="s">
        <v>109</v>
      </c>
      <c r="B39" s="11"/>
      <c r="C39" s="102" t="s">
        <v>101</v>
      </c>
      <c r="D39" s="11" t="s">
        <v>106</v>
      </c>
      <c r="E39" s="11"/>
      <c r="F39" s="11" t="s">
        <v>98</v>
      </c>
      <c r="G39" s="11"/>
      <c r="H39" s="84" t="s">
        <v>506</v>
      </c>
      <c r="I39" s="118" t="str">
        <f>IF(_epmOfflineCondition_,"N",_xll.EVPRO($B$1,$H39,"STYLE"))</f>
        <v>N</v>
      </c>
      <c r="J39" s="118" t="str">
        <f>IF(_epmOfflineCondition_,"N",_xll.EVPRO($B$1,$H39,"CALC"))</f>
        <v>N</v>
      </c>
      <c r="K39" s="175" t="str">
        <f>IF(AND(I39&gt;="T3"),"&gt;","")</f>
        <v/>
      </c>
      <c r="L39" s="86" t="str">
        <f>IF(_epmOfflineCondition_,"707901",_xll.EVPRO($B$1,H39,"JDEID"))</f>
        <v>707901</v>
      </c>
      <c r="M39" s="86" t="str">
        <f>IF(_epmOfflineCondition_,"690047",IF(AND(I39="N",J39="N"),_xll.EVPRO($B$1,H39,"PSFTID"),""))</f>
        <v>690047</v>
      </c>
      <c r="N39" s="86" t="str">
        <f>IF(_epmOfflineCondition_,"Cost of Cell Phones",IF(_xll.EVDES(H39,$B$1)="#NODATA","",_xll.EVDES(H39,$B$1)))</f>
        <v>Cost of Cell Phones</v>
      </c>
      <c r="O39" s="240">
        <v>816.15</v>
      </c>
      <c r="P39" s="240">
        <v>1205.5999999999999</v>
      </c>
      <c r="Q39" s="240">
        <v>1073.5</v>
      </c>
      <c r="R39" s="240">
        <v>1340.98</v>
      </c>
      <c r="S39" s="240">
        <v>989.81</v>
      </c>
      <c r="T39" s="240">
        <v>635.84</v>
      </c>
      <c r="U39" s="240">
        <v>1024.49</v>
      </c>
      <c r="V39" s="240">
        <v>1041.94</v>
      </c>
      <c r="W39" s="240">
        <v>1321.58</v>
      </c>
      <c r="X39" s="240">
        <v>735.61</v>
      </c>
      <c r="Y39" s="240">
        <v>1552.16</v>
      </c>
      <c r="Z39" s="240">
        <v>944.66</v>
      </c>
      <c r="AA39" s="240">
        <f t="shared" ref="AA39:AA44" si="0">IF($I39="B1","",SUM(O39:Z39))</f>
        <v>12682.32</v>
      </c>
      <c r="AB39" s="242">
        <f t="shared" ref="AB39:AB44" si="1">IF(AA39=0,"",IFERROR(AA39/AA$19,""))</f>
        <v>1.5123223718775305E-3</v>
      </c>
      <c r="AC39" s="136"/>
      <c r="AD39" s="240">
        <v>13200</v>
      </c>
      <c r="AE39" s="242">
        <f t="shared" ref="AE39:AE44" si="2">IF(AD39=0,"",IFERROR(AD39/AD$19,""))</f>
        <v>1.0116951352749943E-3</v>
      </c>
      <c r="AF39" s="243">
        <f t="shared" ref="AF39:AF44" si="3">IF(AND($AA39="",AD39=""),"",$AA39-AD39)</f>
        <v>-517.68000000000029</v>
      </c>
      <c r="AG39" s="240">
        <v>11820.35</v>
      </c>
      <c r="AH39" s="242">
        <f t="shared" ref="AH39:AH44" si="4">IF(AG39=0,"",IFERROR(AG39/AG$19,""))</f>
        <v>3.6273552511226692E-3</v>
      </c>
      <c r="AI39" s="243">
        <f t="shared" ref="AI39:AI44" si="5">IF(AND($AA39="",AG39=""),"",$AA39-AG39)</f>
        <v>861.96999999999935</v>
      </c>
      <c r="AJ39" s="458">
        <f t="shared" ref="AJ39:AJ44" si="6">IFERROR(AA39/AA$20,0)</f>
        <v>0.26322789539227892</v>
      </c>
      <c r="AK39" s="459">
        <f t="shared" ref="AK39:AK44" si="7">IFERROR(AD39/AD$20,0)</f>
        <v>0.27397260273972601</v>
      </c>
      <c r="AL39" s="460">
        <f t="shared" ref="AL39:AL44" si="8">IFERROR(AG39/AG$20,0)</f>
        <v>0.31731631365600926</v>
      </c>
      <c r="AM39" s="461" t="str">
        <f t="shared" ref="AM39:AM44" si="9">+IFERROR(ROUND(($AB39-AE39)*100,2)&amp;" pts.",0)</f>
        <v>0.05 pts.</v>
      </c>
      <c r="AN39" s="462" t="str">
        <f t="shared" ref="AN39:AN44" si="10">+IFERROR(ROUND(($AB39-AH39)*100,2)&amp;" pts.",0)</f>
        <v>-0.21 pts.</v>
      </c>
      <c r="AO39" s="11"/>
    </row>
    <row r="40" spans="1:41" x14ac:dyDescent="0.25">
      <c r="A40" s="11" t="s">
        <v>109</v>
      </c>
      <c r="B40" s="11"/>
      <c r="C40" s="192" t="s">
        <v>101</v>
      </c>
      <c r="D40" s="11" t="s">
        <v>107</v>
      </c>
      <c r="E40" s="11"/>
      <c r="F40" s="11" t="s">
        <v>99</v>
      </c>
      <c r="G40" s="11"/>
      <c r="H40" s="84" t="s">
        <v>507</v>
      </c>
      <c r="I40" s="118" t="str">
        <f>IF(_epmOfflineCondition_,"N",_xll.EVPRO($B$1,$H40,"STYLE"))</f>
        <v>N</v>
      </c>
      <c r="J40" s="118" t="str">
        <f>IF(_epmOfflineCondition_,"N",_xll.EVPRO($B$1,$H40,"CALC"))</f>
        <v>N</v>
      </c>
      <c r="K40" s="175" t="str">
        <f>IF(AND(I40&gt;="T3"),"&gt;","")</f>
        <v/>
      </c>
      <c r="L40" s="86" t="str">
        <f>IF(_epmOfflineCondition_,"707902",_xll.EVPRO($B$1,H40,"JDEID"))</f>
        <v>707902</v>
      </c>
      <c r="M40" s="86" t="str">
        <f>IF(_epmOfflineCondition_,"690612",IF(AND(I40="N",J40="N"),_xll.EVPRO($B$1,H40,"PSFTID"),""))</f>
        <v>690612</v>
      </c>
      <c r="N40" s="86" t="str">
        <f>IF(_epmOfflineCondition_,"Cost of Internet Services",IF(_xll.EVDES(H40,$B$1)="#NODATA","",_xll.EVDES(H40,$B$1)))</f>
        <v>Cost of Internet Services</v>
      </c>
      <c r="O40" s="240">
        <v>2639.81</v>
      </c>
      <c r="P40" s="240">
        <v>2883.98</v>
      </c>
      <c r="Q40" s="240">
        <v>2997.35</v>
      </c>
      <c r="R40" s="240">
        <v>3580.73</v>
      </c>
      <c r="S40" s="240">
        <v>1604.67</v>
      </c>
      <c r="T40" s="240">
        <v>3210.55</v>
      </c>
      <c r="U40" s="240">
        <v>1599.88</v>
      </c>
      <c r="V40" s="240">
        <v>2508.1799999999998</v>
      </c>
      <c r="W40" s="240">
        <v>2002.19</v>
      </c>
      <c r="X40" s="240">
        <v>2249.31</v>
      </c>
      <c r="Y40" s="240">
        <v>2589.11</v>
      </c>
      <c r="Z40" s="240">
        <v>2556.4299999999998</v>
      </c>
      <c r="AA40" s="240">
        <f t="shared" si="0"/>
        <v>30422.190000000002</v>
      </c>
      <c r="AB40" s="242">
        <f t="shared" si="1"/>
        <v>3.6277399197078208E-3</v>
      </c>
      <c r="AC40" s="136"/>
      <c r="AD40" s="240">
        <v>33096</v>
      </c>
      <c r="AE40" s="242">
        <f t="shared" si="2"/>
        <v>2.536595620989486E-3</v>
      </c>
      <c r="AF40" s="243">
        <f t="shared" si="3"/>
        <v>-2673.8099999999977</v>
      </c>
      <c r="AG40" s="240">
        <v>26749.119999999999</v>
      </c>
      <c r="AH40" s="242">
        <f t="shared" si="4"/>
        <v>8.2086030358585332E-3</v>
      </c>
      <c r="AI40" s="243">
        <f t="shared" si="5"/>
        <v>3673.0700000000033</v>
      </c>
      <c r="AJ40" s="458">
        <f t="shared" si="6"/>
        <v>0.6314277708592777</v>
      </c>
      <c r="AK40" s="459">
        <f t="shared" si="7"/>
        <v>0.68692403486924036</v>
      </c>
      <c r="AL40" s="460">
        <f t="shared" si="8"/>
        <v>0.71807790394888726</v>
      </c>
      <c r="AM40" s="461" t="str">
        <f t="shared" si="9"/>
        <v>0.11 pts.</v>
      </c>
      <c r="AN40" s="462" t="str">
        <f t="shared" si="10"/>
        <v>-0.46 pts.</v>
      </c>
      <c r="AO40" s="11"/>
    </row>
    <row r="41" spans="1:41" x14ac:dyDescent="0.25">
      <c r="A41" s="11" t="s">
        <v>110</v>
      </c>
      <c r="B41" s="11"/>
      <c r="C41" s="102" t="s">
        <v>101</v>
      </c>
      <c r="D41" s="11" t="s">
        <v>106</v>
      </c>
      <c r="E41" s="11"/>
      <c r="F41" s="11" t="s">
        <v>98</v>
      </c>
      <c r="G41" s="11"/>
      <c r="H41" s="84" t="s">
        <v>508</v>
      </c>
      <c r="I41" s="118" t="str">
        <f>IF(_epmOfflineCondition_,"N",_xll.EVPRO($B$1,$H41,"STYLE"))</f>
        <v>N</v>
      </c>
      <c r="J41" s="118" t="str">
        <f>IF(_epmOfflineCondition_,"N",_xll.EVPRO($B$1,$H41,"CALC"))</f>
        <v>N</v>
      </c>
      <c r="K41" s="175" t="str">
        <f>IF(AND(I41&gt;="T3"),"&gt;","")</f>
        <v/>
      </c>
      <c r="L41" s="86" t="str">
        <f>IF(_epmOfflineCondition_,"707903",_xll.EVPRO($B$1,H41,"JDEID"))</f>
        <v>707903</v>
      </c>
      <c r="M41" s="86" t="str">
        <f>IF(_epmOfflineCondition_,"690045",IF(AND(I41="N",J41="N"),_xll.EVPRO($B$1,H41,"PSFTID"),""))</f>
        <v>690045</v>
      </c>
      <c r="N41" s="86" t="str">
        <f>IF(_epmOfflineCondition_,"Cost of Local Calls",IF(_xll.EVDES(H41,$B$1)="#NODATA","",_xll.EVDES(H41,$B$1)))</f>
        <v>Cost of Local Calls</v>
      </c>
      <c r="O41" s="240"/>
      <c r="P41" s="240"/>
      <c r="Q41" s="240"/>
      <c r="R41" s="240"/>
      <c r="S41" s="240"/>
      <c r="T41" s="240"/>
      <c r="U41" s="240"/>
      <c r="V41" s="240"/>
      <c r="W41" s="240"/>
      <c r="X41" s="240"/>
      <c r="Y41" s="240"/>
      <c r="Z41" s="240"/>
      <c r="AA41" s="240">
        <f t="shared" si="0"/>
        <v>0</v>
      </c>
      <c r="AB41" s="242" t="str">
        <f t="shared" si="1"/>
        <v/>
      </c>
      <c r="AC41" s="136"/>
      <c r="AD41" s="240"/>
      <c r="AE41" s="242" t="str">
        <f t="shared" si="2"/>
        <v/>
      </c>
      <c r="AF41" s="243">
        <f t="shared" si="3"/>
        <v>0</v>
      </c>
      <c r="AG41" s="240"/>
      <c r="AH41" s="242" t="str">
        <f t="shared" si="4"/>
        <v/>
      </c>
      <c r="AI41" s="243">
        <f t="shared" si="5"/>
        <v>0</v>
      </c>
      <c r="AJ41" s="458">
        <f t="shared" si="6"/>
        <v>0</v>
      </c>
      <c r="AK41" s="459">
        <f t="shared" si="7"/>
        <v>0</v>
      </c>
      <c r="AL41" s="460">
        <f t="shared" si="8"/>
        <v>0</v>
      </c>
      <c r="AM41" s="461">
        <f t="shared" si="9"/>
        <v>0</v>
      </c>
      <c r="AN41" s="462">
        <f t="shared" si="10"/>
        <v>0</v>
      </c>
      <c r="AO41" s="11"/>
    </row>
    <row r="42" spans="1:41" x14ac:dyDescent="0.25">
      <c r="A42" s="11" t="s">
        <v>110</v>
      </c>
      <c r="B42" s="11"/>
      <c r="C42" s="105" t="s">
        <v>101</v>
      </c>
      <c r="D42" s="11" t="s">
        <v>107</v>
      </c>
      <c r="E42" s="11"/>
      <c r="F42" s="11" t="s">
        <v>99</v>
      </c>
      <c r="G42" s="11"/>
      <c r="H42" s="84" t="s">
        <v>509</v>
      </c>
      <c r="I42" s="118" t="str">
        <f>IF(_epmOfflineCondition_,"N",_xll.EVPRO($B$1,$H42,"STYLE"))</f>
        <v>N</v>
      </c>
      <c r="J42" s="118" t="str">
        <f>IF(_epmOfflineCondition_,"N",_xll.EVPRO($B$1,$H42,"CALC"))</f>
        <v>N</v>
      </c>
      <c r="K42" s="175" t="str">
        <f>IF(AND(I42&gt;="T3"),"&gt;","")</f>
        <v/>
      </c>
      <c r="L42" s="86" t="str">
        <f>IF(_epmOfflineCondition_,"707904",_xll.EVPRO($B$1,H42,"JDEID"))</f>
        <v>707904</v>
      </c>
      <c r="M42" s="86" t="str">
        <f>IF(_epmOfflineCondition_,"690046",IF(AND(I42="N",J42="N"),_xll.EVPRO($B$1,H42,"PSFTID"),""))</f>
        <v>690046</v>
      </c>
      <c r="N42" s="86" t="str">
        <f>IF(_epmOfflineCondition_,"Cost of Long Distance Calls",IF(_xll.EVDES(H42,$B$1)="#NODATA","",_xll.EVDES(H42,$B$1)))</f>
        <v>Cost of Long Distance Calls</v>
      </c>
      <c r="O42" s="240"/>
      <c r="P42" s="240"/>
      <c r="Q42" s="240"/>
      <c r="R42" s="240"/>
      <c r="S42" s="240"/>
      <c r="T42" s="240"/>
      <c r="U42" s="240"/>
      <c r="V42" s="240"/>
      <c r="W42" s="240"/>
      <c r="X42" s="240"/>
      <c r="Y42" s="240"/>
      <c r="Z42" s="240"/>
      <c r="AA42" s="240">
        <f t="shared" si="0"/>
        <v>0</v>
      </c>
      <c r="AB42" s="242" t="str">
        <f t="shared" si="1"/>
        <v/>
      </c>
      <c r="AC42" s="136"/>
      <c r="AD42" s="240"/>
      <c r="AE42" s="242" t="str">
        <f t="shared" si="2"/>
        <v/>
      </c>
      <c r="AF42" s="243">
        <f t="shared" si="3"/>
        <v>0</v>
      </c>
      <c r="AG42" s="240">
        <v>56.25</v>
      </c>
      <c r="AH42" s="242">
        <f t="shared" si="4"/>
        <v>1.7261649010025094E-5</v>
      </c>
      <c r="AI42" s="243">
        <f t="shared" si="5"/>
        <v>-56.25</v>
      </c>
      <c r="AJ42" s="458">
        <f t="shared" si="6"/>
        <v>0</v>
      </c>
      <c r="AK42" s="459">
        <f t="shared" si="7"/>
        <v>0</v>
      </c>
      <c r="AL42" s="460">
        <f t="shared" si="8"/>
        <v>1.5100265764677458E-3</v>
      </c>
      <c r="AM42" s="461">
        <f t="shared" si="9"/>
        <v>0</v>
      </c>
      <c r="AN42" s="462">
        <f t="shared" si="10"/>
        <v>0</v>
      </c>
      <c r="AO42" s="11"/>
    </row>
    <row r="43" spans="1:41" x14ac:dyDescent="0.25">
      <c r="A43" s="11"/>
      <c r="B43" s="11"/>
      <c r="C43" s="204"/>
      <c r="D43" s="11"/>
      <c r="E43" s="11"/>
      <c r="F43" s="11"/>
      <c r="G43" s="11"/>
      <c r="H43" s="84" t="s">
        <v>510</v>
      </c>
      <c r="I43" s="118" t="str">
        <f>IF(_epmOfflineCondition_,"N",_xll.EVPRO($B$1,$H43,"STYLE"))</f>
        <v>N</v>
      </c>
      <c r="J43" s="118" t="str">
        <f>IF(_epmOfflineCondition_,"N",_xll.EVPRO($B$1,$H43,"CALC"))</f>
        <v>N</v>
      </c>
      <c r="K43" s="175" t="str">
        <f>IF(AND(I43&gt;="T3"),"&gt;","")</f>
        <v/>
      </c>
      <c r="L43" s="86" t="str">
        <f>IF(_epmOfflineCondition_,"707905",_xll.EVPRO($B$1,H43,"JDEID"))</f>
        <v>707905</v>
      </c>
      <c r="M43" s="86" t="str">
        <f>IF(_epmOfflineCondition_,"690039",IF(AND(I43="N",J43="N"),_xll.EVPRO($B$1,H43,"PSFTID"),""))</f>
        <v>690039</v>
      </c>
      <c r="N43" s="86" t="str">
        <f>IF(_epmOfflineCondition_,"Other Cost of Services",IF(_xll.EVDES(H43,$B$1)="#NODATA","",_xll.EVDES(H43,$B$1)))</f>
        <v>Other Cost of Services</v>
      </c>
      <c r="O43" s="240">
        <v>1663.1</v>
      </c>
      <c r="P43" s="240">
        <v>704.37</v>
      </c>
      <c r="Q43" s="240">
        <v>498.4</v>
      </c>
      <c r="R43" s="240">
        <v>767.27</v>
      </c>
      <c r="S43" s="240">
        <v>691.75</v>
      </c>
      <c r="T43" s="240">
        <v>1413.19</v>
      </c>
      <c r="U43" s="240">
        <v>421.15</v>
      </c>
      <c r="V43" s="240">
        <v>295.62</v>
      </c>
      <c r="W43" s="240">
        <v>1247.45</v>
      </c>
      <c r="X43" s="240">
        <v>-67.459999999999994</v>
      </c>
      <c r="Y43" s="240">
        <v>284.87</v>
      </c>
      <c r="Z43" s="240">
        <v>550.63</v>
      </c>
      <c r="AA43" s="240">
        <f t="shared" si="0"/>
        <v>8470.3399999999983</v>
      </c>
      <c r="AB43" s="242">
        <f t="shared" si="1"/>
        <v>1.010058465596919E-3</v>
      </c>
      <c r="AC43" s="136"/>
      <c r="AD43" s="240">
        <v>9600</v>
      </c>
      <c r="AE43" s="242">
        <f t="shared" si="2"/>
        <v>7.3577828019999588E-4</v>
      </c>
      <c r="AF43" s="243">
        <f t="shared" si="3"/>
        <v>-1129.6600000000017</v>
      </c>
      <c r="AG43" s="240">
        <v>14266.41</v>
      </c>
      <c r="AH43" s="242">
        <f t="shared" si="4"/>
        <v>4.3779868809442155E-3</v>
      </c>
      <c r="AI43" s="243">
        <f t="shared" si="5"/>
        <v>-5796.0700000000015</v>
      </c>
      <c r="AJ43" s="458">
        <f t="shared" si="6"/>
        <v>0.17580614362806141</v>
      </c>
      <c r="AK43" s="459">
        <f t="shared" si="7"/>
        <v>0.19925280199252801</v>
      </c>
      <c r="AL43" s="460">
        <f t="shared" si="8"/>
        <v>0.38298059112507049</v>
      </c>
      <c r="AM43" s="461" t="str">
        <f t="shared" si="9"/>
        <v>0.03 pts.</v>
      </c>
      <c r="AN43" s="462" t="str">
        <f t="shared" si="10"/>
        <v>-0.34 pts.</v>
      </c>
      <c r="AO43" s="11"/>
    </row>
    <row r="44" spans="1:41" x14ac:dyDescent="0.25">
      <c r="A44" s="11"/>
      <c r="B44" s="11"/>
      <c r="C44" s="204"/>
      <c r="D44" s="11"/>
      <c r="E44" s="11"/>
      <c r="F44" s="11"/>
      <c r="G44" s="11"/>
      <c r="H44" s="84" t="s">
        <v>511</v>
      </c>
      <c r="I44" s="118" t="str">
        <f>IF(_epmOfflineCondition_,"T4",_xll.EVPRO($B$1,$H44,"STYLE"))</f>
        <v>T4</v>
      </c>
      <c r="J44" s="118" t="str">
        <f>IF(_epmOfflineCondition_,"Y",_xll.EVPRO($B$1,$H44,"CALC"))</f>
        <v>Y</v>
      </c>
      <c r="K44" s="175"/>
      <c r="L44" s="86" t="str">
        <f>IF(_epmOfflineCondition_,"707900",_xll.EVPRO($B$1,H44,"JDEID"))</f>
        <v>707900</v>
      </c>
      <c r="M44" s="86" t="str">
        <f>IF(_epmOfflineCondition_,"",IF(AND(I44="N",J44="N"),_xll.EVPRO($B$1,H44,"PSFTID"),""))</f>
        <v/>
      </c>
      <c r="N44" s="102" t="str">
        <f>IF(_epmOfflineCondition_,"Total Cost of Services",IF(_xll.EVDES(H44,$B$1)="#NODATA","",_xll.EVDES(H44,$B$1)))</f>
        <v>Total Cost of Services</v>
      </c>
      <c r="O44" s="108">
        <f t="shared" ref="O44:Z44" si="11">SUM(O39:O43)</f>
        <v>5119.0599999999995</v>
      </c>
      <c r="P44" s="108">
        <f t="shared" si="11"/>
        <v>4793.95</v>
      </c>
      <c r="Q44" s="108">
        <f t="shared" si="11"/>
        <v>4569.25</v>
      </c>
      <c r="R44" s="108">
        <f t="shared" si="11"/>
        <v>5688.98</v>
      </c>
      <c r="S44" s="108">
        <f t="shared" si="11"/>
        <v>3286.23</v>
      </c>
      <c r="T44" s="108">
        <f t="shared" si="11"/>
        <v>5259.58</v>
      </c>
      <c r="U44" s="108">
        <f t="shared" si="11"/>
        <v>3045.52</v>
      </c>
      <c r="V44" s="108">
        <f t="shared" si="11"/>
        <v>3845.74</v>
      </c>
      <c r="W44" s="108">
        <f t="shared" si="11"/>
        <v>4571.22</v>
      </c>
      <c r="X44" s="108">
        <f t="shared" si="11"/>
        <v>2917.46</v>
      </c>
      <c r="Y44" s="108">
        <f t="shared" si="11"/>
        <v>4426.1400000000003</v>
      </c>
      <c r="Z44" s="108">
        <f t="shared" si="11"/>
        <v>4051.72</v>
      </c>
      <c r="AA44" s="108">
        <f t="shared" si="0"/>
        <v>51574.85</v>
      </c>
      <c r="AB44" s="109">
        <f t="shared" si="1"/>
        <v>6.1501207571822702E-3</v>
      </c>
      <c r="AC44" s="11"/>
      <c r="AD44" s="108">
        <f>SUM(AD39:AD43)</f>
        <v>55896</v>
      </c>
      <c r="AE44" s="109">
        <f t="shared" si="2"/>
        <v>4.2840690364644761E-3</v>
      </c>
      <c r="AF44" s="110">
        <f t="shared" si="3"/>
        <v>-4321.1500000000015</v>
      </c>
      <c r="AG44" s="108">
        <f>SUM(AG39:AG43)</f>
        <v>52892.130000000005</v>
      </c>
      <c r="AH44" s="109">
        <f t="shared" si="4"/>
        <v>1.6231206816935444E-2</v>
      </c>
      <c r="AI44" s="110">
        <f t="shared" si="5"/>
        <v>-1317.2800000000061</v>
      </c>
      <c r="AJ44" s="411">
        <f t="shared" si="6"/>
        <v>1.0704618098796181</v>
      </c>
      <c r="AK44" s="412">
        <f t="shared" si="7"/>
        <v>1.1601494396014944</v>
      </c>
      <c r="AL44" s="413">
        <f t="shared" si="8"/>
        <v>1.4198848353064348</v>
      </c>
      <c r="AM44" s="414" t="str">
        <f t="shared" si="9"/>
        <v>0.19 pts.</v>
      </c>
      <c r="AN44" s="538" t="str">
        <f t="shared" si="10"/>
        <v>-1.01 pts.</v>
      </c>
      <c r="AO44" s="11"/>
    </row>
    <row r="45" spans="1:41" x14ac:dyDescent="0.25">
      <c r="A45" s="56" t="str">
        <f>IF(_epmOfflineCondition_,"Evdre:Ok",_xll.EVDRE($B$1,A48:B55,A58:B64))</f>
        <v>Evdre:Ok</v>
      </c>
      <c r="B45" s="11"/>
      <c r="C45" s="11"/>
      <c r="D45" s="11"/>
      <c r="E45" s="11"/>
      <c r="F45" s="11"/>
      <c r="G45" s="11"/>
      <c r="H45" s="102"/>
      <c r="I45" s="102"/>
      <c r="J45" s="102"/>
      <c r="K45" s="102"/>
      <c r="L45" s="102"/>
      <c r="M45" s="102"/>
      <c r="N45" s="102"/>
      <c r="O45" s="125"/>
      <c r="P45" s="126"/>
      <c r="Q45" s="126"/>
      <c r="R45" s="126"/>
      <c r="S45" s="126"/>
      <c r="T45" s="126"/>
      <c r="U45" s="126"/>
      <c r="V45" s="126"/>
      <c r="W45" s="126"/>
      <c r="X45" s="126"/>
      <c r="Y45" s="126"/>
      <c r="Z45" s="126"/>
      <c r="AA45" s="126"/>
      <c r="AB45" s="127"/>
      <c r="AC45" s="11"/>
      <c r="AD45" s="125"/>
      <c r="AE45" s="126"/>
      <c r="AF45" s="127"/>
      <c r="AG45" s="125"/>
      <c r="AH45" s="126"/>
      <c r="AI45" s="127"/>
      <c r="AJ45" s="11"/>
      <c r="AK45" s="11"/>
      <c r="AL45" s="11"/>
      <c r="AM45" s="11"/>
      <c r="AN45" s="11"/>
      <c r="AO45" s="11"/>
    </row>
    <row r="46" spans="1:41" x14ac:dyDescent="0.25">
      <c r="A46" s="11"/>
      <c r="B46" s="11"/>
      <c r="C46" s="11"/>
      <c r="D46" s="11"/>
      <c r="E46" s="11"/>
      <c r="F46" s="11"/>
      <c r="G46" s="11"/>
      <c r="H46" s="11" t="s">
        <v>501</v>
      </c>
      <c r="I46" s="55" t="str">
        <f>IF(_epmOfflineCondition_,"B1",_xll.EVPRO($B$1,$H46,"STYLE"))</f>
        <v>B1</v>
      </c>
      <c r="J46" s="55" t="str">
        <f>IF(_epmOfflineCondition_,"Y",_xll.EVPRO($B$1,$H46,"CALC"))</f>
        <v>Y</v>
      </c>
      <c r="K46" s="11"/>
      <c r="L46" s="11"/>
      <c r="M46" s="11"/>
      <c r="N46" s="101" t="str">
        <f>IF(_epmOfflineCondition_,"System Expenses",IF(_xll.EVDES(H46,$B$1)="#NODATA","",_xll.EVDES(H46,$B$1)))</f>
        <v>System Expenses</v>
      </c>
      <c r="O46" s="115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7"/>
      <c r="AC46" s="11"/>
      <c r="AD46" s="115"/>
      <c r="AE46" s="116"/>
      <c r="AF46" s="117"/>
      <c r="AG46" s="115"/>
      <c r="AH46" s="116"/>
      <c r="AI46" s="117"/>
      <c r="AJ46" s="11"/>
      <c r="AK46" s="11"/>
      <c r="AL46" s="11"/>
      <c r="AM46" s="11"/>
      <c r="AN46" s="11"/>
      <c r="AO46" s="11"/>
    </row>
    <row r="47" spans="1:41" x14ac:dyDescent="0.25">
      <c r="A47" s="57" t="s">
        <v>0</v>
      </c>
      <c r="B47" s="58" t="s">
        <v>1</v>
      </c>
      <c r="C47" s="11"/>
      <c r="D47" s="11"/>
      <c r="E47" s="11"/>
      <c r="F47" s="11"/>
      <c r="G47" s="11"/>
      <c r="H47" s="84" t="s">
        <v>849</v>
      </c>
      <c r="I47" s="118" t="str">
        <f>IF(_epmOfflineCondition_,"T5",_xll.EVPRO($B$1,$H47,"STYLE"))</f>
        <v>T5</v>
      </c>
      <c r="J47" s="118" t="str">
        <f>IF(_epmOfflineCondition_,"Y",_xll.EVPRO($B$1,$H47,"CALC"))</f>
        <v>Y</v>
      </c>
      <c r="K47" s="175" t="str">
        <f t="shared" ref="K47:K53" si="12">IF(AND(I47&gt;="T3"),"&gt;","")</f>
        <v>&gt;</v>
      </c>
      <c r="L47" s="86" t="str">
        <f>IF(_epmOfflineCondition_,"707010",_xll.EVPRO($B$1,H47,"JDEID"))</f>
        <v>707010</v>
      </c>
      <c r="M47" s="86" t="str">
        <f>IF(_epmOfflineCondition_,"",IF(AND(I47="N",J47="N"),_xll.EVPRO($B$1,H47,"PSFTID"),""))</f>
        <v/>
      </c>
      <c r="N47" s="86" t="str">
        <f>IF(_epmOfflineCondition_,"Administrative and General",IF(_xll.EVDES(H47,$B$1)="#NODATA","",_xll.EVDES(H47,$B$1)))</f>
        <v>Administrative and General</v>
      </c>
      <c r="O47" s="134">
        <v>156.25</v>
      </c>
      <c r="P47" s="134"/>
      <c r="Q47" s="134"/>
      <c r="R47" s="134">
        <v>156.25</v>
      </c>
      <c r="S47" s="134">
        <v>312.5</v>
      </c>
      <c r="T47" s="134">
        <v>45</v>
      </c>
      <c r="U47" s="134">
        <v>45</v>
      </c>
      <c r="V47" s="134"/>
      <c r="W47" s="134">
        <v>-670</v>
      </c>
      <c r="X47" s="134">
        <v>-45</v>
      </c>
      <c r="Y47" s="134"/>
      <c r="Z47" s="134"/>
      <c r="AA47" s="240">
        <f t="shared" ref="AA47:AA54" si="13">IF($I47="B1","",SUM(O47:Z47))</f>
        <v>0</v>
      </c>
      <c r="AB47" s="138" t="str">
        <f t="shared" ref="AB47:AB54" si="14">IF(AA47=0,"",IFERROR(AA47/AA$19,""))</f>
        <v/>
      </c>
      <c r="AC47" s="136"/>
      <c r="AD47" s="134"/>
      <c r="AE47" s="138" t="str">
        <f t="shared" ref="AE47:AE54" si="15">IF(AD47=0,"",IFERROR(AD47/AD$19,""))</f>
        <v/>
      </c>
      <c r="AF47" s="137">
        <f t="shared" ref="AF47:AF54" si="16">IF(AND($AA47="",AD47=""),"",$AA47-AD47)</f>
        <v>0</v>
      </c>
      <c r="AG47" s="134"/>
      <c r="AH47" s="138" t="str">
        <f t="shared" ref="AH47:AH54" si="17">IF(AG47=0,"",IFERROR(AG47/AG$19,""))</f>
        <v/>
      </c>
      <c r="AI47" s="137">
        <f t="shared" ref="AI47:AI54" si="18">IF(AND($AA47="",AG47=""),"",$AA47-AG47)</f>
        <v>0</v>
      </c>
      <c r="AJ47" s="458">
        <f t="shared" ref="AJ47:AJ54" si="19">IFERROR(AA47/AA$20,0)</f>
        <v>0</v>
      </c>
      <c r="AK47" s="459">
        <f t="shared" ref="AK47:AK54" si="20">IFERROR(AD47/AD$20,0)</f>
        <v>0</v>
      </c>
      <c r="AL47" s="460">
        <f t="shared" ref="AL47:AL54" si="21">IFERROR(AG47/AG$20,0)</f>
        <v>0</v>
      </c>
      <c r="AM47" s="461">
        <f t="shared" ref="AM47:AM54" si="22">+IFERROR(ROUND(($AB47-AE47)*100,2)&amp;" pts.",0)</f>
        <v>0</v>
      </c>
      <c r="AN47" s="462">
        <f t="shared" ref="AN47:AN54" si="23">+IFERROR(ROUND(($AB47-AH47)*100,2)&amp;" pts.",0)</f>
        <v>0</v>
      </c>
      <c r="AO47" s="11"/>
    </row>
    <row r="48" spans="1:41" x14ac:dyDescent="0.25">
      <c r="A48" s="61" t="s">
        <v>2</v>
      </c>
      <c r="B48" s="62" t="str">
        <f>IF(_epmOfflineCondition_,"'IT'!$B$2:$B$10",_xll.EVRNG($B$2:$B$10))</f>
        <v>'IT'!$B$2:$B$10</v>
      </c>
      <c r="C48" s="11"/>
      <c r="D48" s="11"/>
      <c r="E48" s="11"/>
      <c r="F48" s="11"/>
      <c r="G48" s="11"/>
      <c r="H48" s="84" t="s">
        <v>850</v>
      </c>
      <c r="I48" s="118" t="str">
        <f>IF(_epmOfflineCondition_,"T5",_xll.EVPRO($B$1,$H48,"STYLE"))</f>
        <v>T5</v>
      </c>
      <c r="J48" s="118" t="str">
        <f>IF(_epmOfflineCondition_,"Y",_xll.EVPRO($B$1,$H48,"CALC"))</f>
        <v>Y</v>
      </c>
      <c r="K48" s="175" t="str">
        <f t="shared" si="12"/>
        <v>&gt;</v>
      </c>
      <c r="L48" s="86" t="str">
        <f>IF(_epmOfflineCondition_,"707150",_xll.EVPRO($B$1,H48,"JDEID"))</f>
        <v>707150</v>
      </c>
      <c r="M48" s="86" t="str">
        <f>IF(_epmOfflineCondition_,"",IF(AND(I48="N",J48="N"),_xll.EVPRO($B$1,H48,"PSFTID"),""))</f>
        <v/>
      </c>
      <c r="N48" s="86" t="str">
        <f>IF(_epmOfflineCondition_,"Food and Beverage",IF(_xll.EVDES(H48,$B$1)="#NODATA","",_xll.EVDES(H48,$B$1)))</f>
        <v>Food and Beverage</v>
      </c>
      <c r="O48" s="134">
        <v>1451.88</v>
      </c>
      <c r="P48" s="134">
        <v>1445</v>
      </c>
      <c r="Q48" s="134">
        <v>1445</v>
      </c>
      <c r="R48" s="134">
        <v>1445</v>
      </c>
      <c r="S48" s="134">
        <v>1445</v>
      </c>
      <c r="T48" s="134">
        <v>1445</v>
      </c>
      <c r="U48" s="134">
        <v>1445</v>
      </c>
      <c r="V48" s="134">
        <v>1445</v>
      </c>
      <c r="W48" s="134">
        <v>-11560</v>
      </c>
      <c r="X48" s="134">
        <v>1044.9000000000001</v>
      </c>
      <c r="Y48" s="134">
        <v>1044.9000000000001</v>
      </c>
      <c r="Z48" s="134">
        <v>1044.9000000000001</v>
      </c>
      <c r="AA48" s="240">
        <f t="shared" si="13"/>
        <v>3141.5800000000013</v>
      </c>
      <c r="AB48" s="138">
        <f t="shared" si="14"/>
        <v>3.746224442407236E-4</v>
      </c>
      <c r="AC48" s="136"/>
      <c r="AD48" s="134">
        <v>20940</v>
      </c>
      <c r="AE48" s="138">
        <f t="shared" si="15"/>
        <v>1.6049163736862411E-3</v>
      </c>
      <c r="AF48" s="137">
        <f t="shared" si="16"/>
        <v>-17798.419999999998</v>
      </c>
      <c r="AG48" s="134">
        <v>3793.62</v>
      </c>
      <c r="AH48" s="138">
        <f t="shared" si="17"/>
        <v>1.1641624340873137E-3</v>
      </c>
      <c r="AI48" s="137">
        <f t="shared" si="18"/>
        <v>-652.0399999999986</v>
      </c>
      <c r="AJ48" s="458">
        <f t="shared" si="19"/>
        <v>6.5205064342050673E-2</v>
      </c>
      <c r="AK48" s="459">
        <f t="shared" si="20"/>
        <v>0.43462017434620176</v>
      </c>
      <c r="AL48" s="460">
        <f t="shared" si="21"/>
        <v>0.10183941370701458</v>
      </c>
      <c r="AM48" s="461" t="str">
        <f t="shared" si="22"/>
        <v>-0.12 pts.</v>
      </c>
      <c r="AN48" s="462" t="str">
        <f t="shared" si="23"/>
        <v>-0.08 pts.</v>
      </c>
      <c r="AO48" s="11"/>
    </row>
    <row r="49" spans="1:41" x14ac:dyDescent="0.25">
      <c r="A49" s="61" t="s">
        <v>3</v>
      </c>
      <c r="B49" s="62" t="str">
        <f>IF(_epmOfflineCondition_,"'IT'!$O$16:$AN$18",_xll.EVRNG($O$16:$AN$18))</f>
        <v>'IT'!$O$16:$AN$18</v>
      </c>
      <c r="C49" s="11"/>
      <c r="D49" s="11"/>
      <c r="E49" s="11"/>
      <c r="F49" s="11"/>
      <c r="G49" s="11"/>
      <c r="H49" s="84" t="s">
        <v>921</v>
      </c>
      <c r="I49" s="118" t="str">
        <f>IF(_epmOfflineCondition_,"N",_xll.EVPRO($B$1,$H49,"STYLE"))</f>
        <v>N</v>
      </c>
      <c r="J49" s="118" t="str">
        <f>IF(_epmOfflineCondition_,"N",_xll.EVPRO($B$1,$H49,"CALC"))</f>
        <v>N</v>
      </c>
      <c r="K49" s="175" t="str">
        <f t="shared" si="12"/>
        <v/>
      </c>
      <c r="L49" s="86" t="str">
        <f>IF(_epmOfflineCondition_,"707700",_xll.EVPRO($B$1,H49,"JDEID"))</f>
        <v>707700</v>
      </c>
      <c r="M49" s="86" t="str">
        <f>IF(_epmOfflineCondition_,"590070",IF(AND(I49="N",J49="N"),_xll.EVPRO($B$1,H49,"PSFTID"),""))</f>
        <v>590070</v>
      </c>
      <c r="N49" s="86" t="str">
        <f>IF(_epmOfflineCondition_,"Hardware",IF(_xll.EVDES(H49,$B$1)="#NODATA","",_xll.EVDES(H49,$B$1)))</f>
        <v>Hardware</v>
      </c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  <c r="AA49" s="240">
        <f t="shared" si="13"/>
        <v>0</v>
      </c>
      <c r="AB49" s="138" t="str">
        <f t="shared" si="14"/>
        <v/>
      </c>
      <c r="AC49" s="136"/>
      <c r="AD49" s="134">
        <v>300</v>
      </c>
      <c r="AE49" s="138">
        <f t="shared" si="15"/>
        <v>2.2993071256249871E-5</v>
      </c>
      <c r="AF49" s="137">
        <f t="shared" si="16"/>
        <v>-300</v>
      </c>
      <c r="AG49" s="134"/>
      <c r="AH49" s="138" t="str">
        <f t="shared" si="17"/>
        <v/>
      </c>
      <c r="AI49" s="137">
        <f t="shared" si="18"/>
        <v>0</v>
      </c>
      <c r="AJ49" s="458">
        <f t="shared" si="19"/>
        <v>0</v>
      </c>
      <c r="AK49" s="459">
        <f t="shared" si="20"/>
        <v>6.2266500622665004E-3</v>
      </c>
      <c r="AL49" s="460">
        <f t="shared" si="21"/>
        <v>0</v>
      </c>
      <c r="AM49" s="461">
        <f t="shared" si="22"/>
        <v>0</v>
      </c>
      <c r="AN49" s="462">
        <f t="shared" si="23"/>
        <v>0</v>
      </c>
      <c r="AO49" s="11"/>
    </row>
    <row r="50" spans="1:41" x14ac:dyDescent="0.25">
      <c r="A50" s="61" t="s">
        <v>4</v>
      </c>
      <c r="B50" s="62" t="str">
        <f>IF(_epmOfflineCondition_,"'IT'!$H$39:$H$43",_xll.EVRNG(H39:H43))</f>
        <v>'IT'!$H$39:$H$43</v>
      </c>
      <c r="C50" s="11"/>
      <c r="D50" s="11"/>
      <c r="E50" s="11"/>
      <c r="F50" s="11"/>
      <c r="G50" s="11"/>
      <c r="H50" s="84" t="s">
        <v>851</v>
      </c>
      <c r="I50" s="118" t="str">
        <f>IF(_epmOfflineCondition_,"T5",_xll.EVPRO($B$1,$H50,"STYLE"))</f>
        <v>T5</v>
      </c>
      <c r="J50" s="118" t="str">
        <f>IF(_epmOfflineCondition_,"Y",_xll.EVPRO($B$1,$H50,"CALC"))</f>
        <v>Y</v>
      </c>
      <c r="K50" s="175" t="str">
        <f t="shared" si="12"/>
        <v>&gt;</v>
      </c>
      <c r="L50" s="86" t="str">
        <f>IF(_epmOfflineCondition_,"707310",_xll.EVPRO($B$1,H50,"JDEID"))</f>
        <v>707310</v>
      </c>
      <c r="M50" s="86" t="str">
        <f>IF(_epmOfflineCondition_,"",IF(AND(I50="N",J50="N"),_xll.EVPRO($B$1,H50,"PSFTID"),""))</f>
        <v/>
      </c>
      <c r="N50" s="86" t="str">
        <f>IF(_epmOfflineCondition_,"Human Resources",IF(_xll.EVDES(H50,$B$1)="#NODATA","",_xll.EVDES(H50,$B$1)))</f>
        <v>Human Resources</v>
      </c>
      <c r="O50" s="134"/>
      <c r="P50" s="134"/>
      <c r="Q50" s="134"/>
      <c r="R50" s="134">
        <v>1309.94</v>
      </c>
      <c r="S50" s="134">
        <v>3361</v>
      </c>
      <c r="T50" s="134">
        <v>2027.26</v>
      </c>
      <c r="U50" s="134">
        <v>1410.45</v>
      </c>
      <c r="V50" s="134">
        <v>2748.66</v>
      </c>
      <c r="W50" s="134">
        <v>4.1500000000000004</v>
      </c>
      <c r="X50" s="134">
        <v>1610.79</v>
      </c>
      <c r="Y50" s="134">
        <v>1416.1</v>
      </c>
      <c r="Z50" s="134">
        <v>2262.54</v>
      </c>
      <c r="AA50" s="240">
        <f t="shared" si="13"/>
        <v>16150.89</v>
      </c>
      <c r="AB50" s="138">
        <f t="shared" si="14"/>
        <v>1.925937231731504E-3</v>
      </c>
      <c r="AC50" s="136"/>
      <c r="AD50" s="134">
        <v>12592</v>
      </c>
      <c r="AE50" s="138">
        <f t="shared" si="15"/>
        <v>9.6509584419566131E-4</v>
      </c>
      <c r="AF50" s="137">
        <f t="shared" si="16"/>
        <v>3558.8899999999994</v>
      </c>
      <c r="AG50" s="134">
        <v>10092.6</v>
      </c>
      <c r="AH50" s="138">
        <f t="shared" si="17"/>
        <v>3.0971541119747428E-3</v>
      </c>
      <c r="AI50" s="137">
        <f t="shared" si="18"/>
        <v>6058.2899999999991</v>
      </c>
      <c r="AJ50" s="458">
        <f t="shared" si="19"/>
        <v>0.33521980074719798</v>
      </c>
      <c r="AK50" s="459">
        <f t="shared" si="20"/>
        <v>0.26135325861353259</v>
      </c>
      <c r="AL50" s="460">
        <f t="shared" si="21"/>
        <v>0.27093500845614882</v>
      </c>
      <c r="AM50" s="461" t="str">
        <f t="shared" si="22"/>
        <v>0.1 pts.</v>
      </c>
      <c r="AN50" s="462" t="str">
        <f t="shared" si="23"/>
        <v>-0.12 pts.</v>
      </c>
      <c r="AO50" s="11"/>
    </row>
    <row r="51" spans="1:41" x14ac:dyDescent="0.25">
      <c r="A51" s="61" t="s">
        <v>5</v>
      </c>
      <c r="B51" s="62"/>
      <c r="C51" s="11"/>
      <c r="D51" s="11"/>
      <c r="E51" s="11"/>
      <c r="F51" s="11"/>
      <c r="G51" s="11"/>
      <c r="H51" s="84" t="s">
        <v>852</v>
      </c>
      <c r="I51" s="118" t="str">
        <f>IF(_epmOfflineCondition_,"T5",_xll.EVPRO($B$1,$H51,"STYLE"))</f>
        <v>T5</v>
      </c>
      <c r="J51" s="118" t="str">
        <f>IF(_epmOfflineCondition_,"Y",_xll.EVPRO($B$1,$H51,"CALC"))</f>
        <v>Y</v>
      </c>
      <c r="K51" s="175" t="str">
        <f t="shared" si="12"/>
        <v>&gt;</v>
      </c>
      <c r="L51" s="86" t="str">
        <f>IF(_epmOfflineCondition_,"707450",_xll.EVPRO($B$1,H51,"JDEID"))</f>
        <v>707450</v>
      </c>
      <c r="M51" s="86" t="str">
        <f>IF(_epmOfflineCondition_,"",IF(AND(I51="N",J51="N"),_xll.EVPRO($B$1,H51,"PSFTID"),""))</f>
        <v/>
      </c>
      <c r="N51" s="86" t="str">
        <f>IF(_epmOfflineCondition_,"Other",IF(_xll.EVDES(H51,$B$1)="#NODATA","",_xll.EVDES(H51,$B$1)))</f>
        <v>Other</v>
      </c>
      <c r="O51" s="134">
        <v>-827.25</v>
      </c>
      <c r="P51" s="134">
        <v>1506.63</v>
      </c>
      <c r="Q51" s="134">
        <v>2179.4899999999998</v>
      </c>
      <c r="R51" s="134">
        <v>652.41999999999996</v>
      </c>
      <c r="S51" s="134">
        <v>2460</v>
      </c>
      <c r="T51" s="134">
        <v>1190.44</v>
      </c>
      <c r="U51" s="134">
        <v>500.66</v>
      </c>
      <c r="V51" s="134">
        <v>-923.64</v>
      </c>
      <c r="W51" s="134">
        <v>404</v>
      </c>
      <c r="X51" s="134">
        <v>11.99</v>
      </c>
      <c r="Y51" s="134">
        <v>771.97</v>
      </c>
      <c r="Z51" s="134"/>
      <c r="AA51" s="240">
        <f t="shared" si="13"/>
        <v>7926.7099999999991</v>
      </c>
      <c r="AB51" s="138">
        <f t="shared" si="14"/>
        <v>9.4523248651550644E-4</v>
      </c>
      <c r="AC51" s="136"/>
      <c r="AD51" s="134">
        <v>14237</v>
      </c>
      <c r="AE51" s="138">
        <f t="shared" si="15"/>
        <v>1.0911745182507647E-3</v>
      </c>
      <c r="AF51" s="137">
        <f t="shared" si="16"/>
        <v>-6310.2900000000009</v>
      </c>
      <c r="AG51" s="134">
        <v>12868.27</v>
      </c>
      <c r="AH51" s="138">
        <f t="shared" si="17"/>
        <v>3.9489344018886338E-3</v>
      </c>
      <c r="AI51" s="137">
        <f t="shared" si="18"/>
        <v>-4941.5600000000013</v>
      </c>
      <c r="AJ51" s="458">
        <f t="shared" si="19"/>
        <v>0.1645228310502283</v>
      </c>
      <c r="AK51" s="459">
        <f t="shared" si="20"/>
        <v>0.29549605645496058</v>
      </c>
      <c r="AL51" s="460">
        <f t="shared" si="21"/>
        <v>0.34544763898955733</v>
      </c>
      <c r="AM51" s="461" t="str">
        <f t="shared" si="22"/>
        <v>-0.01 pts.</v>
      </c>
      <c r="AN51" s="462" t="str">
        <f t="shared" si="23"/>
        <v>-0.3 pts.</v>
      </c>
      <c r="AO51" s="11"/>
    </row>
    <row r="52" spans="1:41" x14ac:dyDescent="0.25">
      <c r="A52" s="61" t="s">
        <v>6</v>
      </c>
      <c r="B52" s="62"/>
      <c r="C52" s="11"/>
      <c r="D52" s="11"/>
      <c r="E52" s="11"/>
      <c r="F52" s="11"/>
      <c r="G52" s="11"/>
      <c r="H52" s="84" t="s">
        <v>853</v>
      </c>
      <c r="I52" s="118" t="str">
        <f>IF(_epmOfflineCondition_,"T5",_xll.EVPRO($B$1,$H52,"STYLE"))</f>
        <v>T5</v>
      </c>
      <c r="J52" s="118" t="str">
        <f>IF(_epmOfflineCondition_,"Y",_xll.EVPRO($B$1,$H52,"CALC"))</f>
        <v>Y</v>
      </c>
      <c r="K52" s="175" t="str">
        <f t="shared" si="12"/>
        <v>&gt;</v>
      </c>
      <c r="L52" s="86" t="str">
        <f>IF(_epmOfflineCondition_,"707610",_xll.EVPRO($B$1,H52,"JDEID"))</f>
        <v>707610</v>
      </c>
      <c r="M52" s="86" t="str">
        <f>IF(_epmOfflineCondition_,"",IF(AND(I52="N",J52="N"),_xll.EVPRO($B$1,H52,"PSFTID"),""))</f>
        <v/>
      </c>
      <c r="N52" s="86" t="str">
        <f>IF(_epmOfflineCondition_,"Rooms",IF(_xll.EVDES(H52,$B$1)="#NODATA","",_xll.EVDES(H52,$B$1)))</f>
        <v>Rooms</v>
      </c>
      <c r="O52" s="134">
        <v>2646.59</v>
      </c>
      <c r="P52" s="134">
        <v>1206.5899999999999</v>
      </c>
      <c r="Q52" s="134">
        <v>1417.81</v>
      </c>
      <c r="R52" s="134">
        <v>1206.5899999999999</v>
      </c>
      <c r="S52" s="134">
        <v>1206.5899999999999</v>
      </c>
      <c r="T52" s="134">
        <v>1286.6099999999999</v>
      </c>
      <c r="U52" s="134">
        <v>2527.4899999999998</v>
      </c>
      <c r="V52" s="134">
        <v>1405.71</v>
      </c>
      <c r="W52" s="134">
        <v>680.7</v>
      </c>
      <c r="X52" s="134">
        <v>1962.05</v>
      </c>
      <c r="Y52" s="134">
        <v>1662.98</v>
      </c>
      <c r="Z52" s="134">
        <v>2591.19</v>
      </c>
      <c r="AA52" s="240">
        <f t="shared" si="13"/>
        <v>19800.899999999998</v>
      </c>
      <c r="AB52" s="138">
        <f t="shared" si="14"/>
        <v>2.361188177976095E-3</v>
      </c>
      <c r="AC52" s="136"/>
      <c r="AD52" s="134">
        <v>19447.9999999996</v>
      </c>
      <c r="AE52" s="138">
        <f t="shared" si="15"/>
        <v>1.4905641659717942E-3</v>
      </c>
      <c r="AF52" s="137">
        <f t="shared" si="16"/>
        <v>352.90000000039799</v>
      </c>
      <c r="AG52" s="134">
        <v>15908.1</v>
      </c>
      <c r="AH52" s="138">
        <f t="shared" si="17"/>
        <v>4.8817784642912043E-3</v>
      </c>
      <c r="AI52" s="137">
        <f t="shared" si="18"/>
        <v>3892.7999999999975</v>
      </c>
      <c r="AJ52" s="458">
        <f t="shared" si="19"/>
        <v>0.4109775840597758</v>
      </c>
      <c r="AK52" s="459">
        <f t="shared" si="20"/>
        <v>0.4036529680365214</v>
      </c>
      <c r="AL52" s="460">
        <f t="shared" si="21"/>
        <v>0.42705162277522751</v>
      </c>
      <c r="AM52" s="461" t="str">
        <f t="shared" si="22"/>
        <v>0.09 pts.</v>
      </c>
      <c r="AN52" s="462" t="str">
        <f t="shared" si="23"/>
        <v>-0.25 pts.</v>
      </c>
      <c r="AO52" s="11"/>
    </row>
    <row r="53" spans="1:41" x14ac:dyDescent="0.25">
      <c r="A53" s="61" t="s">
        <v>7</v>
      </c>
      <c r="B53" s="62"/>
      <c r="C53" s="11"/>
      <c r="D53" s="11"/>
      <c r="E53" s="11"/>
      <c r="F53" s="11"/>
      <c r="G53" s="11"/>
      <c r="H53" s="84" t="s">
        <v>854</v>
      </c>
      <c r="I53" s="118" t="str">
        <f>IF(_epmOfflineCondition_,"T5",_xll.EVPRO($B$1,$H53,"STYLE"))</f>
        <v>T5</v>
      </c>
      <c r="J53" s="118" t="str">
        <f>IF(_epmOfflineCondition_,"Y",_xll.EVPRO($B$1,$H53,"CALC"))</f>
        <v>Y</v>
      </c>
      <c r="K53" s="175" t="str">
        <f t="shared" si="12"/>
        <v>&gt;</v>
      </c>
      <c r="L53" s="86" t="str">
        <f>IF(_epmOfflineCondition_,"707650",_xll.EVPRO($B$1,H53,"JDEID"))</f>
        <v>707650</v>
      </c>
      <c r="M53" s="86" t="str">
        <f>IF(_epmOfflineCondition_,"",IF(AND(I53="N",J53="N"),_xll.EVPRO($B$1,H53,"PSFTID"),""))</f>
        <v/>
      </c>
      <c r="N53" s="86" t="str">
        <f>IF(_epmOfflineCondition_,"Sales and Marketing",IF(_xll.EVDES(H53,$B$1)="#NODATA","",_xll.EVDES(H53,$B$1)))</f>
        <v>Sales and Marketing</v>
      </c>
      <c r="O53" s="134">
        <v>212.85</v>
      </c>
      <c r="P53" s="134">
        <v>1860.12</v>
      </c>
      <c r="Q53" s="134">
        <v>1640.16</v>
      </c>
      <c r="R53" s="134">
        <v>1793.59</v>
      </c>
      <c r="S53" s="134">
        <v>3552.81</v>
      </c>
      <c r="T53" s="134">
        <v>4352.08</v>
      </c>
      <c r="U53" s="134">
        <v>2196.9499999999998</v>
      </c>
      <c r="V53" s="134">
        <v>3263.81</v>
      </c>
      <c r="W53" s="134">
        <v>-5603.19</v>
      </c>
      <c r="X53" s="134">
        <v>1209.6600000000001</v>
      </c>
      <c r="Y53" s="134">
        <v>1152.22</v>
      </c>
      <c r="Z53" s="134">
        <v>1167.3900000000001</v>
      </c>
      <c r="AA53" s="240">
        <f t="shared" si="13"/>
        <v>16798.450000000004</v>
      </c>
      <c r="AB53" s="138">
        <f t="shared" si="14"/>
        <v>2.0031565003773844E-3</v>
      </c>
      <c r="AC53" s="136"/>
      <c r="AD53" s="134">
        <v>27318</v>
      </c>
      <c r="AE53" s="138">
        <f t="shared" si="15"/>
        <v>2.0937490685941132E-3</v>
      </c>
      <c r="AF53" s="137">
        <f t="shared" si="16"/>
        <v>-10519.549999999996</v>
      </c>
      <c r="AG53" s="134">
        <v>32599.59</v>
      </c>
      <c r="AH53" s="138">
        <f t="shared" si="17"/>
        <v>1.0003958763568426E-2</v>
      </c>
      <c r="AI53" s="137">
        <f t="shared" si="18"/>
        <v>-15801.139999999996</v>
      </c>
      <c r="AJ53" s="458">
        <f t="shared" si="19"/>
        <v>0.34866023246160244</v>
      </c>
      <c r="AK53" s="459">
        <f t="shared" si="20"/>
        <v>0.5669987546699875</v>
      </c>
      <c r="AL53" s="460">
        <f t="shared" si="21"/>
        <v>0.87513328501248289</v>
      </c>
      <c r="AM53" s="461" t="str">
        <f t="shared" si="22"/>
        <v>-0.01 pts.</v>
      </c>
      <c r="AN53" s="462" t="str">
        <f t="shared" si="23"/>
        <v>-0.8 pts.</v>
      </c>
      <c r="AO53" s="11"/>
    </row>
    <row r="54" spans="1:41" x14ac:dyDescent="0.25">
      <c r="A54" s="61" t="s">
        <v>47</v>
      </c>
      <c r="B54" s="62" t="str">
        <f>IF(_epmOfflineCondition_,"'IT'!$A$105:$B$126",_xll.EVRNG($A$105:$B$126))</f>
        <v>'IT'!$A$105:$B$126</v>
      </c>
      <c r="C54" s="11"/>
      <c r="D54" s="11"/>
      <c r="E54" s="11"/>
      <c r="F54" s="11"/>
      <c r="G54" s="11"/>
      <c r="H54" s="84" t="s">
        <v>502</v>
      </c>
      <c r="I54" s="118" t="str">
        <f>IF(_epmOfflineCondition_,"T4",_xll.EVPRO($B$1,$H54,"STYLE"))</f>
        <v>T4</v>
      </c>
      <c r="J54" s="118" t="str">
        <f>IF(_epmOfflineCondition_,"Y",_xll.EVPRO($B$1,$H54,"CALC"))</f>
        <v>Y</v>
      </c>
      <c r="K54" s="175"/>
      <c r="L54" s="86" t="str">
        <f>IF(_epmOfflineCondition_,"",_xll.EVPRO($B$1,H54,"JDEID"))</f>
        <v/>
      </c>
      <c r="M54" s="86" t="str">
        <f>IF(_epmOfflineCondition_,"",IF(AND(I54="N",J54="N"),_xll.EVPRO($B$1,H54,"PSFTID"),""))</f>
        <v/>
      </c>
      <c r="N54" s="102" t="str">
        <f>IF(_epmOfflineCondition_,"Total System Expenses",IF(_xll.EVDES(H54,$B$1)="#NODATA","",_xll.EVDES(H54,$B$1)))</f>
        <v>Total System Expenses</v>
      </c>
      <c r="O54" s="108">
        <f t="shared" ref="O54:Z54" si="24">SUM(O47:O53)</f>
        <v>3640.32</v>
      </c>
      <c r="P54" s="108">
        <f t="shared" si="24"/>
        <v>6018.34</v>
      </c>
      <c r="Q54" s="108">
        <f t="shared" si="24"/>
        <v>6682.4599999999991</v>
      </c>
      <c r="R54" s="108">
        <f t="shared" si="24"/>
        <v>6563.79</v>
      </c>
      <c r="S54" s="108">
        <f t="shared" si="24"/>
        <v>12337.9</v>
      </c>
      <c r="T54" s="108">
        <f t="shared" si="24"/>
        <v>10346.39</v>
      </c>
      <c r="U54" s="108">
        <f t="shared" si="24"/>
        <v>8125.5499999999993</v>
      </c>
      <c r="V54" s="108">
        <f t="shared" si="24"/>
        <v>7939.5399999999991</v>
      </c>
      <c r="W54" s="108">
        <f t="shared" si="24"/>
        <v>-16744.34</v>
      </c>
      <c r="X54" s="108">
        <f t="shared" si="24"/>
        <v>5794.3899999999994</v>
      </c>
      <c r="Y54" s="108">
        <f t="shared" si="24"/>
        <v>6048.170000000001</v>
      </c>
      <c r="Z54" s="108">
        <f t="shared" si="24"/>
        <v>7066.02</v>
      </c>
      <c r="AA54" s="108">
        <f t="shared" si="13"/>
        <v>63818.53</v>
      </c>
      <c r="AB54" s="109">
        <f t="shared" si="14"/>
        <v>7.6101368408412126E-3</v>
      </c>
      <c r="AC54" s="11"/>
      <c r="AD54" s="108">
        <f>SUM(AD47:AD53)</f>
        <v>94834.999999999593</v>
      </c>
      <c r="AE54" s="109">
        <f t="shared" si="15"/>
        <v>7.2684930419548242E-3</v>
      </c>
      <c r="AF54" s="110">
        <f t="shared" si="16"/>
        <v>-31016.469999999594</v>
      </c>
      <c r="AG54" s="108">
        <f>SUM(AG47:AG53)</f>
        <v>75262.180000000008</v>
      </c>
      <c r="AH54" s="109">
        <f t="shared" si="17"/>
        <v>2.3095988175810322E-2</v>
      </c>
      <c r="AI54" s="110">
        <f t="shared" si="18"/>
        <v>-11443.650000000009</v>
      </c>
      <c r="AJ54" s="411">
        <f t="shared" si="19"/>
        <v>1.324585512660855</v>
      </c>
      <c r="AK54" s="412">
        <f t="shared" si="20"/>
        <v>1.9683478621834702</v>
      </c>
      <c r="AL54" s="413">
        <f t="shared" si="21"/>
        <v>2.0204069689404314</v>
      </c>
      <c r="AM54" s="414" t="str">
        <f t="shared" si="22"/>
        <v>0.03 pts.</v>
      </c>
      <c r="AN54" s="538" t="str">
        <f t="shared" si="23"/>
        <v>-1.55 pts.</v>
      </c>
      <c r="AO54" s="11"/>
    </row>
    <row r="55" spans="1:41" x14ac:dyDescent="0.25">
      <c r="A55" s="61" t="s">
        <v>8</v>
      </c>
      <c r="B55" s="62"/>
      <c r="C55" s="11"/>
      <c r="D55" s="11"/>
      <c r="E55" s="11"/>
      <c r="F55" s="11"/>
      <c r="G55" s="11"/>
      <c r="H55" s="175"/>
      <c r="I55" s="175"/>
      <c r="J55" s="175"/>
      <c r="K55" s="175"/>
      <c r="L55" s="86"/>
      <c r="M55" s="86"/>
      <c r="N55" s="102"/>
      <c r="O55" s="125"/>
      <c r="P55" s="126"/>
      <c r="Q55" s="126"/>
      <c r="R55" s="126"/>
      <c r="S55" s="126"/>
      <c r="T55" s="126"/>
      <c r="U55" s="126"/>
      <c r="V55" s="126"/>
      <c r="W55" s="126"/>
      <c r="X55" s="126"/>
      <c r="Y55" s="126"/>
      <c r="Z55" s="126"/>
      <c r="AA55" s="126"/>
      <c r="AB55" s="127"/>
      <c r="AC55" s="11"/>
      <c r="AD55" s="125"/>
      <c r="AE55" s="126"/>
      <c r="AF55" s="127"/>
      <c r="AG55" s="125"/>
      <c r="AH55" s="126"/>
      <c r="AI55" s="127"/>
      <c r="AJ55" s="11"/>
      <c r="AK55" s="11"/>
      <c r="AL55" s="11"/>
      <c r="AM55" s="11"/>
      <c r="AN55" s="11"/>
      <c r="AO55" s="11"/>
    </row>
    <row r="56" spans="1:41" x14ac:dyDescent="0.25">
      <c r="A56" s="11"/>
      <c r="B56" s="11"/>
      <c r="C56" s="11"/>
      <c r="D56" s="11"/>
      <c r="E56" s="11"/>
      <c r="F56" s="11"/>
      <c r="G56" s="11"/>
      <c r="H56" s="11" t="s">
        <v>82</v>
      </c>
      <c r="I56" s="55" t="str">
        <f>IF(_epmOfflineCondition_,"B1",_xll.EVPRO($B$1,$H56,"STYLE"))</f>
        <v>B1</v>
      </c>
      <c r="J56" s="55" t="str">
        <f>IF(_epmOfflineCondition_,"Y",_xll.EVPRO($B$1,$H56,"CALC"))</f>
        <v>Y</v>
      </c>
      <c r="K56" s="11"/>
      <c r="L56" s="11"/>
      <c r="M56" s="11"/>
      <c r="N56" s="101" t="str">
        <f>IF(_epmOfflineCondition_,"Other Expenses",IF(_xll.EVDES(H56,$B$1)="#NODATA","",_xll.EVDES(H56,$B$1)))</f>
        <v>Other Expenses</v>
      </c>
      <c r="O56" s="115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7"/>
      <c r="AC56" s="11"/>
      <c r="AD56" s="115"/>
      <c r="AE56" s="116"/>
      <c r="AF56" s="117"/>
      <c r="AG56" s="115"/>
      <c r="AH56" s="116"/>
      <c r="AI56" s="117"/>
      <c r="AJ56" s="11"/>
      <c r="AK56" s="11"/>
      <c r="AL56" s="11"/>
      <c r="AM56" s="11"/>
      <c r="AN56" s="11"/>
      <c r="AO56" s="11"/>
    </row>
    <row r="57" spans="1:41" x14ac:dyDescent="0.25">
      <c r="A57" s="57" t="s">
        <v>9</v>
      </c>
      <c r="B57" s="58" t="s">
        <v>10</v>
      </c>
      <c r="C57" s="11"/>
      <c r="D57" s="11"/>
      <c r="E57" s="11"/>
      <c r="F57" s="11"/>
      <c r="G57" s="11"/>
      <c r="H57" s="84" t="s">
        <v>792</v>
      </c>
      <c r="I57" s="118" t="str">
        <f>IF(_epmOfflineCondition_,"T4",_xll.EVPRO($B$1,$H57,"STYLE"))</f>
        <v>T4</v>
      </c>
      <c r="J57" s="118" t="str">
        <f>IF(_epmOfflineCondition_,"Y",_xll.EVPRO($B$1,$H57,"CALC"))</f>
        <v>Y</v>
      </c>
      <c r="K57" s="175" t="str">
        <f>IF(AND(I57&gt;="T3"),"&gt;","")</f>
        <v>&gt;</v>
      </c>
      <c r="L57" s="86" t="str">
        <f>IF(_epmOfflineCondition_,"701500",_xll.EVPRO($B$1,H57,"JDEID"))</f>
        <v>701500</v>
      </c>
      <c r="M57" s="86" t="str">
        <f>IF(_epmOfflineCondition_,"",IF(AND(I57="N",J57="N"),_xll.EVPRO($B$1,H57,"PSFTID"),""))</f>
        <v/>
      </c>
      <c r="N57" s="86" t="str">
        <f>IF(_epmOfflineCondition_,"Operating Supplies",IF(_xll.EVDES(H57,$B$1)="#NODATA","",_xll.EVDES(H57,$B$1)))</f>
        <v>Operating Supplies</v>
      </c>
      <c r="O57" s="134"/>
      <c r="P57" s="134"/>
      <c r="Q57" s="134"/>
      <c r="R57" s="134"/>
      <c r="S57" s="134"/>
      <c r="T57" s="134"/>
      <c r="U57" s="134"/>
      <c r="V57" s="134">
        <v>11.99</v>
      </c>
      <c r="W57" s="134"/>
      <c r="X57" s="134">
        <v>-11.99</v>
      </c>
      <c r="Y57" s="134"/>
      <c r="Z57" s="134"/>
      <c r="AA57" s="240">
        <f t="shared" ref="AA57:AA62" si="25">IF($I57="B1","",SUM(O57:Z57))</f>
        <v>0</v>
      </c>
      <c r="AB57" s="138" t="str">
        <f t="shared" ref="AB57:AB62" si="26">IF(AA57=0,"",IFERROR(AA57/AA$19,""))</f>
        <v/>
      </c>
      <c r="AC57" s="136"/>
      <c r="AD57" s="134"/>
      <c r="AE57" s="138" t="str">
        <f t="shared" ref="AE57:AE62" si="27">IF(AD57=0,"",IFERROR(AD57/AD$19,""))</f>
        <v/>
      </c>
      <c r="AF57" s="137">
        <f t="shared" ref="AF57:AF62" si="28">IF(AND($AA57="",AD57=""),"",$AA57-AD57)</f>
        <v>0</v>
      </c>
      <c r="AG57" s="134">
        <v>19.559999999999999</v>
      </c>
      <c r="AH57" s="138">
        <f t="shared" ref="AH57:AH62" si="29">IF(AG57=0,"",IFERROR(AG57/AG$19,""))</f>
        <v>6.0024507490860591E-6</v>
      </c>
      <c r="AI57" s="137">
        <f t="shared" ref="AI57:AI62" si="30">IF(AND($AA57="",AG57=""),"",$AA57-AG57)</f>
        <v>-19.559999999999999</v>
      </c>
      <c r="AJ57" s="458">
        <f t="shared" ref="AJ57:AJ62" si="31">IFERROR(AA57/AA$20,0)</f>
        <v>0</v>
      </c>
      <c r="AK57" s="459">
        <f t="shared" ref="AK57:AK62" si="32">IFERROR(AD57/AD$20,0)</f>
        <v>0</v>
      </c>
      <c r="AL57" s="460">
        <f t="shared" ref="AL57:AL62" si="33">IFERROR(AG57/AG$20,0)</f>
        <v>5.2508657485705076E-4</v>
      </c>
      <c r="AM57" s="461">
        <f t="shared" ref="AM57:AM62" si="34">+IFERROR(ROUND(($AB57-AE57)*100,2)&amp;" pts.",0)</f>
        <v>0</v>
      </c>
      <c r="AN57" s="462">
        <f t="shared" ref="AN57:AN62" si="35">+IFERROR(ROUND(($AB57-AH57)*100,2)&amp;" pts.",0)</f>
        <v>0</v>
      </c>
      <c r="AO57" s="11"/>
    </row>
    <row r="58" spans="1:41" x14ac:dyDescent="0.25">
      <c r="A58" s="61" t="s">
        <v>11</v>
      </c>
      <c r="B58" s="62" t="s">
        <v>21</v>
      </c>
      <c r="C58" s="11"/>
      <c r="D58" s="11"/>
      <c r="E58" s="11"/>
      <c r="F58" s="11"/>
      <c r="G58" s="11"/>
      <c r="H58" s="84" t="s">
        <v>794</v>
      </c>
      <c r="I58" s="118" t="str">
        <f>IF(_epmOfflineCondition_,"T4",_xll.EVPRO($B$1,$H58,"STYLE"))</f>
        <v>T4</v>
      </c>
      <c r="J58" s="118" t="str">
        <f>IF(_epmOfflineCondition_,"Y",_xll.EVPRO($B$1,$H58,"CALC"))</f>
        <v>Y</v>
      </c>
      <c r="K58" s="175" t="str">
        <f>IF(AND(I58&gt;="T3"),"&gt;","")</f>
        <v>&gt;</v>
      </c>
      <c r="L58" s="86" t="str">
        <f>IF(_epmOfflineCondition_,"",_xll.EVPRO($B$1,H58,"JDEID"))</f>
        <v/>
      </c>
      <c r="M58" s="86" t="str">
        <f>IF(_epmOfflineCondition_,"",IF(AND(I58="N",J58="N"),_xll.EVPRO($B$1,H58,"PSFTID"),""))</f>
        <v/>
      </c>
      <c r="N58" s="86" t="str">
        <f>IF(_epmOfflineCondition_,"Contract Services",IF(_xll.EVDES(H58,$B$1)="#NODATA","",_xll.EVDES(H58,$B$1)))</f>
        <v>Contract Services</v>
      </c>
      <c r="O58" s="134">
        <v>-34.450000000000003</v>
      </c>
      <c r="P58" s="134">
        <v>1182.23</v>
      </c>
      <c r="Q58" s="134">
        <v>1150.26</v>
      </c>
      <c r="R58" s="134">
        <v>390.55</v>
      </c>
      <c r="S58" s="134">
        <v>578.91999999999996</v>
      </c>
      <c r="T58" s="134">
        <v>378.52</v>
      </c>
      <c r="U58" s="134">
        <v>439.58</v>
      </c>
      <c r="V58" s="134">
        <v>223.06</v>
      </c>
      <c r="W58" s="134">
        <v>807.04</v>
      </c>
      <c r="X58" s="134">
        <v>428.52</v>
      </c>
      <c r="Y58" s="134">
        <v>896.02</v>
      </c>
      <c r="Z58" s="134">
        <v>448.52</v>
      </c>
      <c r="AA58" s="240">
        <f t="shared" si="25"/>
        <v>6888.77</v>
      </c>
      <c r="AB58" s="138">
        <f t="shared" si="26"/>
        <v>8.2146176612155942E-4</v>
      </c>
      <c r="AC58" s="136"/>
      <c r="AD58" s="134">
        <v>2784</v>
      </c>
      <c r="AE58" s="138">
        <f t="shared" si="27"/>
        <v>2.1337570125799882E-4</v>
      </c>
      <c r="AF58" s="137">
        <f t="shared" si="28"/>
        <v>4104.7700000000004</v>
      </c>
      <c r="AG58" s="134">
        <v>6902.4</v>
      </c>
      <c r="AH58" s="138">
        <f t="shared" si="29"/>
        <v>2.1181654422541725E-3</v>
      </c>
      <c r="AI58" s="137">
        <f t="shared" si="30"/>
        <v>-13.6299999999992</v>
      </c>
      <c r="AJ58" s="458">
        <f t="shared" si="31"/>
        <v>0.14297986716479869</v>
      </c>
      <c r="AK58" s="459">
        <f t="shared" si="32"/>
        <v>5.7783312577833125E-2</v>
      </c>
      <c r="AL58" s="460">
        <f t="shared" si="33"/>
        <v>0.18529435451397278</v>
      </c>
      <c r="AM58" s="461" t="str">
        <f t="shared" si="34"/>
        <v>0.06 pts.</v>
      </c>
      <c r="AN58" s="462" t="str">
        <f t="shared" si="35"/>
        <v>-0.13 pts.</v>
      </c>
      <c r="AO58" s="11"/>
    </row>
    <row r="59" spans="1:41" x14ac:dyDescent="0.25">
      <c r="A59" s="61" t="s">
        <v>12</v>
      </c>
      <c r="B59" s="62" t="s">
        <v>22</v>
      </c>
      <c r="C59" s="11"/>
      <c r="D59" s="11"/>
      <c r="E59" s="11"/>
      <c r="F59" s="11"/>
      <c r="G59" s="11"/>
      <c r="H59" s="84" t="s">
        <v>795</v>
      </c>
      <c r="I59" s="118" t="str">
        <f>IF(_epmOfflineCondition_,"T4",_xll.EVPRO($B$1,$H59,"STYLE"))</f>
        <v>T4</v>
      </c>
      <c r="J59" s="118" t="str">
        <f>IF(_epmOfflineCondition_,"Y",_xll.EVPRO($B$1,$H59,"CALC"))</f>
        <v>Y</v>
      </c>
      <c r="K59" s="175" t="str">
        <f>IF(AND(I59&gt;="T3"),"&gt;","")</f>
        <v>&gt;</v>
      </c>
      <c r="L59" s="86" t="str">
        <f>IF(_epmOfflineCondition_,"",_xll.EVPRO($B$1,H59,"JDEID"))</f>
        <v/>
      </c>
      <c r="M59" s="86" t="str">
        <f>IF(_epmOfflineCondition_,"",IF(AND(I59="N",J59="N"),_xll.EVPRO($B$1,H59,"PSFTID"),""))</f>
        <v/>
      </c>
      <c r="N59" s="86" t="str">
        <f>IF(_epmOfflineCondition_,"Travel - Other",IF(_xll.EVDES(H59,$B$1)="#NODATA","",_xll.EVDES(H59,$B$1)))</f>
        <v>Travel - Other</v>
      </c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240">
        <f t="shared" si="25"/>
        <v>0</v>
      </c>
      <c r="AB59" s="138" t="str">
        <f t="shared" si="26"/>
        <v/>
      </c>
      <c r="AC59" s="136"/>
      <c r="AD59" s="134"/>
      <c r="AE59" s="138" t="str">
        <f t="shared" si="27"/>
        <v/>
      </c>
      <c r="AF59" s="137">
        <f t="shared" si="28"/>
        <v>0</v>
      </c>
      <c r="AG59" s="134">
        <v>1564.49</v>
      </c>
      <c r="AH59" s="138">
        <f t="shared" si="29"/>
        <v>4.8010092906122955E-4</v>
      </c>
      <c r="AI59" s="137">
        <f t="shared" si="30"/>
        <v>-1564.49</v>
      </c>
      <c r="AJ59" s="458">
        <f t="shared" si="31"/>
        <v>0</v>
      </c>
      <c r="AK59" s="459">
        <f t="shared" si="32"/>
        <v>0</v>
      </c>
      <c r="AL59" s="460">
        <f t="shared" si="33"/>
        <v>4.1998604064320419E-2</v>
      </c>
      <c r="AM59" s="461">
        <f t="shared" si="34"/>
        <v>0</v>
      </c>
      <c r="AN59" s="462">
        <f t="shared" si="35"/>
        <v>0</v>
      </c>
      <c r="AO59" s="11"/>
    </row>
    <row r="60" spans="1:41" x14ac:dyDescent="0.25">
      <c r="A60" s="61" t="s">
        <v>13</v>
      </c>
      <c r="B60" s="62" t="s">
        <v>505</v>
      </c>
      <c r="C60" s="11"/>
      <c r="D60" s="11"/>
      <c r="E60" s="11"/>
      <c r="F60" s="11"/>
      <c r="G60" s="11"/>
      <c r="H60" s="84" t="s">
        <v>796</v>
      </c>
      <c r="I60" s="118" t="str">
        <f>IF(_epmOfflineCondition_,"T4",_xll.EVPRO($B$1,$H60,"STYLE"))</f>
        <v>T4</v>
      </c>
      <c r="J60" s="118" t="str">
        <f>IF(_epmOfflineCondition_,"Y",_xll.EVPRO($B$1,$H60,"CALC"))</f>
        <v>Y</v>
      </c>
      <c r="K60" s="175" t="str">
        <f>IF(AND(I60&gt;="T3"),"&gt;","")</f>
        <v>&gt;</v>
      </c>
      <c r="L60" s="86" t="str">
        <f>IF(_epmOfflineCondition_,"702900",_xll.EVPRO($B$1,H60,"JDEID"))</f>
        <v>702900</v>
      </c>
      <c r="M60" s="86" t="str">
        <f>IF(_epmOfflineCondition_,"",IF(AND(I60="N",J60="N"),_xll.EVPRO($B$1,H60,"PSFTID"),""))</f>
        <v/>
      </c>
      <c r="N60" s="86" t="str">
        <f>IF(_epmOfflineCondition_,"Travel - Meals &amp; Entertainment",IF(_xll.EVDES(H60,$B$1)="#NODATA","",_xll.EVDES(H60,$B$1)))</f>
        <v>Travel - Meals &amp; Entertainment</v>
      </c>
      <c r="O60" s="134"/>
      <c r="P60" s="134"/>
      <c r="Q60" s="134"/>
      <c r="R60" s="134"/>
      <c r="S60" s="134"/>
      <c r="T60" s="134"/>
      <c r="U60" s="134"/>
      <c r="V60" s="134"/>
      <c r="W60" s="134"/>
      <c r="X60" s="134"/>
      <c r="Y60" s="134"/>
      <c r="Z60" s="134"/>
      <c r="AA60" s="240">
        <f t="shared" si="25"/>
        <v>0</v>
      </c>
      <c r="AB60" s="138" t="str">
        <f t="shared" si="26"/>
        <v/>
      </c>
      <c r="AC60" s="136"/>
      <c r="AD60" s="134"/>
      <c r="AE60" s="138" t="str">
        <f t="shared" si="27"/>
        <v/>
      </c>
      <c r="AF60" s="137">
        <f t="shared" si="28"/>
        <v>0</v>
      </c>
      <c r="AG60" s="134">
        <v>244.12</v>
      </c>
      <c r="AH60" s="138">
        <f t="shared" si="29"/>
        <v>7.4914022334708025E-5</v>
      </c>
      <c r="AI60" s="137">
        <f t="shared" si="30"/>
        <v>-244.12</v>
      </c>
      <c r="AJ60" s="458">
        <f t="shared" si="31"/>
        <v>0</v>
      </c>
      <c r="AK60" s="459">
        <f t="shared" si="32"/>
        <v>0</v>
      </c>
      <c r="AL60" s="460">
        <f t="shared" si="33"/>
        <v>6.5533811172854423E-3</v>
      </c>
      <c r="AM60" s="461">
        <f t="shared" si="34"/>
        <v>0</v>
      </c>
      <c r="AN60" s="462">
        <f t="shared" si="35"/>
        <v>0</v>
      </c>
      <c r="AO60" s="11"/>
    </row>
    <row r="61" spans="1:41" x14ac:dyDescent="0.25">
      <c r="A61" s="61" t="s">
        <v>14</v>
      </c>
      <c r="B61" s="582"/>
      <c r="C61" s="11"/>
      <c r="D61" s="11"/>
      <c r="E61" s="11"/>
      <c r="F61" s="11"/>
      <c r="G61" s="11"/>
      <c r="H61" s="84" t="s">
        <v>809</v>
      </c>
      <c r="I61" s="118" t="str">
        <f>IF(_epmOfflineCondition_,"T4",_xll.EVPRO($B$1,$H61,"STYLE"))</f>
        <v>T4</v>
      </c>
      <c r="J61" s="118" t="str">
        <f>IF(_epmOfflineCondition_,"Y",_xll.EVPRO($B$1,$H61,"CALC"))</f>
        <v>Y</v>
      </c>
      <c r="K61" s="175" t="str">
        <f>IF(AND(I61&gt;="T3"),"&gt;","")</f>
        <v>&gt;</v>
      </c>
      <c r="L61" s="86" t="str">
        <f>IF(_epmOfflineCondition_,"706500",_xll.EVPRO($B$1,H61,"JDEID"))</f>
        <v>706500</v>
      </c>
      <c r="M61" s="86" t="str">
        <f>IF(_epmOfflineCondition_,"",IF(AND(I61="N",J61="N"),_xll.EVPRO($B$1,H61,"PSFTID"),""))</f>
        <v/>
      </c>
      <c r="N61" s="86" t="str">
        <f>IF(_epmOfflineCondition_,"Corporate Office Reimbursement",IF(_xll.EVDES(H61,$B$1)="#NODATA","",_xll.EVDES(H61,$B$1)))</f>
        <v>Corporate Office Reimbursement</v>
      </c>
      <c r="O61" s="134">
        <v>5226.34</v>
      </c>
      <c r="P61" s="134">
        <v>5516.74</v>
      </c>
      <c r="Q61" s="134">
        <v>6261.28</v>
      </c>
      <c r="R61" s="134">
        <v>4910.47</v>
      </c>
      <c r="S61" s="134">
        <v>3925.97</v>
      </c>
      <c r="T61" s="134">
        <v>2878.19</v>
      </c>
      <c r="U61" s="134">
        <v>3429.08</v>
      </c>
      <c r="V61" s="134">
        <v>3434.7</v>
      </c>
      <c r="W61" s="134">
        <v>2359.1799999999998</v>
      </c>
      <c r="X61" s="134">
        <v>3480.93</v>
      </c>
      <c r="Y61" s="134">
        <v>4861.78</v>
      </c>
      <c r="Z61" s="134">
        <v>7264.61</v>
      </c>
      <c r="AA61" s="240">
        <f t="shared" si="25"/>
        <v>53549.27</v>
      </c>
      <c r="AB61" s="138">
        <f t="shared" si="26"/>
        <v>6.3855634472801725E-3</v>
      </c>
      <c r="AC61" s="136"/>
      <c r="AD61" s="134">
        <v>82126.5185950054</v>
      </c>
      <c r="AE61" s="138">
        <f t="shared" si="27"/>
        <v>6.2944696469422979E-3</v>
      </c>
      <c r="AF61" s="137">
        <f t="shared" si="28"/>
        <v>-28577.248595005403</v>
      </c>
      <c r="AG61" s="134">
        <v>22691.89</v>
      </c>
      <c r="AH61" s="138">
        <f t="shared" si="29"/>
        <v>6.9635456098506377E-3</v>
      </c>
      <c r="AI61" s="137">
        <f t="shared" si="30"/>
        <v>30857.379999999997</v>
      </c>
      <c r="AJ61" s="458">
        <f t="shared" si="31"/>
        <v>1.1114418845994187</v>
      </c>
      <c r="AK61" s="459">
        <f t="shared" si="32"/>
        <v>1.7045769737444043</v>
      </c>
      <c r="AL61" s="460">
        <f t="shared" si="33"/>
        <v>0.60916190169391427</v>
      </c>
      <c r="AM61" s="461" t="str">
        <f t="shared" si="34"/>
        <v>0.01 pts.</v>
      </c>
      <c r="AN61" s="462" t="str">
        <f t="shared" si="35"/>
        <v>-0.06 pts.</v>
      </c>
      <c r="AO61" s="11"/>
    </row>
    <row r="62" spans="1:41" x14ac:dyDescent="0.25">
      <c r="A62" s="61" t="s">
        <v>15</v>
      </c>
      <c r="B62" s="62"/>
      <c r="C62" s="11"/>
      <c r="D62" s="11"/>
      <c r="E62" s="11"/>
      <c r="F62" s="11"/>
      <c r="G62" s="11"/>
      <c r="H62" s="84" t="s">
        <v>79</v>
      </c>
      <c r="I62" s="132" t="str">
        <f>IF(_epmOfflineCondition_,"T3",_xll.EVPRO($B$1,$H62,"STYLE"))</f>
        <v>T3</v>
      </c>
      <c r="J62" s="132" t="str">
        <f>IF(_epmOfflineCondition_,"Y",_xll.EVPRO($B$1,$H62,"CALC"))</f>
        <v>Y</v>
      </c>
      <c r="K62" s="100"/>
      <c r="L62" s="55"/>
      <c r="M62" s="55"/>
      <c r="N62" s="102" t="str">
        <f>IF(_epmOfflineCondition_,"Total Operations Expense",IF(_xll.EVDES(H62,$B$1)="#NODATA","",_xll.EVDES(H62,$B$1)))</f>
        <v>Total Operations Expense</v>
      </c>
      <c r="O62" s="108">
        <f t="shared" ref="O62:Z62" si="36">SUM(O57:O61)</f>
        <v>5191.8900000000003</v>
      </c>
      <c r="P62" s="108">
        <f t="shared" si="36"/>
        <v>6698.9699999999993</v>
      </c>
      <c r="Q62" s="108">
        <f t="shared" si="36"/>
        <v>7411.54</v>
      </c>
      <c r="R62" s="108">
        <f t="shared" si="36"/>
        <v>5301.02</v>
      </c>
      <c r="S62" s="108">
        <f t="shared" si="36"/>
        <v>4504.8899999999994</v>
      </c>
      <c r="T62" s="108">
        <f t="shared" si="36"/>
        <v>3256.71</v>
      </c>
      <c r="U62" s="108">
        <f t="shared" si="36"/>
        <v>3868.66</v>
      </c>
      <c r="V62" s="108">
        <f t="shared" si="36"/>
        <v>3669.75</v>
      </c>
      <c r="W62" s="108">
        <f t="shared" si="36"/>
        <v>3166.22</v>
      </c>
      <c r="X62" s="108">
        <f t="shared" si="36"/>
        <v>3897.46</v>
      </c>
      <c r="Y62" s="108">
        <f t="shared" si="36"/>
        <v>5757.7999999999993</v>
      </c>
      <c r="Z62" s="108">
        <f t="shared" si="36"/>
        <v>7713.1299999999992</v>
      </c>
      <c r="AA62" s="108">
        <f t="shared" si="25"/>
        <v>60438.04</v>
      </c>
      <c r="AB62" s="109">
        <f t="shared" si="26"/>
        <v>7.2070252134017326E-3</v>
      </c>
      <c r="AC62" s="11"/>
      <c r="AD62" s="108">
        <f>SUM(AD57:AD61)</f>
        <v>84910.5185950054</v>
      </c>
      <c r="AE62" s="109">
        <f t="shared" si="27"/>
        <v>6.5078453482002967E-3</v>
      </c>
      <c r="AF62" s="110">
        <f t="shared" si="28"/>
        <v>-24472.478595005399</v>
      </c>
      <c r="AG62" s="108">
        <f>SUM(AG57:AG61)</f>
        <v>31422.46</v>
      </c>
      <c r="AH62" s="109">
        <f t="shared" si="29"/>
        <v>9.6427284542498336E-3</v>
      </c>
      <c r="AI62" s="110">
        <f t="shared" si="30"/>
        <v>29015.58</v>
      </c>
      <c r="AJ62" s="411">
        <f t="shared" si="31"/>
        <v>1.2544217517642176</v>
      </c>
      <c r="AK62" s="412">
        <f t="shared" si="32"/>
        <v>1.7623602863222374</v>
      </c>
      <c r="AL62" s="413">
        <f t="shared" si="33"/>
        <v>0.84353332796434988</v>
      </c>
      <c r="AM62" s="414" t="str">
        <f t="shared" si="34"/>
        <v>0.07 pts.</v>
      </c>
      <c r="AN62" s="538" t="str">
        <f t="shared" si="35"/>
        <v>-0.24 pts.</v>
      </c>
      <c r="AO62" s="11"/>
    </row>
    <row r="63" spans="1:41" x14ac:dyDescent="0.25">
      <c r="A63" s="61" t="s">
        <v>16</v>
      </c>
      <c r="B63" s="62"/>
      <c r="C63" s="11"/>
      <c r="D63" s="11"/>
      <c r="E63" s="11"/>
      <c r="F63" s="11"/>
      <c r="G63" s="11"/>
      <c r="H63" s="11"/>
      <c r="I63" s="55"/>
      <c r="J63" s="55"/>
      <c r="K63" s="11"/>
      <c r="L63" s="55"/>
      <c r="M63" s="55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</row>
    <row r="64" spans="1:41" x14ac:dyDescent="0.25">
      <c r="A64" s="61" t="s">
        <v>17</v>
      </c>
      <c r="B64" s="62"/>
      <c r="C64" s="11"/>
      <c r="D64" s="11"/>
      <c r="E64" s="11"/>
      <c r="F64" s="11"/>
      <c r="G64" s="11"/>
      <c r="H64" s="84" t="s">
        <v>80</v>
      </c>
      <c r="I64" s="132" t="str">
        <f>IF(_epmOfflineCondition_,"T3",_xll.EVPRO($B$1,$H64,"STYLE"))</f>
        <v>T3</v>
      </c>
      <c r="J64" s="132" t="str">
        <f>IF(_epmOfflineCondition_,"Y",_xll.EVPRO($B$1,$H64,"CALC"))</f>
        <v>Y</v>
      </c>
      <c r="K64" s="102"/>
      <c r="L64" s="55"/>
      <c r="M64" s="55"/>
      <c r="N64" s="102" t="str">
        <f>IF(_epmOfflineCondition_,"Total Expenses",IF(_xll.EVDES(H64,$B$1)="#NODATA","",_xll.EVDES(H64,$B$1)))</f>
        <v>Total Expenses</v>
      </c>
      <c r="O64" s="210">
        <v>13951.27</v>
      </c>
      <c r="P64" s="210">
        <v>17511.259999999998</v>
      </c>
      <c r="Q64" s="210">
        <v>18663.25</v>
      </c>
      <c r="R64" s="210">
        <v>17553.79</v>
      </c>
      <c r="S64" s="210">
        <v>20129.02</v>
      </c>
      <c r="T64" s="210">
        <v>18862.68</v>
      </c>
      <c r="U64" s="210">
        <v>15039.73</v>
      </c>
      <c r="V64" s="210">
        <v>15455.03</v>
      </c>
      <c r="W64" s="210">
        <v>-9006.9</v>
      </c>
      <c r="X64" s="210">
        <v>12609.31</v>
      </c>
      <c r="Y64" s="210">
        <v>16232.11</v>
      </c>
      <c r="Z64" s="210">
        <v>18830.87</v>
      </c>
      <c r="AA64" s="210">
        <f>IF($I64="B1","",SUM(O64:Z64))</f>
        <v>175831.42000000004</v>
      </c>
      <c r="AB64" s="211">
        <f>IF(AA64=0,"",IFERROR(AA64/AA$19,""))</f>
        <v>2.0967282811425219E-2</v>
      </c>
      <c r="AC64" s="136"/>
      <c r="AD64" s="210">
        <v>235641.51859500501</v>
      </c>
      <c r="AE64" s="211">
        <f>IF(AD64=0,"",IFERROR(AD64/AD$19,""))</f>
        <v>1.8060407426619598E-2</v>
      </c>
      <c r="AF64" s="212">
        <f>IF(AND($AA64="",AD64=""),"",$AA64-AD64)</f>
        <v>-59810.098595004965</v>
      </c>
      <c r="AG64" s="213">
        <v>159576.76999999999</v>
      </c>
      <c r="AH64" s="214">
        <f>IF(AG64=0,"",IFERROR(AG64/AG$19,""))</f>
        <v>4.8969923446995592E-2</v>
      </c>
      <c r="AI64" s="212">
        <f>IF(AND($AA64="",AG64=""),"",$AA64-AG64)</f>
        <v>16254.650000000052</v>
      </c>
      <c r="AJ64" s="437">
        <f>IFERROR(AA64/AA$20,0)</f>
        <v>3.6494690743046916</v>
      </c>
      <c r="AK64" s="438">
        <f>IFERROR(AD64/AD$20,0)</f>
        <v>4.8908575881072025</v>
      </c>
      <c r="AL64" s="439">
        <f>IFERROR(AG64/AG$20,0)</f>
        <v>4.2838251322112155</v>
      </c>
      <c r="AM64" s="440" t="str">
        <f>+IFERROR(ROUND(($AB64-AE64)*100,2)&amp;" pts.",0)</f>
        <v>0.29 pts.</v>
      </c>
      <c r="AN64" s="551" t="str">
        <f>+IFERROR(ROUND(($AB64-AH64)*100,2)&amp;" pts.",0)</f>
        <v>-2.8 pts.</v>
      </c>
      <c r="AO64" s="11"/>
    </row>
    <row r="65" spans="1:41" ht="15.75" thickBot="1" x14ac:dyDescent="0.3">
      <c r="A65" s="11"/>
      <c r="B65" s="11"/>
      <c r="C65" s="11"/>
      <c r="D65" s="11"/>
      <c r="E65" s="11"/>
      <c r="F65" s="11"/>
      <c r="G65" s="11"/>
      <c r="H65" s="84" t="s">
        <v>81</v>
      </c>
      <c r="I65" s="132" t="str">
        <f>IF(_epmOfflineCondition_,"T3",_xll.EVPRO($B$1,$H65,"STYLE"))</f>
        <v>T3</v>
      </c>
      <c r="J65" s="132" t="str">
        <f>IF(_epmOfflineCondition_,"Y",_xll.EVPRO($B$1,$H65,"CALC"))</f>
        <v>Y</v>
      </c>
      <c r="K65" s="102"/>
      <c r="L65" s="55"/>
      <c r="M65" s="55"/>
      <c r="N65" s="102" t="str">
        <f>IF(_epmOfflineCondition_,"Department Profit (Loss)",IF(_xll.EVDES(H65,$B$1)="#NODATA","",_xll.EVDES(H65,$B$1)))</f>
        <v>Department Profit (Loss)</v>
      </c>
      <c r="O65" s="161">
        <v>-13951.27</v>
      </c>
      <c r="P65" s="161">
        <v>-17511.259999999998</v>
      </c>
      <c r="Q65" s="161">
        <v>-18663.25</v>
      </c>
      <c r="R65" s="161">
        <v>-17553.79</v>
      </c>
      <c r="S65" s="161">
        <v>-20129.02</v>
      </c>
      <c r="T65" s="161">
        <v>-18862.68</v>
      </c>
      <c r="U65" s="161">
        <v>-15039.73</v>
      </c>
      <c r="V65" s="161">
        <v>-15455.03</v>
      </c>
      <c r="W65" s="161">
        <v>9006.9</v>
      </c>
      <c r="X65" s="161">
        <v>-12609.31</v>
      </c>
      <c r="Y65" s="161">
        <v>-16232.11</v>
      </c>
      <c r="Z65" s="161">
        <v>-18830.87</v>
      </c>
      <c r="AA65" s="161">
        <f>IF($I65="B1","",SUM(O65:Z65))</f>
        <v>-175831.42000000004</v>
      </c>
      <c r="AB65" s="162">
        <f>IF(AA65=0,"",IFERROR(AA65/AA$19,""))</f>
        <v>-2.0967282811425219E-2</v>
      </c>
      <c r="AC65" s="136"/>
      <c r="AD65" s="161">
        <v>-235641.51859500501</v>
      </c>
      <c r="AE65" s="162">
        <f>IF(AD65=0,"",IFERROR(AD65/AD$19,""))</f>
        <v>-1.8060407426619598E-2</v>
      </c>
      <c r="AF65" s="163">
        <f>IF(AND($AA65="",AD65=""),"",$AA65-AD65)</f>
        <v>59810.098595004965</v>
      </c>
      <c r="AG65" s="161">
        <v>-159576.76999999999</v>
      </c>
      <c r="AH65" s="162">
        <f>IF(AG65=0,"",IFERROR(AG65/AG$19,""))</f>
        <v>-4.8969923446995592E-2</v>
      </c>
      <c r="AI65" s="163">
        <f>IF(AND($AA65="",AG65=""),"",$AA65-AG65)</f>
        <v>-16254.650000000052</v>
      </c>
      <c r="AJ65" s="442">
        <f>IFERROR(AA65/AA$20,0)</f>
        <v>-3.6494690743046916</v>
      </c>
      <c r="AK65" s="443">
        <f>IFERROR(AD65/AD$20,0)</f>
        <v>-4.8908575881072025</v>
      </c>
      <c r="AL65" s="444">
        <f>IFERROR(AG65/AG$20,0)</f>
        <v>-4.2838251322112155</v>
      </c>
      <c r="AM65" s="445" t="str">
        <f>+IFERROR(ROUND(($AB65-AE65)*100,2)&amp;" pts.",0)</f>
        <v>-0.29 pts.</v>
      </c>
      <c r="AN65" s="552" t="str">
        <f>+IFERROR(ROUND(($AB65-AH65)*100,2)&amp;" pts.",0)</f>
        <v>2.8 pts.</v>
      </c>
      <c r="AO65" s="11"/>
    </row>
    <row r="66" spans="1:41" ht="15.75" thickTop="1" x14ac:dyDescent="0.25">
      <c r="A66" s="11"/>
      <c r="B66" s="11"/>
      <c r="C66" s="204"/>
      <c r="D66" s="11"/>
      <c r="E66" s="11"/>
      <c r="F66" s="11"/>
      <c r="G66" s="11"/>
      <c r="H66" s="11"/>
      <c r="I66" s="55"/>
      <c r="J66" s="55"/>
      <c r="K66" s="11"/>
      <c r="L66" s="55"/>
      <c r="M66" s="55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</row>
    <row r="67" spans="1:41" x14ac:dyDescent="0.25">
      <c r="A67" s="11"/>
      <c r="B67" s="11"/>
      <c r="C67" s="11"/>
      <c r="D67" s="11"/>
      <c r="E67" s="11"/>
      <c r="F67" s="11"/>
      <c r="G67" s="11"/>
      <c r="H67" s="11"/>
      <c r="I67" s="55"/>
      <c r="J67" s="55"/>
      <c r="K67" s="11"/>
      <c r="L67" s="55"/>
      <c r="M67" s="55"/>
      <c r="N67" s="100" t="str">
        <f>N64&amp;" - Check"</f>
        <v>Total Expenses - Check</v>
      </c>
      <c r="O67" s="205">
        <f t="shared" ref="O67:AA67" si="37">SUMIF($H$35:$H$65,"600000",O$35:O$65)+SUMIF($H$35:$H$65,"707900",O$35:O$65)+SUMIF($H$35:$H$65,"ITSYS_EXP",O$35:O$65)+SUMIF($H$35:$H$65,"700000",O$35:O$65)-SUMIF($H$35:$H$65,"TOTDEPTEXP",O$35:O$65)</f>
        <v>0</v>
      </c>
      <c r="P67" s="205">
        <f t="shared" si="37"/>
        <v>0</v>
      </c>
      <c r="Q67" s="205">
        <f t="shared" si="37"/>
        <v>0</v>
      </c>
      <c r="R67" s="205">
        <f t="shared" si="37"/>
        <v>0</v>
      </c>
      <c r="S67" s="205">
        <f t="shared" si="37"/>
        <v>0</v>
      </c>
      <c r="T67" s="205">
        <f t="shared" si="37"/>
        <v>0</v>
      </c>
      <c r="U67" s="205">
        <f t="shared" si="37"/>
        <v>0</v>
      </c>
      <c r="V67" s="205">
        <f t="shared" si="37"/>
        <v>0</v>
      </c>
      <c r="W67" s="205">
        <f t="shared" si="37"/>
        <v>0</v>
      </c>
      <c r="X67" s="205">
        <f t="shared" si="37"/>
        <v>0</v>
      </c>
      <c r="Y67" s="205">
        <f t="shared" si="37"/>
        <v>0</v>
      </c>
      <c r="Z67" s="205">
        <f t="shared" si="37"/>
        <v>0</v>
      </c>
      <c r="AA67" s="205">
        <f t="shared" si="37"/>
        <v>0</v>
      </c>
      <c r="AB67" s="96"/>
      <c r="AC67" s="11"/>
      <c r="AD67" s="205">
        <f>SUMIF($H$35:$H$65,"600000",AD$35:AD$65)+SUMIF($H$35:$H$65,"707900",AD$35:AD$65)+SUMIF($H$35:$H$65,"ITSYS_EXP",AD$35:AD$65)+SUMIF($H$35:$H$65,"700000",AD$35:AD$65)-SUMIF($H$35:$H$65,"TOTDEPTEXP",AD$35:AD$65)</f>
        <v>0</v>
      </c>
      <c r="AE67" s="96"/>
      <c r="AF67" s="87"/>
      <c r="AG67" s="205">
        <f>SUMIF($H$35:$H$65,"600000",AG$35:AG$65)+SUMIF($H$35:$H$65,"707900",AG$35:AG$65)+SUMIF($H$35:$H$65,"ITSYS_EXP",AG$35:AG$65)+SUMIF($H$35:$H$65,"700000",AG$35:AG$65)-SUMIF($H$35:$H$65,"TOTDEPTEXP",AG$35:AG$65)</f>
        <v>0</v>
      </c>
      <c r="AH67" s="96"/>
      <c r="AI67" s="87"/>
      <c r="AJ67" s="11"/>
      <c r="AK67" s="11"/>
      <c r="AL67" s="11"/>
      <c r="AM67" s="11"/>
      <c r="AN67" s="11"/>
      <c r="AO67" s="11"/>
    </row>
    <row r="68" spans="1:41" x14ac:dyDescent="0.25">
      <c r="A68" s="56" t="str">
        <f>IF(_epmOfflineCondition_,"Evdre:Ok",_xll.EVDRE($B$1,A71:B78,A81:B87))</f>
        <v>Evdre:Ok</v>
      </c>
      <c r="B68" s="11"/>
      <c r="C68" s="11"/>
      <c r="D68" s="11"/>
      <c r="E68" s="11"/>
      <c r="F68" s="11"/>
      <c r="G68" s="11"/>
      <c r="H68" s="11"/>
      <c r="I68" s="55"/>
      <c r="J68" s="55"/>
      <c r="K68" s="11"/>
      <c r="L68" s="55"/>
      <c r="M68" s="55"/>
      <c r="N68" s="100" t="str">
        <f>N65&amp;" - Check"</f>
        <v>Department Profit (Loss) - Check</v>
      </c>
      <c r="O68" s="205">
        <f t="shared" ref="O68:AA68" si="38">SUMIF($H$33:$H$65,"TOTDEPTEXP",O$33:O$65)+SUMIF($H$33:$H$65,"TOTDEPTPL",O$33:O$65)</f>
        <v>0</v>
      </c>
      <c r="P68" s="205">
        <f t="shared" si="38"/>
        <v>0</v>
      </c>
      <c r="Q68" s="205">
        <f t="shared" si="38"/>
        <v>0</v>
      </c>
      <c r="R68" s="205">
        <f t="shared" si="38"/>
        <v>0</v>
      </c>
      <c r="S68" s="205">
        <f t="shared" si="38"/>
        <v>0</v>
      </c>
      <c r="T68" s="205">
        <f t="shared" si="38"/>
        <v>0</v>
      </c>
      <c r="U68" s="205">
        <f t="shared" si="38"/>
        <v>0</v>
      </c>
      <c r="V68" s="205">
        <f t="shared" si="38"/>
        <v>0</v>
      </c>
      <c r="W68" s="205">
        <f t="shared" si="38"/>
        <v>0</v>
      </c>
      <c r="X68" s="205">
        <f t="shared" si="38"/>
        <v>0</v>
      </c>
      <c r="Y68" s="205">
        <f t="shared" si="38"/>
        <v>0</v>
      </c>
      <c r="Z68" s="205">
        <f t="shared" si="38"/>
        <v>0</v>
      </c>
      <c r="AA68" s="205">
        <f t="shared" si="38"/>
        <v>0</v>
      </c>
      <c r="AB68" s="96"/>
      <c r="AC68" s="11"/>
      <c r="AD68" s="205">
        <f>SUMIF($H$33:$H$65,"ROOMS_TOT",AD$33:AD$65)-SUMIF($H$33:$H$65,"TOTDEPTEXP",AD$33:AD$65)-SUMIF($H$33:$H$65,"TOTDEPTPL",AD$33:AD$65)</f>
        <v>0</v>
      </c>
      <c r="AE68" s="96"/>
      <c r="AF68" s="87"/>
      <c r="AG68" s="205">
        <f>SUMIF($H$33:$H$65,"ROOMS_TOT",AG$33:AG$65)-SUMIF($H$33:$H$65,"TOTDEPTEXP",AG$33:AG$65)-SUMIF($H$33:$H$65,"TOTDEPTPL",AG$33:AG$65)</f>
        <v>0</v>
      </c>
      <c r="AH68" s="96"/>
      <c r="AI68" s="87"/>
      <c r="AJ68" s="11"/>
      <c r="AK68" s="11"/>
      <c r="AL68" s="11"/>
      <c r="AM68" s="11"/>
      <c r="AN68" s="11"/>
      <c r="AO68" s="11"/>
    </row>
    <row r="69" spans="1:41" x14ac:dyDescent="0.25">
      <c r="A69" s="11"/>
      <c r="B69" s="11"/>
      <c r="C69" s="11"/>
      <c r="D69" s="11"/>
      <c r="E69" s="11"/>
      <c r="F69" s="11"/>
      <c r="G69" s="11"/>
      <c r="H69" s="11"/>
      <c r="I69" s="55"/>
      <c r="J69" s="55"/>
      <c r="K69" s="11"/>
      <c r="L69" s="55"/>
      <c r="M69" s="55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</row>
    <row r="70" spans="1:41" x14ac:dyDescent="0.25">
      <c r="A70" s="57" t="s">
        <v>0</v>
      </c>
      <c r="B70" s="58" t="s">
        <v>1</v>
      </c>
      <c r="C70" s="11"/>
      <c r="D70" s="11"/>
      <c r="E70" s="11"/>
      <c r="F70" s="11"/>
      <c r="G70" s="11"/>
      <c r="H70" s="11"/>
      <c r="I70" s="55"/>
      <c r="J70" s="55"/>
      <c r="K70" s="11"/>
      <c r="L70" s="55"/>
      <c r="M70" s="55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</row>
    <row r="71" spans="1:41" x14ac:dyDescent="0.25">
      <c r="A71" s="61" t="s">
        <v>2</v>
      </c>
      <c r="B71" s="62" t="str">
        <f>IF(_epmOfflineCondition_,"'IT'!$B$2:$B$10",_xll.EVRNG($B$2:$B$10))</f>
        <v>'IT'!$B$2:$B$10</v>
      </c>
      <c r="C71" s="11"/>
      <c r="D71" s="11"/>
      <c r="E71" s="11"/>
      <c r="F71" s="11"/>
      <c r="G71" s="11"/>
      <c r="H71" s="11"/>
      <c r="I71" s="55"/>
      <c r="J71" s="55"/>
      <c r="K71" s="11"/>
      <c r="L71" s="55"/>
      <c r="M71" s="55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</row>
    <row r="72" spans="1:41" x14ac:dyDescent="0.25">
      <c r="A72" s="61" t="s">
        <v>3</v>
      </c>
      <c r="B72" s="62" t="str">
        <f>IF(_epmOfflineCondition_,"'IT'!$O$16:$AN$18",_xll.EVRNG($O$16:$AN$18))</f>
        <v>'IT'!$O$16:$AN$18</v>
      </c>
      <c r="C72" s="11"/>
      <c r="D72" s="11"/>
      <c r="E72" s="11"/>
      <c r="F72" s="11"/>
      <c r="G72" s="11"/>
      <c r="H72" s="11"/>
      <c r="I72" s="55"/>
      <c r="J72" s="55"/>
      <c r="K72" s="11"/>
      <c r="L72" s="55"/>
      <c r="M72" s="55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</row>
    <row r="73" spans="1:41" x14ac:dyDescent="0.25">
      <c r="A73" s="61" t="s">
        <v>4</v>
      </c>
      <c r="B73" s="62" t="str">
        <f>IF(_epmOfflineCondition_,"'IT'!$H$47:$H$53,'IT'!$H$57:$H$61",_xll.EVRNG(H47:H53,H57:H61))</f>
        <v>'IT'!$H$47:$H$53,'IT'!$H$57:$H$61</v>
      </c>
      <c r="C73" s="11"/>
      <c r="D73" s="11"/>
      <c r="E73" s="11"/>
      <c r="F73" s="11"/>
      <c r="G73" s="11"/>
      <c r="H73" s="11"/>
      <c r="I73" s="55"/>
      <c r="J73" s="55"/>
      <c r="K73" s="11"/>
      <c r="L73" s="55"/>
      <c r="M73" s="55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</row>
    <row r="74" spans="1:41" x14ac:dyDescent="0.25">
      <c r="A74" s="61" t="s">
        <v>5</v>
      </c>
      <c r="B74" s="62"/>
      <c r="C74" s="11"/>
      <c r="D74" s="11"/>
      <c r="E74" s="11"/>
      <c r="F74" s="11"/>
      <c r="G74" s="11"/>
      <c r="H74" s="11"/>
      <c r="I74" s="55"/>
      <c r="J74" s="55"/>
      <c r="K74" s="11"/>
      <c r="L74" s="55"/>
      <c r="M74" s="55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</row>
    <row r="75" spans="1:41" x14ac:dyDescent="0.25">
      <c r="A75" s="61" t="s">
        <v>6</v>
      </c>
      <c r="B75" s="62"/>
      <c r="C75" s="11"/>
      <c r="D75" s="11"/>
      <c r="E75" s="11"/>
      <c r="F75" s="11"/>
      <c r="G75" s="11"/>
      <c r="H75" s="55"/>
      <c r="I75" s="55"/>
      <c r="J75" s="11"/>
      <c r="K75" s="11"/>
      <c r="L75" s="55"/>
      <c r="M75" s="55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</row>
    <row r="76" spans="1:41" x14ac:dyDescent="0.25">
      <c r="A76" s="61" t="s">
        <v>7</v>
      </c>
      <c r="B76" s="62"/>
      <c r="C76" s="11"/>
      <c r="D76" s="11"/>
      <c r="E76" s="11"/>
      <c r="F76" s="11"/>
      <c r="G76" s="11"/>
      <c r="H76" s="55"/>
      <c r="I76" s="55"/>
      <c r="J76" s="11"/>
      <c r="K76" s="11"/>
      <c r="L76" s="55"/>
      <c r="M76" s="55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</row>
    <row r="77" spans="1:41" x14ac:dyDescent="0.25">
      <c r="A77" s="61" t="s">
        <v>47</v>
      </c>
      <c r="B77" s="62" t="str">
        <f>IF(_epmOfflineCondition_,"'IT'!$A$105:$B$126",_xll.EVRNG($A$105:$B$126))</f>
        <v>'IT'!$A$105:$B$126</v>
      </c>
      <c r="C77" s="11"/>
      <c r="D77" s="11"/>
      <c r="E77" s="11"/>
      <c r="F77" s="11"/>
      <c r="G77" s="11"/>
      <c r="H77" s="55"/>
      <c r="I77" s="55"/>
      <c r="J77" s="11"/>
      <c r="K77" s="11"/>
      <c r="L77" s="55"/>
      <c r="M77" s="55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</row>
    <row r="78" spans="1:41" x14ac:dyDescent="0.25">
      <c r="A78" s="61" t="s">
        <v>8</v>
      </c>
      <c r="B78" s="62"/>
      <c r="C78" s="11"/>
      <c r="D78" s="11"/>
      <c r="E78" s="11"/>
      <c r="F78" s="11"/>
      <c r="G78" s="11"/>
      <c r="H78" s="55"/>
      <c r="I78" s="55"/>
      <c r="J78" s="11"/>
      <c r="K78" s="11"/>
      <c r="L78" s="55"/>
      <c r="M78" s="55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  <row r="79" spans="1:41" x14ac:dyDescent="0.25">
      <c r="A79" s="11"/>
      <c r="B79" s="11"/>
      <c r="C79" s="11"/>
      <c r="D79" s="11"/>
      <c r="E79" s="11"/>
      <c r="F79" s="11"/>
      <c r="G79" s="11"/>
      <c r="H79" s="55"/>
      <c r="I79" s="55"/>
      <c r="J79" s="11"/>
      <c r="K79" s="11"/>
      <c r="L79" s="55"/>
      <c r="M79" s="55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</row>
    <row r="80" spans="1:41" x14ac:dyDescent="0.25">
      <c r="A80" s="57" t="s">
        <v>9</v>
      </c>
      <c r="B80" s="58" t="s">
        <v>10</v>
      </c>
      <c r="C80" s="11"/>
      <c r="D80" s="11"/>
      <c r="E80" s="11"/>
      <c r="F80" s="11"/>
      <c r="G80" s="11"/>
      <c r="H80" s="55"/>
      <c r="I80" s="55"/>
      <c r="J80" s="11"/>
      <c r="K80" s="11"/>
      <c r="L80" s="55"/>
      <c r="M80" s="55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x14ac:dyDescent="0.25">
      <c r="A81" s="61" t="s">
        <v>11</v>
      </c>
      <c r="B81" s="62" t="s">
        <v>21</v>
      </c>
      <c r="C81" s="11"/>
      <c r="D81" s="11"/>
      <c r="E81" s="11"/>
      <c r="F81" s="11"/>
      <c r="G81" s="11"/>
      <c r="H81" s="55"/>
      <c r="I81" s="55"/>
      <c r="J81" s="11"/>
      <c r="K81" s="11"/>
      <c r="L81" s="55"/>
      <c r="M81" s="55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</row>
    <row r="82" spans="1:41" x14ac:dyDescent="0.25">
      <c r="A82" s="61" t="s">
        <v>12</v>
      </c>
      <c r="B82" s="62" t="s">
        <v>22</v>
      </c>
      <c r="C82" s="11"/>
      <c r="D82" s="11"/>
      <c r="E82" s="11"/>
      <c r="F82" s="11"/>
      <c r="G82" s="11"/>
      <c r="H82" s="55"/>
      <c r="I82" s="55"/>
      <c r="J82" s="11"/>
      <c r="K82" s="11"/>
      <c r="L82" s="55"/>
      <c r="M82" s="55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x14ac:dyDescent="0.25">
      <c r="A83" s="61" t="s">
        <v>13</v>
      </c>
      <c r="B83" s="62" t="s">
        <v>503</v>
      </c>
      <c r="C83" s="11"/>
      <c r="D83" s="11"/>
      <c r="E83" s="11"/>
      <c r="F83" s="11"/>
      <c r="G83" s="11"/>
      <c r="H83" s="55"/>
      <c r="I83" s="55"/>
      <c r="J83" s="11"/>
      <c r="K83" s="11"/>
      <c r="L83" s="55"/>
      <c r="M83" s="55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x14ac:dyDescent="0.25">
      <c r="A84" s="61" t="s">
        <v>14</v>
      </c>
      <c r="B84" s="582"/>
      <c r="C84" s="11"/>
      <c r="D84" s="11"/>
      <c r="E84" s="11"/>
      <c r="F84" s="11"/>
      <c r="G84" s="11"/>
      <c r="H84" s="55"/>
      <c r="I84" s="55"/>
      <c r="J84" s="11"/>
      <c r="K84" s="11"/>
      <c r="L84" s="55"/>
      <c r="M84" s="55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x14ac:dyDescent="0.25">
      <c r="A85" s="61" t="s">
        <v>15</v>
      </c>
      <c r="B85" s="62"/>
      <c r="C85" s="11"/>
      <c r="D85" s="11"/>
      <c r="E85" s="11"/>
      <c r="F85" s="11"/>
      <c r="G85" s="11"/>
      <c r="H85" s="55"/>
      <c r="I85" s="55"/>
      <c r="J85" s="11"/>
      <c r="K85" s="11"/>
      <c r="L85" s="55"/>
      <c r="M85" s="55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x14ac:dyDescent="0.25">
      <c r="A86" s="61" t="s">
        <v>16</v>
      </c>
      <c r="B86" s="62" t="s">
        <v>78</v>
      </c>
      <c r="C86" s="11"/>
      <c r="D86" s="11"/>
      <c r="E86" s="11"/>
      <c r="F86" s="11"/>
      <c r="G86" s="11"/>
      <c r="H86" s="55"/>
      <c r="I86" s="55"/>
      <c r="J86" s="11"/>
      <c r="K86" s="11"/>
      <c r="L86" s="55"/>
      <c r="M86" s="55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x14ac:dyDescent="0.25">
      <c r="A87" s="61" t="s">
        <v>17</v>
      </c>
      <c r="B87" s="62"/>
      <c r="C87" s="11"/>
      <c r="D87" s="11"/>
      <c r="E87" s="11"/>
      <c r="F87" s="11"/>
      <c r="G87" s="11"/>
      <c r="H87" s="55"/>
      <c r="I87" s="55"/>
      <c r="J87" s="11"/>
      <c r="K87" s="11"/>
      <c r="L87" s="55"/>
      <c r="M87" s="55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x14ac:dyDescent="0.25">
      <c r="A88" s="11"/>
      <c r="B88" s="11"/>
      <c r="C88" s="11"/>
      <c r="D88" s="11"/>
      <c r="E88" s="11"/>
      <c r="F88" s="11"/>
      <c r="G88" s="11"/>
      <c r="H88" s="55"/>
      <c r="I88" s="55"/>
      <c r="J88" s="11"/>
      <c r="K88" s="11"/>
      <c r="L88" s="55"/>
      <c r="M88" s="55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x14ac:dyDescent="0.25">
      <c r="A89" s="11"/>
      <c r="B89" s="11"/>
      <c r="C89" s="204"/>
      <c r="D89" s="11"/>
      <c r="E89" s="11"/>
      <c r="F89" s="11"/>
      <c r="G89" s="11"/>
      <c r="H89" s="55"/>
      <c r="I89" s="55"/>
      <c r="J89" s="11"/>
      <c r="K89" s="11"/>
      <c r="L89" s="55"/>
      <c r="M89" s="55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x14ac:dyDescent="0.25">
      <c r="A90" s="11"/>
      <c r="B90" s="11"/>
      <c r="C90" s="11"/>
      <c r="D90" s="11"/>
      <c r="E90" s="11"/>
      <c r="F90" s="11"/>
      <c r="G90" s="11"/>
      <c r="H90" s="55"/>
      <c r="I90" s="55"/>
      <c r="J90" s="11"/>
      <c r="K90" s="11"/>
      <c r="L90" s="55"/>
      <c r="M90" s="55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x14ac:dyDescent="0.25">
      <c r="A91" s="56" t="str">
        <f>IF(_epmOfflineCondition_,"Evdre:Ok",_xll.EVDRE($B$1,A94:B101))</f>
        <v>Evdre:Ok</v>
      </c>
      <c r="B91" s="11"/>
      <c r="C91" s="11"/>
      <c r="D91" s="11"/>
      <c r="E91" s="11"/>
      <c r="F91" s="11"/>
      <c r="G91" s="11"/>
      <c r="H91" s="55"/>
      <c r="I91" s="55"/>
      <c r="J91" s="11"/>
      <c r="K91" s="11"/>
      <c r="L91" s="55"/>
      <c r="M91" s="55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x14ac:dyDescent="0.25">
      <c r="A92" s="11"/>
      <c r="B92" s="11"/>
      <c r="C92" s="11"/>
      <c r="D92" s="11"/>
      <c r="E92" s="11"/>
      <c r="F92" s="11"/>
      <c r="G92" s="11"/>
      <c r="H92" s="55"/>
      <c r="I92" s="55"/>
      <c r="J92" s="11"/>
      <c r="K92" s="11"/>
      <c r="L92" s="55"/>
      <c r="M92" s="55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x14ac:dyDescent="0.25">
      <c r="A93" s="57" t="s">
        <v>0</v>
      </c>
      <c r="B93" s="58" t="s">
        <v>1</v>
      </c>
      <c r="C93" s="11"/>
      <c r="D93" s="11"/>
      <c r="E93" s="11"/>
      <c r="F93" s="11"/>
      <c r="G93" s="11"/>
      <c r="H93" s="55"/>
      <c r="I93" s="55"/>
      <c r="J93" s="11"/>
      <c r="K93" s="11"/>
      <c r="L93" s="55"/>
      <c r="M93" s="55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x14ac:dyDescent="0.25">
      <c r="A94" s="61" t="s">
        <v>2</v>
      </c>
      <c r="B94" s="62" t="str">
        <f>IF(_epmOfflineCondition_,"'IT'!$B$2:$B$10",_xll.EVRNG($B$2:$B$10))</f>
        <v>'IT'!$B$2:$B$10</v>
      </c>
      <c r="C94" s="11"/>
      <c r="D94" s="11"/>
      <c r="E94" s="11"/>
      <c r="F94" s="11"/>
      <c r="G94" s="11"/>
      <c r="H94" s="55"/>
      <c r="I94" s="55"/>
      <c r="J94" s="11"/>
      <c r="K94" s="11"/>
      <c r="L94" s="55"/>
      <c r="M94" s="55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x14ac:dyDescent="0.25">
      <c r="A95" s="61" t="s">
        <v>3</v>
      </c>
      <c r="B95" s="62" t="str">
        <f>IF(_epmOfflineCondition_,"'IT'!$O$16:$AN$18",_xll.EVRNG($O$16:$AN$18))</f>
        <v>'IT'!$O$16:$AN$18</v>
      </c>
      <c r="C95" s="11"/>
      <c r="D95" s="11"/>
      <c r="E95" s="11"/>
      <c r="F95" s="11"/>
      <c r="G95" s="11"/>
      <c r="H95" s="55"/>
      <c r="I95" s="55"/>
      <c r="J95" s="11"/>
      <c r="K95" s="11"/>
      <c r="L95" s="55"/>
      <c r="M95" s="55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x14ac:dyDescent="0.25">
      <c r="A96" s="61" t="s">
        <v>4</v>
      </c>
      <c r="B96" s="62" t="str">
        <f>IF(_epmOfflineCondition_,"'IT'!$H$64:$H$65",_xll.EVRNG(H64:H65))</f>
        <v>'IT'!$H$64:$H$65</v>
      </c>
      <c r="C96" s="11"/>
      <c r="D96" s="11"/>
      <c r="E96" s="11"/>
      <c r="F96" s="11"/>
      <c r="G96" s="11"/>
      <c r="H96" s="55"/>
      <c r="I96" s="55"/>
      <c r="J96" s="11"/>
      <c r="K96" s="11"/>
      <c r="L96" s="55"/>
      <c r="M96" s="55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x14ac:dyDescent="0.25">
      <c r="A97" s="61" t="s">
        <v>5</v>
      </c>
      <c r="B97" s="62"/>
      <c r="C97" s="11"/>
      <c r="D97" s="11"/>
      <c r="E97" s="11"/>
      <c r="F97" s="11"/>
      <c r="G97" s="11"/>
      <c r="H97" s="55"/>
      <c r="I97" s="55"/>
      <c r="J97" s="11"/>
      <c r="K97" s="11"/>
      <c r="L97" s="55"/>
      <c r="M97" s="55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x14ac:dyDescent="0.25">
      <c r="A98" s="61" t="s">
        <v>6</v>
      </c>
      <c r="B98" s="62"/>
      <c r="C98" s="11"/>
      <c r="D98" s="11"/>
      <c r="E98" s="11"/>
      <c r="F98" s="11"/>
      <c r="G98" s="11"/>
      <c r="H98" s="11"/>
      <c r="I98" s="55"/>
      <c r="J98" s="55"/>
      <c r="K98" s="11"/>
      <c r="L98" s="55"/>
      <c r="M98" s="55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x14ac:dyDescent="0.25">
      <c r="A99" s="61" t="s">
        <v>7</v>
      </c>
      <c r="B99" s="62"/>
      <c r="C99" s="11"/>
      <c r="D99" s="11"/>
      <c r="E99" s="11"/>
      <c r="F99" s="11"/>
      <c r="G99" s="11"/>
      <c r="H99" s="11"/>
      <c r="I99" s="55"/>
      <c r="J99" s="55"/>
      <c r="K99" s="11"/>
      <c r="L99" s="55"/>
      <c r="M99" s="55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x14ac:dyDescent="0.25">
      <c r="A100" s="61" t="s">
        <v>47</v>
      </c>
      <c r="B100" s="62" t="str">
        <f>IF(_epmOfflineCondition_,"'IT'!$A$105:$B$126",_xll.EVRNG($A$105:$B$126))</f>
        <v>'IT'!$A$105:$B$126</v>
      </c>
      <c r="C100" s="11"/>
      <c r="D100" s="11"/>
      <c r="E100" s="11"/>
      <c r="F100" s="11"/>
      <c r="G100" s="11"/>
      <c r="H100" s="11"/>
      <c r="I100" s="55"/>
      <c r="J100" s="55"/>
      <c r="K100" s="11"/>
      <c r="L100" s="55"/>
      <c r="M100" s="55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x14ac:dyDescent="0.25">
      <c r="A101" s="61" t="s">
        <v>8</v>
      </c>
      <c r="B101" s="62"/>
      <c r="C101" s="11"/>
      <c r="D101" s="11"/>
      <c r="E101" s="11"/>
      <c r="F101" s="11"/>
      <c r="G101" s="11"/>
      <c r="H101" s="11"/>
      <c r="I101" s="55"/>
      <c r="J101" s="55"/>
      <c r="K101" s="11"/>
      <c r="L101" s="55"/>
      <c r="M101" s="55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x14ac:dyDescent="0.25">
      <c r="A102" s="11"/>
      <c r="B102" s="11"/>
      <c r="C102" s="11"/>
      <c r="D102" s="11"/>
      <c r="E102" s="11"/>
      <c r="F102" s="11"/>
      <c r="G102" s="11"/>
      <c r="H102" s="11"/>
      <c r="I102" s="55"/>
      <c r="J102" s="55"/>
      <c r="K102" s="11"/>
      <c r="L102" s="55"/>
      <c r="M102" s="55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x14ac:dyDescent="0.25">
      <c r="A103" s="11"/>
      <c r="B103" s="11"/>
      <c r="C103" s="11"/>
      <c r="D103" s="11"/>
      <c r="E103" s="11"/>
      <c r="F103" s="11"/>
      <c r="G103" s="11"/>
      <c r="H103" s="11"/>
      <c r="I103" s="55"/>
      <c r="J103" s="55"/>
      <c r="K103" s="11"/>
      <c r="L103" s="55"/>
      <c r="M103" s="55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x14ac:dyDescent="0.25">
      <c r="A104" s="57" t="s">
        <v>23</v>
      </c>
      <c r="B104" s="58" t="s">
        <v>24</v>
      </c>
      <c r="C104" s="11"/>
      <c r="D104" s="11"/>
      <c r="E104" s="11"/>
      <c r="F104" s="11"/>
      <c r="G104" s="11"/>
      <c r="H104" s="11"/>
      <c r="I104" s="55"/>
      <c r="J104" s="55"/>
      <c r="K104" s="11"/>
      <c r="L104" s="55"/>
      <c r="M104" s="55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x14ac:dyDescent="0.25">
      <c r="A105" s="61" t="s">
        <v>25</v>
      </c>
      <c r="B105" s="62"/>
      <c r="C105" s="11"/>
      <c r="D105" s="11"/>
      <c r="E105" s="11"/>
      <c r="F105" s="11"/>
      <c r="G105" s="11"/>
      <c r="H105" s="11"/>
      <c r="I105" s="55"/>
      <c r="J105" s="55"/>
      <c r="K105" s="11"/>
      <c r="L105" s="55"/>
      <c r="M105" s="55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x14ac:dyDescent="0.25">
      <c r="A106" s="61" t="s">
        <v>26</v>
      </c>
      <c r="B106" s="62"/>
      <c r="C106" s="11"/>
      <c r="D106" s="11"/>
      <c r="E106" s="11"/>
      <c r="F106" s="11"/>
      <c r="G106" s="11"/>
      <c r="H106" s="11"/>
      <c r="I106" s="55"/>
      <c r="J106" s="55"/>
      <c r="K106" s="11"/>
      <c r="L106" s="55"/>
      <c r="M106" s="55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x14ac:dyDescent="0.25">
      <c r="A107" s="61" t="s">
        <v>27</v>
      </c>
      <c r="B107" s="62"/>
      <c r="C107" s="11"/>
      <c r="D107" s="11"/>
      <c r="E107" s="11"/>
      <c r="F107" s="11"/>
      <c r="G107" s="11"/>
      <c r="H107" s="11"/>
      <c r="I107" s="55"/>
      <c r="J107" s="55"/>
      <c r="K107" s="11"/>
      <c r="L107" s="55"/>
      <c r="M107" s="55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x14ac:dyDescent="0.25">
      <c r="A108" s="61" t="s">
        <v>28</v>
      </c>
      <c r="B108" s="62"/>
      <c r="C108" s="11"/>
      <c r="D108" s="11"/>
      <c r="E108" s="11"/>
      <c r="F108" s="11"/>
      <c r="G108" s="11"/>
      <c r="H108" s="11"/>
      <c r="I108" s="55"/>
      <c r="J108" s="55"/>
      <c r="K108" s="11"/>
      <c r="L108" s="55"/>
      <c r="M108" s="55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x14ac:dyDescent="0.25">
      <c r="A109" s="61" t="s">
        <v>29</v>
      </c>
      <c r="B109" s="62"/>
      <c r="C109" s="11"/>
      <c r="D109" s="11"/>
      <c r="E109" s="11"/>
      <c r="F109" s="11"/>
      <c r="G109" s="11"/>
      <c r="H109" s="11"/>
      <c r="I109" s="55"/>
      <c r="J109" s="55"/>
      <c r="K109" s="11"/>
      <c r="L109" s="55"/>
      <c r="M109" s="55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x14ac:dyDescent="0.25">
      <c r="A110" s="61" t="s">
        <v>30</v>
      </c>
      <c r="B110" s="62" t="s">
        <v>78</v>
      </c>
      <c r="C110" s="11"/>
      <c r="D110" s="11"/>
      <c r="E110" s="11"/>
      <c r="F110" s="11"/>
      <c r="G110" s="11"/>
      <c r="H110" s="11"/>
      <c r="I110" s="55"/>
      <c r="J110" s="55"/>
      <c r="K110" s="11"/>
      <c r="L110" s="55"/>
      <c r="M110" s="55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x14ac:dyDescent="0.25">
      <c r="A111" s="61" t="s">
        <v>31</v>
      </c>
      <c r="B111" s="62" t="s">
        <v>78</v>
      </c>
      <c r="C111" s="11"/>
      <c r="D111" s="11"/>
      <c r="E111" s="11"/>
      <c r="F111" s="11"/>
      <c r="G111" s="11"/>
      <c r="H111" s="11"/>
      <c r="I111" s="55"/>
      <c r="J111" s="55"/>
      <c r="K111" s="11"/>
      <c r="L111" s="55"/>
      <c r="M111" s="55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x14ac:dyDescent="0.25">
      <c r="A112" s="61" t="s">
        <v>32</v>
      </c>
      <c r="B112" s="62"/>
      <c r="C112" s="11"/>
      <c r="D112" s="11"/>
      <c r="E112" s="11"/>
      <c r="F112" s="11"/>
      <c r="G112" s="11"/>
      <c r="H112" s="11"/>
      <c r="I112" s="55"/>
      <c r="J112" s="55"/>
      <c r="K112" s="11"/>
      <c r="L112" s="55"/>
      <c r="M112" s="55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x14ac:dyDescent="0.25">
      <c r="A113" s="61" t="s">
        <v>33</v>
      </c>
      <c r="B113" s="62"/>
      <c r="C113" s="11"/>
      <c r="D113" s="11"/>
      <c r="E113" s="11"/>
      <c r="F113" s="11"/>
      <c r="G113" s="11"/>
      <c r="H113" s="11"/>
      <c r="I113" s="55"/>
      <c r="J113" s="55"/>
      <c r="K113" s="11"/>
      <c r="L113" s="55"/>
      <c r="M113" s="55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  <row r="114" spans="1:41" x14ac:dyDescent="0.25">
      <c r="A114" s="61" t="s">
        <v>34</v>
      </c>
      <c r="B114" s="62"/>
      <c r="C114" s="11"/>
      <c r="D114" s="11"/>
      <c r="E114" s="11"/>
      <c r="F114" s="11"/>
      <c r="G114" s="11"/>
      <c r="H114" s="11"/>
      <c r="I114" s="55"/>
      <c r="J114" s="55"/>
      <c r="K114" s="11"/>
      <c r="L114" s="55"/>
      <c r="M114" s="55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x14ac:dyDescent="0.25">
      <c r="A115" s="61" t="s">
        <v>35</v>
      </c>
      <c r="B115" s="62"/>
      <c r="C115" s="11"/>
      <c r="D115" s="11"/>
      <c r="E115" s="11"/>
      <c r="F115" s="11"/>
      <c r="G115" s="11"/>
      <c r="H115" s="11"/>
      <c r="I115" s="55"/>
      <c r="J115" s="55"/>
      <c r="K115" s="11"/>
      <c r="L115" s="55"/>
      <c r="M115" s="55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x14ac:dyDescent="0.25">
      <c r="A116" s="61" t="s">
        <v>36</v>
      </c>
      <c r="B116" s="62"/>
      <c r="C116" s="11"/>
      <c r="D116" s="11"/>
      <c r="E116" s="11"/>
      <c r="F116" s="11"/>
      <c r="G116" s="11"/>
      <c r="H116" s="11"/>
      <c r="I116" s="55"/>
      <c r="J116" s="55"/>
      <c r="K116" s="11"/>
      <c r="L116" s="55"/>
      <c r="M116" s="55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x14ac:dyDescent="0.25">
      <c r="A117" s="61" t="s">
        <v>37</v>
      </c>
      <c r="B117" s="62"/>
      <c r="C117" s="11"/>
      <c r="D117" s="11"/>
      <c r="E117" s="11"/>
      <c r="F117" s="11"/>
      <c r="G117" s="11"/>
      <c r="H117" s="11"/>
      <c r="I117" s="55"/>
      <c r="J117" s="55"/>
      <c r="K117" s="11"/>
      <c r="L117" s="55"/>
      <c r="M117" s="55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x14ac:dyDescent="0.25">
      <c r="A118" s="61" t="s">
        <v>38</v>
      </c>
      <c r="B118" s="62"/>
      <c r="C118" s="11"/>
      <c r="D118" s="11"/>
      <c r="E118" s="11"/>
      <c r="F118" s="11"/>
      <c r="G118" s="11"/>
      <c r="H118" s="11"/>
      <c r="I118" s="55"/>
      <c r="J118" s="55"/>
      <c r="K118" s="11"/>
      <c r="L118" s="55"/>
      <c r="M118" s="55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x14ac:dyDescent="0.25">
      <c r="A119" s="61" t="s">
        <v>39</v>
      </c>
      <c r="B119" s="62"/>
      <c r="C119" s="11"/>
      <c r="D119" s="11"/>
      <c r="E119" s="11"/>
      <c r="F119" s="11"/>
      <c r="G119" s="11"/>
      <c r="H119" s="11"/>
      <c r="I119" s="55"/>
      <c r="J119" s="55"/>
      <c r="K119" s="11"/>
      <c r="L119" s="55"/>
      <c r="M119" s="55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x14ac:dyDescent="0.25">
      <c r="A120" s="61" t="s">
        <v>40</v>
      </c>
      <c r="B120" s="62"/>
      <c r="C120" s="11"/>
      <c r="D120" s="11"/>
      <c r="E120" s="11"/>
      <c r="F120" s="11"/>
      <c r="G120" s="11"/>
      <c r="H120" s="11"/>
      <c r="I120" s="55"/>
      <c r="J120" s="55"/>
      <c r="K120" s="11"/>
      <c r="L120" s="55"/>
      <c r="M120" s="55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x14ac:dyDescent="0.25">
      <c r="A121" s="61" t="s">
        <v>41</v>
      </c>
      <c r="B121" s="62"/>
      <c r="C121" s="11"/>
      <c r="D121" s="11"/>
      <c r="E121" s="11"/>
      <c r="F121" s="11"/>
      <c r="G121" s="11"/>
      <c r="H121" s="11"/>
      <c r="I121" s="55"/>
      <c r="J121" s="55"/>
      <c r="K121" s="11"/>
      <c r="L121" s="55"/>
      <c r="M121" s="55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x14ac:dyDescent="0.25">
      <c r="A122" s="61" t="s">
        <v>42</v>
      </c>
      <c r="B122" s="62"/>
      <c r="C122" s="11"/>
      <c r="D122" s="11"/>
      <c r="E122" s="11"/>
      <c r="F122" s="11"/>
      <c r="G122" s="11"/>
      <c r="H122" s="11"/>
      <c r="I122" s="55"/>
      <c r="J122" s="55"/>
      <c r="K122" s="11"/>
      <c r="L122" s="55"/>
      <c r="M122" s="55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x14ac:dyDescent="0.25">
      <c r="A123" s="61" t="s">
        <v>43</v>
      </c>
      <c r="B123" s="62"/>
      <c r="C123" s="11"/>
      <c r="D123" s="11"/>
      <c r="E123" s="11"/>
      <c r="F123" s="11"/>
      <c r="G123" s="11"/>
      <c r="H123" s="11"/>
      <c r="I123" s="55"/>
      <c r="J123" s="55"/>
      <c r="K123" s="11"/>
      <c r="L123" s="55"/>
      <c r="M123" s="55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x14ac:dyDescent="0.25">
      <c r="A124" s="61" t="s">
        <v>44</v>
      </c>
      <c r="B124" s="62"/>
      <c r="C124" s="11"/>
      <c r="D124" s="11"/>
      <c r="E124" s="11"/>
      <c r="F124" s="11"/>
      <c r="G124" s="11"/>
      <c r="H124" s="11"/>
      <c r="I124" s="55"/>
      <c r="J124" s="55"/>
      <c r="K124" s="11"/>
      <c r="L124" s="55"/>
      <c r="M124" s="55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x14ac:dyDescent="0.25">
      <c r="A125" s="61" t="s">
        <v>45</v>
      </c>
      <c r="B125" s="62"/>
      <c r="C125" s="11"/>
      <c r="D125" s="11"/>
      <c r="E125" s="11"/>
      <c r="F125" s="11"/>
      <c r="G125" s="11"/>
      <c r="H125" s="11"/>
      <c r="I125" s="55"/>
      <c r="J125" s="55"/>
      <c r="K125" s="11"/>
      <c r="L125" s="55"/>
      <c r="M125" s="55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x14ac:dyDescent="0.25">
      <c r="A126" s="61" t="s">
        <v>46</v>
      </c>
      <c r="B126" s="62"/>
      <c r="C126" s="11"/>
      <c r="D126" s="11"/>
      <c r="E126" s="11"/>
      <c r="F126" s="11"/>
      <c r="G126" s="11"/>
      <c r="H126" s="11"/>
      <c r="I126" s="55"/>
      <c r="J126" s="55"/>
      <c r="K126" s="11"/>
      <c r="L126" s="55"/>
      <c r="M126" s="55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</sheetData>
  <sheetProtection algorithmName="SHA-512" hashValue="4SzrxksHDkjBmKX1uwm+0+HzY/ctN47WuwbgXHoqXiTt4TTepI1Uj4AopejzM9M4KzBYAyYo8/GvDvBDeiA7hQ==" saltValue="SZa9Hc5MtU2iqmACmbtjrQ==" spinCount="100000" sheet="1" scenarios="1"/>
  <mergeCells count="2">
    <mergeCell ref="AD31:AE31"/>
    <mergeCell ref="AG31:AH31"/>
  </mergeCells>
  <dataValidations count="2">
    <dataValidation type="list" allowBlank="1" sqref="B82 B28 B59" xr:uid="{00000000-0002-0000-2000-000000000000}">
      <formula1>"ACCOUNT,BUSINESSUNIT,CATEGORY,DATASRC,DEPARTMENT,INTCO,MEASURES,RPTCURRENCY,TIME"</formula1>
    </dataValidation>
    <dataValidation type="list" allowBlank="1" sqref="B83 B29 B60" xr:uid="{00000000-0002-0000-2000-000001000000}">
      <formula1>"SELF,ALL,BAS,DEP,BASMEMBERS,MEMBERS,NOEXPAND,GDEP"</formula1>
    </dataValidation>
  </dataValidations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customProperties>
    <customPr name="EpmWorksheetKeyString_GUID" r:id="rId2"/>
    <customPr name="FPMExcelClientCellBasedFunctionStatus" r:id="rId3"/>
    <customPr name="FPMExcelClientRefreshTime" r:id="rId4"/>
  </customProperties>
  <legacyDrawing r:id="rId5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5">
    <pageSetUpPr fitToPage="1"/>
  </sheetPr>
  <dimension ref="A1:AO108"/>
  <sheetViews>
    <sheetView topLeftCell="K25" zoomScale="85" zoomScaleNormal="85" workbookViewId="0">
      <pane xSplit="4" ySplit="8" topLeftCell="O33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2" width="9.7109375" style="2" hidden="1" customWidth="1" outlineLevel="1" collapsed="1"/>
    <col min="13" max="13" width="9.7109375" style="2" hidden="1" customWidth="1" outlineLevel="1"/>
    <col min="14" max="14" width="36.7109375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40" width="0" style="1" hidden="1" customWidth="1" outlineLevel="1"/>
    <col min="41" max="41" width="9.140625" style="1" collapsed="1"/>
    <col min="42" max="16384" width="9.140625" style="1"/>
  </cols>
  <sheetData>
    <row r="1" spans="1:41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11"/>
      <c r="H1" s="11"/>
      <c r="I1" s="11"/>
      <c r="J1" s="11"/>
      <c r="K1" s="11"/>
      <c r="L1" s="51"/>
      <c r="M1" s="51"/>
      <c r="N1" s="5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</row>
    <row r="2" spans="1:41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11"/>
      <c r="H2" s="11"/>
      <c r="I2" s="11"/>
      <c r="J2" s="11"/>
      <c r="K2" s="11"/>
      <c r="L2" s="51"/>
      <c r="M2" s="5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</row>
    <row r="3" spans="1:41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11"/>
      <c r="H3" s="11"/>
      <c r="I3" s="11"/>
      <c r="J3" s="11"/>
      <c r="K3" s="11"/>
      <c r="L3" s="55"/>
      <c r="M3" s="55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11"/>
      <c r="H4" s="11"/>
      <c r="I4" s="55"/>
      <c r="J4" s="55"/>
      <c r="K4" s="11"/>
      <c r="L4" s="55"/>
      <c r="M4" s="55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11"/>
      <c r="H5" s="11"/>
      <c r="I5" s="55"/>
      <c r="J5" s="55"/>
      <c r="K5" s="11"/>
      <c r="L5" s="55"/>
      <c r="M5" s="55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idden="1" outlineLevel="1" x14ac:dyDescent="0.25">
      <c r="A6" s="49" t="s">
        <v>52</v>
      </c>
      <c r="B6" s="52" t="s">
        <v>512</v>
      </c>
      <c r="C6" s="11" t="str">
        <f>IF(_epmOfflineCondition_,"Sales &amp; Marketing",_xll.EVDES(B6,$B$1))</f>
        <v>Sales &amp; Marketing</v>
      </c>
      <c r="D6" s="11"/>
      <c r="E6" s="54" t="str">
        <f>IF(_epmOfflineCondition_,"D_SM",_xll.EVPRO($B$1,$B$6,$F$6))</f>
        <v>D_SM</v>
      </c>
      <c r="F6" s="11" t="s">
        <v>278</v>
      </c>
      <c r="G6" s="11"/>
      <c r="H6" s="11"/>
      <c r="I6" s="55"/>
      <c r="J6" s="55"/>
      <c r="K6" s="11"/>
      <c r="L6" s="55"/>
      <c r="M6" s="55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11"/>
      <c r="H7" s="11"/>
      <c r="I7" s="55"/>
      <c r="J7" s="55"/>
      <c r="K7" s="11"/>
      <c r="L7" s="55"/>
      <c r="M7" s="55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11"/>
      <c r="H8" s="11"/>
      <c r="I8" s="55"/>
      <c r="J8" s="55"/>
      <c r="K8" s="11"/>
      <c r="L8" s="55"/>
      <c r="M8" s="55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55"/>
      <c r="M9" s="55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55"/>
      <c r="M10" s="55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55"/>
      <c r="M11" s="55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55"/>
      <c r="M12" s="55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  <c r="AJ12" s="11"/>
      <c r="AK12" s="11"/>
      <c r="AL12" s="11"/>
      <c r="AM12" s="11"/>
      <c r="AN12" s="11"/>
      <c r="AO12" s="11"/>
    </row>
    <row r="13" spans="1:41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55"/>
      <c r="M13" s="55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  <c r="AJ13" s="11"/>
      <c r="AK13" s="11"/>
      <c r="AL13" s="11"/>
      <c r="AM13" s="11"/>
      <c r="AN13" s="11"/>
      <c r="AO13" s="11"/>
    </row>
    <row r="14" spans="1:41" hidden="1" outlineLevel="1" x14ac:dyDescent="0.25">
      <c r="A14" s="56" t="str">
        <f>IF(_epmOfflineCondition_,"Evdre:Ok",_xll.EVDRE($B$1,A17:B24,A27:B33))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55"/>
      <c r="M14" s="55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  <c r="AJ14" s="11"/>
      <c r="AK14" s="11"/>
      <c r="AL14" s="11"/>
      <c r="AM14" s="11"/>
      <c r="AN14" s="11"/>
      <c r="AO14" s="11"/>
    </row>
    <row r="15" spans="1:41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55"/>
      <c r="M15" s="55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  <c r="AJ15" s="11"/>
      <c r="AK15" s="11"/>
      <c r="AL15" s="11"/>
      <c r="AM15" s="11"/>
      <c r="AN15" s="11"/>
      <c r="AO15" s="11"/>
    </row>
    <row r="16" spans="1:41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55"/>
      <c r="M16" s="55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  <c r="AJ16" s="11"/>
      <c r="AK16" s="11"/>
      <c r="AL16" s="11"/>
      <c r="AM16" s="11"/>
      <c r="AN16" s="11"/>
      <c r="AO16" s="11"/>
    </row>
    <row r="17" spans="1:41" hidden="1" outlineLevel="1" x14ac:dyDescent="0.25">
      <c r="A17" s="61" t="s">
        <v>2</v>
      </c>
      <c r="B17" s="62" t="str">
        <f>IF(_epmOfflineCondition_,"'SM'!$B$2:$B$10",_xll.EVRNG($B$2:$B$10))</f>
        <v>'SM'!$B$2:$B$10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55"/>
      <c r="M17" s="55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/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  <c r="AJ17" s="11"/>
      <c r="AK17" s="11"/>
      <c r="AL17" s="11"/>
      <c r="AM17" s="11"/>
      <c r="AN17" s="11"/>
      <c r="AO17" s="11"/>
    </row>
    <row r="18" spans="1:41" hidden="1" outlineLevel="1" x14ac:dyDescent="0.25">
      <c r="A18" s="61" t="s">
        <v>3</v>
      </c>
      <c r="B18" s="62" t="str">
        <f>IF(_epmOfflineCondition_,"'SM'!$O$16:$AN$18",_xll.EVRNG($O$16:$AN$18))</f>
        <v>'SM'!$O$16:$AN$18</v>
      </c>
      <c r="C18" s="11"/>
      <c r="D18" s="11"/>
      <c r="E18" s="11"/>
      <c r="F18" s="11"/>
      <c r="G18" s="11"/>
      <c r="H18" s="11"/>
      <c r="I18" s="55"/>
      <c r="J18" s="55"/>
      <c r="K18" s="11"/>
      <c r="L18" s="55"/>
      <c r="M18" s="55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60"/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  <c r="AJ18" s="11"/>
      <c r="AK18" s="11"/>
      <c r="AL18" s="11"/>
      <c r="AM18" s="11"/>
      <c r="AN18" s="11"/>
      <c r="AO18" s="11"/>
    </row>
    <row r="19" spans="1:41" hidden="1" outlineLevel="1" x14ac:dyDescent="0.25">
      <c r="A19" s="61" t="s">
        <v>4</v>
      </c>
      <c r="B19" s="62" t="str">
        <f>IF(_epmOfflineCondition_,"'SM'!$H$35:$H$36,'SM'!$H$38:$H$47,'SM'!$H$50:$H$72",_xll.EVRNG(H35:H36,H38:H47,H50:H72))</f>
        <v>'SM'!$H$35:$H$36,'SM'!$H$38:$H$47,'SM'!$H$50:$H$72</v>
      </c>
      <c r="C19" s="11"/>
      <c r="D19" s="11"/>
      <c r="E19" s="11"/>
      <c r="F19" s="11"/>
      <c r="G19" s="63" t="s">
        <v>499</v>
      </c>
      <c r="H19" s="63">
        <v>400000</v>
      </c>
      <c r="I19" s="64"/>
      <c r="J19" s="64"/>
      <c r="K19" s="63"/>
      <c r="L19" s="64"/>
      <c r="M19" s="64"/>
      <c r="N19" s="63" t="str">
        <f>IF(_epmOfflineCondition_,"Total Revenue",_xll.EVDES(H19))</f>
        <v>Total Revenue</v>
      </c>
      <c r="O19" s="65">
        <f>IF(_epmOfflineCondition_,816981.25,_xll.EVGTS($B$1,1,$B$3,$B$5,$B$7,$B$9,O$16,O$17,O$18,$G$19,$H$19))</f>
        <v>816981.25</v>
      </c>
      <c r="P19" s="65">
        <f>IF(_epmOfflineCondition_,866773.26,_xll.EVGTS($B$1,1,$B$3,$B$5,$B$7,$B$9,P$16,P$17,P$18,$G$19,$H$19))</f>
        <v>866773.26</v>
      </c>
      <c r="Q19" s="65">
        <f>IF(_epmOfflineCondition_,969793.68,_xll.EVGTS($B$1,1,$B$3,$B$5,$B$7,$B$9,Q$16,Q$17,Q$18,$G$19,$H$19))</f>
        <v>969793.68</v>
      </c>
      <c r="R19" s="65">
        <f>IF(_epmOfflineCondition_,760228.83,_xll.EVGTS($B$1,1,$B$3,$B$5,$B$7,$B$9,R$16,R$17,R$18,$G$19,$H$19))</f>
        <v>760228.83</v>
      </c>
      <c r="S19" s="65">
        <f>IF(_epmOfflineCondition_,618655.29,_xll.EVGTS($B$1,1,$B$3,$B$5,$B$7,$B$9,S$16,S$17,S$18,$G$19,$H$19))</f>
        <v>618655.29</v>
      </c>
      <c r="T19" s="65">
        <f>IF(_epmOfflineCondition_,453678.77,_xll.EVGTS($B$1,1,$B$3,$B$5,$B$7,$B$9,T$16,T$17,T$18,$G$19,$H$19))</f>
        <v>453678.77</v>
      </c>
      <c r="U19" s="65">
        <f>IF(_epmOfflineCondition_,542439.38,_xll.EVGTS($B$1,1,$B$3,$B$5,$B$7,$B$9,U$16,U$17,U$18,$G$19,$H$19))</f>
        <v>542439.38</v>
      </c>
      <c r="V19" s="65">
        <f>IF(_epmOfflineCondition_,530393.92,_xll.EVGTS($B$1,1,$B$3,$B$5,$B$7,$B$9,V$16,V$17,V$18,$G$19,$H$19))</f>
        <v>530393.92000000004</v>
      </c>
      <c r="W19" s="65">
        <f>IF(_epmOfflineCondition_,366989.98,_xll.EVGTS($B$1,1,$B$3,$B$5,$B$7,$B$9,W$16,W$17,W$18,$G$19,$H$19))</f>
        <v>366989.98</v>
      </c>
      <c r="X19" s="65">
        <f>IF(_epmOfflineCondition_,549087,_xll.EVGTS($B$1,1,$B$3,$B$5,$B$7,$B$9,X$16,X$17,X$18,$G$19,$H$19))</f>
        <v>549087</v>
      </c>
      <c r="Y19" s="65">
        <f>IF(_epmOfflineCondition_,756850.37,_xll.EVGTS($B$1,1,$B$3,$B$5,$B$7,$B$9,Y$16,Y$17,Y$18,$G$19,$H$19))</f>
        <v>756850.37</v>
      </c>
      <c r="Z19" s="65">
        <f>IF(_epmOfflineCondition_,1154118.08,_xll.EVGTS($B$1,1,$B$3,$B$5,$B$7,$B$9,Z$16,Z$17,Z$18,$G$19,$H$19))</f>
        <v>1154118.08</v>
      </c>
      <c r="AA19" s="65">
        <f>SUM(O19:Z19)</f>
        <v>8385989.8099999996</v>
      </c>
      <c r="AB19" s="63"/>
      <c r="AC19" s="63"/>
      <c r="AD19" s="65">
        <f>IF(_epmOfflineCondition_,13047408.7892219,_xll.EVGTS($B$1,1,$B$3,$B$5,$B$7,$B$9,AD$16,AD$17,AD$18,$G$19,$H$19))</f>
        <v>13047408.7892219</v>
      </c>
      <c r="AE19" s="63"/>
      <c r="AF19" s="63"/>
      <c r="AG19" s="65">
        <f>IF(_epmOfflineCondition_,3258668.97,_xll.EVGTS($B$1,1,$B$3,$B$5,$B$7,$B$9,AG$16,AG$17,AG$18,$G$19,$H$19))</f>
        <v>3258668.97</v>
      </c>
      <c r="AH19" s="63"/>
      <c r="AI19" s="63"/>
      <c r="AJ19" s="11"/>
      <c r="AK19" s="11"/>
      <c r="AL19" s="11"/>
      <c r="AM19" s="11"/>
      <c r="AN19" s="11"/>
      <c r="AO19" s="11"/>
    </row>
    <row r="20" spans="1:41" hidden="1" outlineLevel="1" x14ac:dyDescent="0.25">
      <c r="A20" s="61" t="s">
        <v>5</v>
      </c>
      <c r="B20" s="62"/>
      <c r="C20" s="11"/>
      <c r="D20" s="11"/>
      <c r="E20" s="11"/>
      <c r="F20" s="11"/>
      <c r="G20" s="63" t="s">
        <v>750</v>
      </c>
      <c r="H20" s="63">
        <v>904100</v>
      </c>
      <c r="I20" s="64"/>
      <c r="J20" s="64"/>
      <c r="K20" s="63"/>
      <c r="L20" s="64"/>
      <c r="M20" s="64"/>
      <c r="N20" s="63" t="str">
        <f>IF(_epmOfflineCondition_,"Available rooms",_xll.EVDES(H20))</f>
        <v>Available rooms</v>
      </c>
      <c r="O20" s="65">
        <f>IF(_epmOfflineCondition_,4092,_xll.EVGTS($B$1,1,$B$3,$B$5,$B$7,$B$9,O$16,O$17,O$18,$G$20,$H$20))</f>
        <v>4092</v>
      </c>
      <c r="P20" s="65">
        <f>IF(_epmOfflineCondition_,3696,_xll.EVGTS($B$1,1,$B$3,$B$5,$B$7,$B$9,P$16,P$17,P$18,$G$20,$H$20))</f>
        <v>3696</v>
      </c>
      <c r="Q20" s="65">
        <f>IF(_epmOfflineCondition_,4092,_xll.EVGTS($B$1,1,$B$3,$B$5,$B$7,$B$9,Q$16,Q$17,Q$18,$G$20,$H$20))</f>
        <v>4092</v>
      </c>
      <c r="R20" s="65">
        <f>IF(_epmOfflineCondition_,3960,_xll.EVGTS($B$1,1,$B$3,$B$5,$B$7,$B$9,R$16,R$17,R$18,$G$20,$H$20))</f>
        <v>3960</v>
      </c>
      <c r="S20" s="65">
        <f>IF(_epmOfflineCondition_,4092,_xll.EVGTS($B$1,1,$B$3,$B$5,$B$7,$B$9,S$16,S$17,S$18,$G$20,$H$20))</f>
        <v>4092</v>
      </c>
      <c r="T20" s="65">
        <f>IF(_epmOfflineCondition_,3960,_xll.EVGTS($B$1,1,$B$3,$B$5,$B$7,$B$9,T$16,T$17,T$18,$G$20,$H$20))</f>
        <v>3960</v>
      </c>
      <c r="U20" s="65">
        <f>IF(_epmOfflineCondition_,4092,_xll.EVGTS($B$1,1,$B$3,$B$5,$B$7,$B$9,U$16,U$17,U$18,$G$20,$H$20))</f>
        <v>4092</v>
      </c>
      <c r="V20" s="65">
        <f>IF(_epmOfflineCondition_,4092,_xll.EVGTS($B$1,1,$B$3,$B$5,$B$7,$B$9,V$16,V$17,V$18,$G$20,$H$20))</f>
        <v>4092</v>
      </c>
      <c r="W20" s="65">
        <f>IF(_epmOfflineCondition_,3960,_xll.EVGTS($B$1,1,$B$3,$B$5,$B$7,$B$9,W$16,W$17,W$18,$G$20,$H$20))</f>
        <v>3960</v>
      </c>
      <c r="X20" s="65">
        <f>IF(_epmOfflineCondition_,4092,_xll.EVGTS($B$1,1,$B$3,$B$5,$B$7,$B$9,X$16,X$17,X$18,$G$20,$H$20))</f>
        <v>4092</v>
      </c>
      <c r="Y20" s="65">
        <f>IF(_epmOfflineCondition_,3960,_xll.EVGTS($B$1,1,$B$3,$B$5,$B$7,$B$9,Y$16,Y$17,Y$18,$G$20,$H$20))</f>
        <v>3960</v>
      </c>
      <c r="Z20" s="65">
        <f>IF(_epmOfflineCondition_,4092,_xll.EVGTS($B$1,1,$B$3,$B$5,$B$7,$B$9,Z$16,Z$17,Z$18,$G$20,$H$20))</f>
        <v>4092</v>
      </c>
      <c r="AA20" s="65">
        <f>SUM(O20:Z20)</f>
        <v>48180</v>
      </c>
      <c r="AB20" s="63"/>
      <c r="AC20" s="63"/>
      <c r="AD20" s="65">
        <f>IF(_epmOfflineCondition_,48180,_xll.EVGTS($B$1,1,$B$3,$B$5,$B$7,$B$9,AD$16,AD$17,AD$18,$G$20,$H$20))</f>
        <v>48180</v>
      </c>
      <c r="AE20" s="63"/>
      <c r="AF20" s="63"/>
      <c r="AG20" s="65">
        <f>IF(_epmOfflineCondition_,37251,_xll.EVGTS($B$1,1,$B$3,$B$5,$B$7,$B$9,AG$16,AG$17,AG$18,$G$20,$H$20))</f>
        <v>37251</v>
      </c>
      <c r="AH20" s="63"/>
      <c r="AI20" s="63"/>
      <c r="AJ20" s="11"/>
      <c r="AK20" s="11"/>
      <c r="AL20" s="11"/>
      <c r="AM20" s="11"/>
      <c r="AN20" s="11"/>
      <c r="AO20" s="11"/>
    </row>
    <row r="21" spans="1:41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55"/>
      <c r="J21" s="55"/>
      <c r="K21" s="11"/>
      <c r="L21" s="55"/>
      <c r="M21" s="55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idden="1" outlineLevel="1" x14ac:dyDescent="0.25">
      <c r="A22" s="61" t="s">
        <v>7</v>
      </c>
      <c r="B22" s="62" t="str">
        <f>IF(_epmOfflineCondition_,"'SM'!$A$36:$F$42",_xll.EVRNG(A36:F42))</f>
        <v>'SM'!$A$36:$F$42</v>
      </c>
      <c r="C22" s="11"/>
      <c r="D22" s="11"/>
      <c r="E22" s="11"/>
      <c r="F22" s="11"/>
      <c r="G22" s="11"/>
      <c r="H22" s="11"/>
      <c r="I22" s="55"/>
      <c r="J22" s="55"/>
      <c r="K22" s="11"/>
      <c r="L22" s="55"/>
      <c r="M22" s="55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idden="1" outlineLevel="1" x14ac:dyDescent="0.25">
      <c r="A23" s="61" t="s">
        <v>47</v>
      </c>
      <c r="B23" s="62" t="str">
        <f>IF(_epmOfflineCondition_,"'SM'!$A$59:$B$80",_xll.EVRNG($A$59:$B$80))</f>
        <v>'SM'!$A$59:$B$80</v>
      </c>
      <c r="C23" s="11"/>
      <c r="D23" s="11"/>
      <c r="E23" s="11"/>
      <c r="F23" s="11"/>
      <c r="G23" s="11"/>
      <c r="H23" s="11"/>
      <c r="I23" s="55"/>
      <c r="J23" s="55"/>
      <c r="K23" s="6"/>
      <c r="L23" s="55"/>
      <c r="M23" s="55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55"/>
      <c r="M24" s="55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55"/>
      <c r="M25" s="55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22.5" x14ac:dyDescent="0.3">
      <c r="A26" s="57" t="s">
        <v>9</v>
      </c>
      <c r="B26" s="58" t="s">
        <v>10</v>
      </c>
      <c r="C26" s="11"/>
      <c r="D26" s="11"/>
      <c r="E26" s="11"/>
      <c r="F26" s="11"/>
      <c r="G26" s="11"/>
      <c r="H26" s="11"/>
      <c r="I26" s="55"/>
      <c r="J26" s="55"/>
      <c r="K26" s="11"/>
      <c r="L26" s="55"/>
      <c r="M26" s="55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8" x14ac:dyDescent="0.25">
      <c r="A27" s="61" t="s">
        <v>11</v>
      </c>
      <c r="B27" s="62" t="s">
        <v>21</v>
      </c>
      <c r="C27" s="11"/>
      <c r="D27" s="11"/>
      <c r="E27" s="11"/>
      <c r="F27" s="11"/>
      <c r="G27" s="11"/>
      <c r="H27" s="11"/>
      <c r="I27" s="55"/>
      <c r="J27" s="55"/>
      <c r="K27" s="11"/>
      <c r="L27" s="55"/>
      <c r="M27" s="55"/>
      <c r="N27" s="67" t="str">
        <f>IF(_epmOfflineCondition_,"Sales &amp; Marketing Department",IF(_xll.EVDES(B6,$B$1)="#NODATA","",_xll.EVDES(B6,$B$1)&amp;" Department"))</f>
        <v>Sales &amp; Marketing Department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x14ac:dyDescent="0.25">
      <c r="A28" s="61" t="s">
        <v>12</v>
      </c>
      <c r="B28" s="62" t="s">
        <v>22</v>
      </c>
      <c r="C28" s="11"/>
      <c r="D28" s="11"/>
      <c r="E28" s="11"/>
      <c r="F28" s="11"/>
      <c r="G28" s="11"/>
      <c r="H28" s="11"/>
      <c r="I28" s="55"/>
      <c r="J28" s="55"/>
      <c r="K28" s="11"/>
      <c r="L28" s="55"/>
      <c r="M28" s="55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" customHeight="1" x14ac:dyDescent="0.25">
      <c r="A29" s="61" t="s">
        <v>13</v>
      </c>
      <c r="B29" s="62" t="s">
        <v>736</v>
      </c>
      <c r="C29" s="11"/>
      <c r="D29" s="11"/>
      <c r="E29" s="11"/>
      <c r="F29" s="11"/>
      <c r="G29" s="11"/>
      <c r="H29" s="11"/>
      <c r="I29" s="55"/>
      <c r="J29" s="55"/>
      <c r="K29" s="11"/>
      <c r="L29" s="55"/>
      <c r="M29" s="55"/>
      <c r="N29" s="68" t="str">
        <f>IF(_epmOfflineCondition_,"Local Currency",_xll.EVDES(B9,B1))</f>
        <v>Local Currency</v>
      </c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x14ac:dyDescent="0.25">
      <c r="A30" s="61" t="s">
        <v>14</v>
      </c>
      <c r="B30" s="62"/>
      <c r="C30" s="11"/>
      <c r="D30" s="11"/>
      <c r="E30" s="11"/>
      <c r="F30" s="11"/>
      <c r="G30" s="11"/>
      <c r="H30" s="11"/>
      <c r="I30" s="55"/>
      <c r="J30" s="55"/>
      <c r="K30" s="11"/>
      <c r="L30" s="55"/>
      <c r="M30" s="55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  <c r="AJ30" s="69" t="s">
        <v>753</v>
      </c>
      <c r="AK30" s="70"/>
      <c r="AL30" s="71"/>
      <c r="AM30" s="70" t="s">
        <v>751</v>
      </c>
      <c r="AN30" s="70"/>
      <c r="AO30" s="11"/>
    </row>
    <row r="31" spans="1:41" ht="15" customHeight="1" x14ac:dyDescent="0.25">
      <c r="A31" s="61" t="s">
        <v>15</v>
      </c>
      <c r="B31" s="62"/>
      <c r="C31" s="11"/>
      <c r="D31" s="11"/>
      <c r="E31" s="11"/>
      <c r="F31" s="11"/>
      <c r="G31" s="72"/>
      <c r="H31" s="11"/>
      <c r="I31" s="55"/>
      <c r="J31" s="55"/>
      <c r="K31" s="173"/>
      <c r="L31" s="55"/>
      <c r="M31" s="55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  <c r="AJ31" s="73" t="str">
        <f>IF(_epmOfflineCondition_,"2019",_xll.EVPRO($B$1,AA$16,"YEAR"))</f>
        <v>2019</v>
      </c>
      <c r="AK31" s="76" t="str">
        <f>IF(_epmOfflineCondition_,"2019",_xll.EVPRO($B$1,AD$16,"YEAR"))</f>
        <v>2019</v>
      </c>
      <c r="AL31" s="76" t="str">
        <f>IF(_epmOfflineCondition_,"2018",_xll.EVPRO($B$1,AG$16,"YEAR"))</f>
        <v>2018</v>
      </c>
      <c r="AM31" s="73" t="str">
        <f>"vs "&amp;AK31</f>
        <v>vs 2019</v>
      </c>
      <c r="AN31" s="73" t="str">
        <f>"vs "&amp;AL31</f>
        <v>vs 2018</v>
      </c>
      <c r="AO31" s="11"/>
    </row>
    <row r="32" spans="1:41" s="8" customFormat="1" ht="30" customHeight="1" x14ac:dyDescent="0.25">
      <c r="A32" s="77" t="s">
        <v>16</v>
      </c>
      <c r="B32" s="78" t="s">
        <v>78</v>
      </c>
      <c r="C32" s="79"/>
      <c r="D32" s="79"/>
      <c r="E32" s="79"/>
      <c r="F32" s="79"/>
      <c r="G32" s="79"/>
      <c r="H32" s="80"/>
      <c r="I32" s="81"/>
      <c r="J32" s="81"/>
      <c r="K32" s="174" t="s">
        <v>117</v>
      </c>
      <c r="L32" s="81"/>
      <c r="M32" s="81"/>
      <c r="N32" s="82" t="s">
        <v>120</v>
      </c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  <c r="AJ32" s="83" t="str">
        <f>Z32</f>
        <v>Actual</v>
      </c>
      <c r="AK32" s="76" t="str">
        <f>AD32</f>
        <v>Budget</v>
      </c>
      <c r="AL32" s="83" t="str">
        <f>AG32</f>
        <v>Actual</v>
      </c>
      <c r="AM32" s="73" t="s">
        <v>748</v>
      </c>
      <c r="AN32" s="73" t="s">
        <v>748</v>
      </c>
      <c r="AO32" s="79"/>
    </row>
    <row r="33" spans="1:41" x14ac:dyDescent="0.25">
      <c r="A33" s="61" t="s">
        <v>17</v>
      </c>
      <c r="B33" s="62"/>
      <c r="C33" s="11"/>
      <c r="D33" s="11"/>
      <c r="E33" s="11"/>
      <c r="F33" s="11"/>
      <c r="G33" s="11"/>
      <c r="H33" s="11" t="s">
        <v>73</v>
      </c>
      <c r="I33" s="55" t="str">
        <f>IF(_epmOfflineCondition_,"B1",_xll.EVPRO($B$1,$H33,"STYLE"))</f>
        <v>B1</v>
      </c>
      <c r="J33" s="55" t="str">
        <f>IF(_epmOfflineCondition_,"Y",_xll.EVPRO($B$1,$H33,"CALC"))</f>
        <v>Y</v>
      </c>
      <c r="K33" s="11"/>
      <c r="L33" s="55"/>
      <c r="M33" s="55"/>
      <c r="N33" s="101" t="str">
        <f>IF(_epmOfflineCondition_,"Labor &amp; Related Expenses",IF(_xll.EVDES(H33,$B$1)="#NODATA","",_xll.EVDES(H33,$B$1)))</f>
        <v>Labor &amp; Related Expenses</v>
      </c>
      <c r="O33" s="199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114"/>
      <c r="AC33" s="11"/>
      <c r="AD33" s="199"/>
      <c r="AE33" s="200"/>
      <c r="AF33" s="114"/>
      <c r="AG33" s="199"/>
      <c r="AH33" s="200"/>
      <c r="AI33" s="114"/>
      <c r="AJ33" s="11"/>
      <c r="AK33" s="11"/>
      <c r="AL33" s="11"/>
      <c r="AM33" s="11"/>
      <c r="AN33" s="11"/>
      <c r="AO33" s="11"/>
    </row>
    <row r="34" spans="1:41" x14ac:dyDescent="0.25">
      <c r="A34" s="11"/>
      <c r="B34" s="11"/>
      <c r="C34" s="11"/>
      <c r="D34" s="11"/>
      <c r="E34" s="11"/>
      <c r="F34" s="11"/>
      <c r="G34" s="11"/>
      <c r="H34" s="11" t="s">
        <v>74</v>
      </c>
      <c r="I34" s="55" t="str">
        <f>IF(_epmOfflineCondition_,"B1",_xll.EVPRO($B$1,$H34,"STYLE"))</f>
        <v>B1</v>
      </c>
      <c r="J34" s="55" t="str">
        <f>IF(_epmOfflineCondition_,"Y",_xll.EVPRO($B$1,$H34,"CALC"))</f>
        <v>Y</v>
      </c>
      <c r="K34" s="11"/>
      <c r="L34" s="55"/>
      <c r="M34" s="55"/>
      <c r="N34" s="49" t="str">
        <f>IF(_epmOfflineCondition_,"Salaries &amp; Wages",IF(_xll.EVDES(H34,$B$1)="#NODATA","",_xll.EVDES(H34,$B$1)))</f>
        <v>Salaries &amp; Wages</v>
      </c>
      <c r="O34" s="115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7"/>
      <c r="AC34" s="11"/>
      <c r="AD34" s="115"/>
      <c r="AE34" s="116"/>
      <c r="AF34" s="117"/>
      <c r="AG34" s="115"/>
      <c r="AH34" s="116"/>
      <c r="AI34" s="117"/>
      <c r="AJ34" s="11"/>
      <c r="AK34" s="11"/>
      <c r="AL34" s="11"/>
      <c r="AM34" s="11"/>
      <c r="AN34" s="11"/>
      <c r="AO34" s="11"/>
    </row>
    <row r="35" spans="1:41" x14ac:dyDescent="0.25">
      <c r="A35" s="93" t="s">
        <v>92</v>
      </c>
      <c r="B35" s="94" t="s">
        <v>93</v>
      </c>
      <c r="C35" s="94" t="s">
        <v>94</v>
      </c>
      <c r="D35" s="94" t="s">
        <v>95</v>
      </c>
      <c r="E35" s="94" t="s">
        <v>96</v>
      </c>
      <c r="F35" s="95" t="s">
        <v>97</v>
      </c>
      <c r="G35" s="11"/>
      <c r="H35" s="84" t="s">
        <v>819</v>
      </c>
      <c r="I35" s="118" t="str">
        <f>IF(_epmOfflineCondition_,"T3",_xll.EVPRO($B$1,$H35,"STYLE"))</f>
        <v>T3</v>
      </c>
      <c r="J35" s="118" t="str">
        <f>IF(_epmOfflineCondition_,"Y",_xll.EVPRO($B$1,$H35,"CALC"))</f>
        <v>Y</v>
      </c>
      <c r="K35" s="175" t="str">
        <f t="shared" ref="K35:K47" si="0">IF(AND(I35&gt;="T3"),"&gt;","")</f>
        <v>&gt;</v>
      </c>
      <c r="L35" s="86" t="str">
        <f>IF(_epmOfflineCondition_,"",_xll.EVPRO($B$1,H35,"JDEID"))</f>
        <v/>
      </c>
      <c r="M35" s="86" t="str">
        <f>IF(_epmOfflineCondition_,"",IF(AND(I35="N",J35="N"),_xll.EVPRO($B$1,H35,"PSFTID"),""))</f>
        <v/>
      </c>
      <c r="N35" s="86" t="str">
        <f>IF(_epmOfflineCondition_,"Management",IF(_xll.EVDES(H35,$B$1)="#NODATA","",_xll.EVDES(H35,$B$1)))</f>
        <v>Management</v>
      </c>
      <c r="O35" s="240">
        <v>17858.87</v>
      </c>
      <c r="P35" s="240">
        <v>18437.53</v>
      </c>
      <c r="Q35" s="240">
        <v>21584.58</v>
      </c>
      <c r="R35" s="240">
        <v>24895.64</v>
      </c>
      <c r="S35" s="240">
        <v>21364.77</v>
      </c>
      <c r="T35" s="240">
        <v>21256.2</v>
      </c>
      <c r="U35" s="240">
        <v>21905.95</v>
      </c>
      <c r="V35" s="240">
        <v>22126.81</v>
      </c>
      <c r="W35" s="240">
        <v>21840</v>
      </c>
      <c r="X35" s="240">
        <v>21816.53</v>
      </c>
      <c r="Y35" s="240">
        <v>20829.22</v>
      </c>
      <c r="Z35" s="240">
        <v>21528.34</v>
      </c>
      <c r="AA35" s="240">
        <f t="shared" ref="AA35:AA47" si="1">IF($I35="B1","",SUM(O35:Z35))</f>
        <v>255444.44</v>
      </c>
      <c r="AB35" s="242">
        <f t="shared" ref="AB35:AB47" si="2">IF(AA35=0,"",IFERROR(AA35/AA$19,""))</f>
        <v>3.0460857428587791E-2</v>
      </c>
      <c r="AC35" s="136"/>
      <c r="AD35" s="134">
        <v>291451.91090950498</v>
      </c>
      <c r="AE35" s="138">
        <f t="shared" ref="AE35:AE47" si="3">IF(AD35=0,"",IFERROR(AD35/AD$19,""))</f>
        <v>2.233791518437479E-2</v>
      </c>
      <c r="AF35" s="137">
        <f t="shared" ref="AF35:AF47" si="4">IF(AND($AA35="",AD35=""),"",$AA35-AD35)</f>
        <v>-36007.470909504977</v>
      </c>
      <c r="AG35" s="134">
        <v>208579.01</v>
      </c>
      <c r="AH35" s="138">
        <f t="shared" ref="AH35:AH47" si="5">IF(AG35=0,"",IFERROR(AG35/AG$19,""))</f>
        <v>6.4007425092951376E-2</v>
      </c>
      <c r="AI35" s="137">
        <f t="shared" ref="AI35:AI47" si="6">IF(AND($AA35="",AG35=""),"",$AA35-AG35)</f>
        <v>46865.429999999993</v>
      </c>
      <c r="AJ35" s="458">
        <f t="shared" ref="AJ35:AJ47" si="7">IFERROR(AA35/AA$20,0)</f>
        <v>5.3018771274387717</v>
      </c>
      <c r="AK35" s="459">
        <f t="shared" ref="AK35:AK47" si="8">IFERROR(AD35/AD$20,0)</f>
        <v>6.0492301973745324</v>
      </c>
      <c r="AL35" s="460">
        <f t="shared" ref="AL35:AL47" si="9">IFERROR(AG35/AG$20,0)</f>
        <v>5.5992861936592311</v>
      </c>
      <c r="AM35" s="461" t="str">
        <f t="shared" ref="AM35:AM47" si="10">+IFERROR(ROUND(($AB35-AE35)*100,2)&amp;" pts.",0)</f>
        <v>0.81 pts.</v>
      </c>
      <c r="AN35" s="462" t="str">
        <f t="shared" ref="AN35:AN47" si="11">+IFERROR(ROUND(($AB35-AH35)*100,2)&amp;" pts.",0)</f>
        <v>-3.35 pts.</v>
      </c>
      <c r="AO35" s="11"/>
    </row>
    <row r="36" spans="1:41" hidden="1" x14ac:dyDescent="0.25">
      <c r="A36" s="11"/>
      <c r="B36" s="11"/>
      <c r="C36" s="11"/>
      <c r="D36" s="11"/>
      <c r="E36" s="11"/>
      <c r="F36" s="11"/>
      <c r="G36" s="11"/>
      <c r="H36" s="84"/>
      <c r="I36" s="118" t="str">
        <f>IF(_epmOfflineCondition_,"",_xll.EVPRO($B$1,$H36,"STYLE"))</f>
        <v/>
      </c>
      <c r="J36" s="118" t="str">
        <f>IF(_epmOfflineCondition_,"",_xll.EVPRO($B$1,$H36,"CALC"))</f>
        <v/>
      </c>
      <c r="K36" s="175" t="str">
        <f t="shared" si="0"/>
        <v/>
      </c>
      <c r="L36" s="86" t="str">
        <f>IF(_epmOfflineCondition_,"",_xll.EVPRO($B$1,H36,"JDEID"))</f>
        <v/>
      </c>
      <c r="M36" s="86" t="str">
        <f>IF(_epmOfflineCondition_,"",IF(AND(I36="N",J36="N"),_xll.EVPRO($B$1,H36,"PSFTID"),""))</f>
        <v/>
      </c>
      <c r="N36" s="86" t="str">
        <f>IF(_epmOfflineCondition_,"",IF(_xll.EVDES(H36,$B$1)="#NODATA","",_xll.EVDES(H36,$B$1)))</f>
        <v/>
      </c>
      <c r="O36" s="240"/>
      <c r="P36" s="240"/>
      <c r="Q36" s="240"/>
      <c r="R36" s="240"/>
      <c r="S36" s="240"/>
      <c r="T36" s="240"/>
      <c r="U36" s="240"/>
      <c r="V36" s="240"/>
      <c r="W36" s="240"/>
      <c r="X36" s="240"/>
      <c r="Y36" s="240"/>
      <c r="Z36" s="240"/>
      <c r="AA36" s="240">
        <f t="shared" si="1"/>
        <v>0</v>
      </c>
      <c r="AB36" s="242" t="str">
        <f t="shared" si="2"/>
        <v/>
      </c>
      <c r="AC36" s="136"/>
      <c r="AD36" s="134"/>
      <c r="AE36" s="138" t="str">
        <f t="shared" si="3"/>
        <v/>
      </c>
      <c r="AF36" s="137">
        <f t="shared" si="4"/>
        <v>0</v>
      </c>
      <c r="AG36" s="134"/>
      <c r="AH36" s="138" t="str">
        <f t="shared" si="5"/>
        <v/>
      </c>
      <c r="AI36" s="137">
        <f t="shared" si="6"/>
        <v>0</v>
      </c>
      <c r="AJ36" s="458">
        <f t="shared" si="7"/>
        <v>0</v>
      </c>
      <c r="AK36" s="459">
        <f t="shared" si="8"/>
        <v>0</v>
      </c>
      <c r="AL36" s="460">
        <f t="shared" si="9"/>
        <v>0</v>
      </c>
      <c r="AM36" s="461">
        <f t="shared" si="10"/>
        <v>0</v>
      </c>
      <c r="AN36" s="462">
        <f t="shared" si="11"/>
        <v>0</v>
      </c>
      <c r="AO36" s="11"/>
    </row>
    <row r="37" spans="1:41" x14ac:dyDescent="0.25">
      <c r="A37" s="11" t="s">
        <v>108</v>
      </c>
      <c r="B37" s="11"/>
      <c r="C37" s="100" t="s">
        <v>101</v>
      </c>
      <c r="D37" s="11" t="s">
        <v>106</v>
      </c>
      <c r="E37" s="11"/>
      <c r="F37" s="11" t="s">
        <v>98</v>
      </c>
      <c r="G37" s="11"/>
      <c r="H37" s="84" t="s">
        <v>75</v>
      </c>
      <c r="I37" s="85" t="str">
        <f>IF(_epmOfflineCondition_,"B1",_xll.EVPRO($B$1,$H37,"STYLE"))</f>
        <v>B1</v>
      </c>
      <c r="J37" s="85" t="str">
        <f>IF(_epmOfflineCondition_,"Y",_xll.EVPRO($B$1,$H37,"CALC"))</f>
        <v>Y</v>
      </c>
      <c r="K37" s="261" t="str">
        <f t="shared" si="0"/>
        <v/>
      </c>
      <c r="L37" s="102" t="str">
        <f>IF(_epmOfflineCondition_,"",_xll.EVPRO($B$1,H37,"JDEID"))</f>
        <v/>
      </c>
      <c r="M37" s="86" t="str">
        <f>IF(_epmOfflineCondition_,"",IF(AND(I37="N",J37="N"),_xll.EVPRO($B$1,H37,"PSFTID"),""))</f>
        <v/>
      </c>
      <c r="N37" s="102" t="str">
        <f>IF(_epmOfflineCondition_,"Non-Management",IF(_xll.EVDES(H37,$B$1)="#NODATA","",_xll.EVDES(H37,$B$1)))</f>
        <v>Non-Management</v>
      </c>
      <c r="O37" s="193"/>
      <c r="P37" s="193"/>
      <c r="Q37" s="193"/>
      <c r="R37" s="193"/>
      <c r="S37" s="193"/>
      <c r="T37" s="193"/>
      <c r="U37" s="193"/>
      <c r="V37" s="193"/>
      <c r="W37" s="193"/>
      <c r="X37" s="193"/>
      <c r="Y37" s="193"/>
      <c r="Z37" s="193"/>
      <c r="AA37" s="193" t="str">
        <f t="shared" si="1"/>
        <v/>
      </c>
      <c r="AB37" s="194" t="str">
        <f t="shared" si="2"/>
        <v/>
      </c>
      <c r="AC37" s="11"/>
      <c r="AD37" s="87"/>
      <c r="AE37" s="96" t="str">
        <f t="shared" si="3"/>
        <v/>
      </c>
      <c r="AF37" s="88" t="str">
        <f t="shared" si="4"/>
        <v/>
      </c>
      <c r="AG37" s="87"/>
      <c r="AH37" s="96" t="str">
        <f t="shared" si="5"/>
        <v/>
      </c>
      <c r="AI37" s="88" t="str">
        <f t="shared" si="6"/>
        <v/>
      </c>
      <c r="AJ37" s="393">
        <f t="shared" si="7"/>
        <v>0</v>
      </c>
      <c r="AK37" s="394">
        <f t="shared" si="8"/>
        <v>0</v>
      </c>
      <c r="AL37" s="395">
        <f t="shared" si="9"/>
        <v>0</v>
      </c>
      <c r="AM37" s="396">
        <f t="shared" si="10"/>
        <v>0</v>
      </c>
      <c r="AN37" s="397">
        <f t="shared" si="11"/>
        <v>0</v>
      </c>
      <c r="AO37" s="11"/>
    </row>
    <row r="38" spans="1:41" x14ac:dyDescent="0.25">
      <c r="A38" s="11" t="s">
        <v>100</v>
      </c>
      <c r="B38" s="11"/>
      <c r="C38" s="49" t="s">
        <v>101</v>
      </c>
      <c r="D38" s="11" t="s">
        <v>106</v>
      </c>
      <c r="E38" s="11"/>
      <c r="F38" s="11" t="s">
        <v>98</v>
      </c>
      <c r="G38" s="11"/>
      <c r="H38" s="84" t="s">
        <v>916</v>
      </c>
      <c r="I38" s="118" t="str">
        <f>IF(_epmOfflineCondition_,"T3",_xll.EVPRO($B$1,$H38,"STYLE"))</f>
        <v>T3</v>
      </c>
      <c r="J38" s="118" t="str">
        <f>IF(_epmOfflineCondition_,"Y",_xll.EVPRO($B$1,$H38,"CALC"))</f>
        <v>Y</v>
      </c>
      <c r="K38" s="175" t="str">
        <f t="shared" si="0"/>
        <v>&gt;</v>
      </c>
      <c r="L38" s="86" t="str">
        <f>IF(_epmOfflineCondition_,"",_xll.EVPRO($B$1,H38,"JDEID"))</f>
        <v/>
      </c>
      <c r="M38" s="86" t="str">
        <f>IF(_epmOfflineCondition_,"",IF(AND(I38="N",J38="N"),_xll.EVPRO($B$1,H38,"PSFTID"),""))</f>
        <v/>
      </c>
      <c r="N38" s="86" t="str">
        <f>IF(_epmOfflineCondition_,"Non-Mgmt. (Sales &amp; Marketing)",IF(_xll.EVDES(H38,$B$1)="#NODATA","",_xll.EVDES(H38,$B$1)))</f>
        <v>Non-Mgmt. (Sales &amp; Marketing)</v>
      </c>
      <c r="O38" s="248">
        <v>4973.78</v>
      </c>
      <c r="P38" s="248">
        <v>4280.7700000000004</v>
      </c>
      <c r="Q38" s="248">
        <v>4061.78</v>
      </c>
      <c r="R38" s="248">
        <v>3813.71</v>
      </c>
      <c r="S38" s="248">
        <v>5254.34</v>
      </c>
      <c r="T38" s="248">
        <v>3204.33</v>
      </c>
      <c r="U38" s="248">
        <v>4120.5200000000004</v>
      </c>
      <c r="V38" s="248">
        <v>4275.07</v>
      </c>
      <c r="W38" s="248">
        <v>4249.83</v>
      </c>
      <c r="X38" s="248">
        <v>5302.77</v>
      </c>
      <c r="Y38" s="248">
        <v>2713.64</v>
      </c>
      <c r="Z38" s="248">
        <v>452.53</v>
      </c>
      <c r="AA38" s="248">
        <f t="shared" si="1"/>
        <v>46703.070000000007</v>
      </c>
      <c r="AB38" s="249">
        <f t="shared" si="2"/>
        <v>5.5691780049992702E-3</v>
      </c>
      <c r="AC38" s="136"/>
      <c r="AD38" s="228">
        <v>39237.436401083301</v>
      </c>
      <c r="AE38" s="230">
        <f t="shared" si="3"/>
        <v>3.0072972369422695E-3</v>
      </c>
      <c r="AF38" s="231">
        <f t="shared" si="4"/>
        <v>7465.6335989167055</v>
      </c>
      <c r="AG38" s="228">
        <v>31140.45</v>
      </c>
      <c r="AH38" s="230">
        <f t="shared" si="5"/>
        <v>9.5561869851419727E-3</v>
      </c>
      <c r="AI38" s="231">
        <f t="shared" si="6"/>
        <v>15562.620000000006</v>
      </c>
      <c r="AJ38" s="467">
        <f t="shared" si="7"/>
        <v>0.96934557907845598</v>
      </c>
      <c r="AK38" s="468">
        <f t="shared" si="8"/>
        <v>0.81439261936661067</v>
      </c>
      <c r="AL38" s="469">
        <f t="shared" si="9"/>
        <v>0.83596279294515585</v>
      </c>
      <c r="AM38" s="470" t="str">
        <f t="shared" si="10"/>
        <v>0.26 pts.</v>
      </c>
      <c r="AN38" s="471" t="str">
        <f t="shared" si="11"/>
        <v>-0.4 pts.</v>
      </c>
      <c r="AO38" s="11"/>
    </row>
    <row r="39" spans="1:41" x14ac:dyDescent="0.25">
      <c r="A39" s="11" t="s">
        <v>109</v>
      </c>
      <c r="B39" s="11"/>
      <c r="C39" s="102" t="s">
        <v>101</v>
      </c>
      <c r="D39" s="11" t="s">
        <v>106</v>
      </c>
      <c r="E39" s="11"/>
      <c r="F39" s="11" t="s">
        <v>98</v>
      </c>
      <c r="G39" s="11"/>
      <c r="H39" s="84" t="s">
        <v>812</v>
      </c>
      <c r="I39" s="184" t="str">
        <f>IF(_epmOfflineCondition_,"T2",_xll.EVPRO($B$1,$H39,"STYLE"))</f>
        <v>T2</v>
      </c>
      <c r="J39" s="184" t="str">
        <f>IF(_epmOfflineCondition_,"Y",_xll.EVPRO($B$1,$H39,"CALC"))</f>
        <v>Y</v>
      </c>
      <c r="K39" s="185" t="str">
        <f t="shared" si="0"/>
        <v/>
      </c>
      <c r="L39" s="186" t="str">
        <f>IF(_epmOfflineCondition_,"",_xll.EVPRO($B$1,H39,"JDEID"))</f>
        <v/>
      </c>
      <c r="M39" s="186" t="str">
        <f>IF(_epmOfflineCondition_,"",IF(AND(I39="N",J39="N"),_xll.EVPRO($B$1,H39,"PSFTID"),""))</f>
        <v/>
      </c>
      <c r="N39" s="186" t="str">
        <f>IF(_epmOfflineCondition_,"Total Salaries and Wages",IF(_xll.EVDES(H39,$B$1)="#NODATA","",_xll.EVDES(H39,$B$1)))</f>
        <v>Total Salaries and Wages</v>
      </c>
      <c r="O39" s="236">
        <v>22832.65</v>
      </c>
      <c r="P39" s="236">
        <v>22718.3</v>
      </c>
      <c r="Q39" s="236">
        <v>25646.36</v>
      </c>
      <c r="R39" s="236">
        <v>28709.35</v>
      </c>
      <c r="S39" s="236">
        <v>26619.11</v>
      </c>
      <c r="T39" s="236">
        <v>24460.53</v>
      </c>
      <c r="U39" s="236">
        <v>26026.47</v>
      </c>
      <c r="V39" s="236">
        <v>26401.88</v>
      </c>
      <c r="W39" s="236">
        <v>26089.83</v>
      </c>
      <c r="X39" s="236">
        <v>27119.3</v>
      </c>
      <c r="Y39" s="236">
        <v>23542.86</v>
      </c>
      <c r="Z39" s="236">
        <v>21980.87</v>
      </c>
      <c r="AA39" s="236">
        <f t="shared" si="1"/>
        <v>302147.50999999995</v>
      </c>
      <c r="AB39" s="237">
        <f t="shared" si="2"/>
        <v>3.6030035433587057E-2</v>
      </c>
      <c r="AC39" s="238"/>
      <c r="AD39" s="236">
        <v>330689.34731058899</v>
      </c>
      <c r="AE39" s="237">
        <f t="shared" si="3"/>
        <v>2.5345212421317116E-2</v>
      </c>
      <c r="AF39" s="239">
        <f t="shared" si="4"/>
        <v>-28541.837310589035</v>
      </c>
      <c r="AG39" s="236">
        <v>239719.46</v>
      </c>
      <c r="AH39" s="237">
        <f t="shared" si="5"/>
        <v>7.3563612078093338E-2</v>
      </c>
      <c r="AI39" s="239">
        <f t="shared" si="6"/>
        <v>62428.049999999959</v>
      </c>
      <c r="AJ39" s="215">
        <f t="shared" si="7"/>
        <v>6.2712227065172259</v>
      </c>
      <c r="AK39" s="216">
        <f t="shared" si="8"/>
        <v>6.8636228167411577</v>
      </c>
      <c r="AL39" s="218">
        <f t="shared" si="9"/>
        <v>6.4352489866043863</v>
      </c>
      <c r="AM39" s="423" t="str">
        <f t="shared" si="10"/>
        <v>1.07 pts.</v>
      </c>
      <c r="AN39" s="474" t="str">
        <f t="shared" si="11"/>
        <v>-3.75 pts.</v>
      </c>
      <c r="AO39" s="11"/>
    </row>
    <row r="40" spans="1:41" x14ac:dyDescent="0.25">
      <c r="A40" s="11" t="s">
        <v>109</v>
      </c>
      <c r="B40" s="11"/>
      <c r="C40" s="192" t="s">
        <v>101</v>
      </c>
      <c r="D40" s="11" t="s">
        <v>107</v>
      </c>
      <c r="E40" s="11"/>
      <c r="F40" s="11" t="s">
        <v>99</v>
      </c>
      <c r="G40" s="11"/>
      <c r="H40" s="84" t="s">
        <v>904</v>
      </c>
      <c r="I40" s="118" t="str">
        <f>IF(_epmOfflineCondition_,"T3",_xll.EVPRO($B$1,$H40,"STYLE"))</f>
        <v>T3</v>
      </c>
      <c r="J40" s="118" t="str">
        <f>IF(_epmOfflineCondition_,"Y",_xll.EVPRO($B$1,$H40,"CALC"))</f>
        <v>Y</v>
      </c>
      <c r="K40" s="175" t="str">
        <f t="shared" si="0"/>
        <v>&gt;</v>
      </c>
      <c r="L40" s="86" t="str">
        <f>IF(_epmOfflineCondition_,"",_xll.EVPRO($B$1,H40,"JDEID"))</f>
        <v/>
      </c>
      <c r="M40" s="86" t="str">
        <f>IF(_epmOfflineCondition_,"",IF(AND(I40="N",J40="N"),_xll.EVPRO($B$1,H40,"PSFTID"),""))</f>
        <v/>
      </c>
      <c r="N40" s="86" t="str">
        <f>IF(_epmOfflineCondition_,"Contracted &amp; Leased Labor",IF(_xll.EVDES(H40,$B$1)="#NODATA","",_xll.EVDES(H40,$B$1)))</f>
        <v>Contracted &amp; Leased Labor</v>
      </c>
      <c r="O40" s="248"/>
      <c r="P40" s="248"/>
      <c r="Q40" s="248"/>
      <c r="R40" s="248"/>
      <c r="S40" s="248"/>
      <c r="T40" s="248"/>
      <c r="U40" s="248"/>
      <c r="V40" s="248"/>
      <c r="W40" s="248"/>
      <c r="X40" s="248"/>
      <c r="Y40" s="248"/>
      <c r="Z40" s="248">
        <v>18480</v>
      </c>
      <c r="AA40" s="248">
        <f t="shared" si="1"/>
        <v>18480</v>
      </c>
      <c r="AB40" s="249">
        <f t="shared" si="2"/>
        <v>2.2036754657110656E-3</v>
      </c>
      <c r="AC40" s="136"/>
      <c r="AD40" s="248"/>
      <c r="AE40" s="249" t="str">
        <f t="shared" si="3"/>
        <v/>
      </c>
      <c r="AF40" s="250">
        <f t="shared" si="4"/>
        <v>18480</v>
      </c>
      <c r="AG40" s="248"/>
      <c r="AH40" s="249" t="str">
        <f t="shared" si="5"/>
        <v/>
      </c>
      <c r="AI40" s="250">
        <f t="shared" si="6"/>
        <v>18480</v>
      </c>
      <c r="AJ40" s="532">
        <f t="shared" si="7"/>
        <v>0.38356164383561642</v>
      </c>
      <c r="AK40" s="533">
        <f t="shared" si="8"/>
        <v>0</v>
      </c>
      <c r="AL40" s="534">
        <f t="shared" si="9"/>
        <v>0</v>
      </c>
      <c r="AM40" s="535">
        <f t="shared" si="10"/>
        <v>0</v>
      </c>
      <c r="AN40" s="536">
        <f t="shared" si="11"/>
        <v>0</v>
      </c>
      <c r="AO40" s="11"/>
    </row>
    <row r="41" spans="1:41" x14ac:dyDescent="0.25">
      <c r="A41" s="11" t="s">
        <v>110</v>
      </c>
      <c r="B41" s="11"/>
      <c r="C41" s="102" t="s">
        <v>101</v>
      </c>
      <c r="D41" s="11" t="s">
        <v>106</v>
      </c>
      <c r="E41" s="11"/>
      <c r="F41" s="11" t="s">
        <v>98</v>
      </c>
      <c r="G41" s="11"/>
      <c r="H41" s="84" t="s">
        <v>813</v>
      </c>
      <c r="I41" s="118" t="str">
        <f>IF(_epmOfflineCondition_,"T3",_xll.EVPRO($B$1,$H41,"STYLE"))</f>
        <v>T3</v>
      </c>
      <c r="J41" s="118" t="str">
        <f>IF(_epmOfflineCondition_,"Y",_xll.EVPRO($B$1,$H41,"CALC"))</f>
        <v>Y</v>
      </c>
      <c r="K41" s="175" t="str">
        <f t="shared" si="0"/>
        <v>&gt;</v>
      </c>
      <c r="L41" s="86" t="str">
        <f>IF(_epmOfflineCondition_,"",_xll.EVPRO($B$1,H41,"JDEID"))</f>
        <v/>
      </c>
      <c r="M41" s="86" t="str">
        <f>IF(_epmOfflineCondition_,"",IF(AND(I41="N",J41="N"),_xll.EVPRO($B$1,H41,"PSFTID"),""))</f>
        <v/>
      </c>
      <c r="N41" s="86" t="str">
        <f>IF(_epmOfflineCondition_,"Bonuses &amp; Incentives",IF(_xll.EVDES(H41,$B$1)="#NODATA","",_xll.EVDES(H41,$B$1)))</f>
        <v>Bonuses &amp; Incentives</v>
      </c>
      <c r="O41" s="248">
        <v>2812.9</v>
      </c>
      <c r="P41" s="248">
        <v>11706.3</v>
      </c>
      <c r="Q41" s="248">
        <v>7675</v>
      </c>
      <c r="R41" s="248">
        <v>3768.5</v>
      </c>
      <c r="S41" s="248">
        <v>6955.3</v>
      </c>
      <c r="T41" s="248">
        <v>4274.75</v>
      </c>
      <c r="U41" s="248">
        <v>4498.07</v>
      </c>
      <c r="V41" s="248">
        <v>6121.03</v>
      </c>
      <c r="W41" s="248">
        <v>5349.75</v>
      </c>
      <c r="X41" s="248">
        <v>4349.75</v>
      </c>
      <c r="Y41" s="248">
        <v>6246.83</v>
      </c>
      <c r="Z41" s="248">
        <v>4349.75</v>
      </c>
      <c r="AA41" s="248">
        <f t="shared" si="1"/>
        <v>68107.929999999993</v>
      </c>
      <c r="AB41" s="249">
        <f t="shared" si="2"/>
        <v>8.1216328117622635E-3</v>
      </c>
      <c r="AC41" s="136"/>
      <c r="AD41" s="228">
        <v>68340.386226676201</v>
      </c>
      <c r="AE41" s="230">
        <f t="shared" si="3"/>
        <v>5.2378512339653436E-3</v>
      </c>
      <c r="AF41" s="231">
        <f t="shared" si="4"/>
        <v>-232.45622667620773</v>
      </c>
      <c r="AG41" s="228">
        <v>50490.15</v>
      </c>
      <c r="AH41" s="230">
        <f t="shared" si="5"/>
        <v>1.5494102182462553E-2</v>
      </c>
      <c r="AI41" s="231">
        <f t="shared" si="6"/>
        <v>17617.779999999992</v>
      </c>
      <c r="AJ41" s="467">
        <f t="shared" si="7"/>
        <v>1.4136141552511414</v>
      </c>
      <c r="AK41" s="468">
        <f t="shared" si="8"/>
        <v>1.4184389005121669</v>
      </c>
      <c r="AL41" s="469">
        <f t="shared" si="9"/>
        <v>1.3554038817749861</v>
      </c>
      <c r="AM41" s="470" t="str">
        <f t="shared" si="10"/>
        <v>0.29 pts.</v>
      </c>
      <c r="AN41" s="471" t="str">
        <f t="shared" si="11"/>
        <v>-0.74 pts.</v>
      </c>
      <c r="AO41" s="11"/>
    </row>
    <row r="42" spans="1:41" x14ac:dyDescent="0.25">
      <c r="A42" s="11" t="s">
        <v>110</v>
      </c>
      <c r="B42" s="11"/>
      <c r="C42" s="105" t="s">
        <v>101</v>
      </c>
      <c r="D42" s="11" t="s">
        <v>107</v>
      </c>
      <c r="E42" s="11"/>
      <c r="F42" s="11" t="s">
        <v>99</v>
      </c>
      <c r="G42" s="11"/>
      <c r="H42" s="84" t="s">
        <v>814</v>
      </c>
      <c r="I42" s="184" t="str">
        <f>IF(_epmOfflineCondition_,"T2",_xll.EVPRO($B$1,$H42,"STYLE"))</f>
        <v>T2</v>
      </c>
      <c r="J42" s="184" t="str">
        <f>IF(_epmOfflineCondition_,"Y",_xll.EVPRO($B$1,$H42,"CALC"))</f>
        <v>Y</v>
      </c>
      <c r="K42" s="185" t="str">
        <f t="shared" si="0"/>
        <v/>
      </c>
      <c r="L42" s="186" t="str">
        <f>IF(_epmOfflineCondition_,"",_xll.EVPRO($B$1,H42,"JDEID"))</f>
        <v/>
      </c>
      <c r="M42" s="186" t="str">
        <f>IF(_epmOfflineCondition_,"",IF(AND(I42="N",J42="N"),_xll.EVPRO($B$1,H42,"PSFTID"),""))</f>
        <v/>
      </c>
      <c r="N42" s="186" t="str">
        <f>IF(_epmOfflineCondition_,"Total Labor Expense",IF(_xll.EVDES(H42,$B$1)="#NODATA","",_xll.EVDES(H42,$B$1)))</f>
        <v>Total Labor Expense</v>
      </c>
      <c r="O42" s="236">
        <v>25645.55</v>
      </c>
      <c r="P42" s="236">
        <v>34424.6</v>
      </c>
      <c r="Q42" s="236">
        <v>33321.360000000001</v>
      </c>
      <c r="R42" s="236">
        <v>32477.85</v>
      </c>
      <c r="S42" s="236">
        <v>33574.410000000003</v>
      </c>
      <c r="T42" s="236">
        <v>28735.279999999999</v>
      </c>
      <c r="U42" s="236">
        <v>30524.54</v>
      </c>
      <c r="V42" s="236">
        <v>32522.91</v>
      </c>
      <c r="W42" s="236">
        <v>31439.58</v>
      </c>
      <c r="X42" s="236">
        <v>31469.05</v>
      </c>
      <c r="Y42" s="236">
        <v>29789.69</v>
      </c>
      <c r="Z42" s="236">
        <v>44810.62</v>
      </c>
      <c r="AA42" s="236">
        <f t="shared" si="1"/>
        <v>388735.44</v>
      </c>
      <c r="AB42" s="237">
        <f t="shared" si="2"/>
        <v>4.6355343711060391E-2</v>
      </c>
      <c r="AC42" s="238"/>
      <c r="AD42" s="236">
        <v>399029.73353726498</v>
      </c>
      <c r="AE42" s="237">
        <f t="shared" si="3"/>
        <v>3.0583063655282443E-2</v>
      </c>
      <c r="AF42" s="239">
        <f t="shared" si="4"/>
        <v>-10294.293537264981</v>
      </c>
      <c r="AG42" s="236">
        <v>290209.61</v>
      </c>
      <c r="AH42" s="237">
        <f t="shared" si="5"/>
        <v>8.9057714260555892E-2</v>
      </c>
      <c r="AI42" s="239">
        <f t="shared" si="6"/>
        <v>98525.830000000016</v>
      </c>
      <c r="AJ42" s="215">
        <f t="shared" si="7"/>
        <v>8.0683985056039855</v>
      </c>
      <c r="AK42" s="216">
        <f t="shared" si="8"/>
        <v>8.2820617172533204</v>
      </c>
      <c r="AL42" s="218">
        <f t="shared" si="9"/>
        <v>7.7906528683793717</v>
      </c>
      <c r="AM42" s="423" t="str">
        <f t="shared" si="10"/>
        <v>1.58 pts.</v>
      </c>
      <c r="AN42" s="474" t="str">
        <f t="shared" si="11"/>
        <v>-4.27 pts.</v>
      </c>
      <c r="AO42" s="11"/>
    </row>
    <row r="43" spans="1:41" x14ac:dyDescent="0.25">
      <c r="A43" s="11"/>
      <c r="B43" s="11"/>
      <c r="C43" s="204"/>
      <c r="D43" s="11"/>
      <c r="E43" s="11"/>
      <c r="F43" s="11"/>
      <c r="G43" s="11"/>
      <c r="H43" s="84" t="s">
        <v>815</v>
      </c>
      <c r="I43" s="118" t="str">
        <f>IF(_epmOfflineCondition_,"T3",_xll.EVPRO($B$1,$H43,"STYLE"))</f>
        <v>T3</v>
      </c>
      <c r="J43" s="118" t="str">
        <f>IF(_epmOfflineCondition_,"Y",_xll.EVPRO($B$1,$H43,"CALC"))</f>
        <v>Y</v>
      </c>
      <c r="K43" s="175" t="str">
        <f t="shared" si="0"/>
        <v>&gt;</v>
      </c>
      <c r="L43" s="86" t="str">
        <f>IF(_epmOfflineCondition_,"",_xll.EVPRO($B$1,H43,"JDEID"))</f>
        <v/>
      </c>
      <c r="M43" s="86" t="str">
        <f>IF(_epmOfflineCondition_,"",IF(AND(I43="N",J43="N"),_xll.EVPRO($B$1,H43,"PSFTID"),""))</f>
        <v/>
      </c>
      <c r="N43" s="86" t="str">
        <f>IF(_epmOfflineCondition_,"Payroll Taxes",IF(_xll.EVDES(H43,$B$1)="#NODATA","",_xll.EVDES(H43,$B$1)))</f>
        <v>Payroll Taxes</v>
      </c>
      <c r="O43" s="248">
        <v>2129.21</v>
      </c>
      <c r="P43" s="248">
        <v>2835.96</v>
      </c>
      <c r="Q43" s="248">
        <v>2619.9699999999998</v>
      </c>
      <c r="R43" s="248">
        <v>2504.3200000000002</v>
      </c>
      <c r="S43" s="248">
        <v>2858.22</v>
      </c>
      <c r="T43" s="248">
        <v>2118.3000000000002</v>
      </c>
      <c r="U43" s="248">
        <v>2056.1</v>
      </c>
      <c r="V43" s="248">
        <v>2870.55</v>
      </c>
      <c r="W43" s="248">
        <v>2225.1799999999998</v>
      </c>
      <c r="X43" s="248">
        <v>2121.88</v>
      </c>
      <c r="Y43" s="248">
        <v>2257.5700000000002</v>
      </c>
      <c r="Z43" s="248">
        <v>2034.78</v>
      </c>
      <c r="AA43" s="248">
        <f t="shared" si="1"/>
        <v>28632.039999999997</v>
      </c>
      <c r="AB43" s="249">
        <f t="shared" si="2"/>
        <v>3.4142707836178491E-3</v>
      </c>
      <c r="AC43" s="136"/>
      <c r="AD43" s="248">
        <v>33937.501620091403</v>
      </c>
      <c r="AE43" s="249">
        <f t="shared" si="3"/>
        <v>2.6010913100328568E-3</v>
      </c>
      <c r="AF43" s="250">
        <f t="shared" si="4"/>
        <v>-5305.4616200914061</v>
      </c>
      <c r="AG43" s="248">
        <v>21937.65</v>
      </c>
      <c r="AH43" s="249">
        <f t="shared" si="5"/>
        <v>6.7320891449738143E-3</v>
      </c>
      <c r="AI43" s="250">
        <f t="shared" si="6"/>
        <v>6694.3899999999958</v>
      </c>
      <c r="AJ43" s="532">
        <f t="shared" si="7"/>
        <v>0.59427231216272303</v>
      </c>
      <c r="AK43" s="533">
        <f t="shared" si="8"/>
        <v>0.70438982191970534</v>
      </c>
      <c r="AL43" s="534">
        <f t="shared" si="9"/>
        <v>0.58891439155995817</v>
      </c>
      <c r="AM43" s="535" t="str">
        <f t="shared" si="10"/>
        <v>0.08 pts.</v>
      </c>
      <c r="AN43" s="536" t="str">
        <f t="shared" si="11"/>
        <v>-0.33 pts.</v>
      </c>
      <c r="AO43" s="11"/>
    </row>
    <row r="44" spans="1:41" x14ac:dyDescent="0.25">
      <c r="A44" s="11"/>
      <c r="B44" s="11"/>
      <c r="C44" s="11"/>
      <c r="D44" s="11"/>
      <c r="E44" s="11"/>
      <c r="F44" s="11"/>
      <c r="G44" s="11"/>
      <c r="H44" s="84" t="s">
        <v>816</v>
      </c>
      <c r="I44" s="118" t="str">
        <f>IF(_epmOfflineCondition_,"T3",_xll.EVPRO($B$1,$H44,"STYLE"))</f>
        <v>T3</v>
      </c>
      <c r="J44" s="118" t="str">
        <f>IF(_epmOfflineCondition_,"Y",_xll.EVPRO($B$1,$H44,"CALC"))</f>
        <v>Y</v>
      </c>
      <c r="K44" s="175" t="str">
        <f t="shared" si="0"/>
        <v>&gt;</v>
      </c>
      <c r="L44" s="86" t="str">
        <f>IF(_epmOfflineCondition_,"",_xll.EVPRO($B$1,H44,"JDEID"))</f>
        <v/>
      </c>
      <c r="M44" s="86" t="str">
        <f>IF(_epmOfflineCondition_,"",IF(AND(I44="N",J44="N"),_xll.EVPRO($B$1,H44,"PSFTID"),""))</f>
        <v/>
      </c>
      <c r="N44" s="86" t="str">
        <f>IF(_epmOfflineCondition_,"Supplemental Pay",IF(_xll.EVDES(H44,$B$1)="#NODATA","",_xll.EVDES(H44,$B$1)))</f>
        <v>Supplemental Pay</v>
      </c>
      <c r="O44" s="248">
        <v>3354.22</v>
      </c>
      <c r="P44" s="248">
        <v>599.67999999999995</v>
      </c>
      <c r="Q44" s="248">
        <v>1488.77</v>
      </c>
      <c r="R44" s="248">
        <v>791.86</v>
      </c>
      <c r="S44" s="248">
        <v>1826.9</v>
      </c>
      <c r="T44" s="248">
        <v>1617.3</v>
      </c>
      <c r="U44" s="248">
        <v>2354.69</v>
      </c>
      <c r="V44" s="248">
        <v>1589.8</v>
      </c>
      <c r="W44" s="248">
        <v>2187.36</v>
      </c>
      <c r="X44" s="248">
        <v>1411.5</v>
      </c>
      <c r="Y44" s="248">
        <v>2501.17</v>
      </c>
      <c r="Z44" s="248">
        <v>794.83</v>
      </c>
      <c r="AA44" s="248">
        <f t="shared" si="1"/>
        <v>20518.080000000002</v>
      </c>
      <c r="AB44" s="249">
        <f t="shared" si="2"/>
        <v>2.4467093885009146E-3</v>
      </c>
      <c r="AC44" s="136"/>
      <c r="AD44" s="228">
        <v>16720.4716455817</v>
      </c>
      <c r="AE44" s="230">
        <f t="shared" si="3"/>
        <v>1.2815166532832187E-3</v>
      </c>
      <c r="AF44" s="231">
        <f t="shared" si="4"/>
        <v>3797.608354418302</v>
      </c>
      <c r="AG44" s="228">
        <v>18434.97</v>
      </c>
      <c r="AH44" s="230">
        <f t="shared" si="5"/>
        <v>5.6572085626727525E-3</v>
      </c>
      <c r="AI44" s="231">
        <f t="shared" si="6"/>
        <v>2083.1100000000006</v>
      </c>
      <c r="AJ44" s="467">
        <f t="shared" si="7"/>
        <v>0.42586301369863017</v>
      </c>
      <c r="AK44" s="468">
        <f t="shared" si="8"/>
        <v>0.34704175271028848</v>
      </c>
      <c r="AL44" s="469">
        <f t="shared" si="9"/>
        <v>0.49488523798018846</v>
      </c>
      <c r="AM44" s="470" t="str">
        <f t="shared" si="10"/>
        <v>0.12 pts.</v>
      </c>
      <c r="AN44" s="471" t="str">
        <f t="shared" si="11"/>
        <v>-0.32 pts.</v>
      </c>
      <c r="AO44" s="11"/>
    </row>
    <row r="45" spans="1:41" x14ac:dyDescent="0.25">
      <c r="A45" s="56" t="str">
        <f>IF(_epmOfflineCondition_,"Evdre:Ok",_xll.EVDRE($B$1,A48:B55))</f>
        <v>Evdre:Ok</v>
      </c>
      <c r="B45" s="11" t="s">
        <v>740</v>
      </c>
      <c r="C45" s="11"/>
      <c r="D45" s="11"/>
      <c r="E45" s="11"/>
      <c r="F45" s="11"/>
      <c r="G45" s="11"/>
      <c r="H45" s="84" t="s">
        <v>817</v>
      </c>
      <c r="I45" s="118" t="str">
        <f>IF(_epmOfflineCondition_,"T3",_xll.EVPRO($B$1,$H45,"STYLE"))</f>
        <v>T3</v>
      </c>
      <c r="J45" s="118" t="str">
        <f>IF(_epmOfflineCondition_,"Y",_xll.EVPRO($B$1,$H45,"CALC"))</f>
        <v>Y</v>
      </c>
      <c r="K45" s="175" t="str">
        <f t="shared" si="0"/>
        <v>&gt;</v>
      </c>
      <c r="L45" s="86" t="str">
        <f>IF(_epmOfflineCondition_,"",_xll.EVPRO($B$1,H45,"JDEID"))</f>
        <v/>
      </c>
      <c r="M45" s="86" t="str">
        <f>IF(_epmOfflineCondition_,"",IF(AND(I45="N",J45="N"),_xll.EVPRO($B$1,H45,"PSFTID"),""))</f>
        <v/>
      </c>
      <c r="N45" s="86" t="str">
        <f>IF(_epmOfflineCondition_,"Employee Benefits",IF(_xll.EVDES(H45,$B$1)="#NODATA","",_xll.EVDES(H45,$B$1)))</f>
        <v>Employee Benefits</v>
      </c>
      <c r="O45" s="248">
        <v>1073.3399999999999</v>
      </c>
      <c r="P45" s="248">
        <v>1234.78</v>
      </c>
      <c r="Q45" s="248">
        <v>1271.8499999999999</v>
      </c>
      <c r="R45" s="248">
        <v>1117.72</v>
      </c>
      <c r="S45" s="248">
        <v>1233.69</v>
      </c>
      <c r="T45" s="248">
        <v>1118.79</v>
      </c>
      <c r="U45" s="248">
        <v>1175.0999999999999</v>
      </c>
      <c r="V45" s="248">
        <v>1885.83</v>
      </c>
      <c r="W45" s="248">
        <v>927.04</v>
      </c>
      <c r="X45" s="248">
        <v>188.91</v>
      </c>
      <c r="Y45" s="248">
        <v>1194.1300000000001</v>
      </c>
      <c r="Z45" s="248">
        <v>-239.66</v>
      </c>
      <c r="AA45" s="248">
        <f t="shared" si="1"/>
        <v>12181.52</v>
      </c>
      <c r="AB45" s="249">
        <f t="shared" si="2"/>
        <v>1.4526037207288236E-3</v>
      </c>
      <c r="AC45" s="136"/>
      <c r="AD45" s="228">
        <v>25497.873865346399</v>
      </c>
      <c r="AE45" s="230">
        <f t="shared" si="3"/>
        <v>1.9542481022292702E-3</v>
      </c>
      <c r="AF45" s="231">
        <f t="shared" si="4"/>
        <v>-13316.353865346398</v>
      </c>
      <c r="AG45" s="228">
        <v>16879.07</v>
      </c>
      <c r="AH45" s="230">
        <f t="shared" si="5"/>
        <v>5.1797436792114541E-3</v>
      </c>
      <c r="AI45" s="231">
        <f t="shared" si="6"/>
        <v>-4697.5499999999993</v>
      </c>
      <c r="AJ45" s="467">
        <f t="shared" si="7"/>
        <v>0.25283354088833543</v>
      </c>
      <c r="AK45" s="468">
        <f t="shared" si="8"/>
        <v>0.52922112630440843</v>
      </c>
      <c r="AL45" s="469">
        <f t="shared" si="9"/>
        <v>0.45311723175216773</v>
      </c>
      <c r="AM45" s="470" t="str">
        <f t="shared" si="10"/>
        <v>-0.05 pts.</v>
      </c>
      <c r="AN45" s="471" t="str">
        <f t="shared" si="11"/>
        <v>-0.37 pts.</v>
      </c>
      <c r="AO45" s="11"/>
    </row>
    <row r="46" spans="1:41" x14ac:dyDescent="0.25">
      <c r="A46" s="11"/>
      <c r="B46" s="11"/>
      <c r="C46" s="11"/>
      <c r="D46" s="11"/>
      <c r="E46" s="11"/>
      <c r="F46" s="11"/>
      <c r="G46" s="11"/>
      <c r="H46" s="84" t="s">
        <v>818</v>
      </c>
      <c r="I46" s="184" t="str">
        <f>IF(_epmOfflineCondition_,"T2",_xll.EVPRO($B$1,$H46,"STYLE"))</f>
        <v>T2</v>
      </c>
      <c r="J46" s="184" t="str">
        <f>IF(_epmOfflineCondition_,"Y",_xll.EVPRO($B$1,$H46,"CALC"))</f>
        <v>Y</v>
      </c>
      <c r="K46" s="185" t="str">
        <f t="shared" si="0"/>
        <v/>
      </c>
      <c r="L46" s="186" t="str">
        <f>IF(_epmOfflineCondition_,"",_xll.EVPRO($B$1,H46,"JDEID"))</f>
        <v/>
      </c>
      <c r="M46" s="186" t="str">
        <f>IF(_epmOfflineCondition_,"",IF(AND(I46="N",J46="N"),_xll.EVPRO($B$1,H46,"PSFTID"),""))</f>
        <v/>
      </c>
      <c r="N46" s="186" t="str">
        <f>IF(_epmOfflineCondition_,"Total Payroll Related",IF(_xll.EVDES(H46,$B$1)="#NODATA","",_xll.EVDES(H46,$B$1)))</f>
        <v>Total Payroll Related</v>
      </c>
      <c r="O46" s="210">
        <v>6556.77</v>
      </c>
      <c r="P46" s="210">
        <v>4670.42</v>
      </c>
      <c r="Q46" s="210">
        <v>5380.59</v>
      </c>
      <c r="R46" s="210">
        <v>4413.8999999999996</v>
      </c>
      <c r="S46" s="210">
        <v>5918.81</v>
      </c>
      <c r="T46" s="210">
        <v>4854.3900000000003</v>
      </c>
      <c r="U46" s="210">
        <v>5585.89</v>
      </c>
      <c r="V46" s="210">
        <v>6346.18</v>
      </c>
      <c r="W46" s="210">
        <v>5339.58</v>
      </c>
      <c r="X46" s="210">
        <v>3722.29</v>
      </c>
      <c r="Y46" s="210">
        <v>5952.87</v>
      </c>
      <c r="Z46" s="210">
        <v>2589.9499999999998</v>
      </c>
      <c r="AA46" s="210">
        <f t="shared" si="1"/>
        <v>61331.640000000007</v>
      </c>
      <c r="AB46" s="211">
        <f t="shared" si="2"/>
        <v>7.3135838928475886E-3</v>
      </c>
      <c r="AC46" s="251"/>
      <c r="AD46" s="210">
        <v>76155.847131019502</v>
      </c>
      <c r="AE46" s="211">
        <f t="shared" si="3"/>
        <v>5.8368560655453457E-3</v>
      </c>
      <c r="AF46" s="252">
        <f t="shared" si="4"/>
        <v>-14824.207131019495</v>
      </c>
      <c r="AG46" s="210">
        <v>57251.69</v>
      </c>
      <c r="AH46" s="211">
        <f t="shared" si="5"/>
        <v>1.7569041386858022E-2</v>
      </c>
      <c r="AI46" s="252">
        <f t="shared" si="6"/>
        <v>4079.9500000000044</v>
      </c>
      <c r="AJ46" s="253">
        <f t="shared" si="7"/>
        <v>1.2729688667496888</v>
      </c>
      <c r="AK46" s="254">
        <f t="shared" si="8"/>
        <v>1.5806527009344022</v>
      </c>
      <c r="AL46" s="256">
        <f t="shared" si="9"/>
        <v>1.5369168612923143</v>
      </c>
      <c r="AM46" s="427" t="str">
        <f t="shared" si="10"/>
        <v>0.15 pts.</v>
      </c>
      <c r="AN46" s="483" t="str">
        <f t="shared" si="11"/>
        <v>-1.03 pts.</v>
      </c>
      <c r="AO46" s="11"/>
    </row>
    <row r="47" spans="1:41" x14ac:dyDescent="0.25">
      <c r="A47" s="57" t="s">
        <v>0</v>
      </c>
      <c r="B47" s="58" t="s">
        <v>1</v>
      </c>
      <c r="C47" s="11"/>
      <c r="D47" s="11"/>
      <c r="E47" s="11"/>
      <c r="F47" s="11"/>
      <c r="G47" s="11"/>
      <c r="H47" s="84" t="s">
        <v>76</v>
      </c>
      <c r="I47" s="184" t="str">
        <f>IF(_epmOfflineCondition_,"T1",_xll.EVPRO($B$1,$H47,"STYLE"))</f>
        <v>T1</v>
      </c>
      <c r="J47" s="184" t="str">
        <f>IF(_epmOfflineCondition_,"Y",_xll.EVPRO($B$1,$H47,"CALC"))</f>
        <v>Y</v>
      </c>
      <c r="K47" s="185" t="str">
        <f t="shared" si="0"/>
        <v/>
      </c>
      <c r="L47" s="186" t="str">
        <f>IF(_epmOfflineCondition_,"600000",_xll.EVPRO($B$1,H47,"JDEID"))</f>
        <v>600000</v>
      </c>
      <c r="M47" s="186" t="str">
        <f>IF(_epmOfflineCondition_,"",IF(AND(I47="N",J47="N"),_xll.EVPRO($B$1,H47,"PSFTID"),""))</f>
        <v/>
      </c>
      <c r="N47" s="186" t="str">
        <f>IF(_epmOfflineCondition_,"Total Labor &amp; Related Exp",IF(_xll.EVDES(H47,$B$1)="#NODATA","",_xll.EVDES(H47,$B$1)))</f>
        <v>Total Labor &amp; Related Exp</v>
      </c>
      <c r="O47" s="210">
        <v>32202.32</v>
      </c>
      <c r="P47" s="210">
        <v>39095.019999999997</v>
      </c>
      <c r="Q47" s="210">
        <v>38701.949999999997</v>
      </c>
      <c r="R47" s="210">
        <v>36891.75</v>
      </c>
      <c r="S47" s="210">
        <v>39493.22</v>
      </c>
      <c r="T47" s="210">
        <v>33589.67</v>
      </c>
      <c r="U47" s="210">
        <v>36110.43</v>
      </c>
      <c r="V47" s="210">
        <v>38869.089999999997</v>
      </c>
      <c r="W47" s="210">
        <v>36779.160000000003</v>
      </c>
      <c r="X47" s="210">
        <v>35191.339999999997</v>
      </c>
      <c r="Y47" s="210">
        <v>35742.559999999998</v>
      </c>
      <c r="Z47" s="210">
        <v>47400.57</v>
      </c>
      <c r="AA47" s="210">
        <f t="shared" si="1"/>
        <v>450067.07999999996</v>
      </c>
      <c r="AB47" s="211">
        <f t="shared" si="2"/>
        <v>5.366892760390797E-2</v>
      </c>
      <c r="AC47" s="251"/>
      <c r="AD47" s="210">
        <v>475185.58066828398</v>
      </c>
      <c r="AE47" s="211">
        <f t="shared" si="3"/>
        <v>3.6419919720827747E-2</v>
      </c>
      <c r="AF47" s="252">
        <f t="shared" si="4"/>
        <v>-25118.500668284018</v>
      </c>
      <c r="AG47" s="210">
        <v>347461.3</v>
      </c>
      <c r="AH47" s="211">
        <f t="shared" si="5"/>
        <v>0.1066267556474139</v>
      </c>
      <c r="AI47" s="252">
        <f t="shared" si="6"/>
        <v>102605.77999999997</v>
      </c>
      <c r="AJ47" s="253">
        <f t="shared" si="7"/>
        <v>9.3413673723536732</v>
      </c>
      <c r="AK47" s="254">
        <f t="shared" si="8"/>
        <v>9.8627144181877124</v>
      </c>
      <c r="AL47" s="256">
        <f t="shared" si="9"/>
        <v>9.3275697296716871</v>
      </c>
      <c r="AM47" s="427" t="str">
        <f t="shared" si="10"/>
        <v>1.72 pts.</v>
      </c>
      <c r="AN47" s="483" t="str">
        <f t="shared" si="11"/>
        <v>-5.3 pts.</v>
      </c>
      <c r="AO47" s="11"/>
    </row>
    <row r="48" spans="1:41" x14ac:dyDescent="0.25">
      <c r="A48" s="61" t="s">
        <v>2</v>
      </c>
      <c r="B48" s="62" t="str">
        <f>IF(_epmOfflineCondition_,"'SM'!$B$2:$B$10",_xll.EVRNG($B$2:$B$10))</f>
        <v>'SM'!$B$2:$B$10</v>
      </c>
      <c r="C48" s="11"/>
      <c r="D48" s="11"/>
      <c r="E48" s="11"/>
      <c r="F48" s="11"/>
      <c r="G48" s="11"/>
      <c r="H48" s="102"/>
      <c r="I48" s="102"/>
      <c r="J48" s="102"/>
      <c r="K48" s="102"/>
      <c r="L48" s="102"/>
      <c r="M48" s="102"/>
      <c r="N48" s="102"/>
      <c r="O48" s="125"/>
      <c r="P48" s="126"/>
      <c r="Q48" s="126"/>
      <c r="R48" s="126"/>
      <c r="S48" s="126"/>
      <c r="T48" s="126"/>
      <c r="U48" s="126"/>
      <c r="V48" s="126"/>
      <c r="W48" s="126"/>
      <c r="X48" s="126"/>
      <c r="Y48" s="126"/>
      <c r="Z48" s="126"/>
      <c r="AA48" s="126"/>
      <c r="AB48" s="127"/>
      <c r="AC48" s="11"/>
      <c r="AD48" s="125"/>
      <c r="AE48" s="126"/>
      <c r="AF48" s="127"/>
      <c r="AG48" s="125"/>
      <c r="AH48" s="126"/>
      <c r="AI48" s="127"/>
      <c r="AJ48" s="11"/>
      <c r="AK48" s="11"/>
      <c r="AL48" s="11"/>
      <c r="AM48" s="11"/>
      <c r="AN48" s="11"/>
      <c r="AO48" s="11"/>
    </row>
    <row r="49" spans="1:41" x14ac:dyDescent="0.25">
      <c r="A49" s="61" t="s">
        <v>3</v>
      </c>
      <c r="B49" s="62" t="str">
        <f>IF(_epmOfflineCondition_,"'SM'!$O$16:$AN$18",_xll.EVRNG($O$16:$AN$18))</f>
        <v>'SM'!$O$16:$AN$18</v>
      </c>
      <c r="C49" s="11"/>
      <c r="D49" s="11"/>
      <c r="E49" s="11"/>
      <c r="F49" s="11"/>
      <c r="G49" s="11"/>
      <c r="H49" s="11" t="s">
        <v>82</v>
      </c>
      <c r="I49" s="55" t="str">
        <f>IF(_epmOfflineCondition_,"B1",_xll.EVPRO($B$1,$H49,"STYLE"))</f>
        <v>B1</v>
      </c>
      <c r="J49" s="55" t="str">
        <f>IF(_epmOfflineCondition_,"Y",_xll.EVPRO($B$1,$H49,"CALC"))</f>
        <v>Y</v>
      </c>
      <c r="K49" s="11"/>
      <c r="L49" s="11"/>
      <c r="M49" s="11"/>
      <c r="N49" s="101" t="str">
        <f>IF(_epmOfflineCondition_,"Other Expenses",IF(_xll.EVDES(H49,$B$1)="#NODATA","",_xll.EVDES(H49,$B$1)))</f>
        <v>Other Expenses</v>
      </c>
      <c r="O49" s="115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7"/>
      <c r="AC49" s="11"/>
      <c r="AD49" s="115"/>
      <c r="AE49" s="116"/>
      <c r="AF49" s="117"/>
      <c r="AG49" s="115"/>
      <c r="AH49" s="116"/>
      <c r="AI49" s="117"/>
      <c r="AJ49" s="11"/>
      <c r="AK49" s="11"/>
      <c r="AL49" s="11"/>
      <c r="AM49" s="11"/>
      <c r="AN49" s="11"/>
      <c r="AO49" s="11"/>
    </row>
    <row r="50" spans="1:41" x14ac:dyDescent="0.25">
      <c r="A50" s="61" t="s">
        <v>4</v>
      </c>
      <c r="B50" s="62" t="str">
        <f>IF(_epmOfflineCondition_,"'SM'!$H$73:$H$76",_xll.EVRNG(H73:H76))</f>
        <v>'SM'!$H$73:$H$76</v>
      </c>
      <c r="C50" s="11"/>
      <c r="D50" s="11"/>
      <c r="E50" s="11"/>
      <c r="F50" s="11"/>
      <c r="G50" s="11"/>
      <c r="H50" s="84" t="s">
        <v>789</v>
      </c>
      <c r="I50" s="118" t="str">
        <f>IF(_epmOfflineCondition_,"N",_xll.EVPRO($B$1,$H50,"STYLE"))</f>
        <v>N</v>
      </c>
      <c r="J50" s="118" t="str">
        <f>IF(_epmOfflineCondition_,"N",_xll.EVPRO($B$1,$H50,"CALC"))</f>
        <v>N</v>
      </c>
      <c r="K50" s="175" t="str">
        <f t="shared" ref="K50:K72" si="12">IF(AND(I50&gt;="T3"),"&gt;","")</f>
        <v/>
      </c>
      <c r="L50" s="86" t="str">
        <f>IF(_epmOfflineCondition_,"701100",_xll.EVPRO($B$1,H50,"JDEID"))</f>
        <v>701100</v>
      </c>
      <c r="M50" s="86" t="str">
        <f>IF(_epmOfflineCondition_,"690015",IF(AND(I50="N",J50="N"),_xll.EVPRO($B$1,H50,"PSFTID"),""))</f>
        <v>690015</v>
      </c>
      <c r="N50" s="86" t="str">
        <f>IF(_epmOfflineCondition_,"Dues and Subscriptions",IF(_xll.EVDES(H50,$B$1)="#NODATA","",_xll.EVDES(H50,$B$1)))</f>
        <v>Dues and Subscriptions</v>
      </c>
      <c r="O50" s="134">
        <v>3527.76</v>
      </c>
      <c r="P50" s="134">
        <v>4435.7299999999996</v>
      </c>
      <c r="Q50" s="134">
        <v>2544.23</v>
      </c>
      <c r="R50" s="134">
        <v>3698.84</v>
      </c>
      <c r="S50" s="134">
        <v>7337.37</v>
      </c>
      <c r="T50" s="134">
        <v>8999.7000000000007</v>
      </c>
      <c r="U50" s="134">
        <v>1549.37</v>
      </c>
      <c r="V50" s="134">
        <v>4416.6499999999996</v>
      </c>
      <c r="W50" s="134">
        <v>4254.8900000000003</v>
      </c>
      <c r="X50" s="134">
        <v>6688.8</v>
      </c>
      <c r="Y50" s="134">
        <v>4531.62</v>
      </c>
      <c r="Z50" s="134">
        <v>6551.13</v>
      </c>
      <c r="AA50" s="240">
        <f t="shared" ref="AA50:AA73" si="13">IF($I50="B1","",SUM(O50:Z50))</f>
        <v>58536.090000000004</v>
      </c>
      <c r="AB50" s="138">
        <f t="shared" ref="AB50:AB73" si="14">IF(AA50=0,"",IFERROR(AA50/AA$19,""))</f>
        <v>6.9802243177302416E-3</v>
      </c>
      <c r="AC50" s="136"/>
      <c r="AD50" s="134">
        <v>42234</v>
      </c>
      <c r="AE50" s="138">
        <f t="shared" ref="AE50:AE73" si="15">IF(AD50=0,"",IFERROR(AD50/AD$19,""))</f>
        <v>3.2369645714548571E-3</v>
      </c>
      <c r="AF50" s="137">
        <f t="shared" ref="AF50:AF73" si="16">IF(AND($AA50="",AD50=""),"",$AA50-AD50)</f>
        <v>16302.090000000004</v>
      </c>
      <c r="AG50" s="134">
        <v>40058.019999999997</v>
      </c>
      <c r="AH50" s="138">
        <f t="shared" ref="AH50:AH73" si="17">IF(AG50=0,"",IFERROR(AG50/AG$19,""))</f>
        <v>1.2292755222694495E-2</v>
      </c>
      <c r="AI50" s="137">
        <f t="shared" ref="AI50:AI73" si="18">IF(AND($AA50="",AG50=""),"",$AA50-AG50)</f>
        <v>18478.070000000007</v>
      </c>
      <c r="AJ50" s="458">
        <f t="shared" ref="AJ50:AJ73" si="19">IFERROR(AA50/AA$20,0)</f>
        <v>1.2149458281444583</v>
      </c>
      <c r="AK50" s="459">
        <f t="shared" ref="AK50:AK73" si="20">IFERROR(AD50/AD$20,0)</f>
        <v>0.87658779576587798</v>
      </c>
      <c r="AL50" s="460">
        <f t="shared" ref="AL50:AL73" si="21">IFERROR(AG50/AG$20,0)</f>
        <v>1.0753542186786931</v>
      </c>
      <c r="AM50" s="461" t="str">
        <f t="shared" ref="AM50:AM73" si="22">+IFERROR(ROUND(($AB50-AE50)*100,2)&amp;" pts.",0)</f>
        <v>0.37 pts.</v>
      </c>
      <c r="AN50" s="462" t="str">
        <f t="shared" ref="AN50:AN73" si="23">+IFERROR(ROUND(($AB50-AH50)*100,2)&amp;" pts.",0)</f>
        <v>-0.53 pts.</v>
      </c>
      <c r="AO50" s="11"/>
    </row>
    <row r="51" spans="1:41" x14ac:dyDescent="0.25">
      <c r="A51" s="61" t="s">
        <v>5</v>
      </c>
      <c r="B51" s="62"/>
      <c r="C51" s="11"/>
      <c r="D51" s="11"/>
      <c r="E51" s="11"/>
      <c r="F51" s="11"/>
      <c r="G51" s="11"/>
      <c r="H51" s="84" t="s">
        <v>790</v>
      </c>
      <c r="I51" s="118" t="str">
        <f>IF(_epmOfflineCondition_,"N",_xll.EVPRO($B$1,$H51,"STYLE"))</f>
        <v>N</v>
      </c>
      <c r="J51" s="118" t="str">
        <f>IF(_epmOfflineCondition_,"N",_xll.EVPRO($B$1,$H51,"CALC"))</f>
        <v>N</v>
      </c>
      <c r="K51" s="175" t="str">
        <f t="shared" si="12"/>
        <v/>
      </c>
      <c r="L51" s="86" t="str">
        <f>IF(_epmOfflineCondition_,"701200",_xll.EVPRO($B$1,H51,"JDEID"))</f>
        <v>701200</v>
      </c>
      <c r="M51" s="86" t="str">
        <f>IF(_epmOfflineCondition_,"690010",IF(AND(I51="N",J51="N"),_xll.EVPRO($B$1,H51,"PSFTID"),""))</f>
        <v>690010</v>
      </c>
      <c r="N51" s="86" t="str">
        <f>IF(_epmOfflineCondition_,"Postage and Overnight Delivery",IF(_xll.EVDES(H51,$B$1)="#NODATA","",_xll.EVDES(H51,$B$1)))</f>
        <v>Postage and Overnight Delivery</v>
      </c>
      <c r="O51" s="134">
        <v>185.34</v>
      </c>
      <c r="P51" s="134">
        <v>244.73</v>
      </c>
      <c r="Q51" s="134">
        <v>665.06</v>
      </c>
      <c r="R51" s="134">
        <v>1290.0899999999999</v>
      </c>
      <c r="S51" s="134">
        <v>-444.21</v>
      </c>
      <c r="T51" s="134">
        <v>63.53</v>
      </c>
      <c r="U51" s="134">
        <v>102.96</v>
      </c>
      <c r="V51" s="134">
        <v>326.52</v>
      </c>
      <c r="W51" s="134">
        <v>88.29</v>
      </c>
      <c r="X51" s="134">
        <v>48</v>
      </c>
      <c r="Y51" s="134">
        <v>-1.21</v>
      </c>
      <c r="Z51" s="134">
        <v>71.319999999999993</v>
      </c>
      <c r="AA51" s="240">
        <f t="shared" si="13"/>
        <v>2640.4199999999996</v>
      </c>
      <c r="AB51" s="138">
        <f t="shared" si="14"/>
        <v>3.1486086434917809E-4</v>
      </c>
      <c r="AC51" s="136"/>
      <c r="AD51" s="134">
        <v>3000</v>
      </c>
      <c r="AE51" s="138">
        <f t="shared" si="15"/>
        <v>2.2993071256249871E-4</v>
      </c>
      <c r="AF51" s="137">
        <f t="shared" si="16"/>
        <v>-359.58000000000038</v>
      </c>
      <c r="AG51" s="134">
        <v>3632.15</v>
      </c>
      <c r="AH51" s="138">
        <f t="shared" si="17"/>
        <v>1.114611528031336E-3</v>
      </c>
      <c r="AI51" s="137">
        <f t="shared" si="18"/>
        <v>-991.73000000000047</v>
      </c>
      <c r="AJ51" s="458">
        <f t="shared" si="19"/>
        <v>5.4803237858032372E-2</v>
      </c>
      <c r="AK51" s="459">
        <f t="shared" si="20"/>
        <v>6.2266500622665005E-2</v>
      </c>
      <c r="AL51" s="460">
        <f t="shared" si="21"/>
        <v>9.7504764972752414E-2</v>
      </c>
      <c r="AM51" s="461" t="str">
        <f t="shared" si="22"/>
        <v>0.01 pts.</v>
      </c>
      <c r="AN51" s="462" t="str">
        <f t="shared" si="23"/>
        <v>-0.08 pts.</v>
      </c>
      <c r="AO51" s="11"/>
    </row>
    <row r="52" spans="1:41" x14ac:dyDescent="0.25">
      <c r="A52" s="61" t="s">
        <v>6</v>
      </c>
      <c r="B52" s="62"/>
      <c r="C52" s="11"/>
      <c r="D52" s="11"/>
      <c r="E52" s="11"/>
      <c r="F52" s="11"/>
      <c r="G52" s="11"/>
      <c r="H52" s="84" t="s">
        <v>823</v>
      </c>
      <c r="I52" s="118" t="str">
        <f>IF(_epmOfflineCondition_,"N",_xll.EVPRO($B$1,$H52,"STYLE"))</f>
        <v>N</v>
      </c>
      <c r="J52" s="118" t="str">
        <f>IF(_epmOfflineCondition_,"N",_xll.EVPRO($B$1,$H52,"CALC"))</f>
        <v>N</v>
      </c>
      <c r="K52" s="175" t="str">
        <f t="shared" si="12"/>
        <v/>
      </c>
      <c r="L52" s="86" t="str">
        <f>IF(_epmOfflineCondition_,"701300",_xll.EVPRO($B$1,H52,"JDEID"))</f>
        <v>701300</v>
      </c>
      <c r="M52" s="86" t="str">
        <f>IF(_epmOfflineCondition_,"690205",IF(AND(I52="N",J52="N"),_xll.EVPRO($B$1,H52,"PSFTID"),""))</f>
        <v>690205</v>
      </c>
      <c r="N52" s="86" t="str">
        <f>IF(_epmOfflineCondition_,"Printing &amp; Stationery",IF(_xll.EVDES(H52,$B$1)="#NODATA","",_xll.EVDES(H52,$B$1)))</f>
        <v>Printing &amp; Stationery</v>
      </c>
      <c r="O52" s="134"/>
      <c r="P52" s="134"/>
      <c r="Q52" s="134">
        <v>117.99</v>
      </c>
      <c r="R52" s="134"/>
      <c r="S52" s="134"/>
      <c r="T52" s="134">
        <v>-117.99</v>
      </c>
      <c r="U52" s="134"/>
      <c r="V52" s="134"/>
      <c r="W52" s="134"/>
      <c r="X52" s="134"/>
      <c r="Y52" s="134"/>
      <c r="Z52" s="134"/>
      <c r="AA52" s="240">
        <f t="shared" si="13"/>
        <v>0</v>
      </c>
      <c r="AB52" s="138" t="str">
        <f t="shared" si="14"/>
        <v/>
      </c>
      <c r="AC52" s="136"/>
      <c r="AD52" s="134"/>
      <c r="AE52" s="138" t="str">
        <f t="shared" si="15"/>
        <v/>
      </c>
      <c r="AF52" s="137">
        <f t="shared" si="16"/>
        <v>0</v>
      </c>
      <c r="AG52" s="134">
        <v>-4.5474735088646402E-13</v>
      </c>
      <c r="AH52" s="138">
        <f t="shared" si="17"/>
        <v>-1.3955002949761541E-19</v>
      </c>
      <c r="AI52" s="137">
        <f t="shared" si="18"/>
        <v>4.5474735088646402E-13</v>
      </c>
      <c r="AJ52" s="458">
        <f t="shared" si="19"/>
        <v>0</v>
      </c>
      <c r="AK52" s="459">
        <f t="shared" si="20"/>
        <v>0</v>
      </c>
      <c r="AL52" s="460">
        <f t="shared" si="21"/>
        <v>-1.220765485185536E-17</v>
      </c>
      <c r="AM52" s="461">
        <f t="shared" si="22"/>
        <v>0</v>
      </c>
      <c r="AN52" s="462">
        <f t="shared" si="23"/>
        <v>0</v>
      </c>
      <c r="AO52" s="11"/>
    </row>
    <row r="53" spans="1:41" x14ac:dyDescent="0.25">
      <c r="A53" s="61" t="s">
        <v>7</v>
      </c>
      <c r="B53" s="62"/>
      <c r="C53" s="11"/>
      <c r="D53" s="11"/>
      <c r="E53" s="11"/>
      <c r="F53" s="11"/>
      <c r="G53" s="11"/>
      <c r="H53" s="84" t="s">
        <v>792</v>
      </c>
      <c r="I53" s="118" t="str">
        <f>IF(_epmOfflineCondition_,"T4",_xll.EVPRO($B$1,$H53,"STYLE"))</f>
        <v>T4</v>
      </c>
      <c r="J53" s="118" t="str">
        <f>IF(_epmOfflineCondition_,"Y",_xll.EVPRO($B$1,$H53,"CALC"))</f>
        <v>Y</v>
      </c>
      <c r="K53" s="175" t="str">
        <f t="shared" si="12"/>
        <v>&gt;</v>
      </c>
      <c r="L53" s="86" t="str">
        <f>IF(_epmOfflineCondition_,"701500",_xll.EVPRO($B$1,H53,"JDEID"))</f>
        <v>701500</v>
      </c>
      <c r="M53" s="86" t="str">
        <f>IF(_epmOfflineCondition_,"",IF(AND(I53="N",J53="N"),_xll.EVPRO($B$1,H53,"PSFTID"),""))</f>
        <v/>
      </c>
      <c r="N53" s="86" t="str">
        <f>IF(_epmOfflineCondition_,"Operating Supplies",IF(_xll.EVDES(H53,$B$1)="#NODATA","",_xll.EVDES(H53,$B$1)))</f>
        <v>Operating Supplies</v>
      </c>
      <c r="O53" s="134">
        <v>366.03</v>
      </c>
      <c r="P53" s="134">
        <v>246.93</v>
      </c>
      <c r="Q53" s="134">
        <v>242.59</v>
      </c>
      <c r="R53" s="134">
        <v>337.56</v>
      </c>
      <c r="S53" s="134">
        <v>206.4</v>
      </c>
      <c r="T53" s="134">
        <v>703.37</v>
      </c>
      <c r="U53" s="134">
        <v>197</v>
      </c>
      <c r="V53" s="134"/>
      <c r="W53" s="134">
        <v>101.74</v>
      </c>
      <c r="X53" s="134"/>
      <c r="Y53" s="134">
        <v>693.74</v>
      </c>
      <c r="Z53" s="134">
        <v>119.79</v>
      </c>
      <c r="AA53" s="240">
        <f t="shared" si="13"/>
        <v>3215.1499999999996</v>
      </c>
      <c r="AB53" s="138">
        <f t="shared" si="14"/>
        <v>3.8339540982580803E-4</v>
      </c>
      <c r="AC53" s="136"/>
      <c r="AD53" s="134">
        <v>3000</v>
      </c>
      <c r="AE53" s="138">
        <f t="shared" si="15"/>
        <v>2.2993071256249871E-4</v>
      </c>
      <c r="AF53" s="137">
        <f t="shared" si="16"/>
        <v>215.14999999999964</v>
      </c>
      <c r="AG53" s="134">
        <v>5720.03</v>
      </c>
      <c r="AH53" s="138">
        <f t="shared" si="17"/>
        <v>1.7553271144322461E-3</v>
      </c>
      <c r="AI53" s="137">
        <f t="shared" si="18"/>
        <v>-2504.88</v>
      </c>
      <c r="AJ53" s="458">
        <f t="shared" si="19"/>
        <v>6.6732046492320451E-2</v>
      </c>
      <c r="AK53" s="459">
        <f t="shared" si="20"/>
        <v>6.2266500622665005E-2</v>
      </c>
      <c r="AL53" s="460">
        <f t="shared" si="21"/>
        <v>0.15355373010120532</v>
      </c>
      <c r="AM53" s="461" t="str">
        <f t="shared" si="22"/>
        <v>0.02 pts.</v>
      </c>
      <c r="AN53" s="462" t="str">
        <f t="shared" si="23"/>
        <v>-0.14 pts.</v>
      </c>
      <c r="AO53" s="11"/>
    </row>
    <row r="54" spans="1:41" x14ac:dyDescent="0.25">
      <c r="A54" s="61" t="s">
        <v>47</v>
      </c>
      <c r="B54" s="62" t="str">
        <f>IF(_epmOfflineCondition_,"'SM'!$A$59:$B$80",_xll.EVRNG($A$59:$B$80))</f>
        <v>'SM'!$A$59:$B$80</v>
      </c>
      <c r="C54" s="11"/>
      <c r="D54" s="11"/>
      <c r="E54" s="11"/>
      <c r="F54" s="11"/>
      <c r="G54" s="11"/>
      <c r="H54" s="84" t="s">
        <v>794</v>
      </c>
      <c r="I54" s="118" t="str">
        <f>IF(_epmOfflineCondition_,"T4",_xll.EVPRO($B$1,$H54,"STYLE"))</f>
        <v>T4</v>
      </c>
      <c r="J54" s="118" t="str">
        <f>IF(_epmOfflineCondition_,"Y",_xll.EVPRO($B$1,$H54,"CALC"))</f>
        <v>Y</v>
      </c>
      <c r="K54" s="175" t="str">
        <f t="shared" si="12"/>
        <v>&gt;</v>
      </c>
      <c r="L54" s="86" t="str">
        <f>IF(_epmOfflineCondition_,"",_xll.EVPRO($B$1,H54,"JDEID"))</f>
        <v/>
      </c>
      <c r="M54" s="86" t="str">
        <f>IF(_epmOfflineCondition_,"",IF(AND(I54="N",J54="N"),_xll.EVPRO($B$1,H54,"PSFTID"),""))</f>
        <v/>
      </c>
      <c r="N54" s="86" t="str">
        <f>IF(_epmOfflineCondition_,"Contract Services",IF(_xll.EVDES(H54,$B$1)="#NODATA","",_xll.EVDES(H54,$B$1)))</f>
        <v>Contract Services</v>
      </c>
      <c r="O54" s="134">
        <v>73.33</v>
      </c>
      <c r="P54" s="134">
        <v>10170.799999999999</v>
      </c>
      <c r="Q54" s="134">
        <v>1918.53</v>
      </c>
      <c r="R54" s="134"/>
      <c r="S54" s="134">
        <v>911.15</v>
      </c>
      <c r="T54" s="134"/>
      <c r="U54" s="134">
        <v>34.06</v>
      </c>
      <c r="V54" s="134">
        <v>25.73</v>
      </c>
      <c r="W54" s="134">
        <v>816.96</v>
      </c>
      <c r="X54" s="134"/>
      <c r="Y54" s="134">
        <v>5365</v>
      </c>
      <c r="Z54" s="134">
        <v>-1125.8499999999999</v>
      </c>
      <c r="AA54" s="240">
        <f t="shared" si="13"/>
        <v>18189.71</v>
      </c>
      <c r="AB54" s="138">
        <f t="shared" si="14"/>
        <v>2.1690593969371876E-3</v>
      </c>
      <c r="AC54" s="136"/>
      <c r="AD54" s="134">
        <v>8700</v>
      </c>
      <c r="AE54" s="138">
        <f t="shared" si="15"/>
        <v>6.6679906643124628E-4</v>
      </c>
      <c r="AF54" s="137">
        <f t="shared" si="16"/>
        <v>9489.7099999999991</v>
      </c>
      <c r="AG54" s="134">
        <v>1575.37</v>
      </c>
      <c r="AH54" s="138">
        <f t="shared" si="17"/>
        <v>4.834397155719686E-4</v>
      </c>
      <c r="AI54" s="137">
        <f t="shared" si="18"/>
        <v>16614.34</v>
      </c>
      <c r="AJ54" s="458">
        <f t="shared" si="19"/>
        <v>0.37753652968036527</v>
      </c>
      <c r="AK54" s="459">
        <f t="shared" si="20"/>
        <v>0.18057285180572852</v>
      </c>
      <c r="AL54" s="460">
        <f t="shared" si="21"/>
        <v>4.2290676760355424E-2</v>
      </c>
      <c r="AM54" s="461" t="str">
        <f t="shared" si="22"/>
        <v>0.15 pts.</v>
      </c>
      <c r="AN54" s="462" t="str">
        <f t="shared" si="23"/>
        <v>0.17 pts.</v>
      </c>
      <c r="AO54" s="11"/>
    </row>
    <row r="55" spans="1:41" x14ac:dyDescent="0.25">
      <c r="A55" s="61" t="s">
        <v>8</v>
      </c>
      <c r="B55" s="62"/>
      <c r="C55" s="11"/>
      <c r="D55" s="11"/>
      <c r="E55" s="11"/>
      <c r="F55" s="11"/>
      <c r="G55" s="11"/>
      <c r="H55" s="84" t="s">
        <v>795</v>
      </c>
      <c r="I55" s="118" t="str">
        <f>IF(_epmOfflineCondition_,"T4",_xll.EVPRO($B$1,$H55,"STYLE"))</f>
        <v>T4</v>
      </c>
      <c r="J55" s="118" t="str">
        <f>IF(_epmOfflineCondition_,"Y",_xll.EVPRO($B$1,$H55,"CALC"))</f>
        <v>Y</v>
      </c>
      <c r="K55" s="175" t="str">
        <f t="shared" si="12"/>
        <v>&gt;</v>
      </c>
      <c r="L55" s="86" t="str">
        <f>IF(_epmOfflineCondition_,"",_xll.EVPRO($B$1,H55,"JDEID"))</f>
        <v/>
      </c>
      <c r="M55" s="86" t="str">
        <f>IF(_epmOfflineCondition_,"",IF(AND(I55="N",J55="N"),_xll.EVPRO($B$1,H55,"PSFTID"),""))</f>
        <v/>
      </c>
      <c r="N55" s="86" t="str">
        <f>IF(_epmOfflineCondition_,"Travel - Other",IF(_xll.EVDES(H55,$B$1)="#NODATA","",_xll.EVDES(H55,$B$1)))</f>
        <v>Travel - Other</v>
      </c>
      <c r="O55" s="134">
        <v>334.8</v>
      </c>
      <c r="P55" s="134">
        <v>210.13</v>
      </c>
      <c r="Q55" s="134">
        <v>2066.88</v>
      </c>
      <c r="R55" s="134">
        <v>2369.4299999999998</v>
      </c>
      <c r="S55" s="134">
        <v>3369.61</v>
      </c>
      <c r="T55" s="134">
        <v>485.75</v>
      </c>
      <c r="U55" s="134">
        <v>363.04</v>
      </c>
      <c r="V55" s="134">
        <v>246.74</v>
      </c>
      <c r="W55" s="134">
        <v>1524.88</v>
      </c>
      <c r="X55" s="134">
        <v>3466.9</v>
      </c>
      <c r="Y55" s="134">
        <v>3108.63</v>
      </c>
      <c r="Z55" s="134">
        <v>2604.86</v>
      </c>
      <c r="AA55" s="240">
        <f t="shared" si="13"/>
        <v>20151.650000000001</v>
      </c>
      <c r="AB55" s="138">
        <f t="shared" si="14"/>
        <v>2.4030138906166883E-3</v>
      </c>
      <c r="AC55" s="136"/>
      <c r="AD55" s="134">
        <v>23244.959999999999</v>
      </c>
      <c r="AE55" s="138">
        <f t="shared" si="15"/>
        <v>1.7815767387622599E-3</v>
      </c>
      <c r="AF55" s="137">
        <f t="shared" si="16"/>
        <v>-3093.3099999999977</v>
      </c>
      <c r="AG55" s="134">
        <v>26428.78</v>
      </c>
      <c r="AH55" s="138">
        <f t="shared" si="17"/>
        <v>8.1102990955230405E-3</v>
      </c>
      <c r="AI55" s="137">
        <f t="shared" si="18"/>
        <v>-6277.1299999999974</v>
      </c>
      <c r="AJ55" s="458">
        <f t="shared" si="19"/>
        <v>0.41825757575757577</v>
      </c>
      <c r="AK55" s="459">
        <f t="shared" si="20"/>
        <v>0.48246077210460769</v>
      </c>
      <c r="AL55" s="460">
        <f t="shared" si="21"/>
        <v>0.70947840326434186</v>
      </c>
      <c r="AM55" s="461" t="str">
        <f t="shared" si="22"/>
        <v>0.06 pts.</v>
      </c>
      <c r="AN55" s="462" t="str">
        <f t="shared" si="23"/>
        <v>-0.57 pts.</v>
      </c>
      <c r="AO55" s="11"/>
    </row>
    <row r="56" spans="1:41" x14ac:dyDescent="0.25">
      <c r="A56" s="11"/>
      <c r="B56" s="11"/>
      <c r="C56" s="11"/>
      <c r="D56" s="11"/>
      <c r="E56" s="11"/>
      <c r="F56" s="11"/>
      <c r="G56" s="11"/>
      <c r="H56" s="84" t="s">
        <v>796</v>
      </c>
      <c r="I56" s="118" t="str">
        <f>IF(_epmOfflineCondition_,"T4",_xll.EVPRO($B$1,$H56,"STYLE"))</f>
        <v>T4</v>
      </c>
      <c r="J56" s="118" t="str">
        <f>IF(_epmOfflineCondition_,"Y",_xll.EVPRO($B$1,$H56,"CALC"))</f>
        <v>Y</v>
      </c>
      <c r="K56" s="175" t="str">
        <f t="shared" si="12"/>
        <v>&gt;</v>
      </c>
      <c r="L56" s="86" t="str">
        <f>IF(_epmOfflineCondition_,"702900",_xll.EVPRO($B$1,H56,"JDEID"))</f>
        <v>702900</v>
      </c>
      <c r="M56" s="86" t="str">
        <f>IF(_epmOfflineCondition_,"",IF(AND(I56="N",J56="N"),_xll.EVPRO($B$1,H56,"PSFTID"),""))</f>
        <v/>
      </c>
      <c r="N56" s="86" t="str">
        <f>IF(_epmOfflineCondition_,"Travel - Meals &amp; Entertainment",IF(_xll.EVDES(H56,$B$1)="#NODATA","",_xll.EVDES(H56,$B$1)))</f>
        <v>Travel - Meals &amp; Entertainment</v>
      </c>
      <c r="O56" s="134">
        <v>334.3</v>
      </c>
      <c r="P56" s="134">
        <v>961.92</v>
      </c>
      <c r="Q56" s="134">
        <v>447.18</v>
      </c>
      <c r="R56" s="134">
        <v>1305.1300000000001</v>
      </c>
      <c r="S56" s="134">
        <v>1244.31</v>
      </c>
      <c r="T56" s="134">
        <v>426.02</v>
      </c>
      <c r="U56" s="134">
        <v>657.39</v>
      </c>
      <c r="V56" s="134">
        <v>533.4</v>
      </c>
      <c r="W56" s="134">
        <v>179.85</v>
      </c>
      <c r="X56" s="134">
        <v>1219.33</v>
      </c>
      <c r="Y56" s="134">
        <v>1268.3499999999999</v>
      </c>
      <c r="Z56" s="134">
        <v>844.29</v>
      </c>
      <c r="AA56" s="240">
        <f t="shared" si="13"/>
        <v>9421.4700000000012</v>
      </c>
      <c r="AB56" s="138">
        <f t="shared" si="14"/>
        <v>1.1234773966413872E-3</v>
      </c>
      <c r="AC56" s="136"/>
      <c r="AD56" s="134">
        <v>8420.0400000000009</v>
      </c>
      <c r="AE56" s="138">
        <f t="shared" si="15"/>
        <v>6.4534193233491393E-4</v>
      </c>
      <c r="AF56" s="137">
        <f t="shared" si="16"/>
        <v>1001.4300000000003</v>
      </c>
      <c r="AG56" s="134">
        <v>9983.2099999999991</v>
      </c>
      <c r="AH56" s="138">
        <f t="shared" si="17"/>
        <v>3.0635851913488467E-3</v>
      </c>
      <c r="AI56" s="137">
        <f t="shared" si="18"/>
        <v>-561.73999999999796</v>
      </c>
      <c r="AJ56" s="458">
        <f t="shared" si="19"/>
        <v>0.19554732254047325</v>
      </c>
      <c r="AK56" s="459">
        <f t="shared" si="20"/>
        <v>0.17476214196762144</v>
      </c>
      <c r="AL56" s="460">
        <f t="shared" si="21"/>
        <v>0.2679984429948189</v>
      </c>
      <c r="AM56" s="461" t="str">
        <f t="shared" si="22"/>
        <v>0.05 pts.</v>
      </c>
      <c r="AN56" s="462" t="str">
        <f t="shared" si="23"/>
        <v>-0.19 pts.</v>
      </c>
      <c r="AO56" s="11"/>
    </row>
    <row r="57" spans="1:41" x14ac:dyDescent="0.25">
      <c r="A57" s="11"/>
      <c r="B57" s="11"/>
      <c r="C57" s="11"/>
      <c r="D57" s="11"/>
      <c r="E57" s="11"/>
      <c r="F57" s="11"/>
      <c r="G57" s="11"/>
      <c r="H57" s="84" t="s">
        <v>797</v>
      </c>
      <c r="I57" s="118" t="str">
        <f>IF(_epmOfflineCondition_,"T4",_xll.EVPRO($B$1,$H57,"STYLE"))</f>
        <v>T4</v>
      </c>
      <c r="J57" s="118" t="str">
        <f>IF(_epmOfflineCondition_,"Y",_xll.EVPRO($B$1,$H57,"CALC"))</f>
        <v>Y</v>
      </c>
      <c r="K57" s="175" t="str">
        <f t="shared" si="12"/>
        <v>&gt;</v>
      </c>
      <c r="L57" s="86" t="str">
        <f>IF(_epmOfflineCondition_,"703000",_xll.EVPRO($B$1,H57,"JDEID"))</f>
        <v>703000</v>
      </c>
      <c r="M57" s="86" t="str">
        <f>IF(_epmOfflineCondition_,"",IF(AND(I57="N",J57="N"),_xll.EVPRO($B$1,H57,"PSFTID"),""))</f>
        <v/>
      </c>
      <c r="N57" s="86" t="str">
        <f>IF(_epmOfflineCondition_,"Complimentary Services &amp; Gifts",IF(_xll.EVDES(H57,$B$1)="#NODATA","",_xll.EVDES(H57,$B$1)))</f>
        <v>Complimentary Services &amp; Gifts</v>
      </c>
      <c r="O57" s="134">
        <v>398.55</v>
      </c>
      <c r="P57" s="134">
        <v>2025</v>
      </c>
      <c r="Q57" s="134">
        <v>1041.45</v>
      </c>
      <c r="R57" s="134">
        <v>729.44</v>
      </c>
      <c r="S57" s="134">
        <v>1480.03</v>
      </c>
      <c r="T57" s="134">
        <v>4051.14</v>
      </c>
      <c r="U57" s="134">
        <v>-1161.53</v>
      </c>
      <c r="V57" s="134">
        <v>144</v>
      </c>
      <c r="W57" s="134">
        <v>550.5</v>
      </c>
      <c r="X57" s="134">
        <v>500.44</v>
      </c>
      <c r="Y57" s="134">
        <v>210</v>
      </c>
      <c r="Z57" s="134"/>
      <c r="AA57" s="240">
        <f t="shared" si="13"/>
        <v>9969.02</v>
      </c>
      <c r="AB57" s="138">
        <f t="shared" si="14"/>
        <v>1.1887708220337083E-3</v>
      </c>
      <c r="AC57" s="136"/>
      <c r="AD57" s="134">
        <v>10800</v>
      </c>
      <c r="AE57" s="138">
        <f t="shared" si="15"/>
        <v>8.2775056522499542E-4</v>
      </c>
      <c r="AF57" s="137">
        <f t="shared" si="16"/>
        <v>-830.97999999999956</v>
      </c>
      <c r="AG57" s="134">
        <v>12618.54</v>
      </c>
      <c r="AH57" s="138">
        <f t="shared" si="17"/>
        <v>3.8722988177593257E-3</v>
      </c>
      <c r="AI57" s="137">
        <f t="shared" si="18"/>
        <v>-2649.5200000000004</v>
      </c>
      <c r="AJ57" s="458">
        <f t="shared" si="19"/>
        <v>0.20691199667911997</v>
      </c>
      <c r="AK57" s="459">
        <f t="shared" si="20"/>
        <v>0.22415940224159403</v>
      </c>
      <c r="AL57" s="460">
        <f t="shared" si="21"/>
        <v>0.33874365788837885</v>
      </c>
      <c r="AM57" s="461" t="str">
        <f t="shared" si="22"/>
        <v>0.04 pts.</v>
      </c>
      <c r="AN57" s="462" t="str">
        <f t="shared" si="23"/>
        <v>-0.27 pts.</v>
      </c>
      <c r="AO57" s="11"/>
    </row>
    <row r="58" spans="1:41" x14ac:dyDescent="0.25">
      <c r="A58" s="57" t="s">
        <v>23</v>
      </c>
      <c r="B58" s="58" t="s">
        <v>24</v>
      </c>
      <c r="C58" s="11"/>
      <c r="D58" s="11"/>
      <c r="E58" s="11"/>
      <c r="F58" s="11"/>
      <c r="G58" s="11"/>
      <c r="H58" s="84" t="s">
        <v>798</v>
      </c>
      <c r="I58" s="118" t="str">
        <f>IF(_epmOfflineCondition_,"N",_xll.EVPRO($B$1,$H58,"STYLE"))</f>
        <v>N</v>
      </c>
      <c r="J58" s="118" t="str">
        <f>IF(_epmOfflineCondition_,"N",_xll.EVPRO($B$1,$H58,"CALC"))</f>
        <v>N</v>
      </c>
      <c r="K58" s="175" t="str">
        <f t="shared" si="12"/>
        <v/>
      </c>
      <c r="L58" s="86" t="str">
        <f>IF(_epmOfflineCondition_,"703100",_xll.EVPRO($B$1,H58,"JDEID"))</f>
        <v>703100</v>
      </c>
      <c r="M58" s="86" t="str">
        <f>IF(_epmOfflineCondition_,"690035",IF(AND(I58="N",J58="N"),_xll.EVPRO($B$1,H58,"PSFTID"),""))</f>
        <v>690035</v>
      </c>
      <c r="N58" s="86" t="str">
        <f>IF(_epmOfflineCondition_,"Training",IF(_xll.EVDES(H58,$B$1)="#NODATA","",_xll.EVDES(H58,$B$1)))</f>
        <v>Training</v>
      </c>
      <c r="O58" s="134"/>
      <c r="P58" s="134">
        <v>23.77</v>
      </c>
      <c r="Q58" s="134">
        <v>15.27</v>
      </c>
      <c r="R58" s="134"/>
      <c r="S58" s="134"/>
      <c r="T58" s="134"/>
      <c r="U58" s="134"/>
      <c r="V58" s="134">
        <v>68.459999999999994</v>
      </c>
      <c r="W58" s="134">
        <v>897</v>
      </c>
      <c r="X58" s="134">
        <v>68.459999999999994</v>
      </c>
      <c r="Y58" s="134">
        <v>2000</v>
      </c>
      <c r="Z58" s="134">
        <v>1501.89</v>
      </c>
      <c r="AA58" s="240">
        <f t="shared" si="13"/>
        <v>4574.8500000000004</v>
      </c>
      <c r="AB58" s="138">
        <f t="shared" si="14"/>
        <v>5.4553488659676787E-4</v>
      </c>
      <c r="AC58" s="136"/>
      <c r="AD58" s="134">
        <v>3857</v>
      </c>
      <c r="AE58" s="138">
        <f t="shared" si="15"/>
        <v>2.9561425278451921E-4</v>
      </c>
      <c r="AF58" s="137">
        <f t="shared" si="16"/>
        <v>717.85000000000036</v>
      </c>
      <c r="AG58" s="134">
        <v>4465.93</v>
      </c>
      <c r="AH58" s="138">
        <f t="shared" si="17"/>
        <v>1.3704767317927356E-3</v>
      </c>
      <c r="AI58" s="137">
        <f t="shared" si="18"/>
        <v>108.92000000000007</v>
      </c>
      <c r="AJ58" s="458">
        <f t="shared" si="19"/>
        <v>9.4953300124533013E-2</v>
      </c>
      <c r="AK58" s="459">
        <f t="shared" si="20"/>
        <v>8.005396430053964E-2</v>
      </c>
      <c r="AL58" s="460">
        <f t="shared" si="21"/>
        <v>0.11988751979812623</v>
      </c>
      <c r="AM58" s="461" t="str">
        <f t="shared" si="22"/>
        <v>0.02 pts.</v>
      </c>
      <c r="AN58" s="462" t="str">
        <f t="shared" si="23"/>
        <v>-0.08 pts.</v>
      </c>
      <c r="AO58" s="11"/>
    </row>
    <row r="59" spans="1:41" x14ac:dyDescent="0.25">
      <c r="A59" s="61" t="s">
        <v>25</v>
      </c>
      <c r="B59" s="62"/>
      <c r="C59" s="11"/>
      <c r="D59" s="11"/>
      <c r="E59" s="11"/>
      <c r="F59" s="11"/>
      <c r="G59" s="11"/>
      <c r="H59" s="84" t="s">
        <v>800</v>
      </c>
      <c r="I59" s="118" t="str">
        <f>IF(_epmOfflineCondition_,"N",_xll.EVPRO($B$1,$H59,"STYLE"))</f>
        <v>N</v>
      </c>
      <c r="J59" s="118" t="str">
        <f>IF(_epmOfflineCondition_,"N",_xll.EVPRO($B$1,$H59,"CALC"))</f>
        <v>N</v>
      </c>
      <c r="K59" s="175" t="str">
        <f t="shared" si="12"/>
        <v/>
      </c>
      <c r="L59" s="86" t="str">
        <f>IF(_epmOfflineCondition_,"703300",_xll.EVPRO($B$1,H59,"JDEID"))</f>
        <v>703300</v>
      </c>
      <c r="M59" s="86" t="str">
        <f>IF(_epmOfflineCondition_,"590115",IF(AND(I59="N",J59="N"),_xll.EVPRO($B$1,H59,"PSFTID"),""))</f>
        <v>590115</v>
      </c>
      <c r="N59" s="86" t="str">
        <f>IF(_epmOfflineCondition_,"Uniforms Laundry",IF(_xll.EVDES(H59,$B$1)="#NODATA","",_xll.EVDES(H59,$B$1)))</f>
        <v>Uniforms Laundry</v>
      </c>
      <c r="O59" s="134"/>
      <c r="P59" s="134"/>
      <c r="Q59" s="134"/>
      <c r="R59" s="134">
        <v>110.78</v>
      </c>
      <c r="S59" s="134">
        <v>73.87</v>
      </c>
      <c r="T59" s="134">
        <v>82.95</v>
      </c>
      <c r="U59" s="134">
        <v>56.21</v>
      </c>
      <c r="V59" s="134">
        <v>33</v>
      </c>
      <c r="W59" s="134">
        <v>16.5</v>
      </c>
      <c r="X59" s="134">
        <v>26.4</v>
      </c>
      <c r="Y59" s="134">
        <v>42.9</v>
      </c>
      <c r="Z59" s="134">
        <v>23.1</v>
      </c>
      <c r="AA59" s="240">
        <f t="shared" si="13"/>
        <v>465.71</v>
      </c>
      <c r="AB59" s="138">
        <f t="shared" si="14"/>
        <v>5.5534291187029242E-5</v>
      </c>
      <c r="AC59" s="136"/>
      <c r="AD59" s="134"/>
      <c r="AE59" s="138" t="str">
        <f t="shared" si="15"/>
        <v/>
      </c>
      <c r="AF59" s="137">
        <f t="shared" si="16"/>
        <v>465.71</v>
      </c>
      <c r="AG59" s="134">
        <v>20.98</v>
      </c>
      <c r="AH59" s="138">
        <f t="shared" si="17"/>
        <v>6.4382114885391379E-6</v>
      </c>
      <c r="AI59" s="137">
        <f t="shared" si="18"/>
        <v>444.72999999999996</v>
      </c>
      <c r="AJ59" s="458">
        <f t="shared" si="19"/>
        <v>9.6660440016604395E-3</v>
      </c>
      <c r="AK59" s="459">
        <f t="shared" si="20"/>
        <v>0</v>
      </c>
      <c r="AL59" s="460">
        <f t="shared" si="21"/>
        <v>5.6320635687632549E-4</v>
      </c>
      <c r="AM59" s="461">
        <f t="shared" si="22"/>
        <v>0</v>
      </c>
      <c r="AN59" s="462" t="str">
        <f t="shared" si="23"/>
        <v>0 pts.</v>
      </c>
      <c r="AO59" s="11"/>
    </row>
    <row r="60" spans="1:41" x14ac:dyDescent="0.25">
      <c r="A60" s="61" t="s">
        <v>26</v>
      </c>
      <c r="B60" s="62"/>
      <c r="C60" s="11"/>
      <c r="D60" s="11"/>
      <c r="E60" s="11"/>
      <c r="F60" s="11"/>
      <c r="G60" s="11"/>
      <c r="H60" s="84" t="s">
        <v>843</v>
      </c>
      <c r="I60" s="118" t="str">
        <f>IF(_epmOfflineCondition_,"T4",_xll.EVPRO($B$1,$H60,"STYLE"))</f>
        <v>T4</v>
      </c>
      <c r="J60" s="118" t="str">
        <f>IF(_epmOfflineCondition_,"Y",_xll.EVPRO($B$1,$H60,"CALC"))</f>
        <v>Y</v>
      </c>
      <c r="K60" s="175" t="str">
        <f t="shared" si="12"/>
        <v>&gt;</v>
      </c>
      <c r="L60" s="86" t="str">
        <f>IF(_epmOfflineCondition_,"706100",_xll.EVPRO($B$1,H60,"JDEID"))</f>
        <v>706100</v>
      </c>
      <c r="M60" s="86" t="str">
        <f>IF(_epmOfflineCondition_,"",IF(AND(I60="N",J60="N"),_xll.EVPRO($B$1,H60,"PSFTID"),""))</f>
        <v/>
      </c>
      <c r="N60" s="86" t="str">
        <f>IF(_epmOfflineCondition_,"Miscellaneous",IF(_xll.EVDES(H60,$B$1)="#NODATA","",_xll.EVDES(H60,$B$1)))</f>
        <v>Miscellaneous</v>
      </c>
      <c r="O60" s="134"/>
      <c r="P60" s="134"/>
      <c r="Q60" s="134"/>
      <c r="R60" s="134"/>
      <c r="S60" s="134"/>
      <c r="T60" s="134"/>
      <c r="U60" s="134"/>
      <c r="V60" s="134"/>
      <c r="W60" s="134"/>
      <c r="X60" s="134"/>
      <c r="Y60" s="134"/>
      <c r="Z60" s="134"/>
      <c r="AA60" s="240">
        <f t="shared" si="13"/>
        <v>0</v>
      </c>
      <c r="AB60" s="138" t="str">
        <f t="shared" si="14"/>
        <v/>
      </c>
      <c r="AC60" s="136"/>
      <c r="AD60" s="134"/>
      <c r="AE60" s="138" t="str">
        <f t="shared" si="15"/>
        <v/>
      </c>
      <c r="AF60" s="137">
        <f t="shared" si="16"/>
        <v>0</v>
      </c>
      <c r="AG60" s="134">
        <v>-0.62</v>
      </c>
      <c r="AH60" s="138">
        <f t="shared" si="17"/>
        <v>-1.9026173131049882E-7</v>
      </c>
      <c r="AI60" s="137">
        <f t="shared" si="18"/>
        <v>0.62</v>
      </c>
      <c r="AJ60" s="458">
        <f t="shared" si="19"/>
        <v>0</v>
      </c>
      <c r="AK60" s="459">
        <f t="shared" si="20"/>
        <v>0</v>
      </c>
      <c r="AL60" s="460">
        <f t="shared" si="21"/>
        <v>-1.6643848487288933E-5</v>
      </c>
      <c r="AM60" s="461">
        <f t="shared" si="22"/>
        <v>0</v>
      </c>
      <c r="AN60" s="462">
        <f t="shared" si="23"/>
        <v>0</v>
      </c>
      <c r="AO60" s="11"/>
    </row>
    <row r="61" spans="1:41" x14ac:dyDescent="0.25">
      <c r="A61" s="61" t="s">
        <v>27</v>
      </c>
      <c r="B61" s="62"/>
      <c r="C61" s="11"/>
      <c r="D61" s="11"/>
      <c r="E61" s="11"/>
      <c r="F61" s="11"/>
      <c r="G61" s="11"/>
      <c r="H61" s="84" t="s">
        <v>809</v>
      </c>
      <c r="I61" s="118" t="str">
        <f>IF(_epmOfflineCondition_,"T4",_xll.EVPRO($B$1,$H61,"STYLE"))</f>
        <v>T4</v>
      </c>
      <c r="J61" s="118" t="str">
        <f>IF(_epmOfflineCondition_,"Y",_xll.EVPRO($B$1,$H61,"CALC"))</f>
        <v>Y</v>
      </c>
      <c r="K61" s="175" t="str">
        <f t="shared" si="12"/>
        <v>&gt;</v>
      </c>
      <c r="L61" s="86" t="str">
        <f>IF(_epmOfflineCondition_,"706500",_xll.EVPRO($B$1,H61,"JDEID"))</f>
        <v>706500</v>
      </c>
      <c r="M61" s="86" t="str">
        <f>IF(_epmOfflineCondition_,"",IF(AND(I61="N",J61="N"),_xll.EVPRO($B$1,H61,"PSFTID"),""))</f>
        <v/>
      </c>
      <c r="N61" s="86" t="str">
        <f>IF(_epmOfflineCondition_,"Corporate Office Reimbursement",IF(_xll.EVDES(H61,$B$1)="#NODATA","",_xll.EVDES(H61,$B$1)))</f>
        <v>Corporate Office Reimbursement</v>
      </c>
      <c r="O61" s="134">
        <v>12849.8</v>
      </c>
      <c r="P61" s="134">
        <v>13868.64</v>
      </c>
      <c r="Q61" s="134">
        <v>15807.82</v>
      </c>
      <c r="R61" s="134">
        <v>12080.71</v>
      </c>
      <c r="S61" s="134">
        <v>9432.5499999999993</v>
      </c>
      <c r="T61" s="134">
        <v>6728.85</v>
      </c>
      <c r="U61" s="134">
        <v>7814.51</v>
      </c>
      <c r="V61" s="134">
        <v>7595.49</v>
      </c>
      <c r="W61" s="134">
        <v>5259.51</v>
      </c>
      <c r="X61" s="134">
        <v>7858.4</v>
      </c>
      <c r="Y61" s="134">
        <v>10034</v>
      </c>
      <c r="Z61" s="134">
        <v>17468.61</v>
      </c>
      <c r="AA61" s="240">
        <f t="shared" si="13"/>
        <v>126798.88999999998</v>
      </c>
      <c r="AB61" s="138">
        <f t="shared" si="14"/>
        <v>1.5120324836168623E-2</v>
      </c>
      <c r="AC61" s="136"/>
      <c r="AD61" s="134">
        <v>180734.50599999999</v>
      </c>
      <c r="AE61" s="138">
        <f t="shared" si="15"/>
        <v>1.3852137916403733E-2</v>
      </c>
      <c r="AF61" s="137">
        <f t="shared" si="16"/>
        <v>-53935.616000000009</v>
      </c>
      <c r="AG61" s="134">
        <v>53032.6</v>
      </c>
      <c r="AH61" s="138">
        <f t="shared" si="17"/>
        <v>1.6274313374027675E-2</v>
      </c>
      <c r="AI61" s="137">
        <f t="shared" si="18"/>
        <v>73766.289999999979</v>
      </c>
      <c r="AJ61" s="458">
        <f t="shared" si="19"/>
        <v>2.6317743877127437</v>
      </c>
      <c r="AK61" s="459">
        <f t="shared" si="20"/>
        <v>3.7512350767953508</v>
      </c>
      <c r="AL61" s="460">
        <f t="shared" si="21"/>
        <v>1.4236557407854822</v>
      </c>
      <c r="AM61" s="461" t="str">
        <f t="shared" si="22"/>
        <v>0.13 pts.</v>
      </c>
      <c r="AN61" s="462" t="str">
        <f t="shared" si="23"/>
        <v>-0.12 pts.</v>
      </c>
      <c r="AO61" s="11"/>
    </row>
    <row r="62" spans="1:41" x14ac:dyDescent="0.25">
      <c r="A62" s="61" t="s">
        <v>28</v>
      </c>
      <c r="B62" s="62"/>
      <c r="C62" s="11"/>
      <c r="D62" s="11"/>
      <c r="E62" s="11"/>
      <c r="F62" s="11"/>
      <c r="G62" s="11"/>
      <c r="H62" s="84" t="s">
        <v>905</v>
      </c>
      <c r="I62" s="118" t="str">
        <f>IF(_epmOfflineCondition_,"T4",_xll.EVPRO($B$1,$H62,"STYLE"))</f>
        <v>T4</v>
      </c>
      <c r="J62" s="118" t="str">
        <f>IF(_epmOfflineCondition_,"Y",_xll.EVPRO($B$1,$H62,"CALC"))</f>
        <v>Y</v>
      </c>
      <c r="K62" s="175" t="str">
        <f t="shared" si="12"/>
        <v>&gt;</v>
      </c>
      <c r="L62" s="86" t="str">
        <f>IF(_epmOfflineCondition_,"711100",_xll.EVPRO($B$1,H62,"JDEID"))</f>
        <v>711100</v>
      </c>
      <c r="M62" s="86" t="str">
        <f>IF(_epmOfflineCondition_,"",IF(AND(I62="N",J62="N"),_xll.EVPRO($B$1,H62,"PSFTID"),""))</f>
        <v/>
      </c>
      <c r="N62" s="86" t="str">
        <f>IF(_epmOfflineCondition_,"Promotion",IF(_xll.EVDES(H62,$B$1)="#NODATA","",_xll.EVDES(H62,$B$1)))</f>
        <v>Promotion</v>
      </c>
      <c r="O62" s="134">
        <v>4766.1099999999997</v>
      </c>
      <c r="P62" s="134">
        <v>4882.82</v>
      </c>
      <c r="Q62" s="134">
        <v>5065.1499999999996</v>
      </c>
      <c r="R62" s="134">
        <v>7059.66</v>
      </c>
      <c r="S62" s="134">
        <v>7137.48</v>
      </c>
      <c r="T62" s="134">
        <v>22173.46</v>
      </c>
      <c r="U62" s="134">
        <v>360.8</v>
      </c>
      <c r="V62" s="134">
        <v>1114.1099999999999</v>
      </c>
      <c r="W62" s="134">
        <v>2608.15</v>
      </c>
      <c r="X62" s="134">
        <v>17039.59</v>
      </c>
      <c r="Y62" s="134">
        <v>3302.02</v>
      </c>
      <c r="Z62" s="134">
        <v>10593.93</v>
      </c>
      <c r="AA62" s="240">
        <f t="shared" si="13"/>
        <v>86103.28</v>
      </c>
      <c r="AB62" s="138">
        <f t="shared" si="14"/>
        <v>1.0267515457426964E-2</v>
      </c>
      <c r="AC62" s="136"/>
      <c r="AD62" s="134">
        <v>45890.285246499603</v>
      </c>
      <c r="AE62" s="138">
        <f t="shared" si="15"/>
        <v>3.517195328807992E-3</v>
      </c>
      <c r="AF62" s="137">
        <f t="shared" si="16"/>
        <v>40212.994753500396</v>
      </c>
      <c r="AG62" s="134">
        <v>48847.199999999997</v>
      </c>
      <c r="AH62" s="138">
        <f t="shared" si="17"/>
        <v>1.4989923938177739E-2</v>
      </c>
      <c r="AI62" s="137">
        <f t="shared" si="18"/>
        <v>37256.080000000002</v>
      </c>
      <c r="AJ62" s="458">
        <f t="shared" si="19"/>
        <v>1.7871166459111665</v>
      </c>
      <c r="AK62" s="459">
        <f t="shared" si="20"/>
        <v>0.95247582495848071</v>
      </c>
      <c r="AL62" s="460">
        <f t="shared" si="21"/>
        <v>1.3112990255295158</v>
      </c>
      <c r="AM62" s="461" t="str">
        <f t="shared" si="22"/>
        <v>0.68 pts.</v>
      </c>
      <c r="AN62" s="462" t="str">
        <f t="shared" si="23"/>
        <v>-0.47 pts.</v>
      </c>
      <c r="AO62" s="11"/>
    </row>
    <row r="63" spans="1:41" x14ac:dyDescent="0.25">
      <c r="A63" s="61" t="s">
        <v>29</v>
      </c>
      <c r="B63" s="62"/>
      <c r="C63" s="11"/>
      <c r="D63" s="11"/>
      <c r="E63" s="11"/>
      <c r="F63" s="11"/>
      <c r="G63" s="11"/>
      <c r="H63" s="84" t="s">
        <v>906</v>
      </c>
      <c r="I63" s="118" t="str">
        <f>IF(_epmOfflineCondition_,"N",_xll.EVPRO($B$1,$H63,"STYLE"))</f>
        <v>N</v>
      </c>
      <c r="J63" s="118" t="str">
        <f>IF(_epmOfflineCondition_,"N",_xll.EVPRO($B$1,$H63,"CALC"))</f>
        <v>N</v>
      </c>
      <c r="K63" s="175" t="str">
        <f t="shared" si="12"/>
        <v/>
      </c>
      <c r="L63" s="86" t="str">
        <f>IF(_epmOfflineCondition_,"711200",_xll.EVPRO($B$1,H63,"JDEID"))</f>
        <v>711200</v>
      </c>
      <c r="M63" s="86" t="str">
        <f>IF(_epmOfflineCondition_,"690668",IF(AND(I63="N",J63="N"),_xll.EVPRO($B$1,H63,"PSFTID"),""))</f>
        <v>690668</v>
      </c>
      <c r="N63" s="86" t="str">
        <f>IF(_epmOfflineCondition_,"Fam Trips",IF(_xll.EVDES(H63,$B$1)="#NODATA","",_xll.EVDES(H63,$B$1)))</f>
        <v>Fam Trips</v>
      </c>
      <c r="O63" s="134"/>
      <c r="P63" s="134"/>
      <c r="Q63" s="134"/>
      <c r="R63" s="134"/>
      <c r="S63" s="134">
        <v>1655.45</v>
      </c>
      <c r="T63" s="134">
        <v>5168.2</v>
      </c>
      <c r="U63" s="134">
        <v>-1181.3399999999999</v>
      </c>
      <c r="V63" s="134">
        <v>746.64</v>
      </c>
      <c r="W63" s="134"/>
      <c r="X63" s="134"/>
      <c r="Y63" s="134"/>
      <c r="Z63" s="134"/>
      <c r="AA63" s="240">
        <f t="shared" si="13"/>
        <v>6388.95</v>
      </c>
      <c r="AB63" s="138">
        <f t="shared" si="14"/>
        <v>7.618599765505797E-4</v>
      </c>
      <c r="AC63" s="136"/>
      <c r="AD63" s="134">
        <v>9000</v>
      </c>
      <c r="AE63" s="138">
        <f t="shared" si="15"/>
        <v>6.8979213768749611E-4</v>
      </c>
      <c r="AF63" s="137">
        <f t="shared" si="16"/>
        <v>-2611.0500000000002</v>
      </c>
      <c r="AG63" s="134">
        <v>4372.9399999999996</v>
      </c>
      <c r="AH63" s="138">
        <f t="shared" si="17"/>
        <v>1.3419405408337623E-3</v>
      </c>
      <c r="AI63" s="137">
        <f t="shared" si="18"/>
        <v>2016.0100000000002</v>
      </c>
      <c r="AJ63" s="458">
        <f t="shared" si="19"/>
        <v>0.13260585305105851</v>
      </c>
      <c r="AK63" s="459">
        <f t="shared" si="20"/>
        <v>0.18679950186799502</v>
      </c>
      <c r="AL63" s="460">
        <f t="shared" si="21"/>
        <v>0.11739121097420202</v>
      </c>
      <c r="AM63" s="461" t="str">
        <f t="shared" si="22"/>
        <v>0.01 pts.</v>
      </c>
      <c r="AN63" s="462" t="str">
        <f t="shared" si="23"/>
        <v>-0.06 pts.</v>
      </c>
      <c r="AO63" s="11"/>
    </row>
    <row r="64" spans="1:41" x14ac:dyDescent="0.25">
      <c r="A64" s="61" t="s">
        <v>30</v>
      </c>
      <c r="B64" s="62" t="s">
        <v>78</v>
      </c>
      <c r="C64" s="11"/>
      <c r="D64" s="11"/>
      <c r="E64" s="11"/>
      <c r="F64" s="11"/>
      <c r="G64" s="11"/>
      <c r="H64" s="84" t="s">
        <v>907</v>
      </c>
      <c r="I64" s="118" t="str">
        <f>IF(_epmOfflineCondition_,"N",_xll.EVPRO($B$1,$H64,"STYLE"))</f>
        <v>N</v>
      </c>
      <c r="J64" s="118" t="str">
        <f>IF(_epmOfflineCondition_,"N",_xll.EVPRO($B$1,$H64,"CALC"))</f>
        <v>N</v>
      </c>
      <c r="K64" s="175" t="str">
        <f t="shared" si="12"/>
        <v/>
      </c>
      <c r="L64" s="86" t="str">
        <f>IF(_epmOfflineCondition_,"711300",_xll.EVPRO($B$1,H64,"JDEID"))</f>
        <v>711300</v>
      </c>
      <c r="M64" s="86" t="str">
        <f>IF(_epmOfflineCondition_,"590399",IF(AND(I64="N",J64="N"),_xll.EVPRO($B$1,H64,"PSFTID"),""))</f>
        <v>590399</v>
      </c>
      <c r="N64" s="86" t="str">
        <f>IF(_epmOfflineCondition_,"Outside Sales Representation",IF(_xll.EVDES(H64,$B$1)="#NODATA","",_xll.EVDES(H64,$B$1)))</f>
        <v>Outside Sales Representation</v>
      </c>
      <c r="O64" s="134"/>
      <c r="P64" s="134"/>
      <c r="Q64" s="134"/>
      <c r="R64" s="134"/>
      <c r="S64" s="134"/>
      <c r="T64" s="134"/>
      <c r="U64" s="134"/>
      <c r="V64" s="134"/>
      <c r="W64" s="134"/>
      <c r="X64" s="134"/>
      <c r="Y64" s="134">
        <v>22.57</v>
      </c>
      <c r="Z64" s="134"/>
      <c r="AA64" s="240">
        <f t="shared" si="13"/>
        <v>22.57</v>
      </c>
      <c r="AB64" s="138">
        <f t="shared" si="14"/>
        <v>2.691393682959889E-6</v>
      </c>
      <c r="AC64" s="136"/>
      <c r="AD64" s="134"/>
      <c r="AE64" s="138" t="str">
        <f t="shared" si="15"/>
        <v/>
      </c>
      <c r="AF64" s="137">
        <f t="shared" si="16"/>
        <v>22.57</v>
      </c>
      <c r="AG64" s="134"/>
      <c r="AH64" s="138" t="str">
        <f t="shared" si="17"/>
        <v/>
      </c>
      <c r="AI64" s="137">
        <f t="shared" si="18"/>
        <v>22.57</v>
      </c>
      <c r="AJ64" s="458">
        <f t="shared" si="19"/>
        <v>4.6845163968451639E-4</v>
      </c>
      <c r="AK64" s="459">
        <f t="shared" si="20"/>
        <v>0</v>
      </c>
      <c r="AL64" s="460">
        <f t="shared" si="21"/>
        <v>0</v>
      </c>
      <c r="AM64" s="461">
        <f t="shared" si="22"/>
        <v>0</v>
      </c>
      <c r="AN64" s="462">
        <f t="shared" si="23"/>
        <v>0</v>
      </c>
      <c r="AO64" s="11"/>
    </row>
    <row r="65" spans="1:41" x14ac:dyDescent="0.25">
      <c r="A65" s="61" t="s">
        <v>31</v>
      </c>
      <c r="B65" s="62" t="s">
        <v>78</v>
      </c>
      <c r="C65" s="11"/>
      <c r="D65" s="11"/>
      <c r="E65" s="11"/>
      <c r="F65" s="11"/>
      <c r="G65" s="11"/>
      <c r="H65" s="84" t="s">
        <v>908</v>
      </c>
      <c r="I65" s="118" t="str">
        <f>IF(_epmOfflineCondition_,"N",_xll.EVPRO($B$1,$H65,"STYLE"))</f>
        <v>N</v>
      </c>
      <c r="J65" s="118" t="str">
        <f>IF(_epmOfflineCondition_,"N",_xll.EVPRO($B$1,$H65,"CALC"))</f>
        <v>N</v>
      </c>
      <c r="K65" s="175" t="str">
        <f t="shared" si="12"/>
        <v/>
      </c>
      <c r="L65" s="86" t="str">
        <f>IF(_epmOfflineCondition_,"711400",_xll.EVPRO($B$1,H65,"JDEID"))</f>
        <v>711400</v>
      </c>
      <c r="M65" s="86" t="str">
        <f>IF(_epmOfflineCondition_,"690674",IF(AND(I65="N",J65="N"),_xll.EVPRO($B$1,H65,"PSFTID"),""))</f>
        <v>690674</v>
      </c>
      <c r="N65" s="86" t="str">
        <f>IF(_epmOfflineCondition_,"Trade Shows",IF(_xll.EVDES(H65,$B$1)="#NODATA","",_xll.EVDES(H65,$B$1)))</f>
        <v>Trade Shows</v>
      </c>
      <c r="O65" s="134"/>
      <c r="P65" s="134"/>
      <c r="Q65" s="134"/>
      <c r="R65" s="134">
        <v>9600</v>
      </c>
      <c r="S65" s="134">
        <v>1301.24</v>
      </c>
      <c r="T65" s="134"/>
      <c r="U65" s="134"/>
      <c r="V65" s="134">
        <v>35.770000000000003</v>
      </c>
      <c r="W65" s="134">
        <v>2500</v>
      </c>
      <c r="X65" s="134">
        <v>12.41</v>
      </c>
      <c r="Y65" s="134">
        <v>1484.21</v>
      </c>
      <c r="Z65" s="134">
        <v>807.76</v>
      </c>
      <c r="AA65" s="240">
        <f t="shared" si="13"/>
        <v>15741.390000000001</v>
      </c>
      <c r="AB65" s="138">
        <f t="shared" si="14"/>
        <v>1.8771057867526793E-3</v>
      </c>
      <c r="AC65" s="136"/>
      <c r="AD65" s="134">
        <v>5585</v>
      </c>
      <c r="AE65" s="138">
        <f t="shared" si="15"/>
        <v>4.2805434322051844E-4</v>
      </c>
      <c r="AF65" s="137">
        <f t="shared" si="16"/>
        <v>10156.390000000001</v>
      </c>
      <c r="AG65" s="134">
        <v>2818.47</v>
      </c>
      <c r="AH65" s="138">
        <f t="shared" si="17"/>
        <v>8.6491448684951865E-4</v>
      </c>
      <c r="AI65" s="137">
        <f t="shared" si="18"/>
        <v>12922.920000000002</v>
      </c>
      <c r="AJ65" s="458">
        <f t="shared" si="19"/>
        <v>0.32672042341220425</v>
      </c>
      <c r="AK65" s="459">
        <f t="shared" si="20"/>
        <v>0.11591946865919468</v>
      </c>
      <c r="AL65" s="460">
        <f t="shared" si="21"/>
        <v>7.5661592977369727E-2</v>
      </c>
      <c r="AM65" s="461" t="str">
        <f t="shared" si="22"/>
        <v>0.14 pts.</v>
      </c>
      <c r="AN65" s="462" t="str">
        <f t="shared" si="23"/>
        <v>0.1 pts.</v>
      </c>
      <c r="AO65" s="11"/>
    </row>
    <row r="66" spans="1:41" x14ac:dyDescent="0.25">
      <c r="A66" s="61" t="s">
        <v>32</v>
      </c>
      <c r="B66" s="62"/>
      <c r="C66" s="11"/>
      <c r="D66" s="11"/>
      <c r="E66" s="11"/>
      <c r="F66" s="11"/>
      <c r="G66" s="11"/>
      <c r="H66" s="84" t="s">
        <v>909</v>
      </c>
      <c r="I66" s="118" t="str">
        <f>IF(_epmOfflineCondition_,"N",_xll.EVPRO($B$1,$H66,"STYLE"))</f>
        <v>N</v>
      </c>
      <c r="J66" s="118" t="str">
        <f>IF(_epmOfflineCondition_,"Y",_xll.EVPRO($B$1,$H66,"CALC"))</f>
        <v>Y</v>
      </c>
      <c r="K66" s="175" t="str">
        <f t="shared" si="12"/>
        <v/>
      </c>
      <c r="L66" s="86" t="str">
        <f>IF(_epmOfflineCondition_,"712100",_xll.EVPRO($B$1,H66,"JDEID"))</f>
        <v>712100</v>
      </c>
      <c r="M66" s="86" t="str">
        <f>IF(_epmOfflineCondition_,"",IF(AND(I66="N",J66="N"),_xll.EVPRO($B$1,H66,"PSFTID"),""))</f>
        <v/>
      </c>
      <c r="N66" s="86" t="str">
        <f>IF(_epmOfflineCondition_,"Collateral Materials",IF(_xll.EVDES(H66,$B$1)="#NODATA","",_xll.EVDES(H66,$B$1)))</f>
        <v>Collateral Materials</v>
      </c>
      <c r="O66" s="134"/>
      <c r="P66" s="134"/>
      <c r="Q66" s="134">
        <v>164.78</v>
      </c>
      <c r="R66" s="134">
        <v>39.33</v>
      </c>
      <c r="S66" s="134">
        <v>909.35</v>
      </c>
      <c r="T66" s="134"/>
      <c r="U66" s="134"/>
      <c r="V66" s="134"/>
      <c r="W66" s="134"/>
      <c r="X66" s="134"/>
      <c r="Y66" s="134"/>
      <c r="Z66" s="134"/>
      <c r="AA66" s="240">
        <f t="shared" si="13"/>
        <v>1113.46</v>
      </c>
      <c r="AB66" s="138">
        <f t="shared" si="14"/>
        <v>1.3277621666940711E-4</v>
      </c>
      <c r="AC66" s="136"/>
      <c r="AD66" s="134">
        <v>3600</v>
      </c>
      <c r="AE66" s="138">
        <f t="shared" si="15"/>
        <v>2.7591685507499846E-4</v>
      </c>
      <c r="AF66" s="137">
        <f t="shared" si="16"/>
        <v>-2486.54</v>
      </c>
      <c r="AG66" s="134">
        <v>181.9</v>
      </c>
      <c r="AH66" s="138">
        <f t="shared" si="17"/>
        <v>5.5820336976418934E-5</v>
      </c>
      <c r="AI66" s="137">
        <f t="shared" si="18"/>
        <v>931.56000000000006</v>
      </c>
      <c r="AJ66" s="458">
        <f t="shared" si="19"/>
        <v>2.3110419261104194E-2</v>
      </c>
      <c r="AK66" s="459">
        <f t="shared" si="20"/>
        <v>7.4719800747198001E-2</v>
      </c>
      <c r="AL66" s="460">
        <f t="shared" si="21"/>
        <v>4.8830903868352527E-3</v>
      </c>
      <c r="AM66" s="461" t="str">
        <f t="shared" si="22"/>
        <v>-0.01 pts.</v>
      </c>
      <c r="AN66" s="462" t="str">
        <f t="shared" si="23"/>
        <v>0.01 pts.</v>
      </c>
      <c r="AO66" s="11"/>
    </row>
    <row r="67" spans="1:41" x14ac:dyDescent="0.25">
      <c r="A67" s="61" t="s">
        <v>33</v>
      </c>
      <c r="B67" s="62"/>
      <c r="C67" s="11"/>
      <c r="D67" s="11"/>
      <c r="E67" s="11"/>
      <c r="F67" s="11"/>
      <c r="G67" s="11"/>
      <c r="H67" s="84" t="s">
        <v>910</v>
      </c>
      <c r="I67" s="118" t="str">
        <f>IF(_epmOfflineCondition_,"N",_xll.EVPRO($B$1,$H67,"STYLE"))</f>
        <v>N</v>
      </c>
      <c r="J67" s="118" t="str">
        <f>IF(_epmOfflineCondition_,"N",_xll.EVPRO($B$1,$H67,"CALC"))</f>
        <v>N</v>
      </c>
      <c r="K67" s="175" t="str">
        <f t="shared" si="12"/>
        <v/>
      </c>
      <c r="L67" s="86" t="str">
        <f>IF(_epmOfflineCondition_,"712400",_xll.EVPRO($B$1,H67,"JDEID"))</f>
        <v>712400</v>
      </c>
      <c r="M67" s="86" t="str">
        <f>IF(_epmOfflineCondition_,"690655",IF(AND(I67="N",J67="N"),_xll.EVPRO($B$1,H67,"PSFTID"),""))</f>
        <v>690655</v>
      </c>
      <c r="N67" s="86" t="str">
        <f>IF(_epmOfflineCondition_,"Website",IF(_xll.EVDES(H67,$B$1)="#NODATA","",_xll.EVDES(H67,$B$1)))</f>
        <v>Website</v>
      </c>
      <c r="O67" s="134">
        <v>4456.33</v>
      </c>
      <c r="P67" s="134">
        <v>2408.33</v>
      </c>
      <c r="Q67" s="134">
        <v>2888.33</v>
      </c>
      <c r="R67" s="134">
        <v>2413.33</v>
      </c>
      <c r="S67" s="134">
        <v>2408.33</v>
      </c>
      <c r="T67" s="134">
        <v>2008.33</v>
      </c>
      <c r="U67" s="134">
        <v>3292.33</v>
      </c>
      <c r="V67" s="134">
        <v>3588.81</v>
      </c>
      <c r="W67" s="134">
        <v>2258.33</v>
      </c>
      <c r="X67" s="134">
        <v>3407.42</v>
      </c>
      <c r="Y67" s="134">
        <v>2445.83</v>
      </c>
      <c r="Z67" s="134">
        <v>3570.86</v>
      </c>
      <c r="AA67" s="240">
        <f t="shared" si="13"/>
        <v>35146.559999999998</v>
      </c>
      <c r="AB67" s="138">
        <f t="shared" si="14"/>
        <v>4.1911045441635235E-3</v>
      </c>
      <c r="AC67" s="136"/>
      <c r="AD67" s="134">
        <v>36018</v>
      </c>
      <c r="AE67" s="138">
        <f t="shared" si="15"/>
        <v>2.7605481350253596E-3</v>
      </c>
      <c r="AF67" s="137">
        <f t="shared" si="16"/>
        <v>-871.44000000000233</v>
      </c>
      <c r="AG67" s="134">
        <v>33421.4</v>
      </c>
      <c r="AH67" s="138">
        <f t="shared" si="17"/>
        <v>1.0256150688420493E-2</v>
      </c>
      <c r="AI67" s="137">
        <f t="shared" si="18"/>
        <v>1725.1599999999962</v>
      </c>
      <c r="AJ67" s="458">
        <f t="shared" si="19"/>
        <v>0.72948443337484425</v>
      </c>
      <c r="AK67" s="459">
        <f t="shared" si="20"/>
        <v>0.74757160647571608</v>
      </c>
      <c r="AL67" s="460">
        <f t="shared" si="21"/>
        <v>0.89719470618238439</v>
      </c>
      <c r="AM67" s="461" t="str">
        <f t="shared" si="22"/>
        <v>0.14 pts.</v>
      </c>
      <c r="AN67" s="462" t="str">
        <f t="shared" si="23"/>
        <v>-0.61 pts.</v>
      </c>
      <c r="AO67" s="11"/>
    </row>
    <row r="68" spans="1:41" x14ac:dyDescent="0.25">
      <c r="A68" s="61" t="s">
        <v>34</v>
      </c>
      <c r="B68" s="62"/>
      <c r="C68" s="11"/>
      <c r="D68" s="11"/>
      <c r="E68" s="11"/>
      <c r="F68" s="11"/>
      <c r="G68" s="11"/>
      <c r="H68" s="84" t="s">
        <v>911</v>
      </c>
      <c r="I68" s="118" t="str">
        <f>IF(_epmOfflineCondition_,"T5",_xll.EVPRO($B$1,$H68,"STYLE"))</f>
        <v>T5</v>
      </c>
      <c r="J68" s="118" t="str">
        <f>IF(_epmOfflineCondition_,"Y",_xll.EVPRO($B$1,$H68,"CALC"))</f>
        <v>Y</v>
      </c>
      <c r="K68" s="175" t="str">
        <f t="shared" si="12"/>
        <v>&gt;</v>
      </c>
      <c r="L68" s="86" t="str">
        <f>IF(_epmOfflineCondition_,"712600",_xll.EVPRO($B$1,H68,"JDEID"))</f>
        <v>712600</v>
      </c>
      <c r="M68" s="86" t="str">
        <f>IF(_epmOfflineCondition_,"",IF(AND(I68="N",J68="N"),_xll.EVPRO($B$1,H68,"PSFTID"),""))</f>
        <v/>
      </c>
      <c r="N68" s="86" t="str">
        <f>IF(_epmOfflineCondition_,"Media",IF(_xll.EVDES(H68,$B$1)="#NODATA","",_xll.EVDES(H68,$B$1)))</f>
        <v>Media</v>
      </c>
      <c r="O68" s="134">
        <v>4020.96</v>
      </c>
      <c r="P68" s="134">
        <v>7473.05</v>
      </c>
      <c r="Q68" s="134">
        <v>25376.66</v>
      </c>
      <c r="R68" s="134">
        <v>5818.37</v>
      </c>
      <c r="S68" s="134">
        <v>2866.84</v>
      </c>
      <c r="T68" s="134">
        <v>14819.99</v>
      </c>
      <c r="U68" s="134">
        <v>12803.43</v>
      </c>
      <c r="V68" s="134">
        <v>6445.16</v>
      </c>
      <c r="W68" s="134">
        <v>14701.45</v>
      </c>
      <c r="X68" s="134">
        <v>4856.92</v>
      </c>
      <c r="Y68" s="134">
        <v>16915.89</v>
      </c>
      <c r="Z68" s="134">
        <v>9600.83</v>
      </c>
      <c r="AA68" s="240">
        <f t="shared" si="13"/>
        <v>125699.55</v>
      </c>
      <c r="AB68" s="138">
        <f t="shared" si="14"/>
        <v>1.4989232380190551E-2</v>
      </c>
      <c r="AC68" s="136"/>
      <c r="AD68" s="134">
        <v>89440</v>
      </c>
      <c r="AE68" s="138">
        <f t="shared" si="15"/>
        <v>6.8550009771966283E-3</v>
      </c>
      <c r="AF68" s="137">
        <f t="shared" si="16"/>
        <v>36259.550000000003</v>
      </c>
      <c r="AG68" s="134">
        <v>39876.300000000003</v>
      </c>
      <c r="AH68" s="138">
        <f t="shared" si="17"/>
        <v>1.2236990122994911E-2</v>
      </c>
      <c r="AI68" s="137">
        <f t="shared" si="18"/>
        <v>85823.25</v>
      </c>
      <c r="AJ68" s="458">
        <f t="shared" si="19"/>
        <v>2.6089570361145706</v>
      </c>
      <c r="AK68" s="459">
        <f t="shared" si="20"/>
        <v>1.8563719385637194</v>
      </c>
      <c r="AL68" s="460">
        <f t="shared" si="21"/>
        <v>1.0704759603769027</v>
      </c>
      <c r="AM68" s="461" t="str">
        <f t="shared" si="22"/>
        <v>0.81 pts.</v>
      </c>
      <c r="AN68" s="462" t="str">
        <f t="shared" si="23"/>
        <v>0.28 pts.</v>
      </c>
      <c r="AO68" s="11"/>
    </row>
    <row r="69" spans="1:41" x14ac:dyDescent="0.25">
      <c r="A69" s="61" t="s">
        <v>35</v>
      </c>
      <c r="B69" s="62"/>
      <c r="C69" s="11"/>
      <c r="D69" s="11"/>
      <c r="E69" s="11"/>
      <c r="F69" s="11"/>
      <c r="G69" s="11"/>
      <c r="H69" s="84" t="s">
        <v>912</v>
      </c>
      <c r="I69" s="118" t="str">
        <f>IF(_epmOfflineCondition_,"N",_xll.EVPRO($B$1,$H69,"STYLE"))</f>
        <v>N</v>
      </c>
      <c r="J69" s="118" t="str">
        <f>IF(_epmOfflineCondition_,"N",_xll.EVPRO($B$1,$H69,"CALC"))</f>
        <v>N</v>
      </c>
      <c r="K69" s="175" t="str">
        <f t="shared" si="12"/>
        <v/>
      </c>
      <c r="L69" s="86" t="str">
        <f>IF(_epmOfflineCondition_,"712800",_xll.EVPRO($B$1,H69,"JDEID"))</f>
        <v>712800</v>
      </c>
      <c r="M69" s="86" t="str">
        <f>IF(_epmOfflineCondition_,"690953",IF(AND(I69="N",J69="N"),_xll.EVPRO($B$1,H69,"PSFTID"),""))</f>
        <v>690953</v>
      </c>
      <c r="N69" s="86" t="str">
        <f>IF(_epmOfflineCondition_,"Outside Services Market Research",IF(_xll.EVDES(H69,$B$1)="#NODATA","",_xll.EVDES(H69,$B$1)))</f>
        <v>Outside Services Market Research</v>
      </c>
      <c r="O69" s="134">
        <v>1974.78</v>
      </c>
      <c r="P69" s="134">
        <v>815.31</v>
      </c>
      <c r="Q69" s="134">
        <v>777.11</v>
      </c>
      <c r="R69" s="134">
        <v>822.11</v>
      </c>
      <c r="S69" s="134">
        <v>867.11</v>
      </c>
      <c r="T69" s="134">
        <v>1110.19</v>
      </c>
      <c r="U69" s="134">
        <v>574.57000000000005</v>
      </c>
      <c r="V69" s="134">
        <v>961.94</v>
      </c>
      <c r="W69" s="134">
        <v>916.94</v>
      </c>
      <c r="X69" s="134">
        <v>916.94</v>
      </c>
      <c r="Y69" s="134">
        <v>916.94</v>
      </c>
      <c r="Z69" s="134">
        <v>2166.94</v>
      </c>
      <c r="AA69" s="240">
        <f t="shared" si="13"/>
        <v>12820.880000000003</v>
      </c>
      <c r="AB69" s="138">
        <f t="shared" si="14"/>
        <v>1.5288451680100484E-3</v>
      </c>
      <c r="AC69" s="136"/>
      <c r="AD69" s="134">
        <v>15500</v>
      </c>
      <c r="AE69" s="138">
        <f t="shared" si="15"/>
        <v>1.1879753482395767E-3</v>
      </c>
      <c r="AF69" s="137">
        <f t="shared" si="16"/>
        <v>-2679.1199999999972</v>
      </c>
      <c r="AG69" s="134">
        <v>9234.68</v>
      </c>
      <c r="AH69" s="138">
        <f t="shared" si="17"/>
        <v>2.8338809756426409E-3</v>
      </c>
      <c r="AI69" s="137">
        <f t="shared" si="18"/>
        <v>3586.2000000000025</v>
      </c>
      <c r="AJ69" s="458">
        <f t="shared" si="19"/>
        <v>0.26610377750103781</v>
      </c>
      <c r="AK69" s="459">
        <f t="shared" si="20"/>
        <v>0.32171025321710256</v>
      </c>
      <c r="AL69" s="460">
        <f t="shared" si="21"/>
        <v>0.24790421733644735</v>
      </c>
      <c r="AM69" s="461" t="str">
        <f t="shared" si="22"/>
        <v>0.03 pts.</v>
      </c>
      <c r="AN69" s="462" t="str">
        <f t="shared" si="23"/>
        <v>-0.13 pts.</v>
      </c>
      <c r="AO69" s="11"/>
    </row>
    <row r="70" spans="1:41" x14ac:dyDescent="0.25">
      <c r="A70" s="61" t="s">
        <v>36</v>
      </c>
      <c r="B70" s="62"/>
      <c r="C70" s="11"/>
      <c r="D70" s="11"/>
      <c r="E70" s="11"/>
      <c r="F70" s="11"/>
      <c r="G70" s="11"/>
      <c r="H70" s="84" t="s">
        <v>913</v>
      </c>
      <c r="I70" s="118" t="str">
        <f>IF(_epmOfflineCondition_,"N",_xll.EVPRO($B$1,$H70,"STYLE"))</f>
        <v>N</v>
      </c>
      <c r="J70" s="118" t="str">
        <f>IF(_epmOfflineCondition_,"N",_xll.EVPRO($B$1,$H70,"CALC"))</f>
        <v>N</v>
      </c>
      <c r="K70" s="175" t="str">
        <f t="shared" si="12"/>
        <v/>
      </c>
      <c r="L70" s="86" t="str">
        <f>IF(_epmOfflineCondition_,"712900",_xll.EVPRO($B$1,H70,"JDEID"))</f>
        <v>712900</v>
      </c>
      <c r="M70" s="86" t="str">
        <f>IF(_epmOfflineCondition_,"690540",IF(AND(I70="N",J70="N"),_xll.EVPRO($B$1,H70,"PSFTID"),""))</f>
        <v>690540</v>
      </c>
      <c r="N70" s="86" t="str">
        <f>IF(_epmOfflineCondition_,"Photography",IF(_xll.EVDES(H70,$B$1)="#NODATA","",_xll.EVDES(H70,$B$1)))</f>
        <v>Photography</v>
      </c>
      <c r="O70" s="134">
        <v>750</v>
      </c>
      <c r="P70" s="134">
        <v>1300</v>
      </c>
      <c r="Q70" s="134">
        <v>500</v>
      </c>
      <c r="R70" s="134">
        <v>300</v>
      </c>
      <c r="S70" s="134">
        <v>927.7</v>
      </c>
      <c r="T70" s="134">
        <v>1427.7</v>
      </c>
      <c r="U70" s="134">
        <v>150</v>
      </c>
      <c r="V70" s="134"/>
      <c r="W70" s="134"/>
      <c r="X70" s="134"/>
      <c r="Y70" s="134"/>
      <c r="Z70" s="134"/>
      <c r="AA70" s="240">
        <f t="shared" si="13"/>
        <v>5355.4</v>
      </c>
      <c r="AB70" s="138">
        <f t="shared" si="14"/>
        <v>6.3861274832624677E-4</v>
      </c>
      <c r="AC70" s="136"/>
      <c r="AD70" s="134">
        <v>8250.0400000000009</v>
      </c>
      <c r="AE70" s="138">
        <f t="shared" si="15"/>
        <v>6.3231252528970572E-4</v>
      </c>
      <c r="AF70" s="137">
        <f t="shared" si="16"/>
        <v>-2894.6400000000012</v>
      </c>
      <c r="AG70" s="134">
        <v>1971.76</v>
      </c>
      <c r="AH70" s="138">
        <f t="shared" si="17"/>
        <v>6.0508140536901477E-4</v>
      </c>
      <c r="AI70" s="137">
        <f t="shared" si="18"/>
        <v>3383.6399999999994</v>
      </c>
      <c r="AJ70" s="458">
        <f t="shared" si="19"/>
        <v>0.11115400581154004</v>
      </c>
      <c r="AK70" s="459">
        <f t="shared" si="20"/>
        <v>0.17123370693233708</v>
      </c>
      <c r="AL70" s="460">
        <f t="shared" si="21"/>
        <v>5.2931733376285199E-2</v>
      </c>
      <c r="AM70" s="461" t="str">
        <f t="shared" si="22"/>
        <v>0 pts.</v>
      </c>
      <c r="AN70" s="462" t="str">
        <f t="shared" si="23"/>
        <v>0 pts.</v>
      </c>
      <c r="AO70" s="11"/>
    </row>
    <row r="71" spans="1:41" x14ac:dyDescent="0.25">
      <c r="A71" s="61" t="s">
        <v>37</v>
      </c>
      <c r="B71" s="62"/>
      <c r="C71" s="11"/>
      <c r="D71" s="11"/>
      <c r="E71" s="11"/>
      <c r="F71" s="11"/>
      <c r="G71" s="11"/>
      <c r="H71" s="84" t="s">
        <v>914</v>
      </c>
      <c r="I71" s="118" t="str">
        <f>IF(_epmOfflineCondition_,"T5",_xll.EVPRO($B$1,$H71,"STYLE"))</f>
        <v>T5</v>
      </c>
      <c r="J71" s="118" t="str">
        <f>IF(_epmOfflineCondition_,"Y",_xll.EVPRO($B$1,$H71,"CALC"))</f>
        <v>Y</v>
      </c>
      <c r="K71" s="175" t="str">
        <f t="shared" si="12"/>
        <v>&gt;</v>
      </c>
      <c r="L71" s="86" t="str">
        <f>IF(_epmOfflineCondition_,"713000",_xll.EVPRO($B$1,H71,"JDEID"))</f>
        <v>713000</v>
      </c>
      <c r="M71" s="86" t="str">
        <f>IF(_epmOfflineCondition_,"",IF(AND(I71="N",J71="N"),_xll.EVPRO($B$1,H71,"PSFTID"),""))</f>
        <v/>
      </c>
      <c r="N71" s="86" t="str">
        <f>IF(_epmOfflineCondition_,"Loyalty Programs",IF(_xll.EVDES(H71,$B$1)="#NODATA","",_xll.EVDES(H71,$B$1)))</f>
        <v>Loyalty Programs</v>
      </c>
      <c r="O71" s="134">
        <v>5234.92</v>
      </c>
      <c r="P71" s="134">
        <v>6305.2</v>
      </c>
      <c r="Q71" s="134">
        <v>5791.34</v>
      </c>
      <c r="R71" s="134">
        <v>2901.79</v>
      </c>
      <c r="S71" s="134">
        <v>3752.75</v>
      </c>
      <c r="T71" s="134">
        <v>2361.42</v>
      </c>
      <c r="U71" s="134">
        <v>1869.67</v>
      </c>
      <c r="V71" s="134">
        <v>3374.95</v>
      </c>
      <c r="W71" s="134">
        <v>1788.21</v>
      </c>
      <c r="X71" s="134">
        <v>1773.45</v>
      </c>
      <c r="Y71" s="134">
        <v>3780.35</v>
      </c>
      <c r="Z71" s="134">
        <v>7114.98</v>
      </c>
      <c r="AA71" s="240">
        <f t="shared" si="13"/>
        <v>46049.03</v>
      </c>
      <c r="AB71" s="138">
        <f t="shared" si="14"/>
        <v>5.4911860189822961E-3</v>
      </c>
      <c r="AC71" s="136"/>
      <c r="AD71" s="134">
        <v>48798.33</v>
      </c>
      <c r="AE71" s="138">
        <f t="shared" si="15"/>
        <v>3.7400782629199861E-3</v>
      </c>
      <c r="AF71" s="137">
        <f t="shared" si="16"/>
        <v>-2749.3000000000029</v>
      </c>
      <c r="AG71" s="134">
        <v>18688.79</v>
      </c>
      <c r="AH71" s="138">
        <f t="shared" si="17"/>
        <v>5.7350992604811891E-3</v>
      </c>
      <c r="AI71" s="137">
        <f t="shared" si="18"/>
        <v>27360.239999999998</v>
      </c>
      <c r="AJ71" s="458">
        <f t="shared" si="19"/>
        <v>0.95577065172270648</v>
      </c>
      <c r="AK71" s="459">
        <f t="shared" si="20"/>
        <v>1.0128337484433376</v>
      </c>
      <c r="AL71" s="460">
        <f t="shared" si="21"/>
        <v>0.50169901479154921</v>
      </c>
      <c r="AM71" s="461" t="str">
        <f t="shared" si="22"/>
        <v>0.18 pts.</v>
      </c>
      <c r="AN71" s="462" t="str">
        <f t="shared" si="23"/>
        <v>-0.02 pts.</v>
      </c>
      <c r="AO71" s="11"/>
    </row>
    <row r="72" spans="1:41" x14ac:dyDescent="0.25">
      <c r="A72" s="61" t="s">
        <v>38</v>
      </c>
      <c r="B72" s="62"/>
      <c r="C72" s="11"/>
      <c r="D72" s="11"/>
      <c r="E72" s="11"/>
      <c r="F72" s="11"/>
      <c r="G72" s="11"/>
      <c r="H72" s="84" t="s">
        <v>915</v>
      </c>
      <c r="I72" s="118" t="str">
        <f>IF(_epmOfflineCondition_,"N",_xll.EVPRO($B$1,$H72,"STYLE"))</f>
        <v>N</v>
      </c>
      <c r="J72" s="118" t="str">
        <f>IF(_epmOfflineCondition_,"N",_xll.EVPRO($B$1,$H72,"CALC"))</f>
        <v>N</v>
      </c>
      <c r="K72" s="175" t="str">
        <f t="shared" si="12"/>
        <v/>
      </c>
      <c r="L72" s="86" t="str">
        <f>IF(_epmOfflineCondition_,"713100",_xll.EVPRO($B$1,H72,"JDEID"))</f>
        <v>713100</v>
      </c>
      <c r="M72" s="86" t="str">
        <f>IF(_epmOfflineCondition_,"690799",IF(AND(I72="N",J72="N"),_xll.EVPRO($B$1,H72,"PSFTID"),""))</f>
        <v>690799</v>
      </c>
      <c r="N72" s="86" t="str">
        <f>IF(_epmOfflineCondition_,"Agency Fees",IF(_xll.EVDES(H72,$B$1)="#NODATA","",_xll.EVDES(H72,$B$1)))</f>
        <v>Agency Fees</v>
      </c>
      <c r="O72" s="134">
        <v>6003.54</v>
      </c>
      <c r="P72" s="134">
        <v>5291.93</v>
      </c>
      <c r="Q72" s="134">
        <v>8636.1200000000008</v>
      </c>
      <c r="R72" s="134">
        <v>5136.79</v>
      </c>
      <c r="S72" s="134">
        <v>6171.65</v>
      </c>
      <c r="T72" s="134">
        <v>5509.58</v>
      </c>
      <c r="U72" s="134">
        <v>14796.55</v>
      </c>
      <c r="V72" s="134">
        <v>8107.12</v>
      </c>
      <c r="W72" s="134">
        <v>12200</v>
      </c>
      <c r="X72" s="134">
        <v>12140.18</v>
      </c>
      <c r="Y72" s="134">
        <v>12271.58</v>
      </c>
      <c r="Z72" s="134">
        <v>13769.66</v>
      </c>
      <c r="AA72" s="240">
        <f t="shared" si="13"/>
        <v>110034.7</v>
      </c>
      <c r="AB72" s="138">
        <f t="shared" si="14"/>
        <v>1.3121253721151374E-2</v>
      </c>
      <c r="AC72" s="136"/>
      <c r="AD72" s="134">
        <v>74200</v>
      </c>
      <c r="AE72" s="138">
        <f t="shared" si="15"/>
        <v>5.6869529573791346E-3</v>
      </c>
      <c r="AF72" s="137">
        <f t="shared" si="16"/>
        <v>35834.699999999997</v>
      </c>
      <c r="AG72" s="134">
        <v>67275.72</v>
      </c>
      <c r="AH72" s="138">
        <f t="shared" si="17"/>
        <v>2.0645153165097341E-2</v>
      </c>
      <c r="AI72" s="137">
        <f t="shared" si="18"/>
        <v>42758.979999999996</v>
      </c>
      <c r="AJ72" s="458">
        <f t="shared" si="19"/>
        <v>2.2838252386882525</v>
      </c>
      <c r="AK72" s="459">
        <f t="shared" si="20"/>
        <v>1.5400581154005812</v>
      </c>
      <c r="AL72" s="460">
        <f t="shared" si="21"/>
        <v>1.8060111137956028</v>
      </c>
      <c r="AM72" s="461" t="str">
        <f t="shared" si="22"/>
        <v>0.74 pts.</v>
      </c>
      <c r="AN72" s="462" t="str">
        <f t="shared" si="23"/>
        <v>-0.75 pts.</v>
      </c>
      <c r="AO72" s="11"/>
    </row>
    <row r="73" spans="1:41" x14ac:dyDescent="0.25">
      <c r="A73" s="61" t="s">
        <v>39</v>
      </c>
      <c r="B73" s="62"/>
      <c r="C73" s="11"/>
      <c r="D73" s="11"/>
      <c r="E73" s="11"/>
      <c r="F73" s="11"/>
      <c r="G73" s="11"/>
      <c r="H73" s="84" t="s">
        <v>79</v>
      </c>
      <c r="I73" s="132" t="str">
        <f>IF(_epmOfflineCondition_,"T3",_xll.EVPRO($B$1,$H73,"STYLE"))</f>
        <v>T3</v>
      </c>
      <c r="J73" s="132" t="str">
        <f>IF(_epmOfflineCondition_,"Y",_xll.EVPRO($B$1,$H73,"CALC"))</f>
        <v>Y</v>
      </c>
      <c r="K73" s="100"/>
      <c r="L73" s="55"/>
      <c r="M73" s="55"/>
      <c r="N73" s="102" t="str">
        <f>IF(_epmOfflineCondition_,"Total Operations Expense",IF(_xll.EVDES(H73,$B$1)="#NODATA","",_xll.EVDES(H73,$B$1)))</f>
        <v>Total Operations Expense</v>
      </c>
      <c r="O73" s="146">
        <v>45276.55</v>
      </c>
      <c r="P73" s="146">
        <v>60664.29</v>
      </c>
      <c r="Q73" s="146">
        <v>74066.490000000005</v>
      </c>
      <c r="R73" s="146">
        <v>56013.36</v>
      </c>
      <c r="S73" s="146">
        <v>51608.98</v>
      </c>
      <c r="T73" s="146">
        <v>76002.19</v>
      </c>
      <c r="U73" s="146">
        <v>42279.02</v>
      </c>
      <c r="V73" s="146">
        <v>37764.49</v>
      </c>
      <c r="W73" s="146">
        <v>50663.199999999997</v>
      </c>
      <c r="X73" s="146">
        <v>60023.64</v>
      </c>
      <c r="Y73" s="146">
        <v>68392.42</v>
      </c>
      <c r="Z73" s="146">
        <v>75684.100000000006</v>
      </c>
      <c r="AA73" s="146">
        <f t="shared" si="13"/>
        <v>698438.73</v>
      </c>
      <c r="AB73" s="147">
        <f t="shared" si="14"/>
        <v>8.3286379523993245E-2</v>
      </c>
      <c r="AC73" s="136"/>
      <c r="AD73" s="146">
        <v>620272.16124649998</v>
      </c>
      <c r="AE73" s="147">
        <f t="shared" si="15"/>
        <v>4.7539873339362951E-2</v>
      </c>
      <c r="AF73" s="148">
        <f t="shared" si="16"/>
        <v>78166.568753500003</v>
      </c>
      <c r="AG73" s="146">
        <v>384224.15</v>
      </c>
      <c r="AH73" s="147">
        <f t="shared" si="17"/>
        <v>0.11790830966178194</v>
      </c>
      <c r="AI73" s="148">
        <f t="shared" si="18"/>
        <v>314214.57999999996</v>
      </c>
      <c r="AJ73" s="431">
        <f t="shared" si="19"/>
        <v>14.496445205479452</v>
      </c>
      <c r="AK73" s="432">
        <f t="shared" si="20"/>
        <v>12.874058971492319</v>
      </c>
      <c r="AL73" s="433">
        <f t="shared" si="21"/>
        <v>10.314465383479639</v>
      </c>
      <c r="AM73" s="434" t="str">
        <f t="shared" si="22"/>
        <v>3.57 pts.</v>
      </c>
      <c r="AN73" s="550" t="str">
        <f t="shared" si="23"/>
        <v>-3.46 pts.</v>
      </c>
      <c r="AO73" s="11"/>
    </row>
    <row r="74" spans="1:41" x14ac:dyDescent="0.25">
      <c r="A74" s="61" t="s">
        <v>40</v>
      </c>
      <c r="B74" s="62"/>
      <c r="C74" s="11"/>
      <c r="D74" s="11"/>
      <c r="E74" s="11"/>
      <c r="F74" s="11"/>
      <c r="G74" s="11"/>
      <c r="H74" s="11"/>
      <c r="I74" s="55"/>
      <c r="J74" s="55"/>
      <c r="K74" s="11"/>
      <c r="L74" s="55"/>
      <c r="M74" s="55"/>
      <c r="N74" s="11"/>
      <c r="O74" s="136"/>
      <c r="P74" s="136"/>
      <c r="Q74" s="136"/>
      <c r="R74" s="136"/>
      <c r="S74" s="136"/>
      <c r="T74" s="136"/>
      <c r="U74" s="136"/>
      <c r="V74" s="136"/>
      <c r="W74" s="136"/>
      <c r="X74" s="136"/>
      <c r="Y74" s="136"/>
      <c r="Z74" s="136"/>
      <c r="AA74" s="136"/>
      <c r="AB74" s="136"/>
      <c r="AC74" s="136"/>
      <c r="AD74" s="136"/>
      <c r="AE74" s="136"/>
      <c r="AF74" s="136"/>
      <c r="AG74" s="136"/>
      <c r="AH74" s="136"/>
      <c r="AI74" s="136"/>
      <c r="AJ74" s="136"/>
      <c r="AK74" s="136"/>
      <c r="AL74" s="136"/>
      <c r="AM74" s="136"/>
      <c r="AN74" s="136"/>
      <c r="AO74" s="11"/>
    </row>
    <row r="75" spans="1:41" x14ac:dyDescent="0.25">
      <c r="A75" s="61" t="s">
        <v>41</v>
      </c>
      <c r="B75" s="62"/>
      <c r="C75" s="11"/>
      <c r="D75" s="11"/>
      <c r="E75" s="11"/>
      <c r="F75" s="11"/>
      <c r="G75" s="11"/>
      <c r="H75" s="84" t="s">
        <v>80</v>
      </c>
      <c r="I75" s="132" t="str">
        <f>IF(_epmOfflineCondition_,"T3",_xll.EVPRO($B$1,$H75,"STYLE"))</f>
        <v>T3</v>
      </c>
      <c r="J75" s="132" t="str">
        <f>IF(_epmOfflineCondition_,"Y",_xll.EVPRO($B$1,$H75,"CALC"))</f>
        <v>Y</v>
      </c>
      <c r="K75" s="102"/>
      <c r="L75" s="55"/>
      <c r="M75" s="55"/>
      <c r="N75" s="102" t="str">
        <f>IF(_epmOfflineCondition_,"Total Expenses",IF(_xll.EVDES(H75,$B$1)="#NODATA","",_xll.EVDES(H75,$B$1)))</f>
        <v>Total Expenses</v>
      </c>
      <c r="O75" s="210">
        <v>77478.87</v>
      </c>
      <c r="P75" s="210">
        <v>99759.31</v>
      </c>
      <c r="Q75" s="210">
        <v>112768.44</v>
      </c>
      <c r="R75" s="210">
        <v>92905.11</v>
      </c>
      <c r="S75" s="210">
        <v>91102.2</v>
      </c>
      <c r="T75" s="210">
        <v>109591.86</v>
      </c>
      <c r="U75" s="210">
        <v>78389.45</v>
      </c>
      <c r="V75" s="210">
        <v>76633.58</v>
      </c>
      <c r="W75" s="210">
        <v>87442.36</v>
      </c>
      <c r="X75" s="210">
        <v>95214.98</v>
      </c>
      <c r="Y75" s="210">
        <v>104134.98</v>
      </c>
      <c r="Z75" s="210">
        <v>123084.67</v>
      </c>
      <c r="AA75" s="210">
        <f>IF($I75="B1","",SUM(O75:Z75))</f>
        <v>1148505.8099999998</v>
      </c>
      <c r="AB75" s="211">
        <f>IF(AA75=0,"",IFERROR(AA75/AA$19,""))</f>
        <v>0.13695530712790122</v>
      </c>
      <c r="AC75" s="136"/>
      <c r="AD75" s="210">
        <v>1095457.7419147801</v>
      </c>
      <c r="AE75" s="211">
        <f>IF(AD75=0,"",IFERROR(AD75/AD$19,""))</f>
        <v>8.3959793060190399E-2</v>
      </c>
      <c r="AF75" s="212">
        <f>IF(AND($AA75="",AD75=""),"",$AA75-AD75)</f>
        <v>53048.068085219711</v>
      </c>
      <c r="AG75" s="213">
        <v>731685.45</v>
      </c>
      <c r="AH75" s="214">
        <f>IF(AG75=0,"",IFERROR(AG75/AG$19,""))</f>
        <v>0.22453506530919584</v>
      </c>
      <c r="AI75" s="212">
        <f>IF(AND($AA75="",AG75=""),"",$AA75-AG75)</f>
        <v>416820.35999999987</v>
      </c>
      <c r="AJ75" s="437">
        <f>IFERROR(AA75/AA$20,0)</f>
        <v>23.837812577833123</v>
      </c>
      <c r="AK75" s="438">
        <f>IFERROR(AD75/AD$20,0)</f>
        <v>22.736773389679954</v>
      </c>
      <c r="AL75" s="439">
        <f>IFERROR(AG75/AG$20,0)</f>
        <v>19.642035113151323</v>
      </c>
      <c r="AM75" s="440" t="str">
        <f>+IFERROR(ROUND(($AB75-AE75)*100,2)&amp;" pts.",0)</f>
        <v>5.3 pts.</v>
      </c>
      <c r="AN75" s="551" t="str">
        <f>+IFERROR(ROUND(($AB75-AH75)*100,2)&amp;" pts.",0)</f>
        <v>-8.76 pts.</v>
      </c>
      <c r="AO75" s="11"/>
    </row>
    <row r="76" spans="1:41" ht="15.75" thickBot="1" x14ac:dyDescent="0.3">
      <c r="A76" s="61" t="s">
        <v>42</v>
      </c>
      <c r="B76" s="62"/>
      <c r="C76" s="11"/>
      <c r="D76" s="11"/>
      <c r="E76" s="11"/>
      <c r="F76" s="11"/>
      <c r="G76" s="11"/>
      <c r="H76" s="84" t="s">
        <v>81</v>
      </c>
      <c r="I76" s="132" t="str">
        <f>IF(_epmOfflineCondition_,"T3",_xll.EVPRO($B$1,$H76,"STYLE"))</f>
        <v>T3</v>
      </c>
      <c r="J76" s="132" t="str">
        <f>IF(_epmOfflineCondition_,"Y",_xll.EVPRO($B$1,$H76,"CALC"))</f>
        <v>Y</v>
      </c>
      <c r="K76" s="102"/>
      <c r="L76" s="55"/>
      <c r="M76" s="55"/>
      <c r="N76" s="102" t="str">
        <f>IF(_epmOfflineCondition_,"Department Profit (Loss)",IF(_xll.EVDES(H76,$B$1)="#NODATA","",_xll.EVDES(H76,$B$1)))</f>
        <v>Department Profit (Loss)</v>
      </c>
      <c r="O76" s="161">
        <v>-77478.87</v>
      </c>
      <c r="P76" s="161">
        <v>-99759.31</v>
      </c>
      <c r="Q76" s="161">
        <v>-112768.44</v>
      </c>
      <c r="R76" s="161">
        <v>-92905.11</v>
      </c>
      <c r="S76" s="161">
        <v>-91102.2</v>
      </c>
      <c r="T76" s="161">
        <v>-109591.86</v>
      </c>
      <c r="U76" s="161">
        <v>-78389.45</v>
      </c>
      <c r="V76" s="161">
        <v>-76633.58</v>
      </c>
      <c r="W76" s="161">
        <v>-87442.36</v>
      </c>
      <c r="X76" s="161">
        <v>-95214.98</v>
      </c>
      <c r="Y76" s="161">
        <v>-104134.98</v>
      </c>
      <c r="Z76" s="161">
        <v>-123084.67</v>
      </c>
      <c r="AA76" s="161">
        <f>IF($I76="B1","",SUM(O76:Z76))</f>
        <v>-1148505.8099999998</v>
      </c>
      <c r="AB76" s="162">
        <f>IF(AA76=0,"",IFERROR(AA76/AA$19,""))</f>
        <v>-0.13695530712790122</v>
      </c>
      <c r="AC76" s="136"/>
      <c r="AD76" s="161">
        <v>-1095457.7419147801</v>
      </c>
      <c r="AE76" s="162">
        <f>IF(AD76=0,"",IFERROR(AD76/AD$19,""))</f>
        <v>-8.3959793060190399E-2</v>
      </c>
      <c r="AF76" s="163">
        <f>IF(AND($AA76="",AD76=""),"",$AA76-AD76)</f>
        <v>-53048.068085219711</v>
      </c>
      <c r="AG76" s="161">
        <v>-731685.45</v>
      </c>
      <c r="AH76" s="162">
        <f>IF(AG76=0,"",IFERROR(AG76/AG$19,""))</f>
        <v>-0.22453506530919584</v>
      </c>
      <c r="AI76" s="163">
        <f>IF(AND($AA76="",AG76=""),"",$AA76-AG76)</f>
        <v>-416820.35999999987</v>
      </c>
      <c r="AJ76" s="442">
        <f>IFERROR(AA76/AA$20,0)</f>
        <v>-23.837812577833123</v>
      </c>
      <c r="AK76" s="443">
        <f>IFERROR(AD76/AD$20,0)</f>
        <v>-22.736773389679954</v>
      </c>
      <c r="AL76" s="444">
        <f>IFERROR(AG76/AG$20,0)</f>
        <v>-19.642035113151323</v>
      </c>
      <c r="AM76" s="445" t="str">
        <f>+IFERROR(ROUND(($AB76-AE76)*100,2)&amp;" pts.",0)</f>
        <v>-5.3 pts.</v>
      </c>
      <c r="AN76" s="552" t="str">
        <f>+IFERROR(ROUND(($AB76-AH76)*100,2)&amp;" pts.",0)</f>
        <v>8.76 pts.</v>
      </c>
      <c r="AO76" s="11"/>
    </row>
    <row r="77" spans="1:41" ht="15.75" thickTop="1" x14ac:dyDescent="0.25">
      <c r="A77" s="61" t="s">
        <v>43</v>
      </c>
      <c r="B77" s="62"/>
      <c r="C77" s="11"/>
      <c r="D77" s="11"/>
      <c r="E77" s="11"/>
      <c r="F77" s="11"/>
      <c r="G77" s="11"/>
      <c r="H77" s="11"/>
      <c r="I77" s="55"/>
      <c r="J77" s="55"/>
      <c r="K77" s="11"/>
      <c r="L77" s="55"/>
      <c r="M77" s="55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</row>
    <row r="78" spans="1:41" x14ac:dyDescent="0.25">
      <c r="A78" s="61" t="s">
        <v>44</v>
      </c>
      <c r="B78" s="62"/>
      <c r="C78" s="11"/>
      <c r="D78" s="11"/>
      <c r="E78" s="11"/>
      <c r="F78" s="11"/>
      <c r="G78" s="11"/>
      <c r="H78" s="11"/>
      <c r="I78" s="55"/>
      <c r="J78" s="55"/>
      <c r="K78" s="11"/>
      <c r="L78" s="55"/>
      <c r="M78" s="55"/>
      <c r="N78" s="100" t="str">
        <f>N75&amp;" - Check"</f>
        <v>Total Expenses - Check</v>
      </c>
      <c r="O78" s="205">
        <f t="shared" ref="O78:AA78" si="24">SUMIF($H$33:$H$76,"600000",O$33:O$76)+SUMIF($H$33:$H$76,"700000",O$33:O$76)-SUMIF($H$33:$H$76,"TOTDEPTEXP",O$33:O$76)</f>
        <v>0</v>
      </c>
      <c r="P78" s="205">
        <f t="shared" si="24"/>
        <v>0</v>
      </c>
      <c r="Q78" s="205">
        <f t="shared" si="24"/>
        <v>0</v>
      </c>
      <c r="R78" s="205">
        <f t="shared" si="24"/>
        <v>0</v>
      </c>
      <c r="S78" s="205">
        <f t="shared" si="24"/>
        <v>0</v>
      </c>
      <c r="T78" s="205">
        <f t="shared" si="24"/>
        <v>0</v>
      </c>
      <c r="U78" s="205">
        <f t="shared" si="24"/>
        <v>0</v>
      </c>
      <c r="V78" s="205">
        <f t="shared" si="24"/>
        <v>0</v>
      </c>
      <c r="W78" s="205">
        <f t="shared" si="24"/>
        <v>0</v>
      </c>
      <c r="X78" s="205">
        <f t="shared" si="24"/>
        <v>0</v>
      </c>
      <c r="Y78" s="205">
        <f t="shared" si="24"/>
        <v>0</v>
      </c>
      <c r="Z78" s="205">
        <f t="shared" si="24"/>
        <v>0</v>
      </c>
      <c r="AA78" s="205">
        <f t="shared" si="24"/>
        <v>0</v>
      </c>
      <c r="AB78" s="96"/>
      <c r="AC78" s="11"/>
      <c r="AD78" s="205">
        <f>SUMIF($H$33:$H$76,"600000",AD$33:AD$76)+SUMIF($H$33:$H$76,"700000",AD$33:AD$76)-SUMIF($H$33:$H$76,"TOTDEPTEXP",AD$33:AD$76)</f>
        <v>3.9581209421157837E-9</v>
      </c>
      <c r="AE78" s="96"/>
      <c r="AF78" s="87"/>
      <c r="AG78" s="205">
        <f>SUMIF($H$33:$H$76,"600000",AG$33:AG$76)+SUMIF($H$33:$H$76,"700000",AG$33:AG$76)-SUMIF($H$33:$H$76,"TOTDEPTEXP",AG$33:AG$76)</f>
        <v>0</v>
      </c>
      <c r="AH78" s="96"/>
      <c r="AI78" s="87"/>
      <c r="AJ78" s="11"/>
      <c r="AK78" s="11"/>
      <c r="AL78" s="11"/>
      <c r="AM78" s="11"/>
      <c r="AN78" s="11"/>
      <c r="AO78" s="11"/>
    </row>
    <row r="79" spans="1:41" x14ac:dyDescent="0.25">
      <c r="A79" s="61" t="s">
        <v>45</v>
      </c>
      <c r="B79" s="62"/>
      <c r="C79" s="11"/>
      <c r="D79" s="11"/>
      <c r="E79" s="11"/>
      <c r="F79" s="11"/>
      <c r="G79" s="11"/>
      <c r="H79" s="11"/>
      <c r="I79" s="55"/>
      <c r="J79" s="55"/>
      <c r="K79" s="11"/>
      <c r="L79" s="55"/>
      <c r="M79" s="55"/>
      <c r="N79" s="100" t="str">
        <f>N76&amp;" - Check"</f>
        <v>Department Profit (Loss) - Check</v>
      </c>
      <c r="O79" s="205">
        <f t="shared" ref="O79:AA79" si="25">SUMIF($H$33:$H$76,"TOTDEPTEXP",O$33:O$76)+SUMIF($H$33:$H$76,"TOTDEPTPL",O$33:O$76)</f>
        <v>0</v>
      </c>
      <c r="P79" s="205">
        <f t="shared" si="25"/>
        <v>0</v>
      </c>
      <c r="Q79" s="205">
        <f t="shared" si="25"/>
        <v>0</v>
      </c>
      <c r="R79" s="205">
        <f t="shared" si="25"/>
        <v>0</v>
      </c>
      <c r="S79" s="205">
        <f t="shared" si="25"/>
        <v>0</v>
      </c>
      <c r="T79" s="205">
        <f t="shared" si="25"/>
        <v>0</v>
      </c>
      <c r="U79" s="205">
        <f t="shared" si="25"/>
        <v>0</v>
      </c>
      <c r="V79" s="205">
        <f t="shared" si="25"/>
        <v>0</v>
      </c>
      <c r="W79" s="205">
        <f t="shared" si="25"/>
        <v>0</v>
      </c>
      <c r="X79" s="205">
        <f t="shared" si="25"/>
        <v>0</v>
      </c>
      <c r="Y79" s="205">
        <f t="shared" si="25"/>
        <v>0</v>
      </c>
      <c r="Z79" s="205">
        <f t="shared" si="25"/>
        <v>0</v>
      </c>
      <c r="AA79" s="205">
        <f t="shared" si="25"/>
        <v>0</v>
      </c>
      <c r="AB79" s="96"/>
      <c r="AC79" s="11"/>
      <c r="AD79" s="205">
        <f>SUMIF($H$33:$H$76,"TOTDEPTEXP",AD$33:AD$76)+SUMIF($H$33:$H$76,"TOTDEPTPL",AD$33:AD$76)</f>
        <v>0</v>
      </c>
      <c r="AE79" s="96"/>
      <c r="AF79" s="87"/>
      <c r="AG79" s="205">
        <f>SUMIF($H$33:$H$76,"TOTDEPTEXP",AG$33:AG$76)+SUMIF($H$33:$H$76,"TOTDEPTPL",AG$33:AG$76)</f>
        <v>0</v>
      </c>
      <c r="AH79" s="96"/>
      <c r="AI79" s="87"/>
      <c r="AJ79" s="11"/>
      <c r="AK79" s="11"/>
      <c r="AL79" s="11"/>
      <c r="AM79" s="11"/>
      <c r="AN79" s="11"/>
      <c r="AO79" s="11"/>
    </row>
    <row r="80" spans="1:41" x14ac:dyDescent="0.25">
      <c r="A80" s="61" t="s">
        <v>46</v>
      </c>
      <c r="B80" s="62"/>
      <c r="C80" s="11"/>
      <c r="D80" s="11"/>
      <c r="E80" s="11"/>
      <c r="F80" s="11"/>
      <c r="G80" s="11"/>
      <c r="H80" s="11"/>
      <c r="I80" s="55"/>
      <c r="J80" s="55"/>
      <c r="K80" s="11"/>
      <c r="L80" s="55"/>
      <c r="M80" s="55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x14ac:dyDescent="0.25">
      <c r="A81" s="11"/>
      <c r="B81" s="11"/>
      <c r="C81" s="11"/>
      <c r="D81" s="11"/>
      <c r="E81" s="11"/>
      <c r="F81" s="11"/>
      <c r="G81" s="11"/>
      <c r="H81" s="11"/>
      <c r="I81" s="55"/>
      <c r="J81" s="55"/>
      <c r="K81" s="11"/>
      <c r="L81" s="55"/>
      <c r="M81" s="55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</row>
    <row r="82" spans="1:41" x14ac:dyDescent="0.25">
      <c r="A82" s="11"/>
      <c r="B82" s="11"/>
      <c r="C82" s="11"/>
      <c r="D82" s="11"/>
      <c r="E82" s="11"/>
      <c r="F82" s="11"/>
      <c r="G82" s="11"/>
      <c r="H82" s="11"/>
      <c r="I82" s="55"/>
      <c r="J82" s="55"/>
      <c r="K82" s="11"/>
      <c r="L82" s="55"/>
      <c r="M82" s="55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x14ac:dyDescent="0.25">
      <c r="A83" s="11"/>
      <c r="B83" s="11"/>
      <c r="C83" s="11"/>
      <c r="D83" s="11"/>
      <c r="E83" s="11"/>
      <c r="F83" s="11"/>
      <c r="G83" s="11"/>
      <c r="H83" s="11"/>
      <c r="I83" s="55"/>
      <c r="J83" s="55"/>
      <c r="K83" s="11"/>
      <c r="L83" s="55"/>
      <c r="M83" s="55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x14ac:dyDescent="0.25">
      <c r="A84" s="11"/>
      <c r="B84" s="11"/>
      <c r="C84" s="11"/>
      <c r="D84" s="11"/>
      <c r="E84" s="11"/>
      <c r="F84" s="11"/>
      <c r="G84" s="11"/>
      <c r="H84" s="11"/>
      <c r="I84" s="55"/>
      <c r="J84" s="55"/>
      <c r="K84" s="11"/>
      <c r="L84" s="55"/>
      <c r="M84" s="55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x14ac:dyDescent="0.25">
      <c r="A85" s="11"/>
      <c r="B85" s="11"/>
      <c r="C85" s="11"/>
      <c r="D85" s="11"/>
      <c r="E85" s="11"/>
      <c r="F85" s="11"/>
      <c r="G85" s="11"/>
      <c r="H85" s="11"/>
      <c r="I85" s="55"/>
      <c r="J85" s="55"/>
      <c r="K85" s="11"/>
      <c r="L85" s="55"/>
      <c r="M85" s="55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x14ac:dyDescent="0.25">
      <c r="A86" s="11"/>
      <c r="B86" s="11"/>
      <c r="C86" s="11"/>
      <c r="D86" s="11"/>
      <c r="E86" s="11"/>
      <c r="F86" s="11"/>
      <c r="G86" s="11"/>
      <c r="H86" s="55"/>
      <c r="I86" s="55"/>
      <c r="J86" s="11"/>
      <c r="K86" s="11"/>
      <c r="L86" s="55"/>
      <c r="M86" s="55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x14ac:dyDescent="0.25">
      <c r="A87" s="11"/>
      <c r="B87" s="11"/>
      <c r="C87" s="11"/>
      <c r="D87" s="11"/>
      <c r="E87" s="11"/>
      <c r="F87" s="11"/>
      <c r="G87" s="11"/>
      <c r="H87" s="55"/>
      <c r="I87" s="55"/>
      <c r="J87" s="11"/>
      <c r="K87" s="11"/>
      <c r="L87" s="55"/>
      <c r="M87" s="55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x14ac:dyDescent="0.25">
      <c r="A88" s="11"/>
      <c r="B88" s="11"/>
      <c r="C88" s="11"/>
      <c r="D88" s="11"/>
      <c r="E88" s="11"/>
      <c r="F88" s="11"/>
      <c r="G88" s="11"/>
      <c r="H88" s="55"/>
      <c r="I88" s="55"/>
      <c r="J88" s="11"/>
      <c r="K88" s="11"/>
      <c r="L88" s="55"/>
      <c r="M88" s="55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x14ac:dyDescent="0.25">
      <c r="A89" s="11"/>
      <c r="B89" s="11"/>
      <c r="C89" s="11"/>
      <c r="D89" s="11"/>
      <c r="E89" s="11"/>
      <c r="F89" s="11"/>
      <c r="G89" s="11"/>
      <c r="H89" s="55"/>
      <c r="I89" s="55"/>
      <c r="J89" s="11"/>
      <c r="K89" s="11"/>
      <c r="L89" s="55"/>
      <c r="M89" s="55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x14ac:dyDescent="0.25">
      <c r="A90" s="11"/>
      <c r="B90" s="11"/>
      <c r="C90" s="11"/>
      <c r="D90" s="11"/>
      <c r="E90" s="11"/>
      <c r="F90" s="11"/>
      <c r="G90" s="11"/>
      <c r="H90" s="55"/>
      <c r="I90" s="55"/>
      <c r="J90" s="11"/>
      <c r="K90" s="11"/>
      <c r="L90" s="55"/>
      <c r="M90" s="55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x14ac:dyDescent="0.25">
      <c r="A91" s="11"/>
      <c r="B91" s="11"/>
      <c r="C91" s="11"/>
      <c r="D91" s="11"/>
      <c r="E91" s="11"/>
      <c r="F91" s="11"/>
      <c r="G91" s="11"/>
      <c r="H91" s="55"/>
      <c r="I91" s="55"/>
      <c r="J91" s="11"/>
      <c r="K91" s="11"/>
      <c r="L91" s="55"/>
      <c r="M91" s="55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x14ac:dyDescent="0.25">
      <c r="A92" s="11"/>
      <c r="B92" s="11"/>
      <c r="C92" s="11"/>
      <c r="D92" s="11"/>
      <c r="E92" s="11"/>
      <c r="F92" s="11"/>
      <c r="G92" s="11"/>
      <c r="H92" s="55"/>
      <c r="I92" s="55"/>
      <c r="J92" s="11"/>
      <c r="K92" s="11"/>
      <c r="L92" s="55"/>
      <c r="M92" s="55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x14ac:dyDescent="0.25">
      <c r="A93" s="11"/>
      <c r="B93" s="11"/>
      <c r="C93" s="11"/>
      <c r="D93" s="11"/>
      <c r="E93" s="11"/>
      <c r="F93" s="11"/>
      <c r="G93" s="11"/>
      <c r="H93" s="55"/>
      <c r="I93" s="55"/>
      <c r="J93" s="11"/>
      <c r="K93" s="11"/>
      <c r="L93" s="55"/>
      <c r="M93" s="55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x14ac:dyDescent="0.25">
      <c r="A94" s="11"/>
      <c r="B94" s="11"/>
      <c r="C94" s="11"/>
      <c r="D94" s="11"/>
      <c r="E94" s="11"/>
      <c r="F94" s="11"/>
      <c r="G94" s="11"/>
      <c r="H94" s="55"/>
      <c r="I94" s="55"/>
      <c r="J94" s="11"/>
      <c r="K94" s="11"/>
      <c r="L94" s="55"/>
      <c r="M94" s="55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x14ac:dyDescent="0.25">
      <c r="A95" s="11"/>
      <c r="B95" s="11"/>
      <c r="C95" s="11"/>
      <c r="D95" s="11"/>
      <c r="E95" s="11"/>
      <c r="F95" s="11"/>
      <c r="G95" s="11"/>
      <c r="H95" s="55"/>
      <c r="I95" s="55"/>
      <c r="J95" s="11"/>
      <c r="K95" s="11"/>
      <c r="L95" s="55"/>
      <c r="M95" s="55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x14ac:dyDescent="0.25">
      <c r="A96" s="11"/>
      <c r="B96" s="11"/>
      <c r="C96" s="11"/>
      <c r="D96" s="11"/>
      <c r="E96" s="11"/>
      <c r="F96" s="11"/>
      <c r="G96" s="11"/>
      <c r="H96" s="55"/>
      <c r="I96" s="55"/>
      <c r="J96" s="11"/>
      <c r="K96" s="11"/>
      <c r="L96" s="55"/>
      <c r="M96" s="55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x14ac:dyDescent="0.25">
      <c r="A97" s="11"/>
      <c r="B97" s="11"/>
      <c r="C97" s="11"/>
      <c r="D97" s="11"/>
      <c r="E97" s="11"/>
      <c r="F97" s="11"/>
      <c r="G97" s="11"/>
      <c r="H97" s="55"/>
      <c r="I97" s="55"/>
      <c r="J97" s="11"/>
      <c r="K97" s="11"/>
      <c r="L97" s="55"/>
      <c r="M97" s="55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x14ac:dyDescent="0.25">
      <c r="A98" s="11"/>
      <c r="B98" s="11"/>
      <c r="C98" s="11"/>
      <c r="D98" s="11"/>
      <c r="E98" s="11"/>
      <c r="F98" s="11"/>
      <c r="G98" s="11"/>
      <c r="H98" s="55"/>
      <c r="I98" s="55"/>
      <c r="J98" s="11"/>
      <c r="K98" s="11"/>
      <c r="L98" s="55"/>
      <c r="M98" s="55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x14ac:dyDescent="0.25">
      <c r="A99" s="11"/>
      <c r="B99" s="11"/>
      <c r="C99" s="11"/>
      <c r="D99" s="11"/>
      <c r="E99" s="11"/>
      <c r="F99" s="11"/>
      <c r="G99" s="11"/>
      <c r="H99" s="55"/>
      <c r="I99" s="55"/>
      <c r="J99" s="11"/>
      <c r="K99" s="11"/>
      <c r="L99" s="55"/>
      <c r="M99" s="55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x14ac:dyDescent="0.25">
      <c r="A100" s="11"/>
      <c r="B100" s="11"/>
      <c r="C100" s="11"/>
      <c r="D100" s="11"/>
      <c r="E100" s="11"/>
      <c r="F100" s="11"/>
      <c r="G100" s="11"/>
      <c r="H100" s="55"/>
      <c r="I100" s="55"/>
      <c r="J100" s="11"/>
      <c r="K100" s="11"/>
      <c r="L100" s="55"/>
      <c r="M100" s="55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x14ac:dyDescent="0.25">
      <c r="A101" s="11"/>
      <c r="B101" s="11"/>
      <c r="C101" s="11"/>
      <c r="D101" s="11"/>
      <c r="E101" s="11"/>
      <c r="F101" s="11"/>
      <c r="G101" s="11"/>
      <c r="H101" s="55"/>
      <c r="I101" s="55"/>
      <c r="J101" s="11"/>
      <c r="K101" s="11"/>
      <c r="L101" s="55"/>
      <c r="M101" s="55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x14ac:dyDescent="0.25">
      <c r="A102" s="11"/>
      <c r="B102" s="11"/>
      <c r="C102" s="11"/>
      <c r="D102" s="11"/>
      <c r="E102" s="11"/>
      <c r="F102" s="11"/>
      <c r="G102" s="11"/>
      <c r="H102" s="55"/>
      <c r="I102" s="55"/>
      <c r="J102" s="11"/>
      <c r="K102" s="11"/>
      <c r="L102" s="55"/>
      <c r="M102" s="55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x14ac:dyDescent="0.25">
      <c r="A103" s="11"/>
      <c r="B103" s="11"/>
      <c r="C103" s="11"/>
      <c r="D103" s="11"/>
      <c r="E103" s="11"/>
      <c r="F103" s="11"/>
      <c r="G103" s="11"/>
      <c r="H103" s="55"/>
      <c r="I103" s="55"/>
      <c r="J103" s="11"/>
      <c r="K103" s="11"/>
      <c r="L103" s="55"/>
      <c r="M103" s="55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x14ac:dyDescent="0.25">
      <c r="A104" s="11"/>
      <c r="B104" s="11"/>
      <c r="C104" s="11"/>
      <c r="D104" s="11"/>
      <c r="E104" s="11"/>
      <c r="F104" s="11"/>
      <c r="G104" s="11"/>
      <c r="H104" s="55"/>
      <c r="I104" s="55"/>
      <c r="J104" s="11"/>
      <c r="K104" s="11"/>
      <c r="L104" s="55"/>
      <c r="M104" s="55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x14ac:dyDescent="0.25">
      <c r="A105" s="11"/>
      <c r="B105" s="11"/>
      <c r="C105" s="11"/>
      <c r="D105" s="11"/>
      <c r="E105" s="11"/>
      <c r="F105" s="11"/>
      <c r="G105" s="11"/>
      <c r="H105" s="55"/>
      <c r="I105" s="55"/>
      <c r="J105" s="11"/>
      <c r="K105" s="11"/>
      <c r="L105" s="55"/>
      <c r="M105" s="55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x14ac:dyDescent="0.25">
      <c r="A106" s="11"/>
      <c r="B106" s="11"/>
      <c r="C106" s="11"/>
      <c r="D106" s="11"/>
      <c r="E106" s="11"/>
      <c r="F106" s="11"/>
      <c r="G106" s="11"/>
      <c r="H106" s="55"/>
      <c r="I106" s="55"/>
      <c r="J106" s="11"/>
      <c r="K106" s="11"/>
      <c r="L106" s="55"/>
      <c r="M106" s="55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x14ac:dyDescent="0.25">
      <c r="A107" s="11"/>
      <c r="B107" s="11"/>
      <c r="C107" s="11"/>
      <c r="D107" s="11"/>
      <c r="E107" s="11"/>
      <c r="F107" s="11"/>
      <c r="G107" s="11"/>
      <c r="H107" s="55"/>
      <c r="I107" s="55"/>
      <c r="J107" s="11"/>
      <c r="K107" s="11"/>
      <c r="L107" s="55"/>
      <c r="M107" s="55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x14ac:dyDescent="0.25">
      <c r="A108" s="11"/>
      <c r="B108" s="11"/>
      <c r="C108" s="11"/>
      <c r="D108" s="11"/>
      <c r="E108" s="11"/>
      <c r="F108" s="11"/>
      <c r="G108" s="11"/>
      <c r="H108" s="55"/>
      <c r="I108" s="55"/>
      <c r="J108" s="11"/>
      <c r="K108" s="11"/>
      <c r="L108" s="55"/>
      <c r="M108" s="55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</sheetData>
  <sheetProtection algorithmName="SHA-512" hashValue="pSHzcbx2xmUvu6UfACroS0UvHP5x3YNbRWYrtApEwRC5GnzxP498/FSwmvs+pCZUYNrsjG4eAj/XSPn/Db9K/w==" saltValue="xKsDBFT/W9K7XiYxvi71Jg==" spinCount="100000" sheet="1" scenarios="1"/>
  <mergeCells count="2">
    <mergeCell ref="AD31:AE31"/>
    <mergeCell ref="AG31:AH31"/>
  </mergeCells>
  <dataValidations disablePrompts="1" count="2">
    <dataValidation type="list" allowBlank="1" sqref="B29" xr:uid="{00000000-0002-0000-2100-000000000000}">
      <formula1>"SELF,ALL,BAS,DEP,BASMEMBERS,MEMBERS,NOEXPAND,GDEP"</formula1>
    </dataValidation>
    <dataValidation type="list" allowBlank="1" sqref="B28" xr:uid="{00000000-0002-0000-2100-000001000000}">
      <formula1>"ACCOUNT,BUSINESSUNIT,CATEGORY,DATASRC,DEPARTMENT,INTCO,MEASURES,RPTCURRENCY,TIME"</formula1>
    </dataValidation>
  </dataValidations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customProperties>
    <customPr name="EpmWorksheetKeyString_GUID" r:id="rId2"/>
    <customPr name="FPMExcelClientCellBasedFunctionStatus" r:id="rId3"/>
    <customPr name="FPMExcelClientRefreshTime" r:id="rId4"/>
  </customProperties>
  <legacyDrawing r:id="rId5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6">
    <pageSetUpPr fitToPage="1"/>
  </sheetPr>
  <dimension ref="A1:AO108"/>
  <sheetViews>
    <sheetView topLeftCell="K25" zoomScale="85" zoomScaleNormal="85" workbookViewId="0">
      <pane xSplit="4" ySplit="8" topLeftCell="O33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2" width="9.7109375" style="2" hidden="1" customWidth="1" outlineLevel="1" collapsed="1"/>
    <col min="13" max="13" width="9.7109375" style="2" hidden="1" customWidth="1" outlineLevel="1"/>
    <col min="14" max="14" width="36.7109375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40" width="0" style="1" hidden="1" customWidth="1" outlineLevel="1"/>
    <col min="41" max="41" width="9.140625" style="1" collapsed="1"/>
    <col min="42" max="16384" width="9.140625" style="1"/>
  </cols>
  <sheetData>
    <row r="1" spans="1:41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11"/>
      <c r="H1" s="11"/>
      <c r="I1" s="11"/>
      <c r="J1" s="11"/>
      <c r="K1" s="11"/>
      <c r="L1" s="51"/>
      <c r="M1" s="51"/>
      <c r="N1" s="5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</row>
    <row r="2" spans="1:41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11"/>
      <c r="H2" s="11"/>
      <c r="I2" s="11"/>
      <c r="J2" s="11"/>
      <c r="K2" s="11"/>
      <c r="L2" s="51"/>
      <c r="M2" s="5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</row>
    <row r="3" spans="1:41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11"/>
      <c r="H3" s="11"/>
      <c r="I3" s="11"/>
      <c r="J3" s="11"/>
      <c r="K3" s="11"/>
      <c r="L3" s="55"/>
      <c r="M3" s="55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11"/>
      <c r="H4" s="11"/>
      <c r="I4" s="55"/>
      <c r="J4" s="55"/>
      <c r="K4" s="11"/>
      <c r="L4" s="55"/>
      <c r="M4" s="55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11"/>
      <c r="H5" s="11"/>
      <c r="I5" s="55"/>
      <c r="J5" s="55"/>
      <c r="K5" s="11"/>
      <c r="L5" s="55"/>
      <c r="M5" s="55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idden="1" outlineLevel="1" x14ac:dyDescent="0.25">
      <c r="A6" s="49" t="s">
        <v>52</v>
      </c>
      <c r="B6" s="52" t="s">
        <v>513</v>
      </c>
      <c r="C6" s="11" t="str">
        <f>IF(_epmOfflineCondition_,"Property Operation &amp; Maintenance",_xll.EVDES(B6,$B$1))</f>
        <v>Property Operation &amp; Maintenance</v>
      </c>
      <c r="D6" s="11"/>
      <c r="E6" s="54" t="str">
        <f>IF(_epmOfflineCondition_,"D_PM",_xll.EVPRO($B$1,$B$6,$F$6))</f>
        <v>D_PM</v>
      </c>
      <c r="F6" s="11" t="s">
        <v>278</v>
      </c>
      <c r="G6" s="11"/>
      <c r="H6" s="11"/>
      <c r="I6" s="55"/>
      <c r="J6" s="55"/>
      <c r="K6" s="11"/>
      <c r="L6" s="55"/>
      <c r="M6" s="55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11"/>
      <c r="H7" s="11"/>
      <c r="I7" s="55"/>
      <c r="J7" s="55"/>
      <c r="K7" s="11"/>
      <c r="L7" s="55"/>
      <c r="M7" s="55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11"/>
      <c r="H8" s="11"/>
      <c r="I8" s="55"/>
      <c r="J8" s="55"/>
      <c r="K8" s="11"/>
      <c r="L8" s="55"/>
      <c r="M8" s="55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55"/>
      <c r="M9" s="55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55"/>
      <c r="M10" s="55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55"/>
      <c r="M11" s="55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55"/>
      <c r="M12" s="55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  <c r="AJ12" s="11"/>
      <c r="AK12" s="11"/>
      <c r="AL12" s="11"/>
      <c r="AM12" s="11"/>
      <c r="AN12" s="11"/>
      <c r="AO12" s="11"/>
    </row>
    <row r="13" spans="1:41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55"/>
      <c r="M13" s="55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  <c r="AJ13" s="11"/>
      <c r="AK13" s="11"/>
      <c r="AL13" s="11"/>
      <c r="AM13" s="11"/>
      <c r="AN13" s="11"/>
      <c r="AO13" s="11"/>
    </row>
    <row r="14" spans="1:41" hidden="1" outlineLevel="1" x14ac:dyDescent="0.25">
      <c r="A14" s="56" t="str">
        <f>IF(_epmOfflineCondition_,"Evdre:Ok",_xll.EVDRE($B$1,A17:B24,A27:B33))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55"/>
      <c r="M14" s="55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  <c r="AJ14" s="11"/>
      <c r="AK14" s="11"/>
      <c r="AL14" s="11"/>
      <c r="AM14" s="11"/>
      <c r="AN14" s="11"/>
      <c r="AO14" s="11"/>
    </row>
    <row r="15" spans="1:41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55"/>
      <c r="M15" s="55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  <c r="AJ15" s="11"/>
      <c r="AK15" s="11"/>
      <c r="AL15" s="11"/>
      <c r="AM15" s="11"/>
      <c r="AN15" s="11"/>
      <c r="AO15" s="11"/>
    </row>
    <row r="16" spans="1:41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55"/>
      <c r="M16" s="55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  <c r="AJ16" s="11"/>
      <c r="AK16" s="11"/>
      <c r="AL16" s="11"/>
      <c r="AM16" s="11"/>
      <c r="AN16" s="11"/>
      <c r="AO16" s="11"/>
    </row>
    <row r="17" spans="1:41" hidden="1" outlineLevel="1" x14ac:dyDescent="0.25">
      <c r="A17" s="61" t="s">
        <v>2</v>
      </c>
      <c r="B17" s="62" t="str">
        <f>IF(_epmOfflineCondition_,"'POM'!$B$2:$B$10",_xll.EVRNG($B$2:$B$10))</f>
        <v>'POM'!$B$2:$B$10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55"/>
      <c r="M17" s="55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/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  <c r="AJ17" s="11"/>
      <c r="AK17" s="11"/>
      <c r="AL17" s="11"/>
      <c r="AM17" s="11"/>
      <c r="AN17" s="11"/>
      <c r="AO17" s="11"/>
    </row>
    <row r="18" spans="1:41" hidden="1" outlineLevel="1" x14ac:dyDescent="0.25">
      <c r="A18" s="61" t="s">
        <v>3</v>
      </c>
      <c r="B18" s="62" t="str">
        <f>IF(_epmOfflineCondition_,"'POM'!$O$16:$AN$18",_xll.EVRNG($O$16:$AN$18))</f>
        <v>'POM'!$O$16:$AN$18</v>
      </c>
      <c r="C18" s="11"/>
      <c r="D18" s="11"/>
      <c r="E18" s="11"/>
      <c r="F18" s="11"/>
      <c r="G18" s="11"/>
      <c r="H18" s="11"/>
      <c r="I18" s="55"/>
      <c r="J18" s="55"/>
      <c r="K18" s="11"/>
      <c r="L18" s="55"/>
      <c r="M18" s="55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60"/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  <c r="AJ18" s="11"/>
      <c r="AK18" s="11"/>
      <c r="AL18" s="11"/>
      <c r="AM18" s="11"/>
      <c r="AN18" s="11"/>
      <c r="AO18" s="11"/>
    </row>
    <row r="19" spans="1:41" hidden="1" outlineLevel="1" x14ac:dyDescent="0.25">
      <c r="A19" s="61" t="s">
        <v>4</v>
      </c>
      <c r="B19" s="62" t="str">
        <f>IF(_epmOfflineCondition_,"'POM'!$H$35:$H$36,'POM'!$H$38:$H$46,'POM'!$H$49:$H$72",_xll.EVRNG(H35:H36,H38:H46,H49:H72))</f>
        <v>'POM'!$H$35:$H$36,'POM'!$H$38:$H$46,'POM'!$H$49:$H$72</v>
      </c>
      <c r="C19" s="11"/>
      <c r="D19" s="11"/>
      <c r="E19" s="11"/>
      <c r="F19" s="11"/>
      <c r="G19" s="63" t="s">
        <v>499</v>
      </c>
      <c r="H19" s="63">
        <v>400000</v>
      </c>
      <c r="I19" s="64"/>
      <c r="J19" s="64"/>
      <c r="K19" s="63"/>
      <c r="L19" s="64"/>
      <c r="M19" s="64"/>
      <c r="N19" s="63" t="str">
        <f>IF(_epmOfflineCondition_,"Total Revenue",_xll.EVDES(H19))</f>
        <v>Total Revenue</v>
      </c>
      <c r="O19" s="65">
        <f>IF(_epmOfflineCondition_,816981.25,_xll.EVGTS($B$1,1,$B$3,$B$5,$B$7,$B$9,O$16,O$17,O$18,$G$19,$H$19))</f>
        <v>816981.25</v>
      </c>
      <c r="P19" s="65">
        <f>IF(_epmOfflineCondition_,866773.26,_xll.EVGTS($B$1,1,$B$3,$B$5,$B$7,$B$9,P$16,P$17,P$18,$G$19,$H$19))</f>
        <v>866773.26</v>
      </c>
      <c r="Q19" s="65">
        <f>IF(_epmOfflineCondition_,969793.68,_xll.EVGTS($B$1,1,$B$3,$B$5,$B$7,$B$9,Q$16,Q$17,Q$18,$G$19,$H$19))</f>
        <v>969793.68</v>
      </c>
      <c r="R19" s="65">
        <f>IF(_epmOfflineCondition_,760228.83,_xll.EVGTS($B$1,1,$B$3,$B$5,$B$7,$B$9,R$16,R$17,R$18,$G$19,$H$19))</f>
        <v>760228.83</v>
      </c>
      <c r="S19" s="65">
        <f>IF(_epmOfflineCondition_,618655.29,_xll.EVGTS($B$1,1,$B$3,$B$5,$B$7,$B$9,S$16,S$17,S$18,$G$19,$H$19))</f>
        <v>618655.29</v>
      </c>
      <c r="T19" s="65">
        <f>IF(_epmOfflineCondition_,453678.77,_xll.EVGTS($B$1,1,$B$3,$B$5,$B$7,$B$9,T$16,T$17,T$18,$G$19,$H$19))</f>
        <v>453678.77</v>
      </c>
      <c r="U19" s="65">
        <f>IF(_epmOfflineCondition_,542439.38,_xll.EVGTS($B$1,1,$B$3,$B$5,$B$7,$B$9,U$16,U$17,U$18,$G$19,$H$19))</f>
        <v>542439.38</v>
      </c>
      <c r="V19" s="65">
        <f>IF(_epmOfflineCondition_,530393.92,_xll.EVGTS($B$1,1,$B$3,$B$5,$B$7,$B$9,V$16,V$17,V$18,$G$19,$H$19))</f>
        <v>530393.92000000004</v>
      </c>
      <c r="W19" s="65">
        <f>IF(_epmOfflineCondition_,366989.98,_xll.EVGTS($B$1,1,$B$3,$B$5,$B$7,$B$9,W$16,W$17,W$18,$G$19,$H$19))</f>
        <v>366989.98</v>
      </c>
      <c r="X19" s="65">
        <f>IF(_epmOfflineCondition_,549087,_xll.EVGTS($B$1,1,$B$3,$B$5,$B$7,$B$9,X$16,X$17,X$18,$G$19,$H$19))</f>
        <v>549087</v>
      </c>
      <c r="Y19" s="65">
        <f>IF(_epmOfflineCondition_,756850.37,_xll.EVGTS($B$1,1,$B$3,$B$5,$B$7,$B$9,Y$16,Y$17,Y$18,$G$19,$H$19))</f>
        <v>756850.37</v>
      </c>
      <c r="Z19" s="65">
        <f>IF(_epmOfflineCondition_,1154118.08,_xll.EVGTS($B$1,1,$B$3,$B$5,$B$7,$B$9,Z$16,Z$17,Z$18,$G$19,$H$19))</f>
        <v>1154118.08</v>
      </c>
      <c r="AA19" s="65">
        <f>SUM(O19:Z19)</f>
        <v>8385989.8099999996</v>
      </c>
      <c r="AB19" s="63"/>
      <c r="AC19" s="63"/>
      <c r="AD19" s="65">
        <f>IF(_epmOfflineCondition_,13047408.7892219,_xll.EVGTS($B$1,1,$B$3,$B$5,$B$7,$B$9,AD$16,AD$17,AD$18,$G$19,$H$19))</f>
        <v>13047408.7892219</v>
      </c>
      <c r="AE19" s="63"/>
      <c r="AF19" s="63"/>
      <c r="AG19" s="65">
        <f>IF(_epmOfflineCondition_,3258668.97,_xll.EVGTS($B$1,1,$B$3,$B$5,$B$7,$B$9,AG$16,AG$17,AG$18,$G$19,$H$19))</f>
        <v>3258668.97</v>
      </c>
      <c r="AH19" s="63"/>
      <c r="AI19" s="63"/>
      <c r="AJ19" s="11"/>
      <c r="AK19" s="11"/>
      <c r="AL19" s="11"/>
      <c r="AM19" s="11"/>
      <c r="AN19" s="11"/>
      <c r="AO19" s="11"/>
    </row>
    <row r="20" spans="1:41" hidden="1" outlineLevel="1" x14ac:dyDescent="0.25">
      <c r="A20" s="61" t="s">
        <v>5</v>
      </c>
      <c r="B20" s="62"/>
      <c r="C20" s="11"/>
      <c r="D20" s="11"/>
      <c r="E20" s="11"/>
      <c r="F20" s="11"/>
      <c r="G20" s="63" t="s">
        <v>750</v>
      </c>
      <c r="H20" s="63">
        <v>904100</v>
      </c>
      <c r="I20" s="64"/>
      <c r="J20" s="64"/>
      <c r="K20" s="63"/>
      <c r="L20" s="64"/>
      <c r="M20" s="64"/>
      <c r="N20" s="63" t="str">
        <f>IF(_epmOfflineCondition_,"Available rooms",_xll.EVDES(H20))</f>
        <v>Available rooms</v>
      </c>
      <c r="O20" s="65">
        <f>IF(_epmOfflineCondition_,4092,_xll.EVGTS($B$1,1,$B$3,$B$5,$B$7,$B$9,O$16,O$17,O$18,$G$20,$H$20))</f>
        <v>4092</v>
      </c>
      <c r="P20" s="65">
        <f>IF(_epmOfflineCondition_,3696,_xll.EVGTS($B$1,1,$B$3,$B$5,$B$7,$B$9,P$16,P$17,P$18,$G$20,$H$20))</f>
        <v>3696</v>
      </c>
      <c r="Q20" s="65">
        <f>IF(_epmOfflineCondition_,4092,_xll.EVGTS($B$1,1,$B$3,$B$5,$B$7,$B$9,Q$16,Q$17,Q$18,$G$20,$H$20))</f>
        <v>4092</v>
      </c>
      <c r="R20" s="65">
        <f>IF(_epmOfflineCondition_,3960,_xll.EVGTS($B$1,1,$B$3,$B$5,$B$7,$B$9,R$16,R$17,R$18,$G$20,$H$20))</f>
        <v>3960</v>
      </c>
      <c r="S20" s="65">
        <f>IF(_epmOfflineCondition_,4092,_xll.EVGTS($B$1,1,$B$3,$B$5,$B$7,$B$9,S$16,S$17,S$18,$G$20,$H$20))</f>
        <v>4092</v>
      </c>
      <c r="T20" s="65">
        <f>IF(_epmOfflineCondition_,3960,_xll.EVGTS($B$1,1,$B$3,$B$5,$B$7,$B$9,T$16,T$17,T$18,$G$20,$H$20))</f>
        <v>3960</v>
      </c>
      <c r="U20" s="65">
        <f>IF(_epmOfflineCondition_,4092,_xll.EVGTS($B$1,1,$B$3,$B$5,$B$7,$B$9,U$16,U$17,U$18,$G$20,$H$20))</f>
        <v>4092</v>
      </c>
      <c r="V20" s="65">
        <f>IF(_epmOfflineCondition_,4092,_xll.EVGTS($B$1,1,$B$3,$B$5,$B$7,$B$9,V$16,V$17,V$18,$G$20,$H$20))</f>
        <v>4092</v>
      </c>
      <c r="W20" s="65">
        <f>IF(_epmOfflineCondition_,3960,_xll.EVGTS($B$1,1,$B$3,$B$5,$B$7,$B$9,W$16,W$17,W$18,$G$20,$H$20))</f>
        <v>3960</v>
      </c>
      <c r="X20" s="65">
        <f>IF(_epmOfflineCondition_,4092,_xll.EVGTS($B$1,1,$B$3,$B$5,$B$7,$B$9,X$16,X$17,X$18,$G$20,$H$20))</f>
        <v>4092</v>
      </c>
      <c r="Y20" s="65">
        <f>IF(_epmOfflineCondition_,3960,_xll.EVGTS($B$1,1,$B$3,$B$5,$B$7,$B$9,Y$16,Y$17,Y$18,$G$20,$H$20))</f>
        <v>3960</v>
      </c>
      <c r="Z20" s="65">
        <f>IF(_epmOfflineCondition_,4092,_xll.EVGTS($B$1,1,$B$3,$B$5,$B$7,$B$9,Z$16,Z$17,Z$18,$G$20,$H$20))</f>
        <v>4092</v>
      </c>
      <c r="AA20" s="65">
        <f>SUM(O20:Z20)</f>
        <v>48180</v>
      </c>
      <c r="AB20" s="63"/>
      <c r="AC20" s="63"/>
      <c r="AD20" s="65">
        <f>IF(_epmOfflineCondition_,48180,_xll.EVGTS($B$1,1,$B$3,$B$5,$B$7,$B$9,AD$16,AD$17,AD$18,$G$20,$H$20))</f>
        <v>48180</v>
      </c>
      <c r="AE20" s="63"/>
      <c r="AF20" s="63"/>
      <c r="AG20" s="65">
        <f>IF(_epmOfflineCondition_,37251,_xll.EVGTS($B$1,1,$B$3,$B$5,$B$7,$B$9,AG$16,AG$17,AG$18,$G$20,$H$20))</f>
        <v>37251</v>
      </c>
      <c r="AH20" s="63"/>
      <c r="AI20" s="63"/>
      <c r="AJ20" s="11"/>
      <c r="AK20" s="11"/>
      <c r="AL20" s="11"/>
      <c r="AM20" s="11"/>
      <c r="AN20" s="11"/>
      <c r="AO20" s="11"/>
    </row>
    <row r="21" spans="1:41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55"/>
      <c r="J21" s="55"/>
      <c r="K21" s="11"/>
      <c r="L21" s="55"/>
      <c r="M21" s="55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idden="1" outlineLevel="1" x14ac:dyDescent="0.25">
      <c r="A22" s="61" t="s">
        <v>7</v>
      </c>
      <c r="B22" s="62" t="str">
        <f>IF(_epmOfflineCondition_,"'POM'!$A$36:$F$42",_xll.EVRNG(A36:F42))</f>
        <v>'POM'!$A$36:$F$42</v>
      </c>
      <c r="C22" s="11"/>
      <c r="D22" s="11"/>
      <c r="E22" s="11"/>
      <c r="F22" s="11"/>
      <c r="G22" s="11"/>
      <c r="H22" s="11"/>
      <c r="I22" s="55"/>
      <c r="J22" s="55"/>
      <c r="K22" s="11"/>
      <c r="L22" s="55"/>
      <c r="M22" s="55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idden="1" outlineLevel="1" x14ac:dyDescent="0.25">
      <c r="A23" s="61" t="s">
        <v>47</v>
      </c>
      <c r="B23" s="62" t="str">
        <f>IF(_epmOfflineCondition_,"'POM'!$A$59:$B$80",_xll.EVRNG($A$59:$B$80))</f>
        <v>'POM'!$A$59:$B$80</v>
      </c>
      <c r="C23" s="11"/>
      <c r="D23" s="11"/>
      <c r="E23" s="11"/>
      <c r="F23" s="11"/>
      <c r="G23" s="11"/>
      <c r="H23" s="11"/>
      <c r="I23" s="55"/>
      <c r="J23" s="55"/>
      <c r="K23" s="6"/>
      <c r="L23" s="55"/>
      <c r="M23" s="55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55"/>
      <c r="M24" s="55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55"/>
      <c r="M25" s="55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22.5" x14ac:dyDescent="0.3">
      <c r="A26" s="57" t="s">
        <v>9</v>
      </c>
      <c r="B26" s="58" t="s">
        <v>10</v>
      </c>
      <c r="C26" s="11"/>
      <c r="D26" s="11"/>
      <c r="E26" s="11"/>
      <c r="F26" s="11"/>
      <c r="G26" s="11"/>
      <c r="H26" s="11"/>
      <c r="I26" s="55"/>
      <c r="J26" s="55"/>
      <c r="K26" s="11"/>
      <c r="L26" s="55"/>
      <c r="M26" s="55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8" x14ac:dyDescent="0.25">
      <c r="A27" s="61" t="s">
        <v>11</v>
      </c>
      <c r="B27" s="62" t="s">
        <v>21</v>
      </c>
      <c r="C27" s="11"/>
      <c r="D27" s="11"/>
      <c r="E27" s="11"/>
      <c r="F27" s="11"/>
      <c r="G27" s="11"/>
      <c r="H27" s="11"/>
      <c r="I27" s="55"/>
      <c r="J27" s="55"/>
      <c r="K27" s="11"/>
      <c r="L27" s="55"/>
      <c r="M27" s="55"/>
      <c r="N27" s="67" t="str">
        <f>IF(_epmOfflineCondition_,"Property Operation &amp; Maintenance Department",IF(_xll.EVDES(B6,$B$1)="#NODATA","",_xll.EVDES(B6,$B$1)&amp;" Department"))</f>
        <v>Property Operation &amp; Maintenance Department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x14ac:dyDescent="0.25">
      <c r="A28" s="61" t="s">
        <v>12</v>
      </c>
      <c r="B28" s="62" t="s">
        <v>22</v>
      </c>
      <c r="C28" s="11"/>
      <c r="D28" s="11"/>
      <c r="E28" s="11"/>
      <c r="F28" s="11"/>
      <c r="G28" s="11"/>
      <c r="H28" s="11"/>
      <c r="I28" s="55"/>
      <c r="J28" s="55"/>
      <c r="K28" s="11"/>
      <c r="L28" s="55"/>
      <c r="M28" s="55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" customHeight="1" x14ac:dyDescent="0.25">
      <c r="A29" s="61" t="s">
        <v>13</v>
      </c>
      <c r="B29" s="62" t="s">
        <v>736</v>
      </c>
      <c r="C29" s="11"/>
      <c r="D29" s="11"/>
      <c r="E29" s="11"/>
      <c r="F29" s="11"/>
      <c r="G29" s="11"/>
      <c r="H29" s="11"/>
      <c r="I29" s="55"/>
      <c r="J29" s="55"/>
      <c r="K29" s="11"/>
      <c r="L29" s="55"/>
      <c r="M29" s="55"/>
      <c r="N29" s="68" t="str">
        <f>IF(_epmOfflineCondition_,"Local Currency",_xll.EVDES(B9,B1))</f>
        <v>Local Currency</v>
      </c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x14ac:dyDescent="0.25">
      <c r="A30" s="61" t="s">
        <v>14</v>
      </c>
      <c r="B30" s="62"/>
      <c r="C30" s="11"/>
      <c r="D30" s="11"/>
      <c r="E30" s="11"/>
      <c r="F30" s="11"/>
      <c r="G30" s="11"/>
      <c r="H30" s="11"/>
      <c r="I30" s="55"/>
      <c r="J30" s="55"/>
      <c r="K30" s="11"/>
      <c r="L30" s="55"/>
      <c r="M30" s="55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  <c r="AJ30" s="69" t="s">
        <v>753</v>
      </c>
      <c r="AK30" s="70"/>
      <c r="AL30" s="71"/>
      <c r="AM30" s="70" t="s">
        <v>751</v>
      </c>
      <c r="AN30" s="70"/>
      <c r="AO30" s="11"/>
    </row>
    <row r="31" spans="1:41" x14ac:dyDescent="0.25">
      <c r="A31" s="61" t="s">
        <v>15</v>
      </c>
      <c r="B31" s="62"/>
      <c r="C31" s="11"/>
      <c r="D31" s="11"/>
      <c r="E31" s="11"/>
      <c r="F31" s="11"/>
      <c r="G31" s="72"/>
      <c r="H31" s="11"/>
      <c r="I31" s="55"/>
      <c r="J31" s="55"/>
      <c r="K31" s="173"/>
      <c r="L31" s="55"/>
      <c r="M31" s="55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  <c r="AJ31" s="73" t="str">
        <f>IF(_epmOfflineCondition_,"2019",_xll.EVPRO($B$1,AA$16,"YEAR"))</f>
        <v>2019</v>
      </c>
      <c r="AK31" s="76" t="str">
        <f>IF(_epmOfflineCondition_,"2019",_xll.EVPRO($B$1,AD$16,"YEAR"))</f>
        <v>2019</v>
      </c>
      <c r="AL31" s="76" t="str">
        <f>IF(_epmOfflineCondition_,"2018",_xll.EVPRO($B$1,AG$16,"YEAR"))</f>
        <v>2018</v>
      </c>
      <c r="AM31" s="73" t="str">
        <f>"vs "&amp;AK31</f>
        <v>vs 2019</v>
      </c>
      <c r="AN31" s="73" t="str">
        <f>"vs "&amp;AL31</f>
        <v>vs 2018</v>
      </c>
      <c r="AO31" s="11"/>
    </row>
    <row r="32" spans="1:41" s="8" customFormat="1" ht="30" customHeight="1" x14ac:dyDescent="0.25">
      <c r="A32" s="77" t="s">
        <v>16</v>
      </c>
      <c r="B32" s="78" t="s">
        <v>78</v>
      </c>
      <c r="C32" s="79"/>
      <c r="D32" s="79"/>
      <c r="E32" s="79"/>
      <c r="F32" s="79"/>
      <c r="G32" s="79"/>
      <c r="H32" s="80"/>
      <c r="I32" s="81"/>
      <c r="J32" s="81"/>
      <c r="K32" s="174" t="s">
        <v>117</v>
      </c>
      <c r="L32" s="81"/>
      <c r="M32" s="81"/>
      <c r="N32" s="82" t="s">
        <v>120</v>
      </c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  <c r="AJ32" s="83" t="str">
        <f>Z32</f>
        <v>Actual</v>
      </c>
      <c r="AK32" s="76" t="str">
        <f>AD32</f>
        <v>Budget</v>
      </c>
      <c r="AL32" s="83" t="str">
        <f>AG32</f>
        <v>Actual</v>
      </c>
      <c r="AM32" s="73" t="s">
        <v>748</v>
      </c>
      <c r="AN32" s="73" t="s">
        <v>748</v>
      </c>
      <c r="AO32" s="79"/>
    </row>
    <row r="33" spans="1:41" x14ac:dyDescent="0.25">
      <c r="A33" s="61" t="s">
        <v>17</v>
      </c>
      <c r="B33" s="62"/>
      <c r="C33" s="11"/>
      <c r="D33" s="11"/>
      <c r="E33" s="11"/>
      <c r="F33" s="11"/>
      <c r="G33" s="11"/>
      <c r="H33" s="11" t="s">
        <v>73</v>
      </c>
      <c r="I33" s="55" t="str">
        <f>IF(_epmOfflineCondition_,"B1",_xll.EVPRO($B$1,$H33,"STYLE"))</f>
        <v>B1</v>
      </c>
      <c r="J33" s="55" t="str">
        <f>IF(_epmOfflineCondition_,"Y",_xll.EVPRO($B$1,$H33,"CALC"))</f>
        <v>Y</v>
      </c>
      <c r="K33" s="11"/>
      <c r="L33" s="55"/>
      <c r="M33" s="55"/>
      <c r="N33" s="101" t="str">
        <f>IF(_epmOfflineCondition_,"Labor &amp; Related Expenses",IF(_xll.EVDES(H33,$B$1)="#NODATA","",_xll.EVDES(H33,$B$1)))</f>
        <v>Labor &amp; Related Expenses</v>
      </c>
      <c r="O33" s="199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114"/>
      <c r="AC33" s="11"/>
      <c r="AD33" s="199"/>
      <c r="AE33" s="200"/>
      <c r="AF33" s="114"/>
      <c r="AG33" s="199"/>
      <c r="AH33" s="200"/>
      <c r="AI33" s="114"/>
      <c r="AJ33" s="11"/>
      <c r="AK33" s="11"/>
      <c r="AL33" s="11"/>
      <c r="AM33" s="11"/>
      <c r="AN33" s="11"/>
      <c r="AO33" s="11"/>
    </row>
    <row r="34" spans="1:41" x14ac:dyDescent="0.25">
      <c r="A34" s="11"/>
      <c r="B34" s="11"/>
      <c r="C34" s="11"/>
      <c r="D34" s="11"/>
      <c r="E34" s="11"/>
      <c r="F34" s="11"/>
      <c r="G34" s="11"/>
      <c r="H34" s="11" t="s">
        <v>74</v>
      </c>
      <c r="I34" s="55" t="str">
        <f>IF(_epmOfflineCondition_,"B1",_xll.EVPRO($B$1,$H34,"STYLE"))</f>
        <v>B1</v>
      </c>
      <c r="J34" s="55" t="str">
        <f>IF(_epmOfflineCondition_,"Y",_xll.EVPRO($B$1,$H34,"CALC"))</f>
        <v>Y</v>
      </c>
      <c r="K34" s="11"/>
      <c r="L34" s="55"/>
      <c r="M34" s="55"/>
      <c r="N34" s="49" t="str">
        <f>IF(_epmOfflineCondition_,"Salaries &amp; Wages",IF(_xll.EVDES(H34,$B$1)="#NODATA","",_xll.EVDES(H34,$B$1)))</f>
        <v>Salaries &amp; Wages</v>
      </c>
      <c r="O34" s="115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7"/>
      <c r="AC34" s="11"/>
      <c r="AD34" s="115"/>
      <c r="AE34" s="116"/>
      <c r="AF34" s="117"/>
      <c r="AG34" s="115"/>
      <c r="AH34" s="116"/>
      <c r="AI34" s="117"/>
      <c r="AJ34" s="11"/>
      <c r="AK34" s="11"/>
      <c r="AL34" s="11"/>
      <c r="AM34" s="11"/>
      <c r="AN34" s="11"/>
      <c r="AO34" s="11"/>
    </row>
    <row r="35" spans="1:41" x14ac:dyDescent="0.25">
      <c r="A35" s="93" t="s">
        <v>92</v>
      </c>
      <c r="B35" s="94" t="s">
        <v>93</v>
      </c>
      <c r="C35" s="94" t="s">
        <v>94</v>
      </c>
      <c r="D35" s="94" t="s">
        <v>95</v>
      </c>
      <c r="E35" s="94" t="s">
        <v>96</v>
      </c>
      <c r="F35" s="95" t="s">
        <v>97</v>
      </c>
      <c r="G35" s="11"/>
      <c r="H35" s="84" t="s">
        <v>819</v>
      </c>
      <c r="I35" s="118" t="str">
        <f>IF(_epmOfflineCondition_,"T3",_xll.EVPRO($B$1,$H35,"STYLE"))</f>
        <v>T3</v>
      </c>
      <c r="J35" s="118" t="str">
        <f>IF(_epmOfflineCondition_,"Y",_xll.EVPRO($B$1,$H35,"CALC"))</f>
        <v>Y</v>
      </c>
      <c r="K35" s="175" t="str">
        <f t="shared" ref="K35:K46" si="0">IF(AND(I35&gt;="T3"),"&gt;","")</f>
        <v>&gt;</v>
      </c>
      <c r="L35" s="86" t="str">
        <f>IF(_epmOfflineCondition_,"",_xll.EVPRO($B$1,H35,"JDEID"))</f>
        <v/>
      </c>
      <c r="M35" s="86" t="str">
        <f>IF(_epmOfflineCondition_,"",IF(AND(I35="N",J35="N"),_xll.EVPRO($B$1,H35,"PSFTID"),""))</f>
        <v/>
      </c>
      <c r="N35" s="86" t="str">
        <f>IF(_epmOfflineCondition_,"Management",IF(_xll.EVDES(H35,$B$1)="#NODATA","",_xll.EVDES(H35,$B$1)))</f>
        <v>Management</v>
      </c>
      <c r="O35" s="240">
        <v>5453.96</v>
      </c>
      <c r="P35" s="240">
        <v>6008.34</v>
      </c>
      <c r="Q35" s="240">
        <v>4067.41</v>
      </c>
      <c r="R35" s="240">
        <v>6188.58</v>
      </c>
      <c r="S35" s="240">
        <v>5617.58</v>
      </c>
      <c r="T35" s="240">
        <v>5046.32</v>
      </c>
      <c r="U35" s="240">
        <v>8001.7</v>
      </c>
      <c r="V35" s="240">
        <v>4708.67</v>
      </c>
      <c r="W35" s="240">
        <v>1414.4</v>
      </c>
      <c r="X35" s="240">
        <v>3588.89</v>
      </c>
      <c r="Y35" s="240">
        <v>6333.34</v>
      </c>
      <c r="Z35" s="240">
        <v>6333.34</v>
      </c>
      <c r="AA35" s="240">
        <f t="shared" ref="AA35:AA46" si="1">IF($I35="B1","",SUM(O35:Z35))</f>
        <v>62762.53</v>
      </c>
      <c r="AB35" s="242">
        <f t="shared" ref="AB35:AB46" si="2">IF(AA35=0,"",IFERROR(AA35/AA$19,""))</f>
        <v>7.4842125285148661E-3</v>
      </c>
      <c r="AC35" s="136"/>
      <c r="AD35" s="134">
        <v>95742.651808539493</v>
      </c>
      <c r="AE35" s="138">
        <f t="shared" ref="AE35:AE46" si="3">IF(AD35=0,"",IFERROR(AD35/AD$19,""))</f>
        <v>7.3380587176535639E-3</v>
      </c>
      <c r="AF35" s="137">
        <f t="shared" ref="AF35:AF46" si="4">IF(AND($AA35="",AD35=""),"",$AA35-AD35)</f>
        <v>-32980.121808539494</v>
      </c>
      <c r="AG35" s="134">
        <v>46814.15</v>
      </c>
      <c r="AH35" s="138">
        <f t="shared" ref="AH35:AH46" si="5">IF(AG35=0,"",IFERROR(AG35/AG$19,""))</f>
        <v>1.4366034240047402E-2</v>
      </c>
      <c r="AI35" s="137">
        <f t="shared" ref="AI35:AI46" si="6">IF(AND($AA35="",AG35=""),"",$AA35-AG35)</f>
        <v>15948.379999999997</v>
      </c>
      <c r="AJ35" s="458">
        <f t="shared" ref="AJ35:AJ46" si="7">IFERROR(AA35/AA$20,0)</f>
        <v>1.302667704441677</v>
      </c>
      <c r="AK35" s="459">
        <f t="shared" ref="AK35:AK46" si="8">IFERROR(AD35/AD$20,0)</f>
        <v>1.9871866294840077</v>
      </c>
      <c r="AL35" s="460">
        <f t="shared" ref="AL35:AL46" si="9">IFERROR(AG35/AG$20,0)</f>
        <v>1.2567219671955117</v>
      </c>
      <c r="AM35" s="461" t="str">
        <f t="shared" ref="AM35:AM46" si="10">+IFERROR(ROUND(($AB35-AE35)*100,2)&amp;" pts.",0)</f>
        <v>0.01 pts.</v>
      </c>
      <c r="AN35" s="462" t="str">
        <f t="shared" ref="AN35:AN46" si="11">+IFERROR(ROUND(($AB35-AH35)*100,2)&amp;" pts.",0)</f>
        <v>-0.69 pts.</v>
      </c>
      <c r="AO35" s="11"/>
    </row>
    <row r="36" spans="1:41" hidden="1" x14ac:dyDescent="0.25">
      <c r="A36" s="11"/>
      <c r="B36" s="11"/>
      <c r="C36" s="11"/>
      <c r="D36" s="11"/>
      <c r="E36" s="11"/>
      <c r="F36" s="11"/>
      <c r="G36" s="11"/>
      <c r="H36" s="84"/>
      <c r="I36" s="118" t="str">
        <f>IF(_epmOfflineCondition_,"",_xll.EVPRO($B$1,$H36,"STYLE"))</f>
        <v/>
      </c>
      <c r="J36" s="118" t="str">
        <f>IF(_epmOfflineCondition_,"",_xll.EVPRO($B$1,$H36,"CALC"))</f>
        <v/>
      </c>
      <c r="K36" s="175" t="str">
        <f t="shared" si="0"/>
        <v/>
      </c>
      <c r="L36" s="86" t="str">
        <f>IF(_epmOfflineCondition_,"",_xll.EVPRO($B$1,H36,"JDEID"))</f>
        <v/>
      </c>
      <c r="M36" s="86" t="str">
        <f>IF(_epmOfflineCondition_,"",IF(AND(I36="N",J36="N"),_xll.EVPRO($B$1,H36,"PSFTID"),""))</f>
        <v/>
      </c>
      <c r="N36" s="86" t="str">
        <f>IF(_epmOfflineCondition_,"",IF(_xll.EVDES(H36,$B$1)="#NODATA","",_xll.EVDES(H36,$B$1)))</f>
        <v/>
      </c>
      <c r="O36" s="240"/>
      <c r="P36" s="240"/>
      <c r="Q36" s="240"/>
      <c r="R36" s="240"/>
      <c r="S36" s="240"/>
      <c r="T36" s="240"/>
      <c r="U36" s="240"/>
      <c r="V36" s="240"/>
      <c r="W36" s="240"/>
      <c r="X36" s="240"/>
      <c r="Y36" s="240"/>
      <c r="Z36" s="240"/>
      <c r="AA36" s="240">
        <f t="shared" si="1"/>
        <v>0</v>
      </c>
      <c r="AB36" s="242" t="str">
        <f t="shared" si="2"/>
        <v/>
      </c>
      <c r="AC36" s="136"/>
      <c r="AD36" s="134"/>
      <c r="AE36" s="138" t="str">
        <f t="shared" si="3"/>
        <v/>
      </c>
      <c r="AF36" s="137">
        <f t="shared" si="4"/>
        <v>0</v>
      </c>
      <c r="AG36" s="134"/>
      <c r="AH36" s="138" t="str">
        <f t="shared" si="5"/>
        <v/>
      </c>
      <c r="AI36" s="137">
        <f t="shared" si="6"/>
        <v>0</v>
      </c>
      <c r="AJ36" s="458">
        <f t="shared" si="7"/>
        <v>0</v>
      </c>
      <c r="AK36" s="459">
        <f t="shared" si="8"/>
        <v>0</v>
      </c>
      <c r="AL36" s="460">
        <f t="shared" si="9"/>
        <v>0</v>
      </c>
      <c r="AM36" s="461">
        <f t="shared" si="10"/>
        <v>0</v>
      </c>
      <c r="AN36" s="462">
        <f t="shared" si="11"/>
        <v>0</v>
      </c>
      <c r="AO36" s="11"/>
    </row>
    <row r="37" spans="1:41" x14ac:dyDescent="0.25">
      <c r="A37" s="11" t="s">
        <v>108</v>
      </c>
      <c r="B37" s="11"/>
      <c r="C37" s="100" t="s">
        <v>101</v>
      </c>
      <c r="D37" s="11" t="s">
        <v>106</v>
      </c>
      <c r="E37" s="11"/>
      <c r="F37" s="11" t="s">
        <v>98</v>
      </c>
      <c r="G37" s="11"/>
      <c r="H37" s="84" t="s">
        <v>75</v>
      </c>
      <c r="I37" s="85" t="str">
        <f>IF(_epmOfflineCondition_,"B1",_xll.EVPRO($B$1,$H37,"STYLE"))</f>
        <v>B1</v>
      </c>
      <c r="J37" s="85" t="str">
        <f>IF(_epmOfflineCondition_,"Y",_xll.EVPRO($B$1,$H37,"CALC"))</f>
        <v>Y</v>
      </c>
      <c r="K37" s="261" t="str">
        <f t="shared" si="0"/>
        <v/>
      </c>
      <c r="L37" s="102" t="str">
        <f>IF(_epmOfflineCondition_,"",_xll.EVPRO($B$1,H37,"JDEID"))</f>
        <v/>
      </c>
      <c r="M37" s="86" t="str">
        <f>IF(_epmOfflineCondition_,"",IF(AND(I37="N",J37="N"),_xll.EVPRO($B$1,H37,"PSFTID"),""))</f>
        <v/>
      </c>
      <c r="N37" s="102" t="str">
        <f>IF(_epmOfflineCondition_,"Non-Management",IF(_xll.EVDES(H37,$B$1)="#NODATA","",_xll.EVDES(H37,$B$1)))</f>
        <v>Non-Management</v>
      </c>
      <c r="O37" s="193"/>
      <c r="P37" s="193"/>
      <c r="Q37" s="193"/>
      <c r="R37" s="193"/>
      <c r="S37" s="193"/>
      <c r="T37" s="193"/>
      <c r="U37" s="193"/>
      <c r="V37" s="193"/>
      <c r="W37" s="193"/>
      <c r="X37" s="193"/>
      <c r="Y37" s="193"/>
      <c r="Z37" s="193"/>
      <c r="AA37" s="193" t="str">
        <f t="shared" si="1"/>
        <v/>
      </c>
      <c r="AB37" s="194" t="str">
        <f t="shared" si="2"/>
        <v/>
      </c>
      <c r="AC37" s="11"/>
      <c r="AD37" s="87"/>
      <c r="AE37" s="96" t="str">
        <f t="shared" si="3"/>
        <v/>
      </c>
      <c r="AF37" s="88" t="str">
        <f t="shared" si="4"/>
        <v/>
      </c>
      <c r="AG37" s="87"/>
      <c r="AH37" s="96" t="str">
        <f t="shared" si="5"/>
        <v/>
      </c>
      <c r="AI37" s="88" t="str">
        <f t="shared" si="6"/>
        <v/>
      </c>
      <c r="AJ37" s="393">
        <f t="shared" si="7"/>
        <v>0</v>
      </c>
      <c r="AK37" s="394">
        <f t="shared" si="8"/>
        <v>0</v>
      </c>
      <c r="AL37" s="395">
        <f t="shared" si="9"/>
        <v>0</v>
      </c>
      <c r="AM37" s="396">
        <f t="shared" si="10"/>
        <v>0</v>
      </c>
      <c r="AN37" s="397">
        <f t="shared" si="11"/>
        <v>0</v>
      </c>
      <c r="AO37" s="11"/>
    </row>
    <row r="38" spans="1:41" x14ac:dyDescent="0.25">
      <c r="A38" s="11" t="s">
        <v>100</v>
      </c>
      <c r="B38" s="11"/>
      <c r="C38" s="49" t="s">
        <v>101</v>
      </c>
      <c r="D38" s="11" t="s">
        <v>106</v>
      </c>
      <c r="E38" s="11"/>
      <c r="F38" s="11" t="s">
        <v>98</v>
      </c>
      <c r="G38" s="11"/>
      <c r="H38" s="84" t="s">
        <v>872</v>
      </c>
      <c r="I38" s="118" t="str">
        <f>IF(_epmOfflineCondition_,"T3",_xll.EVPRO($B$1,$H38,"STYLE"))</f>
        <v>T3</v>
      </c>
      <c r="J38" s="118" t="str">
        <f>IF(_epmOfflineCondition_,"Y",_xll.EVPRO($B$1,$H38,"CALC"))</f>
        <v>Y</v>
      </c>
      <c r="K38" s="175" t="str">
        <f t="shared" si="0"/>
        <v>&gt;</v>
      </c>
      <c r="L38" s="86" t="str">
        <f>IF(_epmOfflineCondition_,"",_xll.EVPRO($B$1,H38,"JDEID"))</f>
        <v/>
      </c>
      <c r="M38" s="86" t="str">
        <f>IF(_epmOfflineCondition_,"",IF(AND(I38="N",J38="N"),_xll.EVPRO($B$1,H38,"PSFTID"),""))</f>
        <v/>
      </c>
      <c r="N38" s="86" t="str">
        <f>IF(_epmOfflineCondition_,"Non-Mgmt. (PO &amp; M)",IF(_xll.EVDES(H38,$B$1)="#NODATA","",_xll.EVDES(H38,$B$1)))</f>
        <v>Non-Mgmt. (PO &amp; M)</v>
      </c>
      <c r="O38" s="248">
        <v>14279.63</v>
      </c>
      <c r="P38" s="248">
        <v>11703.13</v>
      </c>
      <c r="Q38" s="248">
        <v>12789.25</v>
      </c>
      <c r="R38" s="248">
        <v>12636.45</v>
      </c>
      <c r="S38" s="248">
        <v>14037.96</v>
      </c>
      <c r="T38" s="248">
        <v>13218.53</v>
      </c>
      <c r="U38" s="248">
        <v>13176.04</v>
      </c>
      <c r="V38" s="248">
        <v>10935.01</v>
      </c>
      <c r="W38" s="248">
        <v>12235.28</v>
      </c>
      <c r="X38" s="248">
        <v>11671.6</v>
      </c>
      <c r="Y38" s="248">
        <v>11702.82</v>
      </c>
      <c r="Z38" s="248">
        <v>11858.54</v>
      </c>
      <c r="AA38" s="248">
        <f t="shared" si="1"/>
        <v>150244.24</v>
      </c>
      <c r="AB38" s="249">
        <f t="shared" si="2"/>
        <v>1.7916100949805471E-2</v>
      </c>
      <c r="AC38" s="136"/>
      <c r="AD38" s="228">
        <v>168495.714285714</v>
      </c>
      <c r="AE38" s="230">
        <f t="shared" si="3"/>
        <v>1.2914113216480472E-2</v>
      </c>
      <c r="AF38" s="231">
        <f t="shared" si="4"/>
        <v>-18251.474285714008</v>
      </c>
      <c r="AG38" s="228">
        <v>130653.03</v>
      </c>
      <c r="AH38" s="230">
        <f t="shared" si="5"/>
        <v>4.0093986594778294E-2</v>
      </c>
      <c r="AI38" s="231">
        <f t="shared" si="6"/>
        <v>19591.209999999992</v>
      </c>
      <c r="AJ38" s="467">
        <f t="shared" si="7"/>
        <v>3.1183943545039434</v>
      </c>
      <c r="AK38" s="468">
        <f t="shared" si="8"/>
        <v>3.4972128328292653</v>
      </c>
      <c r="AL38" s="469">
        <f t="shared" si="9"/>
        <v>3.5073697350406698</v>
      </c>
      <c r="AM38" s="470" t="str">
        <f t="shared" si="10"/>
        <v>0.5 pts.</v>
      </c>
      <c r="AN38" s="471" t="str">
        <f t="shared" si="11"/>
        <v>-2.22 pts.</v>
      </c>
      <c r="AO38" s="11"/>
    </row>
    <row r="39" spans="1:41" x14ac:dyDescent="0.25">
      <c r="A39" s="11" t="s">
        <v>109</v>
      </c>
      <c r="B39" s="11"/>
      <c r="C39" s="102" t="s">
        <v>101</v>
      </c>
      <c r="D39" s="11" t="s">
        <v>106</v>
      </c>
      <c r="E39" s="11"/>
      <c r="F39" s="11" t="s">
        <v>98</v>
      </c>
      <c r="G39" s="11"/>
      <c r="H39" s="84" t="s">
        <v>812</v>
      </c>
      <c r="I39" s="184" t="str">
        <f>IF(_epmOfflineCondition_,"T2",_xll.EVPRO($B$1,$H39,"STYLE"))</f>
        <v>T2</v>
      </c>
      <c r="J39" s="184" t="str">
        <f>IF(_epmOfflineCondition_,"Y",_xll.EVPRO($B$1,$H39,"CALC"))</f>
        <v>Y</v>
      </c>
      <c r="K39" s="185" t="str">
        <f t="shared" si="0"/>
        <v/>
      </c>
      <c r="L39" s="186" t="str">
        <f>IF(_epmOfflineCondition_,"",_xll.EVPRO($B$1,H39,"JDEID"))</f>
        <v/>
      </c>
      <c r="M39" s="186" t="str">
        <f>IF(_epmOfflineCondition_,"",IF(AND(I39="N",J39="N"),_xll.EVPRO($B$1,H39,"PSFTID"),""))</f>
        <v/>
      </c>
      <c r="N39" s="186" t="str">
        <f>IF(_epmOfflineCondition_,"Total Salaries and Wages",IF(_xll.EVDES(H39,$B$1)="#NODATA","",_xll.EVDES(H39,$B$1)))</f>
        <v>Total Salaries and Wages</v>
      </c>
      <c r="O39" s="236">
        <v>19733.59</v>
      </c>
      <c r="P39" s="236">
        <v>17711.47</v>
      </c>
      <c r="Q39" s="236">
        <v>16856.66</v>
      </c>
      <c r="R39" s="236">
        <v>18825.03</v>
      </c>
      <c r="S39" s="236">
        <v>19655.54</v>
      </c>
      <c r="T39" s="236">
        <v>18264.849999999999</v>
      </c>
      <c r="U39" s="236">
        <v>21177.74</v>
      </c>
      <c r="V39" s="236">
        <v>15643.68</v>
      </c>
      <c r="W39" s="236">
        <v>13649.68</v>
      </c>
      <c r="X39" s="236">
        <v>15260.49</v>
      </c>
      <c r="Y39" s="236">
        <v>18036.16</v>
      </c>
      <c r="Z39" s="236">
        <v>18191.88</v>
      </c>
      <c r="AA39" s="236">
        <f t="shared" si="1"/>
        <v>213006.77</v>
      </c>
      <c r="AB39" s="237">
        <f t="shared" si="2"/>
        <v>2.5400313478320335E-2</v>
      </c>
      <c r="AC39" s="238"/>
      <c r="AD39" s="236">
        <v>264238.36609425402</v>
      </c>
      <c r="AE39" s="237">
        <f t="shared" si="3"/>
        <v>2.0252171934134075E-2</v>
      </c>
      <c r="AF39" s="239">
        <f t="shared" si="4"/>
        <v>-51231.596094254026</v>
      </c>
      <c r="AG39" s="236">
        <v>177467.18</v>
      </c>
      <c r="AH39" s="237">
        <f t="shared" si="5"/>
        <v>5.4460020834825693E-2</v>
      </c>
      <c r="AI39" s="239">
        <f t="shared" si="6"/>
        <v>35539.589999999997</v>
      </c>
      <c r="AJ39" s="215">
        <f t="shared" si="7"/>
        <v>4.42106205894562</v>
      </c>
      <c r="AK39" s="216">
        <f t="shared" si="8"/>
        <v>5.4843994623132835</v>
      </c>
      <c r="AL39" s="218">
        <f t="shared" si="9"/>
        <v>4.7640917022361817</v>
      </c>
      <c r="AM39" s="423" t="str">
        <f t="shared" si="10"/>
        <v>0.51 pts.</v>
      </c>
      <c r="AN39" s="474" t="str">
        <f t="shared" si="11"/>
        <v>-2.91 pts.</v>
      </c>
      <c r="AO39" s="11"/>
    </row>
    <row r="40" spans="1:41" x14ac:dyDescent="0.25">
      <c r="A40" s="11" t="s">
        <v>109</v>
      </c>
      <c r="B40" s="11"/>
      <c r="C40" s="192" t="s">
        <v>101</v>
      </c>
      <c r="D40" s="11" t="s">
        <v>107</v>
      </c>
      <c r="E40" s="11"/>
      <c r="F40" s="11" t="s">
        <v>99</v>
      </c>
      <c r="G40" s="11"/>
      <c r="H40" s="84" t="s">
        <v>813</v>
      </c>
      <c r="I40" s="118" t="str">
        <f>IF(_epmOfflineCondition_,"T3",_xll.EVPRO($B$1,$H40,"STYLE"))</f>
        <v>T3</v>
      </c>
      <c r="J40" s="118" t="str">
        <f>IF(_epmOfflineCondition_,"Y",_xll.EVPRO($B$1,$H40,"CALC"))</f>
        <v>Y</v>
      </c>
      <c r="K40" s="175" t="str">
        <f t="shared" si="0"/>
        <v>&gt;</v>
      </c>
      <c r="L40" s="86" t="str">
        <f>IF(_epmOfflineCondition_,"",_xll.EVPRO($B$1,H40,"JDEID"))</f>
        <v/>
      </c>
      <c r="M40" s="86" t="str">
        <f>IF(_epmOfflineCondition_,"",IF(AND(I40="N",J40="N"),_xll.EVPRO($B$1,H40,"PSFTID"),""))</f>
        <v/>
      </c>
      <c r="N40" s="86" t="str">
        <f>IF(_epmOfflineCondition_,"Bonuses &amp; Incentives",IF(_xll.EVDES(H40,$B$1)="#NODATA","",_xll.EVDES(H40,$B$1)))</f>
        <v>Bonuses &amp; Incentives</v>
      </c>
      <c r="O40" s="248">
        <v>766.06</v>
      </c>
      <c r="P40" s="248">
        <v>2131.08</v>
      </c>
      <c r="Q40" s="248">
        <v>766.06</v>
      </c>
      <c r="R40" s="248">
        <v>766.06</v>
      </c>
      <c r="S40" s="248">
        <v>789.08</v>
      </c>
      <c r="T40" s="248">
        <v>789.08</v>
      </c>
      <c r="U40" s="248">
        <v>897.36</v>
      </c>
      <c r="V40" s="248">
        <v>-865.67</v>
      </c>
      <c r="W40" s="248">
        <v>789.08</v>
      </c>
      <c r="X40" s="248">
        <v>789.08</v>
      </c>
      <c r="Y40" s="248">
        <v>-596.91999999999996</v>
      </c>
      <c r="Z40" s="248">
        <v>789.08</v>
      </c>
      <c r="AA40" s="248">
        <f t="shared" si="1"/>
        <v>7809.4299999999994</v>
      </c>
      <c r="AB40" s="249">
        <f t="shared" si="2"/>
        <v>9.3124725607077739E-4</v>
      </c>
      <c r="AC40" s="136"/>
      <c r="AD40" s="248">
        <v>17143.340133891601</v>
      </c>
      <c r="AE40" s="249">
        <f t="shared" si="3"/>
        <v>1.3139268042289926E-3</v>
      </c>
      <c r="AF40" s="250">
        <f t="shared" si="4"/>
        <v>-9333.9101338916007</v>
      </c>
      <c r="AG40" s="248">
        <v>10390.35</v>
      </c>
      <c r="AH40" s="249">
        <f t="shared" si="5"/>
        <v>3.1885257740678088E-3</v>
      </c>
      <c r="AI40" s="250">
        <f t="shared" si="6"/>
        <v>-2580.920000000001</v>
      </c>
      <c r="AJ40" s="532">
        <f t="shared" si="7"/>
        <v>0.16208862598588625</v>
      </c>
      <c r="AK40" s="533">
        <f t="shared" si="8"/>
        <v>0.35581859970717311</v>
      </c>
      <c r="AL40" s="534">
        <f t="shared" si="9"/>
        <v>0.27892808246758477</v>
      </c>
      <c r="AM40" s="535" t="str">
        <f t="shared" si="10"/>
        <v>-0.04 pts.</v>
      </c>
      <c r="AN40" s="536" t="str">
        <f t="shared" si="11"/>
        <v>-0.23 pts.</v>
      </c>
      <c r="AO40" s="11"/>
    </row>
    <row r="41" spans="1:41" x14ac:dyDescent="0.25">
      <c r="A41" s="11" t="s">
        <v>110</v>
      </c>
      <c r="B41" s="11"/>
      <c r="C41" s="102" t="s">
        <v>101</v>
      </c>
      <c r="D41" s="11" t="s">
        <v>106</v>
      </c>
      <c r="E41" s="11"/>
      <c r="F41" s="11" t="s">
        <v>98</v>
      </c>
      <c r="G41" s="11"/>
      <c r="H41" s="84" t="s">
        <v>814</v>
      </c>
      <c r="I41" s="184" t="str">
        <f>IF(_epmOfflineCondition_,"T2",_xll.EVPRO($B$1,$H41,"STYLE"))</f>
        <v>T2</v>
      </c>
      <c r="J41" s="184" t="str">
        <f>IF(_epmOfflineCondition_,"Y",_xll.EVPRO($B$1,$H41,"CALC"))</f>
        <v>Y</v>
      </c>
      <c r="K41" s="185" t="str">
        <f t="shared" si="0"/>
        <v/>
      </c>
      <c r="L41" s="186" t="str">
        <f>IF(_epmOfflineCondition_,"",_xll.EVPRO($B$1,H41,"JDEID"))</f>
        <v/>
      </c>
      <c r="M41" s="186" t="str">
        <f>IF(_epmOfflineCondition_,"",IF(AND(I41="N",J41="N"),_xll.EVPRO($B$1,H41,"PSFTID"),""))</f>
        <v/>
      </c>
      <c r="N41" s="186" t="str">
        <f>IF(_epmOfflineCondition_,"Total Labor Expense",IF(_xll.EVDES(H41,$B$1)="#NODATA","",_xll.EVDES(H41,$B$1)))</f>
        <v>Total Labor Expense</v>
      </c>
      <c r="O41" s="236">
        <v>20499.650000000001</v>
      </c>
      <c r="P41" s="236">
        <v>19842.55</v>
      </c>
      <c r="Q41" s="236">
        <v>17622.72</v>
      </c>
      <c r="R41" s="236">
        <v>19591.09</v>
      </c>
      <c r="S41" s="236">
        <v>20444.62</v>
      </c>
      <c r="T41" s="236">
        <v>19053.93</v>
      </c>
      <c r="U41" s="236">
        <v>22075.1</v>
      </c>
      <c r="V41" s="236">
        <v>14778.01</v>
      </c>
      <c r="W41" s="236">
        <v>14438.76</v>
      </c>
      <c r="X41" s="236">
        <v>16049.57</v>
      </c>
      <c r="Y41" s="236">
        <v>17439.240000000002</v>
      </c>
      <c r="Z41" s="236">
        <v>18980.96</v>
      </c>
      <c r="AA41" s="236">
        <f t="shared" si="1"/>
        <v>220816.2</v>
      </c>
      <c r="AB41" s="237">
        <f t="shared" si="2"/>
        <v>2.6331560734391118E-2</v>
      </c>
      <c r="AC41" s="238"/>
      <c r="AD41" s="236">
        <v>281381.70622814499</v>
      </c>
      <c r="AE41" s="237">
        <f t="shared" si="3"/>
        <v>2.1566098738363019E-2</v>
      </c>
      <c r="AF41" s="239">
        <f t="shared" si="4"/>
        <v>-60565.506228144979</v>
      </c>
      <c r="AG41" s="236">
        <v>187857.53</v>
      </c>
      <c r="AH41" s="237">
        <f t="shared" si="5"/>
        <v>5.7648546608893507E-2</v>
      </c>
      <c r="AI41" s="239">
        <f t="shared" si="6"/>
        <v>32958.670000000013</v>
      </c>
      <c r="AJ41" s="215">
        <f t="shared" si="7"/>
        <v>4.5831506849315069</v>
      </c>
      <c r="AK41" s="216">
        <f t="shared" si="8"/>
        <v>5.840218062020444</v>
      </c>
      <c r="AL41" s="218">
        <f t="shared" si="9"/>
        <v>5.0430197847037661</v>
      </c>
      <c r="AM41" s="423" t="str">
        <f t="shared" si="10"/>
        <v>0.48 pts.</v>
      </c>
      <c r="AN41" s="474" t="str">
        <f t="shared" si="11"/>
        <v>-3.13 pts.</v>
      </c>
      <c r="AO41" s="11"/>
    </row>
    <row r="42" spans="1:41" x14ac:dyDescent="0.25">
      <c r="A42" s="11" t="s">
        <v>110</v>
      </c>
      <c r="B42" s="11"/>
      <c r="C42" s="105" t="s">
        <v>101</v>
      </c>
      <c r="D42" s="11" t="s">
        <v>107</v>
      </c>
      <c r="E42" s="11"/>
      <c r="F42" s="11" t="s">
        <v>99</v>
      </c>
      <c r="G42" s="11"/>
      <c r="H42" s="84" t="s">
        <v>815</v>
      </c>
      <c r="I42" s="118" t="str">
        <f>IF(_epmOfflineCondition_,"T3",_xll.EVPRO($B$1,$H42,"STYLE"))</f>
        <v>T3</v>
      </c>
      <c r="J42" s="118" t="str">
        <f>IF(_epmOfflineCondition_,"Y",_xll.EVPRO($B$1,$H42,"CALC"))</f>
        <v>Y</v>
      </c>
      <c r="K42" s="175" t="str">
        <f t="shared" si="0"/>
        <v>&gt;</v>
      </c>
      <c r="L42" s="86" t="str">
        <f>IF(_epmOfflineCondition_,"",_xll.EVPRO($B$1,H42,"JDEID"))</f>
        <v/>
      </c>
      <c r="M42" s="86" t="str">
        <f>IF(_epmOfflineCondition_,"",IF(AND(I42="N",J42="N"),_xll.EVPRO($B$1,H42,"PSFTID"),""))</f>
        <v/>
      </c>
      <c r="N42" s="86" t="str">
        <f>IF(_epmOfflineCondition_,"Payroll Taxes",IF(_xll.EVDES(H42,$B$1)="#NODATA","",_xll.EVDES(H42,$B$1)))</f>
        <v>Payroll Taxes</v>
      </c>
      <c r="O42" s="248">
        <v>1831.74</v>
      </c>
      <c r="P42" s="248">
        <v>1623.31</v>
      </c>
      <c r="Q42" s="248">
        <v>1426.5</v>
      </c>
      <c r="R42" s="248">
        <v>1472.7</v>
      </c>
      <c r="S42" s="248">
        <v>1606.46</v>
      </c>
      <c r="T42" s="248">
        <v>1474.54</v>
      </c>
      <c r="U42" s="248">
        <v>1732.89</v>
      </c>
      <c r="V42" s="248">
        <v>1323.36</v>
      </c>
      <c r="W42" s="248">
        <v>1147.8900000000001</v>
      </c>
      <c r="X42" s="248">
        <v>1269.21</v>
      </c>
      <c r="Y42" s="248">
        <v>1406.31</v>
      </c>
      <c r="Z42" s="248">
        <v>1715.36</v>
      </c>
      <c r="AA42" s="248">
        <f t="shared" si="1"/>
        <v>18030.269999999997</v>
      </c>
      <c r="AB42" s="249">
        <f t="shared" si="2"/>
        <v>2.1500467337200349E-3</v>
      </c>
      <c r="AC42" s="136"/>
      <c r="AD42" s="248">
        <v>25371.3284410222</v>
      </c>
      <c r="AE42" s="249">
        <f t="shared" si="3"/>
        <v>1.9445492090338081E-3</v>
      </c>
      <c r="AF42" s="250">
        <f t="shared" si="4"/>
        <v>-7341.0584410222036</v>
      </c>
      <c r="AG42" s="248">
        <v>15149.51</v>
      </c>
      <c r="AH42" s="249">
        <f t="shared" si="5"/>
        <v>4.648987098557605E-3</v>
      </c>
      <c r="AI42" s="250">
        <f t="shared" si="6"/>
        <v>2880.7599999999966</v>
      </c>
      <c r="AJ42" s="532">
        <f t="shared" si="7"/>
        <v>0.37422727272727269</v>
      </c>
      <c r="AK42" s="533">
        <f t="shared" si="8"/>
        <v>0.52659461272358243</v>
      </c>
      <c r="AL42" s="534">
        <f t="shared" si="9"/>
        <v>0.40668733725269118</v>
      </c>
      <c r="AM42" s="535" t="str">
        <f t="shared" si="10"/>
        <v>0.02 pts.</v>
      </c>
      <c r="AN42" s="536" t="str">
        <f t="shared" si="11"/>
        <v>-0.25 pts.</v>
      </c>
      <c r="AO42" s="11"/>
    </row>
    <row r="43" spans="1:41" x14ac:dyDescent="0.25">
      <c r="A43" s="11"/>
      <c r="B43" s="11"/>
      <c r="C43" s="204"/>
      <c r="D43" s="11"/>
      <c r="E43" s="11"/>
      <c r="F43" s="11"/>
      <c r="G43" s="11"/>
      <c r="H43" s="84" t="s">
        <v>816</v>
      </c>
      <c r="I43" s="118" t="str">
        <f>IF(_epmOfflineCondition_,"T3",_xll.EVPRO($B$1,$H43,"STYLE"))</f>
        <v>T3</v>
      </c>
      <c r="J43" s="118" t="str">
        <f>IF(_epmOfflineCondition_,"Y",_xll.EVPRO($B$1,$H43,"CALC"))</f>
        <v>Y</v>
      </c>
      <c r="K43" s="175" t="str">
        <f t="shared" si="0"/>
        <v>&gt;</v>
      </c>
      <c r="L43" s="86" t="str">
        <f>IF(_epmOfflineCondition_,"",_xll.EVPRO($B$1,H43,"JDEID"))</f>
        <v/>
      </c>
      <c r="M43" s="86" t="str">
        <f>IF(_epmOfflineCondition_,"",IF(AND(I43="N",J43="N"),_xll.EVPRO($B$1,H43,"PSFTID"),""))</f>
        <v/>
      </c>
      <c r="N43" s="86" t="str">
        <f>IF(_epmOfflineCondition_,"Supplemental Pay",IF(_xll.EVDES(H43,$B$1)="#NODATA","",_xll.EVDES(H43,$B$1)))</f>
        <v>Supplemental Pay</v>
      </c>
      <c r="O43" s="248">
        <v>3041.43</v>
      </c>
      <c r="P43" s="248">
        <v>711.26</v>
      </c>
      <c r="Q43" s="248">
        <v>1786.08</v>
      </c>
      <c r="R43" s="248">
        <v>1412.4</v>
      </c>
      <c r="S43" s="248">
        <v>2539.92</v>
      </c>
      <c r="T43" s="248">
        <v>1281.72</v>
      </c>
      <c r="U43" s="248">
        <v>1723.09</v>
      </c>
      <c r="V43" s="248">
        <v>415.08</v>
      </c>
      <c r="W43" s="248">
        <v>727.46</v>
      </c>
      <c r="X43" s="248">
        <v>-90.06</v>
      </c>
      <c r="Y43" s="248">
        <v>1654.26</v>
      </c>
      <c r="Z43" s="248">
        <v>502.64</v>
      </c>
      <c r="AA43" s="248">
        <f t="shared" si="1"/>
        <v>15705.279999999999</v>
      </c>
      <c r="AB43" s="249">
        <f t="shared" si="2"/>
        <v>1.8727997953529589E-3</v>
      </c>
      <c r="AC43" s="136"/>
      <c r="AD43" s="228">
        <v>14808.794493260801</v>
      </c>
      <c r="AE43" s="230">
        <f t="shared" si="3"/>
        <v>1.134998890009021E-3</v>
      </c>
      <c r="AF43" s="231">
        <f t="shared" si="4"/>
        <v>896.48550673919817</v>
      </c>
      <c r="AG43" s="228">
        <v>12847.42</v>
      </c>
      <c r="AH43" s="230">
        <f t="shared" si="5"/>
        <v>3.9425360839889173E-3</v>
      </c>
      <c r="AI43" s="231">
        <f t="shared" si="6"/>
        <v>2857.8599999999988</v>
      </c>
      <c r="AJ43" s="467">
        <f t="shared" si="7"/>
        <v>0.32597094229970941</v>
      </c>
      <c r="AK43" s="468">
        <f t="shared" si="8"/>
        <v>0.3073639371785139</v>
      </c>
      <c r="AL43" s="469">
        <f t="shared" si="9"/>
        <v>0.34488792247187994</v>
      </c>
      <c r="AM43" s="470" t="str">
        <f t="shared" si="10"/>
        <v>0.07 pts.</v>
      </c>
      <c r="AN43" s="471" t="str">
        <f t="shared" si="11"/>
        <v>-0.21 pts.</v>
      </c>
      <c r="AO43" s="11"/>
    </row>
    <row r="44" spans="1:41" x14ac:dyDescent="0.25">
      <c r="A44" s="11"/>
      <c r="B44" s="11"/>
      <c r="C44" s="11"/>
      <c r="D44" s="11"/>
      <c r="E44" s="11"/>
      <c r="F44" s="11"/>
      <c r="G44" s="11"/>
      <c r="H44" s="84" t="s">
        <v>817</v>
      </c>
      <c r="I44" s="118" t="str">
        <f>IF(_epmOfflineCondition_,"T3",_xll.EVPRO($B$1,$H44,"STYLE"))</f>
        <v>T3</v>
      </c>
      <c r="J44" s="118" t="str">
        <f>IF(_epmOfflineCondition_,"Y",_xll.EVPRO($B$1,$H44,"CALC"))</f>
        <v>Y</v>
      </c>
      <c r="K44" s="175" t="str">
        <f t="shared" si="0"/>
        <v>&gt;</v>
      </c>
      <c r="L44" s="86" t="str">
        <f>IF(_epmOfflineCondition_,"",_xll.EVPRO($B$1,H44,"JDEID"))</f>
        <v/>
      </c>
      <c r="M44" s="86" t="str">
        <f>IF(_epmOfflineCondition_,"",IF(AND(I44="N",J44="N"),_xll.EVPRO($B$1,H44,"PSFTID"),""))</f>
        <v/>
      </c>
      <c r="N44" s="86" t="str">
        <f>IF(_epmOfflineCondition_,"Employee Benefits",IF(_xll.EVDES(H44,$B$1)="#NODATA","",_xll.EVDES(H44,$B$1)))</f>
        <v>Employee Benefits</v>
      </c>
      <c r="O44" s="248">
        <v>-895.13</v>
      </c>
      <c r="P44" s="248">
        <v>1705.09</v>
      </c>
      <c r="Q44" s="248">
        <v>2122.73</v>
      </c>
      <c r="R44" s="248">
        <v>1868.06</v>
      </c>
      <c r="S44" s="248">
        <v>1951.19</v>
      </c>
      <c r="T44" s="248">
        <v>1893.82</v>
      </c>
      <c r="U44" s="248">
        <v>1716.07</v>
      </c>
      <c r="V44" s="248">
        <v>1196.43</v>
      </c>
      <c r="W44" s="248">
        <v>1101.57</v>
      </c>
      <c r="X44" s="248">
        <v>305.70999999999998</v>
      </c>
      <c r="Y44" s="248">
        <v>1378.47</v>
      </c>
      <c r="Z44" s="248">
        <v>1372.74</v>
      </c>
      <c r="AA44" s="248">
        <f t="shared" si="1"/>
        <v>15716.749999999998</v>
      </c>
      <c r="AB44" s="249">
        <f t="shared" si="2"/>
        <v>1.8741675527983975E-3</v>
      </c>
      <c r="AC44" s="136"/>
      <c r="AD44" s="228">
        <v>23406.908589721901</v>
      </c>
      <c r="AE44" s="230">
        <f t="shared" si="3"/>
        <v>1.7939890569733429E-3</v>
      </c>
      <c r="AF44" s="231">
        <f t="shared" si="4"/>
        <v>-7690.1585897219029</v>
      </c>
      <c r="AG44" s="228">
        <v>14349.74</v>
      </c>
      <c r="AH44" s="230">
        <f t="shared" si="5"/>
        <v>4.4035586713798668E-3</v>
      </c>
      <c r="AI44" s="231">
        <f t="shared" si="6"/>
        <v>1367.0099999999984</v>
      </c>
      <c r="AJ44" s="467">
        <f t="shared" si="7"/>
        <v>0.32620900788709006</v>
      </c>
      <c r="AK44" s="468">
        <f t="shared" si="8"/>
        <v>0.4858220960921939</v>
      </c>
      <c r="AL44" s="469">
        <f t="shared" si="9"/>
        <v>0.3852175780515959</v>
      </c>
      <c r="AM44" s="470" t="str">
        <f t="shared" si="10"/>
        <v>0.01 pts.</v>
      </c>
      <c r="AN44" s="471" t="str">
        <f t="shared" si="11"/>
        <v>-0.25 pts.</v>
      </c>
      <c r="AO44" s="11"/>
    </row>
    <row r="45" spans="1:41" x14ac:dyDescent="0.25">
      <c r="A45" s="56" t="str">
        <f>IF(_epmOfflineCondition_,"Evdre:Ok",_xll.EVDRE($B$1,A48:B55))</f>
        <v>Evdre:Ok</v>
      </c>
      <c r="B45" s="11" t="s">
        <v>737</v>
      </c>
      <c r="C45" s="11"/>
      <c r="D45" s="11"/>
      <c r="E45" s="11"/>
      <c r="F45" s="11"/>
      <c r="G45" s="11"/>
      <c r="H45" s="84" t="s">
        <v>818</v>
      </c>
      <c r="I45" s="184" t="str">
        <f>IF(_epmOfflineCondition_,"T2",_xll.EVPRO($B$1,$H45,"STYLE"))</f>
        <v>T2</v>
      </c>
      <c r="J45" s="184" t="str">
        <f>IF(_epmOfflineCondition_,"Y",_xll.EVPRO($B$1,$H45,"CALC"))</f>
        <v>Y</v>
      </c>
      <c r="K45" s="185" t="str">
        <f t="shared" si="0"/>
        <v/>
      </c>
      <c r="L45" s="186" t="str">
        <f>IF(_epmOfflineCondition_,"",_xll.EVPRO($B$1,H45,"JDEID"))</f>
        <v/>
      </c>
      <c r="M45" s="186" t="str">
        <f>IF(_epmOfflineCondition_,"",IF(AND(I45="N",J45="N"),_xll.EVPRO($B$1,H45,"PSFTID"),""))</f>
        <v/>
      </c>
      <c r="N45" s="186" t="str">
        <f>IF(_epmOfflineCondition_,"Total Payroll Related",IF(_xll.EVDES(H45,$B$1)="#NODATA","",_xll.EVDES(H45,$B$1)))</f>
        <v>Total Payroll Related</v>
      </c>
      <c r="O45" s="210">
        <v>3978.04</v>
      </c>
      <c r="P45" s="210">
        <v>4039.66</v>
      </c>
      <c r="Q45" s="210">
        <v>5335.31</v>
      </c>
      <c r="R45" s="210">
        <v>4753.16</v>
      </c>
      <c r="S45" s="210">
        <v>6097.57</v>
      </c>
      <c r="T45" s="210">
        <v>4650.08</v>
      </c>
      <c r="U45" s="210">
        <v>5172.05</v>
      </c>
      <c r="V45" s="210">
        <v>2934.87</v>
      </c>
      <c r="W45" s="210">
        <v>2976.92</v>
      </c>
      <c r="X45" s="210">
        <v>1484.86</v>
      </c>
      <c r="Y45" s="210">
        <v>4439.04</v>
      </c>
      <c r="Z45" s="210">
        <v>3590.74</v>
      </c>
      <c r="AA45" s="210">
        <f t="shared" si="1"/>
        <v>49452.3</v>
      </c>
      <c r="AB45" s="211">
        <f t="shared" si="2"/>
        <v>5.8970140818713924E-3</v>
      </c>
      <c r="AC45" s="251"/>
      <c r="AD45" s="210">
        <v>63587.031524004902</v>
      </c>
      <c r="AE45" s="211">
        <f t="shared" si="3"/>
        <v>4.873537156016172E-3</v>
      </c>
      <c r="AF45" s="252">
        <f t="shared" si="4"/>
        <v>-14134.731524004899</v>
      </c>
      <c r="AG45" s="210">
        <v>42346.67</v>
      </c>
      <c r="AH45" s="211">
        <f t="shared" si="5"/>
        <v>1.2995081853926388E-2</v>
      </c>
      <c r="AI45" s="252">
        <f t="shared" si="6"/>
        <v>7105.6300000000047</v>
      </c>
      <c r="AJ45" s="253">
        <f t="shared" si="7"/>
        <v>1.0264072229140724</v>
      </c>
      <c r="AK45" s="254">
        <f t="shared" si="8"/>
        <v>1.3197806459942902</v>
      </c>
      <c r="AL45" s="256">
        <f t="shared" si="9"/>
        <v>1.1367928377761671</v>
      </c>
      <c r="AM45" s="427" t="str">
        <f t="shared" si="10"/>
        <v>0.1 pts.</v>
      </c>
      <c r="AN45" s="483" t="str">
        <f t="shared" si="11"/>
        <v>-0.71 pts.</v>
      </c>
      <c r="AO45" s="11"/>
    </row>
    <row r="46" spans="1:41" x14ac:dyDescent="0.25">
      <c r="A46" s="11"/>
      <c r="B46" s="11"/>
      <c r="C46" s="11"/>
      <c r="D46" s="11"/>
      <c r="E46" s="11"/>
      <c r="F46" s="11"/>
      <c r="G46" s="11"/>
      <c r="H46" s="84" t="s">
        <v>76</v>
      </c>
      <c r="I46" s="184" t="str">
        <f>IF(_epmOfflineCondition_,"T1",_xll.EVPRO($B$1,$H46,"STYLE"))</f>
        <v>T1</v>
      </c>
      <c r="J46" s="184" t="str">
        <f>IF(_epmOfflineCondition_,"Y",_xll.EVPRO($B$1,$H46,"CALC"))</f>
        <v>Y</v>
      </c>
      <c r="K46" s="185" t="str">
        <f t="shared" si="0"/>
        <v/>
      </c>
      <c r="L46" s="186" t="str">
        <f>IF(_epmOfflineCondition_,"600000",_xll.EVPRO($B$1,H46,"JDEID"))</f>
        <v>600000</v>
      </c>
      <c r="M46" s="186" t="str">
        <f>IF(_epmOfflineCondition_,"",IF(AND(I46="N",J46="N"),_xll.EVPRO($B$1,H46,"PSFTID"),""))</f>
        <v/>
      </c>
      <c r="N46" s="186" t="str">
        <f>IF(_epmOfflineCondition_,"Total Labor &amp; Related Exp",IF(_xll.EVDES(H46,$B$1)="#NODATA","",_xll.EVDES(H46,$B$1)))</f>
        <v>Total Labor &amp; Related Exp</v>
      </c>
      <c r="O46" s="210">
        <v>24477.69</v>
      </c>
      <c r="P46" s="210">
        <v>23882.21</v>
      </c>
      <c r="Q46" s="210">
        <v>22958.03</v>
      </c>
      <c r="R46" s="210">
        <v>24344.25</v>
      </c>
      <c r="S46" s="210">
        <v>26542.19</v>
      </c>
      <c r="T46" s="210">
        <v>23704.01</v>
      </c>
      <c r="U46" s="210">
        <v>27247.15</v>
      </c>
      <c r="V46" s="210">
        <v>17712.88</v>
      </c>
      <c r="W46" s="210">
        <v>17415.68</v>
      </c>
      <c r="X46" s="210">
        <v>17534.43</v>
      </c>
      <c r="Y46" s="210">
        <v>21878.28</v>
      </c>
      <c r="Z46" s="210">
        <v>22571.7</v>
      </c>
      <c r="AA46" s="210">
        <f t="shared" si="1"/>
        <v>270268.5</v>
      </c>
      <c r="AB46" s="211">
        <f t="shared" si="2"/>
        <v>3.2228574816262505E-2</v>
      </c>
      <c r="AC46" s="251"/>
      <c r="AD46" s="210">
        <v>344968.73775214999</v>
      </c>
      <c r="AE46" s="211">
        <f t="shared" si="3"/>
        <v>2.6439635894379199E-2</v>
      </c>
      <c r="AF46" s="252">
        <f t="shared" si="4"/>
        <v>-74700.237752149988</v>
      </c>
      <c r="AG46" s="210">
        <v>230204.2</v>
      </c>
      <c r="AH46" s="211">
        <f t="shared" si="5"/>
        <v>7.0643628462819893E-2</v>
      </c>
      <c r="AI46" s="252">
        <f t="shared" si="6"/>
        <v>40064.299999999988</v>
      </c>
      <c r="AJ46" s="253">
        <f t="shared" si="7"/>
        <v>5.6095579078455788</v>
      </c>
      <c r="AK46" s="254">
        <f t="shared" si="8"/>
        <v>7.1599987080147365</v>
      </c>
      <c r="AL46" s="256">
        <f t="shared" si="9"/>
        <v>6.1798126224799335</v>
      </c>
      <c r="AM46" s="427" t="str">
        <f t="shared" si="10"/>
        <v>0.58 pts.</v>
      </c>
      <c r="AN46" s="483" t="str">
        <f t="shared" si="11"/>
        <v>-3.84 pts.</v>
      </c>
      <c r="AO46" s="11"/>
    </row>
    <row r="47" spans="1:41" x14ac:dyDescent="0.25">
      <c r="A47" s="57" t="s">
        <v>0</v>
      </c>
      <c r="B47" s="58" t="s">
        <v>1</v>
      </c>
      <c r="C47" s="11"/>
      <c r="D47" s="11"/>
      <c r="E47" s="11"/>
      <c r="F47" s="11"/>
      <c r="G47" s="11"/>
      <c r="H47" s="102"/>
      <c r="I47" s="102"/>
      <c r="J47" s="102"/>
      <c r="K47" s="102"/>
      <c r="L47" s="102"/>
      <c r="M47" s="102"/>
      <c r="N47" s="102"/>
      <c r="O47" s="125"/>
      <c r="P47" s="126"/>
      <c r="Q47" s="126"/>
      <c r="R47" s="126"/>
      <c r="S47" s="126"/>
      <c r="T47" s="126"/>
      <c r="U47" s="126"/>
      <c r="V47" s="126"/>
      <c r="W47" s="126"/>
      <c r="X47" s="126"/>
      <c r="Y47" s="126"/>
      <c r="Z47" s="126"/>
      <c r="AA47" s="126"/>
      <c r="AB47" s="127"/>
      <c r="AC47" s="11"/>
      <c r="AD47" s="125"/>
      <c r="AE47" s="126"/>
      <c r="AF47" s="127"/>
      <c r="AG47" s="125"/>
      <c r="AH47" s="126"/>
      <c r="AI47" s="127"/>
      <c r="AJ47" s="11"/>
      <c r="AK47" s="11"/>
      <c r="AL47" s="11"/>
      <c r="AM47" s="11"/>
      <c r="AN47" s="11"/>
      <c r="AO47" s="11"/>
    </row>
    <row r="48" spans="1:41" x14ac:dyDescent="0.25">
      <c r="A48" s="61" t="s">
        <v>2</v>
      </c>
      <c r="B48" s="62" t="str">
        <f>IF(_epmOfflineCondition_,"'POM'!$B$2:$B$10",_xll.EVRNG($B$2:$B$10))</f>
        <v>'POM'!$B$2:$B$10</v>
      </c>
      <c r="C48" s="11"/>
      <c r="D48" s="11"/>
      <c r="E48" s="11"/>
      <c r="F48" s="11"/>
      <c r="G48" s="11"/>
      <c r="H48" s="11" t="s">
        <v>82</v>
      </c>
      <c r="I48" s="55" t="str">
        <f>IF(_epmOfflineCondition_,"B1",_xll.EVPRO($B$1,$H48,"STYLE"))</f>
        <v>B1</v>
      </c>
      <c r="J48" s="55" t="str">
        <f>IF(_epmOfflineCondition_,"Y",_xll.EVPRO($B$1,$H48,"CALC"))</f>
        <v>Y</v>
      </c>
      <c r="K48" s="11"/>
      <c r="L48" s="11"/>
      <c r="M48" s="11"/>
      <c r="N48" s="101" t="str">
        <f>IF(_epmOfflineCondition_,"Other Expenses",IF(_xll.EVDES(H48,$B$1)="#NODATA","",_xll.EVDES(H48,$B$1)))</f>
        <v>Other Expenses</v>
      </c>
      <c r="O48" s="115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7"/>
      <c r="AC48" s="11"/>
      <c r="AD48" s="115"/>
      <c r="AE48" s="116"/>
      <c r="AF48" s="117"/>
      <c r="AG48" s="115"/>
      <c r="AH48" s="116"/>
      <c r="AI48" s="117"/>
      <c r="AJ48" s="11"/>
      <c r="AK48" s="11"/>
      <c r="AL48" s="11"/>
      <c r="AM48" s="11"/>
      <c r="AN48" s="11"/>
      <c r="AO48" s="11"/>
    </row>
    <row r="49" spans="1:41" x14ac:dyDescent="0.25">
      <c r="A49" s="61" t="s">
        <v>3</v>
      </c>
      <c r="B49" s="62" t="str">
        <f>IF(_epmOfflineCondition_,"'POM'!$O$16:$AN$18",_xll.EVRNG($O$16:$AN$18))</f>
        <v>'POM'!$O$16:$AN$18</v>
      </c>
      <c r="C49" s="11"/>
      <c r="D49" s="11"/>
      <c r="E49" s="11"/>
      <c r="F49" s="11"/>
      <c r="G49" s="11"/>
      <c r="H49" s="84" t="s">
        <v>789</v>
      </c>
      <c r="I49" s="118" t="str">
        <f>IF(_epmOfflineCondition_,"N",_xll.EVPRO($B$1,$H49,"STYLE"))</f>
        <v>N</v>
      </c>
      <c r="J49" s="118" t="str">
        <f>IF(_epmOfflineCondition_,"N",_xll.EVPRO($B$1,$H49,"CALC"))</f>
        <v>N</v>
      </c>
      <c r="K49" s="175" t="str">
        <f t="shared" ref="K49:K72" si="12">IF(AND(I49&gt;="T3"),"&gt;","")</f>
        <v/>
      </c>
      <c r="L49" s="86" t="str">
        <f>IF(_epmOfflineCondition_,"701100",_xll.EVPRO($B$1,H49,"JDEID"))</f>
        <v>701100</v>
      </c>
      <c r="M49" s="86" t="str">
        <f>IF(_epmOfflineCondition_,"690015",IF(AND(I49="N",J49="N"),_xll.EVPRO($B$1,H49,"PSFTID"),""))</f>
        <v>690015</v>
      </c>
      <c r="N49" s="86" t="str">
        <f>IF(_epmOfflineCondition_,"Dues and Subscriptions",IF(_xll.EVDES(H49,$B$1)="#NODATA","",_xll.EVDES(H49,$B$1)))</f>
        <v>Dues and Subscriptions</v>
      </c>
      <c r="O49" s="134"/>
      <c r="P49" s="134"/>
      <c r="Q49" s="134">
        <v>13.23</v>
      </c>
      <c r="R49" s="134"/>
      <c r="S49" s="134"/>
      <c r="T49" s="134"/>
      <c r="U49" s="134">
        <v>-13.23</v>
      </c>
      <c r="V49" s="134"/>
      <c r="W49" s="134"/>
      <c r="X49" s="134"/>
      <c r="Y49" s="134"/>
      <c r="Z49" s="134"/>
      <c r="AA49" s="240">
        <f t="shared" ref="AA49:AA73" si="13">IF($I49="B1","",SUM(O49:Z49))</f>
        <v>0</v>
      </c>
      <c r="AB49" s="138" t="str">
        <f t="shared" ref="AB49:AB73" si="14">IF(AA49=0,"",IFERROR(AA49/AA$19,""))</f>
        <v/>
      </c>
      <c r="AC49" s="136"/>
      <c r="AD49" s="134"/>
      <c r="AE49" s="138" t="str">
        <f t="shared" ref="AE49:AE73" si="15">IF(AD49=0,"",IFERROR(AD49/AD$19,""))</f>
        <v/>
      </c>
      <c r="AF49" s="137">
        <f t="shared" ref="AF49:AF73" si="16">IF(AND($AA49="",AD49=""),"",$AA49-AD49)</f>
        <v>0</v>
      </c>
      <c r="AG49" s="134">
        <v>13.23</v>
      </c>
      <c r="AH49" s="138">
        <f t="shared" ref="AH49:AH73" si="17">IF(AG49=0,"",IFERROR(AG49/AG$19,""))</f>
        <v>4.0599398471579023E-6</v>
      </c>
      <c r="AI49" s="137">
        <f t="shared" ref="AI49:AI73" si="18">IF(AND($AA49="",AG49=""),"",$AA49-AG49)</f>
        <v>-13.23</v>
      </c>
      <c r="AJ49" s="458">
        <f t="shared" ref="AJ49:AJ73" si="19">IFERROR(AA49/AA$20,0)</f>
        <v>0</v>
      </c>
      <c r="AK49" s="459">
        <f t="shared" ref="AK49:AK73" si="20">IFERROR(AD49/AD$20,0)</f>
        <v>0</v>
      </c>
      <c r="AL49" s="460">
        <f t="shared" ref="AL49:AL73" si="21">IFERROR(AG49/AG$20,0)</f>
        <v>3.5515825078521383E-4</v>
      </c>
      <c r="AM49" s="461">
        <f t="shared" ref="AM49:AM73" si="22">+IFERROR(ROUND(($AB49-AE49)*100,2)&amp;" pts.",0)</f>
        <v>0</v>
      </c>
      <c r="AN49" s="462">
        <f t="shared" ref="AN49:AN73" si="23">+IFERROR(ROUND(($AB49-AH49)*100,2)&amp;" pts.",0)</f>
        <v>0</v>
      </c>
      <c r="AO49" s="11"/>
    </row>
    <row r="50" spans="1:41" x14ac:dyDescent="0.25">
      <c r="A50" s="61" t="s">
        <v>4</v>
      </c>
      <c r="B50" s="62" t="str">
        <f>IF(_epmOfflineCondition_,"'POM'!$H$73:$H$76",_xll.EVRNG(H73:H76))</f>
        <v>'POM'!$H$73:$H$76</v>
      </c>
      <c r="C50" s="11"/>
      <c r="D50" s="11"/>
      <c r="E50" s="11"/>
      <c r="F50" s="11"/>
      <c r="G50" s="11"/>
      <c r="H50" s="84" t="s">
        <v>792</v>
      </c>
      <c r="I50" s="118" t="str">
        <f>IF(_epmOfflineCondition_,"T4",_xll.EVPRO($B$1,$H50,"STYLE"))</f>
        <v>T4</v>
      </c>
      <c r="J50" s="118" t="str">
        <f>IF(_epmOfflineCondition_,"Y",_xll.EVPRO($B$1,$H50,"CALC"))</f>
        <v>Y</v>
      </c>
      <c r="K50" s="175" t="str">
        <f t="shared" si="12"/>
        <v>&gt;</v>
      </c>
      <c r="L50" s="86" t="str">
        <f>IF(_epmOfflineCondition_,"701500",_xll.EVPRO($B$1,H50,"JDEID"))</f>
        <v>701500</v>
      </c>
      <c r="M50" s="86" t="str">
        <f>IF(_epmOfflineCondition_,"",IF(AND(I50="N",J50="N"),_xll.EVPRO($B$1,H50,"PSFTID"),""))</f>
        <v/>
      </c>
      <c r="N50" s="86" t="str">
        <f>IF(_epmOfflineCondition_,"Operating Supplies",IF(_xll.EVDES(H50,$B$1)="#NODATA","",_xll.EVDES(H50,$B$1)))</f>
        <v>Operating Supplies</v>
      </c>
      <c r="O50" s="134"/>
      <c r="P50" s="134">
        <v>71.69</v>
      </c>
      <c r="Q50" s="134">
        <v>1714.53</v>
      </c>
      <c r="R50" s="134">
        <v>232.52</v>
      </c>
      <c r="S50" s="134">
        <v>165.85</v>
      </c>
      <c r="T50" s="134">
        <v>193.99</v>
      </c>
      <c r="U50" s="134">
        <v>762.4</v>
      </c>
      <c r="V50" s="134">
        <v>164.06</v>
      </c>
      <c r="W50" s="134">
        <v>419.02</v>
      </c>
      <c r="X50" s="134">
        <v>1311.39</v>
      </c>
      <c r="Y50" s="134">
        <v>-2032.25</v>
      </c>
      <c r="Z50" s="134">
        <v>458.65</v>
      </c>
      <c r="AA50" s="240">
        <f t="shared" si="13"/>
        <v>3461.85</v>
      </c>
      <c r="AB50" s="138">
        <f t="shared" si="14"/>
        <v>4.1281352332098767E-4</v>
      </c>
      <c r="AC50" s="136"/>
      <c r="AD50" s="134">
        <v>1950</v>
      </c>
      <c r="AE50" s="138">
        <f t="shared" si="15"/>
        <v>1.4945496316562417E-4</v>
      </c>
      <c r="AF50" s="137">
        <f t="shared" si="16"/>
        <v>1511.85</v>
      </c>
      <c r="AG50" s="134">
        <v>1118.27</v>
      </c>
      <c r="AH50" s="138">
        <f t="shared" si="17"/>
        <v>3.4316771979450245E-4</v>
      </c>
      <c r="AI50" s="137">
        <f t="shared" si="18"/>
        <v>2343.58</v>
      </c>
      <c r="AJ50" s="458">
        <f t="shared" si="19"/>
        <v>7.1852428393524279E-2</v>
      </c>
      <c r="AK50" s="459">
        <f t="shared" si="20"/>
        <v>4.0473225404732256E-2</v>
      </c>
      <c r="AL50" s="460">
        <f t="shared" si="21"/>
        <v>3.0019865238517088E-2</v>
      </c>
      <c r="AM50" s="461" t="str">
        <f t="shared" si="22"/>
        <v>0.03 pts.</v>
      </c>
      <c r="AN50" s="462" t="str">
        <f t="shared" si="23"/>
        <v>0.01 pts.</v>
      </c>
      <c r="AO50" s="11"/>
    </row>
    <row r="51" spans="1:41" x14ac:dyDescent="0.25">
      <c r="A51" s="61" t="s">
        <v>5</v>
      </c>
      <c r="B51" s="62"/>
      <c r="C51" s="11"/>
      <c r="D51" s="11"/>
      <c r="E51" s="11"/>
      <c r="F51" s="11"/>
      <c r="G51" s="11"/>
      <c r="H51" s="84" t="s">
        <v>794</v>
      </c>
      <c r="I51" s="118" t="str">
        <f>IF(_epmOfflineCondition_,"T4",_xll.EVPRO($B$1,$H51,"STYLE"))</f>
        <v>T4</v>
      </c>
      <c r="J51" s="118" t="str">
        <f>IF(_epmOfflineCondition_,"Y",_xll.EVPRO($B$1,$H51,"CALC"))</f>
        <v>Y</v>
      </c>
      <c r="K51" s="175" t="str">
        <f t="shared" si="12"/>
        <v>&gt;</v>
      </c>
      <c r="L51" s="86" t="str">
        <f>IF(_epmOfflineCondition_,"",_xll.EVPRO($B$1,H51,"JDEID"))</f>
        <v/>
      </c>
      <c r="M51" s="86" t="str">
        <f>IF(_epmOfflineCondition_,"",IF(AND(I51="N",J51="N"),_xll.EVPRO($B$1,H51,"PSFTID"),""))</f>
        <v/>
      </c>
      <c r="N51" s="86" t="str">
        <f>IF(_epmOfflineCondition_,"Contract Services",IF(_xll.EVDES(H51,$B$1)="#NODATA","",_xll.EVDES(H51,$B$1)))</f>
        <v>Contract Services</v>
      </c>
      <c r="O51" s="134">
        <v>1521</v>
      </c>
      <c r="P51" s="134">
        <v>1654.33</v>
      </c>
      <c r="Q51" s="134">
        <v>1787.66</v>
      </c>
      <c r="R51" s="134">
        <v>1707.83</v>
      </c>
      <c r="S51" s="134">
        <v>2307.83</v>
      </c>
      <c r="T51" s="134">
        <v>3627.83</v>
      </c>
      <c r="U51" s="134">
        <v>1470.83</v>
      </c>
      <c r="V51" s="134">
        <v>2068.58</v>
      </c>
      <c r="W51" s="134">
        <v>1765.08</v>
      </c>
      <c r="X51" s="134">
        <v>-165.62</v>
      </c>
      <c r="Y51" s="134">
        <v>1754.8</v>
      </c>
      <c r="Z51" s="134">
        <v>2885.14</v>
      </c>
      <c r="AA51" s="240">
        <f t="shared" si="13"/>
        <v>22385.29</v>
      </c>
      <c r="AB51" s="138">
        <f t="shared" si="14"/>
        <v>2.6693676604884883E-3</v>
      </c>
      <c r="AC51" s="136"/>
      <c r="AD51" s="134">
        <v>29000</v>
      </c>
      <c r="AE51" s="138">
        <f t="shared" si="15"/>
        <v>2.222663554770821E-3</v>
      </c>
      <c r="AF51" s="137">
        <f t="shared" si="16"/>
        <v>-6614.7099999999991</v>
      </c>
      <c r="AG51" s="134">
        <v>15504.68</v>
      </c>
      <c r="AH51" s="138">
        <f t="shared" si="17"/>
        <v>4.7579794519601046E-3</v>
      </c>
      <c r="AI51" s="137">
        <f t="shared" si="18"/>
        <v>6880.6100000000006</v>
      </c>
      <c r="AJ51" s="458">
        <f t="shared" si="19"/>
        <v>0.46461789124117892</v>
      </c>
      <c r="AK51" s="459">
        <f t="shared" si="20"/>
        <v>0.6019095060190951</v>
      </c>
      <c r="AL51" s="460">
        <f t="shared" si="21"/>
        <v>0.41622184639338544</v>
      </c>
      <c r="AM51" s="461" t="str">
        <f t="shared" si="22"/>
        <v>0.04 pts.</v>
      </c>
      <c r="AN51" s="462" t="str">
        <f t="shared" si="23"/>
        <v>-0.21 pts.</v>
      </c>
      <c r="AO51" s="11"/>
    </row>
    <row r="52" spans="1:41" x14ac:dyDescent="0.25">
      <c r="A52" s="61" t="s">
        <v>6</v>
      </c>
      <c r="B52" s="62"/>
      <c r="C52" s="11"/>
      <c r="D52" s="11"/>
      <c r="E52" s="11"/>
      <c r="F52" s="11"/>
      <c r="G52" s="11"/>
      <c r="H52" s="84" t="s">
        <v>795</v>
      </c>
      <c r="I52" s="118" t="str">
        <f>IF(_epmOfflineCondition_,"T4",_xll.EVPRO($B$1,$H52,"STYLE"))</f>
        <v>T4</v>
      </c>
      <c r="J52" s="118" t="str">
        <f>IF(_epmOfflineCondition_,"Y",_xll.EVPRO($B$1,$H52,"CALC"))</f>
        <v>Y</v>
      </c>
      <c r="K52" s="175" t="str">
        <f t="shared" si="12"/>
        <v>&gt;</v>
      </c>
      <c r="L52" s="86" t="str">
        <f>IF(_epmOfflineCondition_,"",_xll.EVPRO($B$1,H52,"JDEID"))</f>
        <v/>
      </c>
      <c r="M52" s="86" t="str">
        <f>IF(_epmOfflineCondition_,"",IF(AND(I52="N",J52="N"),_xll.EVPRO($B$1,H52,"PSFTID"),""))</f>
        <v/>
      </c>
      <c r="N52" s="86" t="str">
        <f>IF(_epmOfflineCondition_,"Travel - Other",IF(_xll.EVDES(H52,$B$1)="#NODATA","",_xll.EVDES(H52,$B$1)))</f>
        <v>Travel - Other</v>
      </c>
      <c r="O52" s="134">
        <v>1172.3399999999999</v>
      </c>
      <c r="P52" s="134">
        <v>54.01</v>
      </c>
      <c r="Q52" s="134">
        <v>218.6</v>
      </c>
      <c r="R52" s="134">
        <v>699.45</v>
      </c>
      <c r="S52" s="134">
        <v>4</v>
      </c>
      <c r="T52" s="134">
        <v>707.65</v>
      </c>
      <c r="U52" s="134">
        <v>701.69</v>
      </c>
      <c r="V52" s="134">
        <v>161.05000000000001</v>
      </c>
      <c r="W52" s="134">
        <v>670.1</v>
      </c>
      <c r="X52" s="134"/>
      <c r="Y52" s="134">
        <v>253.85</v>
      </c>
      <c r="Z52" s="134">
        <v>219.78</v>
      </c>
      <c r="AA52" s="240">
        <f t="shared" si="13"/>
        <v>4862.5200000000004</v>
      </c>
      <c r="AB52" s="138">
        <f t="shared" si="14"/>
        <v>5.798385295199877E-4</v>
      </c>
      <c r="AC52" s="136"/>
      <c r="AD52" s="134">
        <v>600</v>
      </c>
      <c r="AE52" s="138">
        <f t="shared" si="15"/>
        <v>4.5986142512499743E-5</v>
      </c>
      <c r="AF52" s="137">
        <f t="shared" si="16"/>
        <v>4262.5200000000004</v>
      </c>
      <c r="AG52" s="134">
        <v>3399.94</v>
      </c>
      <c r="AH52" s="138">
        <f t="shared" si="17"/>
        <v>1.0433523721803506E-3</v>
      </c>
      <c r="AI52" s="137">
        <f t="shared" si="18"/>
        <v>1462.5800000000004</v>
      </c>
      <c r="AJ52" s="458">
        <f t="shared" si="19"/>
        <v>0.10092403486924036</v>
      </c>
      <c r="AK52" s="459">
        <f t="shared" si="20"/>
        <v>1.2453300124533001E-2</v>
      </c>
      <c r="AL52" s="460">
        <f t="shared" si="21"/>
        <v>9.1271106815924402E-2</v>
      </c>
      <c r="AM52" s="461" t="str">
        <f t="shared" si="22"/>
        <v>0.05 pts.</v>
      </c>
      <c r="AN52" s="462" t="str">
        <f t="shared" si="23"/>
        <v>-0.05 pts.</v>
      </c>
      <c r="AO52" s="11"/>
    </row>
    <row r="53" spans="1:41" x14ac:dyDescent="0.25">
      <c r="A53" s="61" t="s">
        <v>7</v>
      </c>
      <c r="B53" s="62"/>
      <c r="C53" s="11"/>
      <c r="D53" s="11"/>
      <c r="E53" s="11"/>
      <c r="F53" s="11"/>
      <c r="G53" s="11"/>
      <c r="H53" s="84" t="s">
        <v>796</v>
      </c>
      <c r="I53" s="118" t="str">
        <f>IF(_epmOfflineCondition_,"T4",_xll.EVPRO($B$1,$H53,"STYLE"))</f>
        <v>T4</v>
      </c>
      <c r="J53" s="118" t="str">
        <f>IF(_epmOfflineCondition_,"Y",_xll.EVPRO($B$1,$H53,"CALC"))</f>
        <v>Y</v>
      </c>
      <c r="K53" s="175" t="str">
        <f t="shared" si="12"/>
        <v>&gt;</v>
      </c>
      <c r="L53" s="86" t="str">
        <f>IF(_epmOfflineCondition_,"702900",_xll.EVPRO($B$1,H53,"JDEID"))</f>
        <v>702900</v>
      </c>
      <c r="M53" s="86" t="str">
        <f>IF(_epmOfflineCondition_,"",IF(AND(I53="N",J53="N"),_xll.EVPRO($B$1,H53,"PSFTID"),""))</f>
        <v/>
      </c>
      <c r="N53" s="86" t="str">
        <f>IF(_epmOfflineCondition_,"Travel - Meals &amp; Entertainment",IF(_xll.EVDES(H53,$B$1)="#NODATA","",_xll.EVDES(H53,$B$1)))</f>
        <v>Travel - Meals &amp; Entertainment</v>
      </c>
      <c r="O53" s="134">
        <v>130.16</v>
      </c>
      <c r="P53" s="134">
        <v>6.06</v>
      </c>
      <c r="Q53" s="134">
        <v>126.26</v>
      </c>
      <c r="R53" s="134">
        <v>123.05</v>
      </c>
      <c r="S53" s="134"/>
      <c r="T53" s="134">
        <v>14.34</v>
      </c>
      <c r="U53" s="134"/>
      <c r="V53" s="134">
        <v>1318.27</v>
      </c>
      <c r="W53" s="134">
        <v>331.13</v>
      </c>
      <c r="X53" s="134">
        <v>33.35</v>
      </c>
      <c r="Y53" s="134">
        <v>323.29000000000002</v>
      </c>
      <c r="Z53" s="134">
        <v>122.93</v>
      </c>
      <c r="AA53" s="240">
        <f t="shared" si="13"/>
        <v>2528.8399999999997</v>
      </c>
      <c r="AB53" s="138">
        <f t="shared" si="14"/>
        <v>3.0155533899939237E-4</v>
      </c>
      <c r="AC53" s="136"/>
      <c r="AD53" s="134"/>
      <c r="AE53" s="138" t="str">
        <f t="shared" si="15"/>
        <v/>
      </c>
      <c r="AF53" s="137">
        <f t="shared" si="16"/>
        <v>2528.8399999999997</v>
      </c>
      <c r="AG53" s="134">
        <v>632.42999999999995</v>
      </c>
      <c r="AH53" s="138">
        <f t="shared" si="17"/>
        <v>1.9407617214951413E-4</v>
      </c>
      <c r="AI53" s="137">
        <f t="shared" si="18"/>
        <v>1896.4099999999999</v>
      </c>
      <c r="AJ53" s="458">
        <f t="shared" si="19"/>
        <v>5.2487339144873385E-2</v>
      </c>
      <c r="AK53" s="459">
        <f t="shared" si="20"/>
        <v>0</v>
      </c>
      <c r="AL53" s="460">
        <f t="shared" si="21"/>
        <v>1.697753080454216E-2</v>
      </c>
      <c r="AM53" s="461">
        <f t="shared" si="22"/>
        <v>0</v>
      </c>
      <c r="AN53" s="462" t="str">
        <f t="shared" si="23"/>
        <v>0.01 pts.</v>
      </c>
      <c r="AO53" s="11"/>
    </row>
    <row r="54" spans="1:41" x14ac:dyDescent="0.25">
      <c r="A54" s="61" t="s">
        <v>47</v>
      </c>
      <c r="B54" s="62" t="str">
        <f>IF(_epmOfflineCondition_,"'POM'!$A$59:$B$80",_xll.EVRNG($A$59:$B$80))</f>
        <v>'POM'!$A$59:$B$80</v>
      </c>
      <c r="C54" s="11"/>
      <c r="D54" s="11"/>
      <c r="E54" s="11"/>
      <c r="F54" s="11"/>
      <c r="G54" s="11"/>
      <c r="H54" s="84" t="s">
        <v>798</v>
      </c>
      <c r="I54" s="118" t="str">
        <f>IF(_epmOfflineCondition_,"N",_xll.EVPRO($B$1,$H54,"STYLE"))</f>
        <v>N</v>
      </c>
      <c r="J54" s="118" t="str">
        <f>IF(_epmOfflineCondition_,"N",_xll.EVPRO($B$1,$H54,"CALC"))</f>
        <v>N</v>
      </c>
      <c r="K54" s="175" t="str">
        <f t="shared" si="12"/>
        <v/>
      </c>
      <c r="L54" s="86" t="str">
        <f>IF(_epmOfflineCondition_,"703100",_xll.EVPRO($B$1,H54,"JDEID"))</f>
        <v>703100</v>
      </c>
      <c r="M54" s="86" t="str">
        <f>IF(_epmOfflineCondition_,"690035",IF(AND(I54="N",J54="N"),_xll.EVPRO($B$1,H54,"PSFTID"),""))</f>
        <v>690035</v>
      </c>
      <c r="N54" s="86" t="str">
        <f>IF(_epmOfflineCondition_,"Training",IF(_xll.EVDES(H54,$B$1)="#NODATA","",_xll.EVDES(H54,$B$1)))</f>
        <v>Training</v>
      </c>
      <c r="O54" s="134">
        <v>100</v>
      </c>
      <c r="P54" s="134"/>
      <c r="Q54" s="134"/>
      <c r="R54" s="134"/>
      <c r="S54" s="134"/>
      <c r="T54" s="134"/>
      <c r="U54" s="134"/>
      <c r="V54" s="134"/>
      <c r="W54" s="134"/>
      <c r="X54" s="134"/>
      <c r="Y54" s="134"/>
      <c r="Z54" s="134"/>
      <c r="AA54" s="240">
        <f t="shared" si="13"/>
        <v>100</v>
      </c>
      <c r="AB54" s="138">
        <f t="shared" si="14"/>
        <v>1.1924650788479792E-5</v>
      </c>
      <c r="AC54" s="136"/>
      <c r="AD54" s="134"/>
      <c r="AE54" s="138" t="str">
        <f t="shared" si="15"/>
        <v/>
      </c>
      <c r="AF54" s="137">
        <f t="shared" si="16"/>
        <v>100</v>
      </c>
      <c r="AG54" s="134"/>
      <c r="AH54" s="138" t="str">
        <f t="shared" si="17"/>
        <v/>
      </c>
      <c r="AI54" s="137">
        <f t="shared" si="18"/>
        <v>100</v>
      </c>
      <c r="AJ54" s="458">
        <f t="shared" si="19"/>
        <v>2.0755500207555004E-3</v>
      </c>
      <c r="AK54" s="459">
        <f t="shared" si="20"/>
        <v>0</v>
      </c>
      <c r="AL54" s="460">
        <f t="shared" si="21"/>
        <v>0</v>
      </c>
      <c r="AM54" s="461">
        <f t="shared" si="22"/>
        <v>0</v>
      </c>
      <c r="AN54" s="462">
        <f t="shared" si="23"/>
        <v>0</v>
      </c>
      <c r="AO54" s="11"/>
    </row>
    <row r="55" spans="1:41" x14ac:dyDescent="0.25">
      <c r="A55" s="61" t="s">
        <v>8</v>
      </c>
      <c r="B55" s="62"/>
      <c r="C55" s="11"/>
      <c r="D55" s="11"/>
      <c r="E55" s="11"/>
      <c r="F55" s="11"/>
      <c r="G55" s="11"/>
      <c r="H55" s="84" t="s">
        <v>799</v>
      </c>
      <c r="I55" s="118" t="str">
        <f>IF(_epmOfflineCondition_,"N",_xll.EVPRO($B$1,$H55,"STYLE"))</f>
        <v>N</v>
      </c>
      <c r="J55" s="118" t="str">
        <f>IF(_epmOfflineCondition_,"N",_xll.EVPRO($B$1,$H55,"CALC"))</f>
        <v>N</v>
      </c>
      <c r="K55" s="175" t="str">
        <f t="shared" si="12"/>
        <v/>
      </c>
      <c r="L55" s="86" t="str">
        <f>IF(_epmOfflineCondition_,"703200",_xll.EVPRO($B$1,H55,"JDEID"))</f>
        <v>703200</v>
      </c>
      <c r="M55" s="86" t="str">
        <f>IF(_epmOfflineCondition_,"590035",IF(AND(I55="N",J55="N"),_xll.EVPRO($B$1,H55,"PSFTID"),""))</f>
        <v>590035</v>
      </c>
      <c r="N55" s="86" t="str">
        <f>IF(_epmOfflineCondition_,"Uniform Costs",IF(_xll.EVDES(H55,$B$1)="#NODATA","",_xll.EVDES(H55,$B$1)))</f>
        <v>Uniform Costs</v>
      </c>
      <c r="O55" s="134"/>
      <c r="P55" s="134"/>
      <c r="Q55" s="134"/>
      <c r="R55" s="134"/>
      <c r="S55" s="134"/>
      <c r="T55" s="134">
        <v>983.52</v>
      </c>
      <c r="U55" s="134"/>
      <c r="V55" s="134"/>
      <c r="W55" s="134"/>
      <c r="X55" s="134"/>
      <c r="Y55" s="134"/>
      <c r="Z55" s="134"/>
      <c r="AA55" s="240">
        <f t="shared" si="13"/>
        <v>983.52</v>
      </c>
      <c r="AB55" s="138">
        <f t="shared" si="14"/>
        <v>1.1728132543485645E-4</v>
      </c>
      <c r="AC55" s="136"/>
      <c r="AD55" s="134">
        <v>1964.3273374573</v>
      </c>
      <c r="AE55" s="138">
        <f t="shared" si="15"/>
        <v>1.5055306146918428E-4</v>
      </c>
      <c r="AF55" s="137">
        <f t="shared" si="16"/>
        <v>-980.80733745730004</v>
      </c>
      <c r="AG55" s="134"/>
      <c r="AH55" s="138" t="str">
        <f t="shared" si="17"/>
        <v/>
      </c>
      <c r="AI55" s="137">
        <f t="shared" si="18"/>
        <v>983.52</v>
      </c>
      <c r="AJ55" s="458">
        <f t="shared" si="19"/>
        <v>2.0413449564134496E-2</v>
      </c>
      <c r="AK55" s="459">
        <f t="shared" si="20"/>
        <v>4.0770596460300956E-2</v>
      </c>
      <c r="AL55" s="460">
        <f t="shared" si="21"/>
        <v>0</v>
      </c>
      <c r="AM55" s="461" t="str">
        <f t="shared" si="22"/>
        <v>0 pts.</v>
      </c>
      <c r="AN55" s="462">
        <f t="shared" si="23"/>
        <v>0</v>
      </c>
      <c r="AO55" s="11"/>
    </row>
    <row r="56" spans="1:41" x14ac:dyDescent="0.25">
      <c r="A56" s="11"/>
      <c r="B56" s="11"/>
      <c r="C56" s="11"/>
      <c r="D56" s="11"/>
      <c r="E56" s="11"/>
      <c r="F56" s="11"/>
      <c r="G56" s="11"/>
      <c r="H56" s="84" t="s">
        <v>800</v>
      </c>
      <c r="I56" s="118" t="str">
        <f>IF(_epmOfflineCondition_,"N",_xll.EVPRO($B$1,$H56,"STYLE"))</f>
        <v>N</v>
      </c>
      <c r="J56" s="118" t="str">
        <f>IF(_epmOfflineCondition_,"N",_xll.EVPRO($B$1,$H56,"CALC"))</f>
        <v>N</v>
      </c>
      <c r="K56" s="175" t="str">
        <f t="shared" si="12"/>
        <v/>
      </c>
      <c r="L56" s="86" t="str">
        <f>IF(_epmOfflineCondition_,"703300",_xll.EVPRO($B$1,H56,"JDEID"))</f>
        <v>703300</v>
      </c>
      <c r="M56" s="86" t="str">
        <f>IF(_epmOfflineCondition_,"590115",IF(AND(I56="N",J56="N"),_xll.EVPRO($B$1,H56,"PSFTID"),""))</f>
        <v>590115</v>
      </c>
      <c r="N56" s="86" t="str">
        <f>IF(_epmOfflineCondition_,"Uniforms Laundry",IF(_xll.EVDES(H56,$B$1)="#NODATA","",_xll.EVDES(H56,$B$1)))</f>
        <v>Uniforms Laundry</v>
      </c>
      <c r="O56" s="134">
        <v>649.64</v>
      </c>
      <c r="P56" s="134">
        <v>169.65</v>
      </c>
      <c r="Q56" s="134">
        <v>421.16</v>
      </c>
      <c r="R56" s="134">
        <v>390.91</v>
      </c>
      <c r="S56" s="134">
        <v>388.8</v>
      </c>
      <c r="T56" s="134">
        <v>287.35000000000002</v>
      </c>
      <c r="U56" s="134">
        <v>291.94</v>
      </c>
      <c r="V56" s="134">
        <v>204.69</v>
      </c>
      <c r="W56" s="134">
        <v>360.8</v>
      </c>
      <c r="X56" s="134">
        <v>283.2</v>
      </c>
      <c r="Y56" s="134">
        <v>293.7</v>
      </c>
      <c r="Z56" s="134">
        <v>227.7</v>
      </c>
      <c r="AA56" s="240">
        <f t="shared" si="13"/>
        <v>3969.54</v>
      </c>
      <c r="AB56" s="138">
        <f t="shared" si="14"/>
        <v>4.7335378290902074E-4</v>
      </c>
      <c r="AC56" s="136"/>
      <c r="AD56" s="134">
        <v>1899.9999999996</v>
      </c>
      <c r="AE56" s="138">
        <f t="shared" si="15"/>
        <v>1.456227846228852E-4</v>
      </c>
      <c r="AF56" s="137">
        <f t="shared" si="16"/>
        <v>2069.5400000004001</v>
      </c>
      <c r="AG56" s="134">
        <v>2968.02</v>
      </c>
      <c r="AH56" s="138">
        <f t="shared" si="17"/>
        <v>9.1080745768417216E-4</v>
      </c>
      <c r="AI56" s="137">
        <f t="shared" si="18"/>
        <v>1001.52</v>
      </c>
      <c r="AJ56" s="458">
        <f t="shared" si="19"/>
        <v>8.2389788293897884E-2</v>
      </c>
      <c r="AK56" s="459">
        <f t="shared" si="20"/>
        <v>3.9435450394346205E-2</v>
      </c>
      <c r="AL56" s="460">
        <f t="shared" si="21"/>
        <v>7.9676250302005314E-2</v>
      </c>
      <c r="AM56" s="461" t="str">
        <f t="shared" si="22"/>
        <v>0.03 pts.</v>
      </c>
      <c r="AN56" s="462" t="str">
        <f t="shared" si="23"/>
        <v>-0.04 pts.</v>
      </c>
      <c r="AO56" s="11"/>
    </row>
    <row r="57" spans="1:41" x14ac:dyDescent="0.25">
      <c r="A57" s="11"/>
      <c r="B57" s="11"/>
      <c r="C57" s="11"/>
      <c r="D57" s="11"/>
      <c r="E57" s="11"/>
      <c r="F57" s="11"/>
      <c r="G57" s="11"/>
      <c r="H57" s="84" t="s">
        <v>806</v>
      </c>
      <c r="I57" s="118" t="str">
        <f>IF(_epmOfflineCondition_,"N",_xll.EVPRO($B$1,$H57,"STYLE"))</f>
        <v>N</v>
      </c>
      <c r="J57" s="118" t="str">
        <f>IF(_epmOfflineCondition_,"N",_xll.EVPRO($B$1,$H57,"CALC"))</f>
        <v>N</v>
      </c>
      <c r="K57" s="175" t="str">
        <f t="shared" si="12"/>
        <v/>
      </c>
      <c r="L57" s="86" t="str">
        <f>IF(_epmOfflineCondition_,"705500",_xll.EVPRO($B$1,H57,"JDEID"))</f>
        <v>705500</v>
      </c>
      <c r="M57" s="86" t="str">
        <f>IF(_epmOfflineCondition_,"690105",IF(AND(I57="N",J57="N"),_xll.EVPRO($B$1,H57,"PSFTID"),""))</f>
        <v>690105</v>
      </c>
      <c r="N57" s="86" t="str">
        <f>IF(_epmOfflineCondition_,"Licenses &amp; Permits",IF(_xll.EVDES(H57,$B$1)="#NODATA","",_xll.EVDES(H57,$B$1)))</f>
        <v>Licenses &amp; Permits</v>
      </c>
      <c r="O57" s="134"/>
      <c r="P57" s="134"/>
      <c r="Q57" s="134"/>
      <c r="R57" s="134"/>
      <c r="S57" s="134"/>
      <c r="T57" s="134">
        <v>128.04</v>
      </c>
      <c r="U57" s="134"/>
      <c r="V57" s="134"/>
      <c r="W57" s="134">
        <v>770</v>
      </c>
      <c r="X57" s="134"/>
      <c r="Y57" s="134"/>
      <c r="Z57" s="134">
        <v>161.25</v>
      </c>
      <c r="AA57" s="240">
        <f t="shared" si="13"/>
        <v>1059.29</v>
      </c>
      <c r="AB57" s="138">
        <f t="shared" si="14"/>
        <v>1.2631663333728758E-4</v>
      </c>
      <c r="AC57" s="136"/>
      <c r="AD57" s="134">
        <v>5355</v>
      </c>
      <c r="AE57" s="138">
        <f t="shared" si="15"/>
        <v>4.1042632192406019E-4</v>
      </c>
      <c r="AF57" s="137">
        <f t="shared" si="16"/>
        <v>-4295.71</v>
      </c>
      <c r="AG57" s="134">
        <v>5059.57</v>
      </c>
      <c r="AH57" s="138">
        <f t="shared" si="17"/>
        <v>1.5526492707849363E-3</v>
      </c>
      <c r="AI57" s="137">
        <f t="shared" si="18"/>
        <v>-4000.2799999999997</v>
      </c>
      <c r="AJ57" s="458">
        <f t="shared" si="19"/>
        <v>2.1986093814860937E-2</v>
      </c>
      <c r="AK57" s="459">
        <f t="shared" si="20"/>
        <v>0.11114570361145704</v>
      </c>
      <c r="AL57" s="460">
        <f t="shared" si="21"/>
        <v>0.13582373627553623</v>
      </c>
      <c r="AM57" s="461" t="str">
        <f t="shared" si="22"/>
        <v>-0.03 pts.</v>
      </c>
      <c r="AN57" s="462" t="str">
        <f t="shared" si="23"/>
        <v>-0.14 pts.</v>
      </c>
      <c r="AO57" s="11"/>
    </row>
    <row r="58" spans="1:41" x14ac:dyDescent="0.25">
      <c r="A58" s="57" t="s">
        <v>23</v>
      </c>
      <c r="B58" s="58" t="s">
        <v>24</v>
      </c>
      <c r="C58" s="11"/>
      <c r="D58" s="11"/>
      <c r="E58" s="11"/>
      <c r="F58" s="11"/>
      <c r="G58" s="11"/>
      <c r="H58" s="84" t="s">
        <v>843</v>
      </c>
      <c r="I58" s="118" t="str">
        <f>IF(_epmOfflineCondition_,"T4",_xll.EVPRO($B$1,$H58,"STYLE"))</f>
        <v>T4</v>
      </c>
      <c r="J58" s="118" t="str">
        <f>IF(_epmOfflineCondition_,"Y",_xll.EVPRO($B$1,$H58,"CALC"))</f>
        <v>Y</v>
      </c>
      <c r="K58" s="175" t="str">
        <f t="shared" si="12"/>
        <v>&gt;</v>
      </c>
      <c r="L58" s="86" t="str">
        <f>IF(_epmOfflineCondition_,"706100",_xll.EVPRO($B$1,H58,"JDEID"))</f>
        <v>706100</v>
      </c>
      <c r="M58" s="86" t="str">
        <f>IF(_epmOfflineCondition_,"",IF(AND(I58="N",J58="N"),_xll.EVPRO($B$1,H58,"PSFTID"),""))</f>
        <v/>
      </c>
      <c r="N58" s="86" t="str">
        <f>IF(_epmOfflineCondition_,"Miscellaneous",IF(_xll.EVDES(H58,$B$1)="#NODATA","",_xll.EVDES(H58,$B$1)))</f>
        <v>Miscellaneous</v>
      </c>
      <c r="O58" s="134"/>
      <c r="P58" s="134"/>
      <c r="Q58" s="134"/>
      <c r="R58" s="134"/>
      <c r="S58" s="134"/>
      <c r="T58" s="134"/>
      <c r="U58" s="134"/>
      <c r="V58" s="134"/>
      <c r="W58" s="134"/>
      <c r="X58" s="134"/>
      <c r="Y58" s="134"/>
      <c r="Z58" s="134">
        <v>4305.07</v>
      </c>
      <c r="AA58" s="240">
        <f t="shared" si="13"/>
        <v>4305.07</v>
      </c>
      <c r="AB58" s="138">
        <f t="shared" si="14"/>
        <v>5.1336456369960694E-4</v>
      </c>
      <c r="AC58" s="136"/>
      <c r="AD58" s="134"/>
      <c r="AE58" s="138" t="str">
        <f t="shared" si="15"/>
        <v/>
      </c>
      <c r="AF58" s="137">
        <f t="shared" si="16"/>
        <v>4305.07</v>
      </c>
      <c r="AG58" s="134"/>
      <c r="AH58" s="138" t="str">
        <f t="shared" si="17"/>
        <v/>
      </c>
      <c r="AI58" s="137">
        <f t="shared" si="18"/>
        <v>4305.07</v>
      </c>
      <c r="AJ58" s="458">
        <f t="shared" si="19"/>
        <v>8.9353881278538813E-2</v>
      </c>
      <c r="AK58" s="459">
        <f t="shared" si="20"/>
        <v>0</v>
      </c>
      <c r="AL58" s="460">
        <f t="shared" si="21"/>
        <v>0</v>
      </c>
      <c r="AM58" s="461">
        <f t="shared" si="22"/>
        <v>0</v>
      </c>
      <c r="AN58" s="462">
        <f t="shared" si="23"/>
        <v>0</v>
      </c>
      <c r="AO58" s="11"/>
    </row>
    <row r="59" spans="1:41" x14ac:dyDescent="0.25">
      <c r="A59" s="61" t="s">
        <v>25</v>
      </c>
      <c r="B59" s="62"/>
      <c r="C59" s="11"/>
      <c r="D59" s="11"/>
      <c r="E59" s="11"/>
      <c r="F59" s="11"/>
      <c r="G59" s="11"/>
      <c r="H59" s="84" t="s">
        <v>858</v>
      </c>
      <c r="I59" s="118" t="str">
        <f>IF(_epmOfflineCondition_,"N",_xll.EVPRO($B$1,$H59,"STYLE"))</f>
        <v>N</v>
      </c>
      <c r="J59" s="118" t="str">
        <f>IF(_epmOfflineCondition_,"N",_xll.EVPRO($B$1,$H59,"CALC"))</f>
        <v>N</v>
      </c>
      <c r="K59" s="175" t="str">
        <f t="shared" si="12"/>
        <v/>
      </c>
      <c r="L59" s="86" t="str">
        <f>IF(_epmOfflineCondition_,"715100",_xll.EVPRO($B$1,H59,"JDEID"))</f>
        <v>715100</v>
      </c>
      <c r="M59" s="86" t="str">
        <f>IF(_epmOfflineCondition_,"691055",IF(AND(I59="N",J59="N"),_xll.EVPRO($B$1,H59,"PSFTID"),""))</f>
        <v>691055</v>
      </c>
      <c r="N59" s="86" t="str">
        <f>IF(_epmOfflineCondition_,"Life/Safety",IF(_xll.EVDES(H59,$B$1)="#NODATA","",_xll.EVDES(H59,$B$1)))</f>
        <v>Life/Safety</v>
      </c>
      <c r="O59" s="134">
        <v>808.57</v>
      </c>
      <c r="P59" s="134">
        <v>779.92</v>
      </c>
      <c r="Q59" s="134">
        <v>-480.32</v>
      </c>
      <c r="R59" s="134">
        <v>754.73</v>
      </c>
      <c r="S59" s="134"/>
      <c r="T59" s="134"/>
      <c r="U59" s="134">
        <v>2834.7</v>
      </c>
      <c r="V59" s="134">
        <v>139.27000000000001</v>
      </c>
      <c r="W59" s="134">
        <v>4199.13</v>
      </c>
      <c r="X59" s="134">
        <v>2031.4</v>
      </c>
      <c r="Y59" s="134">
        <v>455.9</v>
      </c>
      <c r="Z59" s="134">
        <v>703.44</v>
      </c>
      <c r="AA59" s="240">
        <f t="shared" si="13"/>
        <v>12226.74</v>
      </c>
      <c r="AB59" s="138">
        <f t="shared" si="14"/>
        <v>1.4579960478153741E-3</v>
      </c>
      <c r="AC59" s="136"/>
      <c r="AD59" s="134">
        <v>7015</v>
      </c>
      <c r="AE59" s="138">
        <f t="shared" si="15"/>
        <v>5.3765464954197613E-4</v>
      </c>
      <c r="AF59" s="137">
        <f t="shared" si="16"/>
        <v>5211.74</v>
      </c>
      <c r="AG59" s="134">
        <v>14791.04</v>
      </c>
      <c r="AH59" s="138">
        <f t="shared" si="17"/>
        <v>4.5389820617465172E-3</v>
      </c>
      <c r="AI59" s="137">
        <f t="shared" si="18"/>
        <v>-2564.3000000000011</v>
      </c>
      <c r="AJ59" s="458">
        <f t="shared" si="19"/>
        <v>0.25377210460772104</v>
      </c>
      <c r="AK59" s="459">
        <f t="shared" si="20"/>
        <v>0.14559983395599835</v>
      </c>
      <c r="AL59" s="460">
        <f t="shared" si="21"/>
        <v>0.39706423988617756</v>
      </c>
      <c r="AM59" s="461" t="str">
        <f t="shared" si="22"/>
        <v>0.09 pts.</v>
      </c>
      <c r="AN59" s="462" t="str">
        <f t="shared" si="23"/>
        <v>-0.31 pts.</v>
      </c>
      <c r="AO59" s="11"/>
    </row>
    <row r="60" spans="1:41" x14ac:dyDescent="0.25">
      <c r="A60" s="61" t="s">
        <v>26</v>
      </c>
      <c r="B60" s="62"/>
      <c r="C60" s="11"/>
      <c r="D60" s="11"/>
      <c r="E60" s="11"/>
      <c r="F60" s="11"/>
      <c r="G60" s="11"/>
      <c r="H60" s="84" t="s">
        <v>859</v>
      </c>
      <c r="I60" s="118" t="str">
        <f>IF(_epmOfflineCondition_,"N",_xll.EVPRO($B$1,$H60,"STYLE"))</f>
        <v>N</v>
      </c>
      <c r="J60" s="118" t="str">
        <f>IF(_epmOfflineCondition_,"N",_xll.EVPRO($B$1,$H60,"CALC"))</f>
        <v>N</v>
      </c>
      <c r="K60" s="175" t="str">
        <f t="shared" si="12"/>
        <v/>
      </c>
      <c r="L60" s="86" t="str">
        <f>IF(_epmOfflineCondition_,"715200",_xll.EVPRO($B$1,H60,"JDEID"))</f>
        <v>715200</v>
      </c>
      <c r="M60" s="86" t="str">
        <f>IF(_epmOfflineCondition_,"691095",IF(AND(I60="N",J60="N"),_xll.EVPRO($B$1,H60,"PSFTID"),""))</f>
        <v>691095</v>
      </c>
      <c r="N60" s="86" t="str">
        <f>IF(_epmOfflineCondition_,"Electrical &amp; Mechanical Equipment",IF(_xll.EVDES(H60,$B$1)="#NODATA","",_xll.EVDES(H60,$B$1)))</f>
        <v>Electrical &amp; Mechanical Equipment</v>
      </c>
      <c r="O60" s="134">
        <v>158.4</v>
      </c>
      <c r="P60" s="134">
        <v>265.19</v>
      </c>
      <c r="Q60" s="134"/>
      <c r="R60" s="134"/>
      <c r="S60" s="134">
        <v>2700</v>
      </c>
      <c r="T60" s="134"/>
      <c r="U60" s="134"/>
      <c r="V60" s="134"/>
      <c r="W60" s="134">
        <v>1409.01</v>
      </c>
      <c r="X60" s="134">
        <v>255.19</v>
      </c>
      <c r="Y60" s="134">
        <v>633.64</v>
      </c>
      <c r="Z60" s="134">
        <v>159.12</v>
      </c>
      <c r="AA60" s="240">
        <f t="shared" si="13"/>
        <v>5580.55</v>
      </c>
      <c r="AB60" s="138">
        <f t="shared" si="14"/>
        <v>6.6546109957650904E-4</v>
      </c>
      <c r="AC60" s="136"/>
      <c r="AD60" s="134">
        <v>4081.0033333340998</v>
      </c>
      <c r="AE60" s="138">
        <f t="shared" si="15"/>
        <v>3.1278266813448069E-4</v>
      </c>
      <c r="AF60" s="137">
        <f t="shared" si="16"/>
        <v>1499.5466666659004</v>
      </c>
      <c r="AG60" s="134">
        <v>3997.53</v>
      </c>
      <c r="AH60" s="138">
        <f t="shared" si="17"/>
        <v>1.2267370625252555E-3</v>
      </c>
      <c r="AI60" s="137">
        <f t="shared" si="18"/>
        <v>1583.02</v>
      </c>
      <c r="AJ60" s="458">
        <f t="shared" si="19"/>
        <v>0.11582710668327106</v>
      </c>
      <c r="AK60" s="459">
        <f t="shared" si="20"/>
        <v>8.4703265532048558E-2</v>
      </c>
      <c r="AL60" s="460">
        <f t="shared" si="21"/>
        <v>0.10731336071514859</v>
      </c>
      <c r="AM60" s="461" t="str">
        <f t="shared" si="22"/>
        <v>0.04 pts.</v>
      </c>
      <c r="AN60" s="462" t="str">
        <f t="shared" si="23"/>
        <v>-0.06 pts.</v>
      </c>
      <c r="AO60" s="11"/>
    </row>
    <row r="61" spans="1:41" x14ac:dyDescent="0.25">
      <c r="A61" s="61" t="s">
        <v>27</v>
      </c>
      <c r="B61" s="62"/>
      <c r="C61" s="11"/>
      <c r="D61" s="11"/>
      <c r="E61" s="11"/>
      <c r="F61" s="11"/>
      <c r="G61" s="11"/>
      <c r="H61" s="84" t="s">
        <v>860</v>
      </c>
      <c r="I61" s="118" t="str">
        <f>IF(_epmOfflineCondition_,"N",_xll.EVPRO($B$1,$H61,"STYLE"))</f>
        <v>N</v>
      </c>
      <c r="J61" s="118" t="str">
        <f>IF(_epmOfflineCondition_,"N",_xll.EVPRO($B$1,$H61,"CALC"))</f>
        <v>N</v>
      </c>
      <c r="K61" s="175" t="str">
        <f t="shared" si="12"/>
        <v/>
      </c>
      <c r="L61" s="86" t="str">
        <f>IF(_epmOfflineCondition_,"715300",_xll.EVPRO($B$1,H61,"JDEID"))</f>
        <v>715300</v>
      </c>
      <c r="M61" s="86" t="str">
        <f>IF(_epmOfflineCondition_,"690922",IF(AND(I61="N",J61="N"),_xll.EVPRO($B$1,H61,"PSFTID"),""))</f>
        <v>690922</v>
      </c>
      <c r="N61" s="86" t="str">
        <f>IF(_epmOfflineCondition_,"HVAC Equipment",IF(_xll.EVDES(H61,$B$1)="#NODATA","",_xll.EVDES(H61,$B$1)))</f>
        <v>HVAC Equipment</v>
      </c>
      <c r="O61" s="134">
        <v>3576.68</v>
      </c>
      <c r="P61" s="134">
        <v>2930.47</v>
      </c>
      <c r="Q61" s="134">
        <v>6419.75</v>
      </c>
      <c r="R61" s="134">
        <v>6803.74</v>
      </c>
      <c r="S61" s="134">
        <v>3744.11</v>
      </c>
      <c r="T61" s="134">
        <v>4325</v>
      </c>
      <c r="U61" s="134">
        <v>1272.71</v>
      </c>
      <c r="V61" s="134">
        <v>5272.14</v>
      </c>
      <c r="W61" s="134">
        <v>571.54999999999995</v>
      </c>
      <c r="X61" s="134">
        <v>2483.1999999999998</v>
      </c>
      <c r="Y61" s="134">
        <v>674.99</v>
      </c>
      <c r="Z61" s="134">
        <v>806.77</v>
      </c>
      <c r="AA61" s="240">
        <f t="shared" si="13"/>
        <v>38881.109999999993</v>
      </c>
      <c r="AB61" s="138">
        <f t="shared" si="14"/>
        <v>4.6364365901846944E-3</v>
      </c>
      <c r="AC61" s="136"/>
      <c r="AD61" s="134">
        <v>5879.0000000004002</v>
      </c>
      <c r="AE61" s="138">
        <f t="shared" si="15"/>
        <v>4.5058755305167397E-4</v>
      </c>
      <c r="AF61" s="137">
        <f t="shared" si="16"/>
        <v>33002.109999999593</v>
      </c>
      <c r="AG61" s="134">
        <v>8395.4699999999993</v>
      </c>
      <c r="AH61" s="138">
        <f t="shared" si="17"/>
        <v>2.5763494473634734E-3</v>
      </c>
      <c r="AI61" s="137">
        <f t="shared" si="18"/>
        <v>30485.639999999992</v>
      </c>
      <c r="AJ61" s="458">
        <f t="shared" si="19"/>
        <v>0.80699688667496872</v>
      </c>
      <c r="AK61" s="459">
        <f t="shared" si="20"/>
        <v>0.12202158572022416</v>
      </c>
      <c r="AL61" s="460">
        <f t="shared" si="21"/>
        <v>0.22537569461222515</v>
      </c>
      <c r="AM61" s="461" t="str">
        <f t="shared" si="22"/>
        <v>0.42 pts.</v>
      </c>
      <c r="AN61" s="462" t="str">
        <f t="shared" si="23"/>
        <v>0.21 pts.</v>
      </c>
      <c r="AO61" s="11"/>
    </row>
    <row r="62" spans="1:41" x14ac:dyDescent="0.25">
      <c r="A62" s="61" t="s">
        <v>28</v>
      </c>
      <c r="B62" s="62"/>
      <c r="C62" s="11"/>
      <c r="D62" s="11"/>
      <c r="E62" s="11"/>
      <c r="F62" s="11"/>
      <c r="G62" s="11"/>
      <c r="H62" s="84" t="s">
        <v>861</v>
      </c>
      <c r="I62" s="118" t="str">
        <f>IF(_epmOfflineCondition_,"T4",_xll.EVPRO($B$1,$H62,"STYLE"))</f>
        <v>T4</v>
      </c>
      <c r="J62" s="118" t="str">
        <f>IF(_epmOfflineCondition_,"Y",_xll.EVPRO($B$1,$H62,"CALC"))</f>
        <v>Y</v>
      </c>
      <c r="K62" s="175" t="str">
        <f t="shared" si="12"/>
        <v>&gt;</v>
      </c>
      <c r="L62" s="86" t="str">
        <f>IF(_epmOfflineCondition_,"",_xll.EVPRO($B$1,H62,"JDEID"))</f>
        <v/>
      </c>
      <c r="M62" s="86" t="str">
        <f>IF(_epmOfflineCondition_,"",IF(AND(I62="N",J62="N"),_xll.EVPRO($B$1,H62,"PSFTID"),""))</f>
        <v/>
      </c>
      <c r="N62" s="86" t="str">
        <f>IF(_epmOfflineCondition_,"Furniture &amp; Equipment",IF(_xll.EVDES(H62,$B$1)="#NODATA","",_xll.EVDES(H62,$B$1)))</f>
        <v>Furniture &amp; Equipment</v>
      </c>
      <c r="O62" s="134">
        <v>253.97</v>
      </c>
      <c r="P62" s="134">
        <v>2453.08</v>
      </c>
      <c r="Q62" s="134"/>
      <c r="R62" s="134">
        <v>427.11</v>
      </c>
      <c r="S62" s="134"/>
      <c r="T62" s="134"/>
      <c r="U62" s="134">
        <v>57</v>
      </c>
      <c r="V62" s="134"/>
      <c r="W62" s="134"/>
      <c r="X62" s="134"/>
      <c r="Y62" s="134"/>
      <c r="Z62" s="134">
        <v>326.81</v>
      </c>
      <c r="AA62" s="240">
        <f t="shared" si="13"/>
        <v>3517.97</v>
      </c>
      <c r="AB62" s="138">
        <f t="shared" si="14"/>
        <v>4.1950563734348254E-4</v>
      </c>
      <c r="AC62" s="136"/>
      <c r="AD62" s="134">
        <v>1669.9999999996</v>
      </c>
      <c r="AE62" s="138">
        <f t="shared" si="15"/>
        <v>1.2799476332642698E-4</v>
      </c>
      <c r="AF62" s="137">
        <f t="shared" si="16"/>
        <v>1847.9700000003998</v>
      </c>
      <c r="AG62" s="134">
        <v>4515.87</v>
      </c>
      <c r="AH62" s="138">
        <f t="shared" si="17"/>
        <v>1.385802007376036E-3</v>
      </c>
      <c r="AI62" s="137">
        <f t="shared" si="18"/>
        <v>-997.90000000000009</v>
      </c>
      <c r="AJ62" s="458">
        <f t="shared" si="19"/>
        <v>7.301722706517226E-2</v>
      </c>
      <c r="AK62" s="459">
        <f t="shared" si="20"/>
        <v>3.4661685346608552E-2</v>
      </c>
      <c r="AL62" s="460">
        <f t="shared" si="21"/>
        <v>0.12122815494886043</v>
      </c>
      <c r="AM62" s="461" t="str">
        <f t="shared" si="22"/>
        <v>0.03 pts.</v>
      </c>
      <c r="AN62" s="462" t="str">
        <f t="shared" si="23"/>
        <v>-0.1 pts.</v>
      </c>
      <c r="AO62" s="11"/>
    </row>
    <row r="63" spans="1:41" x14ac:dyDescent="0.25">
      <c r="A63" s="61" t="s">
        <v>29</v>
      </c>
      <c r="B63" s="62"/>
      <c r="C63" s="11"/>
      <c r="D63" s="11"/>
      <c r="E63" s="11"/>
      <c r="F63" s="11"/>
      <c r="G63" s="11"/>
      <c r="H63" s="84" t="s">
        <v>862</v>
      </c>
      <c r="I63" s="118" t="str">
        <f>IF(_epmOfflineCondition_,"N",_xll.EVPRO($B$1,$H63,"STYLE"))</f>
        <v>N</v>
      </c>
      <c r="J63" s="118" t="str">
        <f>IF(_epmOfflineCondition_,"N",_xll.EVPRO($B$1,$H63,"CALC"))</f>
        <v>N</v>
      </c>
      <c r="K63" s="175" t="str">
        <f t="shared" si="12"/>
        <v/>
      </c>
      <c r="L63" s="86" t="str">
        <f>IF(_epmOfflineCondition_,"715600",_xll.EVPRO($B$1,H63,"JDEID"))</f>
        <v>715600</v>
      </c>
      <c r="M63" s="86" t="str">
        <f>IF(_epmOfflineCondition_,"690905",IF(AND(I63="N",J63="N"),_xll.EVPRO($B$1,H63,"PSFTID"),""))</f>
        <v>690905</v>
      </c>
      <c r="N63" s="86" t="str">
        <f>IF(_epmOfflineCondition_,"Building",IF(_xll.EVDES(H63,$B$1)="#NODATA","",_xll.EVDES(H63,$B$1)))</f>
        <v>Building</v>
      </c>
      <c r="O63" s="134">
        <v>1187.67</v>
      </c>
      <c r="P63" s="134">
        <v>5637.64</v>
      </c>
      <c r="Q63" s="134">
        <v>398.27</v>
      </c>
      <c r="R63" s="134">
        <v>999.14</v>
      </c>
      <c r="S63" s="134">
        <v>1089.0999999999999</v>
      </c>
      <c r="T63" s="134"/>
      <c r="U63" s="134">
        <v>1300.1099999999999</v>
      </c>
      <c r="V63" s="134">
        <v>3070.77</v>
      </c>
      <c r="W63" s="134"/>
      <c r="X63" s="134">
        <v>799.74</v>
      </c>
      <c r="Y63" s="134">
        <v>1751.21</v>
      </c>
      <c r="Z63" s="134">
        <v>12.81</v>
      </c>
      <c r="AA63" s="240">
        <f t="shared" si="13"/>
        <v>16246.460000000001</v>
      </c>
      <c r="AB63" s="138">
        <f t="shared" si="14"/>
        <v>1.9373336204900542E-3</v>
      </c>
      <c r="AC63" s="136"/>
      <c r="AD63" s="134">
        <v>8314.0033333337997</v>
      </c>
      <c r="AE63" s="138">
        <f t="shared" si="15"/>
        <v>6.3721490356014336E-4</v>
      </c>
      <c r="AF63" s="137">
        <f t="shared" si="16"/>
        <v>7932.4566666662013</v>
      </c>
      <c r="AG63" s="134">
        <v>11420.19</v>
      </c>
      <c r="AH63" s="138">
        <f t="shared" si="17"/>
        <v>3.504556647249751E-3</v>
      </c>
      <c r="AI63" s="137">
        <f t="shared" si="18"/>
        <v>4826.2700000000004</v>
      </c>
      <c r="AJ63" s="458">
        <f t="shared" si="19"/>
        <v>0.33720340390203407</v>
      </c>
      <c r="AK63" s="459">
        <f t="shared" si="20"/>
        <v>0.17256129791062266</v>
      </c>
      <c r="AL63" s="460">
        <f t="shared" si="21"/>
        <v>0.30657405170330998</v>
      </c>
      <c r="AM63" s="461" t="str">
        <f t="shared" si="22"/>
        <v>0.13 pts.</v>
      </c>
      <c r="AN63" s="462" t="str">
        <f t="shared" si="23"/>
        <v>-0.16 pts.</v>
      </c>
      <c r="AO63" s="11"/>
    </row>
    <row r="64" spans="1:41" x14ac:dyDescent="0.25">
      <c r="A64" s="61" t="s">
        <v>30</v>
      </c>
      <c r="B64" s="62" t="s">
        <v>78</v>
      </c>
      <c r="C64" s="11"/>
      <c r="D64" s="11"/>
      <c r="E64" s="11"/>
      <c r="F64" s="11"/>
      <c r="G64" s="11"/>
      <c r="H64" s="84" t="s">
        <v>863</v>
      </c>
      <c r="I64" s="118" t="str">
        <f>IF(_epmOfflineCondition_,"N",_xll.EVPRO($B$1,$H64,"STYLE"))</f>
        <v>N</v>
      </c>
      <c r="J64" s="118" t="str">
        <f>IF(_epmOfflineCondition_,"N",_xll.EVPRO($B$1,$H64,"CALC"))</f>
        <v>N</v>
      </c>
      <c r="K64" s="175" t="str">
        <f t="shared" si="12"/>
        <v/>
      </c>
      <c r="L64" s="86" t="str">
        <f>IF(_epmOfflineCondition_,"715700",_xll.EVPRO($B$1,H64,"JDEID"))</f>
        <v>715700</v>
      </c>
      <c r="M64" s="86" t="str">
        <f>IF(_epmOfflineCondition_,"690921",IF(AND(I64="N",J64="N"),_xll.EVPRO($B$1,H64,"PSFTID"),""))</f>
        <v>690921</v>
      </c>
      <c r="N64" s="86" t="str">
        <f>IF(_epmOfflineCondition_,"Plumbing",IF(_xll.EVDES(H64,$B$1)="#NODATA","",_xll.EVDES(H64,$B$1)))</f>
        <v>Plumbing</v>
      </c>
      <c r="O64" s="134">
        <v>336.08</v>
      </c>
      <c r="P64" s="134">
        <v>775.01</v>
      </c>
      <c r="Q64" s="134">
        <v>2354</v>
      </c>
      <c r="R64" s="134">
        <v>987.44</v>
      </c>
      <c r="S64" s="134">
        <v>1538.68</v>
      </c>
      <c r="T64" s="134">
        <v>810</v>
      </c>
      <c r="U64" s="134">
        <v>93.37</v>
      </c>
      <c r="V64" s="134">
        <v>499</v>
      </c>
      <c r="W64" s="134">
        <v>272.01</v>
      </c>
      <c r="X64" s="134">
        <v>395.43</v>
      </c>
      <c r="Y64" s="134">
        <v>232.31</v>
      </c>
      <c r="Z64" s="134">
        <v>217.13</v>
      </c>
      <c r="AA64" s="240">
        <f t="shared" si="13"/>
        <v>8510.4600000000009</v>
      </c>
      <c r="AB64" s="138">
        <f t="shared" si="14"/>
        <v>1.0148426354932574E-3</v>
      </c>
      <c r="AC64" s="136"/>
      <c r="AD64" s="134">
        <v>7196.9999999995998</v>
      </c>
      <c r="AE64" s="138">
        <f t="shared" si="15"/>
        <v>5.5160377943740374E-4</v>
      </c>
      <c r="AF64" s="137">
        <f t="shared" si="16"/>
        <v>1313.4600000004011</v>
      </c>
      <c r="AG64" s="134">
        <v>7297.14</v>
      </c>
      <c r="AH64" s="138">
        <f t="shared" si="17"/>
        <v>2.2393007903469251E-3</v>
      </c>
      <c r="AI64" s="137">
        <f t="shared" si="18"/>
        <v>1213.3200000000006</v>
      </c>
      <c r="AJ64" s="458">
        <f t="shared" si="19"/>
        <v>0.17663885429638856</v>
      </c>
      <c r="AK64" s="459">
        <f t="shared" si="20"/>
        <v>0.14937733499376504</v>
      </c>
      <c r="AL64" s="460">
        <f t="shared" si="21"/>
        <v>0.19589111701699286</v>
      </c>
      <c r="AM64" s="461" t="str">
        <f t="shared" si="22"/>
        <v>0.05 pts.</v>
      </c>
      <c r="AN64" s="462" t="str">
        <f t="shared" si="23"/>
        <v>-0.12 pts.</v>
      </c>
      <c r="AO64" s="11"/>
    </row>
    <row r="65" spans="1:41" x14ac:dyDescent="0.25">
      <c r="A65" s="61" t="s">
        <v>31</v>
      </c>
      <c r="B65" s="62" t="s">
        <v>78</v>
      </c>
      <c r="C65" s="11"/>
      <c r="D65" s="11"/>
      <c r="E65" s="11"/>
      <c r="F65" s="11"/>
      <c r="G65" s="11"/>
      <c r="H65" s="84" t="s">
        <v>864</v>
      </c>
      <c r="I65" s="118" t="str">
        <f>IF(_epmOfflineCondition_,"N",_xll.EVPRO($B$1,$H65,"STYLE"))</f>
        <v>N</v>
      </c>
      <c r="J65" s="118" t="str">
        <f>IF(_epmOfflineCondition_,"N",_xll.EVPRO($B$1,$H65,"CALC"))</f>
        <v>N</v>
      </c>
      <c r="K65" s="175" t="str">
        <f t="shared" si="12"/>
        <v/>
      </c>
      <c r="L65" s="86" t="str">
        <f>IF(_epmOfflineCondition_,"715800",_xll.EVPRO($B$1,H65,"JDEID"))</f>
        <v>715800</v>
      </c>
      <c r="M65" s="86" t="str">
        <f>IF(_epmOfflineCondition_,"691060",IF(AND(I65="N",J65="N"),_xll.EVPRO($B$1,H65,"PSFTID"),""))</f>
        <v>691060</v>
      </c>
      <c r="N65" s="86" t="str">
        <f>IF(_epmOfflineCondition_,"Floor Covering",IF(_xll.EVDES(H65,$B$1)="#NODATA","",_xll.EVDES(H65,$B$1)))</f>
        <v>Floor Covering</v>
      </c>
      <c r="O65" s="134"/>
      <c r="P65" s="134"/>
      <c r="Q65" s="134"/>
      <c r="R65" s="134"/>
      <c r="S65" s="134"/>
      <c r="T65" s="134"/>
      <c r="U65" s="134">
        <v>60.45</v>
      </c>
      <c r="V65" s="134"/>
      <c r="W65" s="134"/>
      <c r="X65" s="134"/>
      <c r="Y65" s="134"/>
      <c r="Z65" s="134"/>
      <c r="AA65" s="240">
        <f t="shared" si="13"/>
        <v>60.45</v>
      </c>
      <c r="AB65" s="138">
        <f t="shared" si="14"/>
        <v>7.2084514016360352E-6</v>
      </c>
      <c r="AC65" s="136"/>
      <c r="AD65" s="134">
        <v>600</v>
      </c>
      <c r="AE65" s="138">
        <f t="shared" si="15"/>
        <v>4.5986142512499743E-5</v>
      </c>
      <c r="AF65" s="137">
        <f t="shared" si="16"/>
        <v>-539.54999999999995</v>
      </c>
      <c r="AG65" s="134"/>
      <c r="AH65" s="138" t="str">
        <f t="shared" si="17"/>
        <v/>
      </c>
      <c r="AI65" s="137">
        <f t="shared" si="18"/>
        <v>60.45</v>
      </c>
      <c r="AJ65" s="458">
        <f t="shared" si="19"/>
        <v>1.2546699875466999E-3</v>
      </c>
      <c r="AK65" s="459">
        <f t="shared" si="20"/>
        <v>1.2453300124533001E-2</v>
      </c>
      <c r="AL65" s="460">
        <f t="shared" si="21"/>
        <v>0</v>
      </c>
      <c r="AM65" s="461" t="str">
        <f t="shared" si="22"/>
        <v>0 pts.</v>
      </c>
      <c r="AN65" s="462">
        <f t="shared" si="23"/>
        <v>0</v>
      </c>
      <c r="AO65" s="11"/>
    </row>
    <row r="66" spans="1:41" x14ac:dyDescent="0.25">
      <c r="A66" s="61" t="s">
        <v>32</v>
      </c>
      <c r="B66" s="62"/>
      <c r="C66" s="11"/>
      <c r="D66" s="11"/>
      <c r="E66" s="11"/>
      <c r="F66" s="11"/>
      <c r="G66" s="11"/>
      <c r="H66" s="84" t="s">
        <v>865</v>
      </c>
      <c r="I66" s="118" t="str">
        <f>IF(_epmOfflineCondition_,"N",_xll.EVPRO($B$1,$H66,"STYLE"))</f>
        <v>N</v>
      </c>
      <c r="J66" s="118" t="str">
        <f>IF(_epmOfflineCondition_,"N",_xll.EVPRO($B$1,$H66,"CALC"))</f>
        <v>N</v>
      </c>
      <c r="K66" s="175" t="str">
        <f t="shared" si="12"/>
        <v/>
      </c>
      <c r="L66" s="86" t="str">
        <f>IF(_epmOfflineCondition_,"715900",_xll.EVPRO($B$1,H66,"JDEID"))</f>
        <v>715900</v>
      </c>
      <c r="M66" s="86" t="str">
        <f>IF(_epmOfflineCondition_,"690925",IF(AND(I66="N",J66="N"),_xll.EVPRO($B$1,H66,"PSFTID"),""))</f>
        <v>690925</v>
      </c>
      <c r="N66" s="86" t="str">
        <f>IF(_epmOfflineCondition_,"Painting &amp; Wallcovering",IF(_xll.EVDES(H66,$B$1)="#NODATA","",_xll.EVDES(H66,$B$1)))</f>
        <v>Painting &amp; Wallcovering</v>
      </c>
      <c r="O66" s="134">
        <v>2816.37</v>
      </c>
      <c r="P66" s="134">
        <v>3106.37</v>
      </c>
      <c r="Q66" s="134"/>
      <c r="R66" s="134">
        <v>567.88</v>
      </c>
      <c r="S66" s="134">
        <v>1332.5</v>
      </c>
      <c r="T66" s="134">
        <v>1852.1</v>
      </c>
      <c r="U66" s="134">
        <v>687.95</v>
      </c>
      <c r="V66" s="134">
        <v>-1772.44</v>
      </c>
      <c r="W66" s="134">
        <v>646.62</v>
      </c>
      <c r="X66" s="134">
        <v>210.52</v>
      </c>
      <c r="Y66" s="134">
        <v>807.22</v>
      </c>
      <c r="Z66" s="134">
        <v>854.01</v>
      </c>
      <c r="AA66" s="240">
        <f t="shared" si="13"/>
        <v>11109.1</v>
      </c>
      <c r="AB66" s="138">
        <f t="shared" si="14"/>
        <v>1.3247213807430086E-3</v>
      </c>
      <c r="AC66" s="136"/>
      <c r="AD66" s="134">
        <v>9942</v>
      </c>
      <c r="AE66" s="138">
        <f t="shared" si="15"/>
        <v>7.6199038143212074E-4</v>
      </c>
      <c r="AF66" s="137">
        <f t="shared" si="16"/>
        <v>1167.1000000000004</v>
      </c>
      <c r="AG66" s="134">
        <v>11900.95</v>
      </c>
      <c r="AH66" s="138">
        <f t="shared" si="17"/>
        <v>3.652089276193034E-3</v>
      </c>
      <c r="AI66" s="137">
        <f t="shared" si="18"/>
        <v>-791.85000000000036</v>
      </c>
      <c r="AJ66" s="458">
        <f t="shared" si="19"/>
        <v>0.23057492735574928</v>
      </c>
      <c r="AK66" s="459">
        <f t="shared" si="20"/>
        <v>0.20635118306351183</v>
      </c>
      <c r="AL66" s="460">
        <f t="shared" si="21"/>
        <v>0.31948001395935682</v>
      </c>
      <c r="AM66" s="461" t="str">
        <f t="shared" si="22"/>
        <v>0.06 pts.</v>
      </c>
      <c r="AN66" s="462" t="str">
        <f t="shared" si="23"/>
        <v>-0.23 pts.</v>
      </c>
      <c r="AO66" s="11"/>
    </row>
    <row r="67" spans="1:41" x14ac:dyDescent="0.25">
      <c r="A67" s="61" t="s">
        <v>33</v>
      </c>
      <c r="B67" s="62"/>
      <c r="C67" s="11"/>
      <c r="D67" s="11"/>
      <c r="E67" s="11"/>
      <c r="F67" s="11"/>
      <c r="G67" s="11"/>
      <c r="H67" s="84" t="s">
        <v>866</v>
      </c>
      <c r="I67" s="118" t="str">
        <f>IF(_epmOfflineCondition_,"N",_xll.EVPRO($B$1,$H67,"STYLE"))</f>
        <v>N</v>
      </c>
      <c r="J67" s="118" t="str">
        <f>IF(_epmOfflineCondition_,"N",_xll.EVPRO($B$1,$H67,"CALC"))</f>
        <v>N</v>
      </c>
      <c r="K67" s="175" t="str">
        <f t="shared" si="12"/>
        <v/>
      </c>
      <c r="L67" s="86" t="str">
        <f>IF(_epmOfflineCondition_,"716000",_xll.EVPRO($B$1,H67,"JDEID"))</f>
        <v>716000</v>
      </c>
      <c r="M67" s="86" t="str">
        <f>IF(_epmOfflineCondition_,"690910",IF(AND(I67="N",J67="N"),_xll.EVPRO($B$1,H67,"PSFTID"),""))</f>
        <v>690910</v>
      </c>
      <c r="N67" s="86" t="str">
        <f>IF(_epmOfflineCondition_,"Elevators &amp; Escalators",IF(_xll.EVDES(H67,$B$1)="#NODATA","",_xll.EVDES(H67,$B$1)))</f>
        <v>Elevators &amp; Escalators</v>
      </c>
      <c r="O67" s="134">
        <v>199.06</v>
      </c>
      <c r="P67" s="134">
        <v>199.06</v>
      </c>
      <c r="Q67" s="134">
        <v>199.06</v>
      </c>
      <c r="R67" s="134">
        <v>199.06</v>
      </c>
      <c r="S67" s="134">
        <v>199.06</v>
      </c>
      <c r="T67" s="134">
        <v>199.06</v>
      </c>
      <c r="U67" s="134">
        <v>-1194.3599999999999</v>
      </c>
      <c r="V67" s="134">
        <v>1100</v>
      </c>
      <c r="W67" s="134">
        <v>4400</v>
      </c>
      <c r="X67" s="134">
        <v>2401</v>
      </c>
      <c r="Y67" s="134">
        <v>4801</v>
      </c>
      <c r="Z67" s="134">
        <v>5241</v>
      </c>
      <c r="AA67" s="240">
        <f t="shared" si="13"/>
        <v>17943</v>
      </c>
      <c r="AB67" s="138">
        <f t="shared" si="14"/>
        <v>2.1396400909769291E-3</v>
      </c>
      <c r="AC67" s="136"/>
      <c r="AD67" s="134">
        <v>21600</v>
      </c>
      <c r="AE67" s="138">
        <f t="shared" si="15"/>
        <v>1.6555011304499908E-3</v>
      </c>
      <c r="AF67" s="137">
        <f t="shared" si="16"/>
        <v>-3657</v>
      </c>
      <c r="AG67" s="134">
        <v>12711.42</v>
      </c>
      <c r="AH67" s="138">
        <f t="shared" si="17"/>
        <v>3.9008012526046791E-3</v>
      </c>
      <c r="AI67" s="137">
        <f t="shared" si="18"/>
        <v>5231.58</v>
      </c>
      <c r="AJ67" s="458">
        <f t="shared" si="19"/>
        <v>0.37241594022415941</v>
      </c>
      <c r="AK67" s="459">
        <f t="shared" si="20"/>
        <v>0.44831880448318806</v>
      </c>
      <c r="AL67" s="460">
        <f t="shared" si="21"/>
        <v>0.34123701377144239</v>
      </c>
      <c r="AM67" s="461" t="str">
        <f t="shared" si="22"/>
        <v>0.05 pts.</v>
      </c>
      <c r="AN67" s="462" t="str">
        <f t="shared" si="23"/>
        <v>-0.18 pts.</v>
      </c>
      <c r="AO67" s="11"/>
    </row>
    <row r="68" spans="1:41" x14ac:dyDescent="0.25">
      <c r="A68" s="61" t="s">
        <v>34</v>
      </c>
      <c r="B68" s="62"/>
      <c r="C68" s="11"/>
      <c r="D68" s="11"/>
      <c r="E68" s="11"/>
      <c r="F68" s="11"/>
      <c r="G68" s="11"/>
      <c r="H68" s="84" t="s">
        <v>867</v>
      </c>
      <c r="I68" s="118" t="str">
        <f>IF(_epmOfflineCondition_,"N",_xll.EVPRO($B$1,$H68,"STYLE"))</f>
        <v>N</v>
      </c>
      <c r="J68" s="118" t="str">
        <f>IF(_epmOfflineCondition_,"N",_xll.EVPRO($B$1,$H68,"CALC"))</f>
        <v>N</v>
      </c>
      <c r="K68" s="175" t="str">
        <f t="shared" si="12"/>
        <v/>
      </c>
      <c r="L68" s="86" t="str">
        <f>IF(_epmOfflineCondition_,"716100",_xll.EVPRO($B$1,H68,"JDEID"))</f>
        <v>716100</v>
      </c>
      <c r="M68" s="86" t="str">
        <f>IF(_epmOfflineCondition_,"690930",IF(AND(I68="N",J68="N"),_xll.EVPRO($B$1,H68,"PSFTID"),""))</f>
        <v>690930</v>
      </c>
      <c r="N68" s="86" t="str">
        <f>IF(_epmOfflineCondition_,"Swimming Pool",IF(_xll.EVDES(H68,$B$1)="#NODATA","",_xll.EVDES(H68,$B$1)))</f>
        <v>Swimming Pool</v>
      </c>
      <c r="O68" s="134">
        <v>1800</v>
      </c>
      <c r="P68" s="134">
        <v>4060</v>
      </c>
      <c r="Q68" s="134">
        <v>1800</v>
      </c>
      <c r="R68" s="134">
        <v>3100</v>
      </c>
      <c r="S68" s="134">
        <v>2220</v>
      </c>
      <c r="T68" s="134">
        <v>2510</v>
      </c>
      <c r="U68" s="134">
        <v>2580</v>
      </c>
      <c r="V68" s="134">
        <v>2450</v>
      </c>
      <c r="W68" s="134">
        <v>3050</v>
      </c>
      <c r="X68" s="134">
        <v>1800</v>
      </c>
      <c r="Y68" s="134">
        <v>1800</v>
      </c>
      <c r="Z68" s="134">
        <v>1489.54</v>
      </c>
      <c r="AA68" s="240">
        <f t="shared" si="13"/>
        <v>28659.54</v>
      </c>
      <c r="AB68" s="138">
        <f t="shared" si="14"/>
        <v>3.4175500625846815E-3</v>
      </c>
      <c r="AC68" s="136"/>
      <c r="AD68" s="134">
        <v>18000</v>
      </c>
      <c r="AE68" s="138">
        <f t="shared" si="15"/>
        <v>1.3795842753749922E-3</v>
      </c>
      <c r="AF68" s="137">
        <f t="shared" si="16"/>
        <v>10659.54</v>
      </c>
      <c r="AG68" s="134">
        <v>16666.36</v>
      </c>
      <c r="AH68" s="138">
        <f t="shared" si="17"/>
        <v>5.1144685616839438E-3</v>
      </c>
      <c r="AI68" s="137">
        <f t="shared" si="18"/>
        <v>11993.18</v>
      </c>
      <c r="AJ68" s="458">
        <f t="shared" si="19"/>
        <v>0.59484308841843092</v>
      </c>
      <c r="AK68" s="459">
        <f t="shared" si="20"/>
        <v>0.37359900373599003</v>
      </c>
      <c r="AL68" s="460">
        <f t="shared" si="21"/>
        <v>0.44740704947518189</v>
      </c>
      <c r="AM68" s="461" t="str">
        <f t="shared" si="22"/>
        <v>0.2 pts.</v>
      </c>
      <c r="AN68" s="462" t="str">
        <f t="shared" si="23"/>
        <v>-0.17 pts.</v>
      </c>
      <c r="AO68" s="11"/>
    </row>
    <row r="69" spans="1:41" x14ac:dyDescent="0.25">
      <c r="A69" s="61" t="s">
        <v>35</v>
      </c>
      <c r="B69" s="62"/>
      <c r="C69" s="11"/>
      <c r="D69" s="11"/>
      <c r="E69" s="11"/>
      <c r="F69" s="11"/>
      <c r="G69" s="11"/>
      <c r="H69" s="84" t="s">
        <v>868</v>
      </c>
      <c r="I69" s="118" t="str">
        <f>IF(_epmOfflineCondition_,"N",_xll.EVPRO($B$1,$H69,"STYLE"))</f>
        <v>N</v>
      </c>
      <c r="J69" s="118" t="str">
        <f>IF(_epmOfflineCondition_,"N",_xll.EVPRO($B$1,$H69,"CALC"))</f>
        <v>N</v>
      </c>
      <c r="K69" s="175" t="str">
        <f t="shared" si="12"/>
        <v/>
      </c>
      <c r="L69" s="86" t="str">
        <f>IF(_epmOfflineCondition_,"716200",_xll.EVPRO($B$1,H69,"JDEID"))</f>
        <v>716200</v>
      </c>
      <c r="M69" s="86" t="str">
        <f>IF(_epmOfflineCondition_,"690915",IF(AND(I69="N",J69="N"),_xll.EVPRO($B$1,H69,"PSFTID"),""))</f>
        <v>690915</v>
      </c>
      <c r="N69" s="86" t="str">
        <f>IF(_epmOfflineCondition_,"Grounds Maint &amp; Landscaping",IF(_xll.EVDES(H69,$B$1)="#NODATA","",_xll.EVDES(H69,$B$1)))</f>
        <v>Grounds Maint &amp; Landscaping</v>
      </c>
      <c r="O69" s="134">
        <v>2500</v>
      </c>
      <c r="P69" s="134">
        <v>2972</v>
      </c>
      <c r="Q69" s="134">
        <v>2680</v>
      </c>
      <c r="R69" s="134">
        <v>3950</v>
      </c>
      <c r="S69" s="134">
        <v>2500</v>
      </c>
      <c r="T69" s="134">
        <v>2500</v>
      </c>
      <c r="U69" s="134">
        <v>2712</v>
      </c>
      <c r="V69" s="134">
        <v>2500</v>
      </c>
      <c r="W69" s="134">
        <v>2748</v>
      </c>
      <c r="X69" s="134">
        <v>2372</v>
      </c>
      <c r="Y69" s="134">
        <v>2747</v>
      </c>
      <c r="Z69" s="134">
        <v>2980</v>
      </c>
      <c r="AA69" s="240">
        <f t="shared" si="13"/>
        <v>33161</v>
      </c>
      <c r="AB69" s="138">
        <f t="shared" si="14"/>
        <v>3.9543334479677844E-3</v>
      </c>
      <c r="AC69" s="136"/>
      <c r="AD69" s="134">
        <v>32400</v>
      </c>
      <c r="AE69" s="138">
        <f t="shared" si="15"/>
        <v>2.4832516956749861E-3</v>
      </c>
      <c r="AF69" s="137">
        <f t="shared" si="16"/>
        <v>761</v>
      </c>
      <c r="AG69" s="134">
        <v>19630</v>
      </c>
      <c r="AH69" s="138">
        <f t="shared" si="17"/>
        <v>6.0239319122985351E-3</v>
      </c>
      <c r="AI69" s="137">
        <f t="shared" si="18"/>
        <v>13531</v>
      </c>
      <c r="AJ69" s="458">
        <f t="shared" si="19"/>
        <v>0.68827314238273141</v>
      </c>
      <c r="AK69" s="459">
        <f t="shared" si="20"/>
        <v>0.67247820672478209</v>
      </c>
      <c r="AL69" s="460">
        <f t="shared" si="21"/>
        <v>0.52696571904109957</v>
      </c>
      <c r="AM69" s="461" t="str">
        <f t="shared" si="22"/>
        <v>0.15 pts.</v>
      </c>
      <c r="AN69" s="462" t="str">
        <f t="shared" si="23"/>
        <v>-0.21 pts.</v>
      </c>
      <c r="AO69" s="11"/>
    </row>
    <row r="70" spans="1:41" x14ac:dyDescent="0.25">
      <c r="A70" s="61" t="s">
        <v>36</v>
      </c>
      <c r="B70" s="62"/>
      <c r="C70" s="11"/>
      <c r="D70" s="11"/>
      <c r="E70" s="11"/>
      <c r="F70" s="11"/>
      <c r="G70" s="11"/>
      <c r="H70" s="84" t="s">
        <v>869</v>
      </c>
      <c r="I70" s="118" t="str">
        <f>IF(_epmOfflineCondition_,"N",_xll.EVPRO($B$1,$H70,"STYLE"))</f>
        <v>N</v>
      </c>
      <c r="J70" s="118" t="str">
        <f>IF(_epmOfflineCondition_,"N",_xll.EVPRO($B$1,$H70,"CALC"))</f>
        <v>N</v>
      </c>
      <c r="K70" s="175" t="str">
        <f t="shared" si="12"/>
        <v/>
      </c>
      <c r="L70" s="86" t="str">
        <f>IF(_epmOfflineCondition_,"716300",_xll.EVPRO($B$1,H70,"JDEID"))</f>
        <v>716300</v>
      </c>
      <c r="M70" s="86" t="str">
        <f>IF(_epmOfflineCondition_,"691099",IF(AND(I70="N",J70="N"),_xll.EVPRO($B$1,H70,"PSFTID"),""))</f>
        <v>691099</v>
      </c>
      <c r="N70" s="86" t="str">
        <f>IF(_epmOfflineCondition_,"Light Bulbs",IF(_xll.EVDES(H70,$B$1)="#NODATA","",_xll.EVDES(H70,$B$1)))</f>
        <v>Light Bulbs</v>
      </c>
      <c r="O70" s="134"/>
      <c r="P70" s="134"/>
      <c r="Q70" s="134"/>
      <c r="R70" s="134"/>
      <c r="S70" s="134">
        <v>176.55</v>
      </c>
      <c r="T70" s="134">
        <v>545.70000000000005</v>
      </c>
      <c r="U70" s="134">
        <v>854.45</v>
      </c>
      <c r="V70" s="134"/>
      <c r="W70" s="134">
        <v>216.19</v>
      </c>
      <c r="X70" s="134">
        <v>719.04</v>
      </c>
      <c r="Y70" s="134">
        <v>66.989999999999995</v>
      </c>
      <c r="Z70" s="134"/>
      <c r="AA70" s="240">
        <f t="shared" si="13"/>
        <v>2578.92</v>
      </c>
      <c r="AB70" s="138">
        <f t="shared" si="14"/>
        <v>3.0752720411426307E-4</v>
      </c>
      <c r="AC70" s="136"/>
      <c r="AD70" s="134">
        <v>2093.3973847000002</v>
      </c>
      <c r="AE70" s="138">
        <f t="shared" si="15"/>
        <v>1.6044545078018076E-4</v>
      </c>
      <c r="AF70" s="137">
        <f t="shared" si="16"/>
        <v>485.52261529999987</v>
      </c>
      <c r="AG70" s="134">
        <v>1528.83</v>
      </c>
      <c r="AH70" s="138">
        <f t="shared" si="17"/>
        <v>4.6915781077327403E-4</v>
      </c>
      <c r="AI70" s="137">
        <f t="shared" si="18"/>
        <v>1050.0900000000001</v>
      </c>
      <c r="AJ70" s="458">
        <f t="shared" si="19"/>
        <v>5.3526774595267744E-2</v>
      </c>
      <c r="AK70" s="459">
        <f t="shared" si="20"/>
        <v>4.3449509852635952E-2</v>
      </c>
      <c r="AL70" s="460">
        <f t="shared" si="21"/>
        <v>4.1041314327132157E-2</v>
      </c>
      <c r="AM70" s="461" t="str">
        <f t="shared" si="22"/>
        <v>0.01 pts.</v>
      </c>
      <c r="AN70" s="462" t="str">
        <f t="shared" si="23"/>
        <v>-0.02 pts.</v>
      </c>
      <c r="AO70" s="11"/>
    </row>
    <row r="71" spans="1:41" x14ac:dyDescent="0.25">
      <c r="A71" s="61" t="s">
        <v>37</v>
      </c>
      <c r="B71" s="62"/>
      <c r="C71" s="11"/>
      <c r="D71" s="11"/>
      <c r="E71" s="11"/>
      <c r="F71" s="11"/>
      <c r="G71" s="11"/>
      <c r="H71" s="84" t="s">
        <v>870</v>
      </c>
      <c r="I71" s="118" t="str">
        <f>IF(_epmOfflineCondition_,"N",_xll.EVPRO($B$1,$H71,"STYLE"))</f>
        <v>N</v>
      </c>
      <c r="J71" s="118" t="str">
        <f>IF(_epmOfflineCondition_,"N",_xll.EVPRO($B$1,$H71,"CALC"))</f>
        <v>N</v>
      </c>
      <c r="K71" s="175" t="str">
        <f t="shared" si="12"/>
        <v/>
      </c>
      <c r="L71" s="86" t="str">
        <f>IF(_epmOfflineCondition_,"716400",_xll.EVPRO($B$1,H71,"JDEID"))</f>
        <v>716400</v>
      </c>
      <c r="M71" s="86" t="str">
        <f>IF(_epmOfflineCondition_,"691070",IF(AND(I71="N",J71="N"),_xll.EVPRO($B$1,H71,"PSFTID"),""))</f>
        <v>691070</v>
      </c>
      <c r="N71" s="86" t="str">
        <f>IF(_epmOfflineCondition_,"Engineering Supplies",IF(_xll.EVDES(H71,$B$1)="#NODATA","",_xll.EVDES(H71,$B$1)))</f>
        <v>Engineering Supplies</v>
      </c>
      <c r="O71" s="134">
        <v>90.86</v>
      </c>
      <c r="P71" s="134">
        <v>46.67</v>
      </c>
      <c r="Q71" s="134">
        <v>76.209999999999994</v>
      </c>
      <c r="R71" s="134">
        <v>310.73</v>
      </c>
      <c r="S71" s="134">
        <v>893.79</v>
      </c>
      <c r="T71" s="134">
        <v>75.459999999999994</v>
      </c>
      <c r="U71" s="134">
        <v>388.81</v>
      </c>
      <c r="V71" s="134"/>
      <c r="W71" s="134">
        <v>904.42</v>
      </c>
      <c r="X71" s="134"/>
      <c r="Y71" s="134">
        <v>2093.12</v>
      </c>
      <c r="Z71" s="134">
        <v>1407.38</v>
      </c>
      <c r="AA71" s="240">
        <f t="shared" si="13"/>
        <v>6287.45</v>
      </c>
      <c r="AB71" s="138">
        <f t="shared" si="14"/>
        <v>7.4975645600027267E-4</v>
      </c>
      <c r="AC71" s="136"/>
      <c r="AD71" s="134">
        <v>8373.5895387998007</v>
      </c>
      <c r="AE71" s="138">
        <f t="shared" si="15"/>
        <v>6.4178180312070776E-4</v>
      </c>
      <c r="AF71" s="137">
        <f t="shared" si="16"/>
        <v>-2086.1395387998009</v>
      </c>
      <c r="AG71" s="134">
        <v>11733.63</v>
      </c>
      <c r="AH71" s="138">
        <f t="shared" si="17"/>
        <v>3.600743158640013E-3</v>
      </c>
      <c r="AI71" s="137">
        <f t="shared" si="18"/>
        <v>-5446.1799999999994</v>
      </c>
      <c r="AJ71" s="458">
        <f t="shared" si="19"/>
        <v>0.13049916977999168</v>
      </c>
      <c r="AK71" s="459">
        <f t="shared" si="20"/>
        <v>0.17379803941053965</v>
      </c>
      <c r="AL71" s="460">
        <f t="shared" si="21"/>
        <v>0.31498832246114195</v>
      </c>
      <c r="AM71" s="461" t="str">
        <f t="shared" si="22"/>
        <v>0.01 pts.</v>
      </c>
      <c r="AN71" s="462" t="str">
        <f t="shared" si="23"/>
        <v>-0.29 pts.</v>
      </c>
      <c r="AO71" s="11"/>
    </row>
    <row r="72" spans="1:41" x14ac:dyDescent="0.25">
      <c r="A72" s="61" t="s">
        <v>38</v>
      </c>
      <c r="B72" s="62"/>
      <c r="C72" s="11"/>
      <c r="D72" s="11"/>
      <c r="E72" s="11"/>
      <c r="F72" s="11"/>
      <c r="G72" s="11"/>
      <c r="H72" s="84" t="s">
        <v>871</v>
      </c>
      <c r="I72" s="118" t="str">
        <f>IF(_epmOfflineCondition_,"N",_xll.EVPRO($B$1,$H72,"STYLE"))</f>
        <v>N</v>
      </c>
      <c r="J72" s="118" t="str">
        <f>IF(_epmOfflineCondition_,"N",_xll.EVPRO($B$1,$H72,"CALC"))</f>
        <v>N</v>
      </c>
      <c r="K72" s="175" t="str">
        <f t="shared" si="12"/>
        <v/>
      </c>
      <c r="L72" s="86" t="str">
        <f>IF(_epmOfflineCondition_,"716500",_xll.EVPRO($B$1,H72,"JDEID"))</f>
        <v>716500</v>
      </c>
      <c r="M72" s="86" t="str">
        <f>IF(_epmOfflineCondition_,"691080",IF(AND(I72="N",J72="N"),_xll.EVPRO($B$1,H72,"PSFTID"),""))</f>
        <v>691080</v>
      </c>
      <c r="N72" s="86" t="str">
        <f>IF(_epmOfflineCondition_,"Waste Removal",IF(_xll.EVDES(H72,$B$1)="#NODATA","",_xll.EVDES(H72,$B$1)))</f>
        <v>Waste Removal</v>
      </c>
      <c r="O72" s="134">
        <v>2002.51</v>
      </c>
      <c r="P72" s="134">
        <v>1860.92</v>
      </c>
      <c r="Q72" s="134">
        <v>2800.91</v>
      </c>
      <c r="R72" s="134">
        <v>2603.9499999999998</v>
      </c>
      <c r="S72" s="134">
        <v>2603.38</v>
      </c>
      <c r="T72" s="134">
        <v>2632.18</v>
      </c>
      <c r="U72" s="134">
        <v>2632.18</v>
      </c>
      <c r="V72" s="134">
        <v>2632.18</v>
      </c>
      <c r="W72" s="134">
        <v>2632.18</v>
      </c>
      <c r="X72" s="134">
        <v>4052.43</v>
      </c>
      <c r="Y72" s="134">
        <v>4337.71</v>
      </c>
      <c r="Z72" s="134">
        <v>4736.2</v>
      </c>
      <c r="AA72" s="240">
        <f t="shared" si="13"/>
        <v>35526.730000000003</v>
      </c>
      <c r="AB72" s="138">
        <f t="shared" si="14"/>
        <v>4.2364384890660875E-3</v>
      </c>
      <c r="AC72" s="136"/>
      <c r="AD72" s="134">
        <v>34500</v>
      </c>
      <c r="AE72" s="138">
        <f t="shared" si="15"/>
        <v>2.6442031944687353E-3</v>
      </c>
      <c r="AF72" s="137">
        <f t="shared" si="16"/>
        <v>1026.7300000000032</v>
      </c>
      <c r="AG72" s="134">
        <v>25981.85</v>
      </c>
      <c r="AH72" s="138">
        <f t="shared" si="17"/>
        <v>7.9731480058865857E-3</v>
      </c>
      <c r="AI72" s="137">
        <f t="shared" si="18"/>
        <v>9544.8800000000047</v>
      </c>
      <c r="AJ72" s="458">
        <f t="shared" si="19"/>
        <v>0.73737505188875063</v>
      </c>
      <c r="AK72" s="459">
        <f t="shared" si="20"/>
        <v>0.71606475716064755</v>
      </c>
      <c r="AL72" s="460">
        <f t="shared" si="21"/>
        <v>0.69748060454752892</v>
      </c>
      <c r="AM72" s="461" t="str">
        <f t="shared" si="22"/>
        <v>0.16 pts.</v>
      </c>
      <c r="AN72" s="462" t="str">
        <f t="shared" si="23"/>
        <v>-0.37 pts.</v>
      </c>
      <c r="AO72" s="11"/>
    </row>
    <row r="73" spans="1:41" x14ac:dyDescent="0.25">
      <c r="A73" s="61" t="s">
        <v>39</v>
      </c>
      <c r="B73" s="62"/>
      <c r="C73" s="11"/>
      <c r="D73" s="11"/>
      <c r="E73" s="11"/>
      <c r="F73" s="11"/>
      <c r="G73" s="11"/>
      <c r="H73" s="84" t="s">
        <v>79</v>
      </c>
      <c r="I73" s="132" t="str">
        <f>IF(_epmOfflineCondition_,"T3",_xll.EVPRO($B$1,$H73,"STYLE"))</f>
        <v>T3</v>
      </c>
      <c r="J73" s="132" t="str">
        <f>IF(_epmOfflineCondition_,"Y",_xll.EVPRO($B$1,$H73,"CALC"))</f>
        <v>Y</v>
      </c>
      <c r="K73" s="100"/>
      <c r="L73" s="55"/>
      <c r="M73" s="55"/>
      <c r="N73" s="102" t="str">
        <f>IF(_epmOfflineCondition_,"Total Operations Expense",IF(_xll.EVDES(H73,$B$1)="#NODATA","",_xll.EVDES(H73,$B$1)))</f>
        <v>Total Operations Expense</v>
      </c>
      <c r="O73" s="146">
        <v>19303.310000000001</v>
      </c>
      <c r="P73" s="146">
        <v>27042.07</v>
      </c>
      <c r="Q73" s="146">
        <v>20529.32</v>
      </c>
      <c r="R73" s="146">
        <v>23857.54</v>
      </c>
      <c r="S73" s="146">
        <v>21863.65</v>
      </c>
      <c r="T73" s="146">
        <v>21392.22</v>
      </c>
      <c r="U73" s="146">
        <v>17493</v>
      </c>
      <c r="V73" s="146">
        <v>19807.57</v>
      </c>
      <c r="W73" s="146">
        <v>25365.24</v>
      </c>
      <c r="X73" s="146">
        <v>18982.27</v>
      </c>
      <c r="Y73" s="146">
        <v>20994.48</v>
      </c>
      <c r="Z73" s="146">
        <v>27314.73</v>
      </c>
      <c r="AA73" s="146">
        <f t="shared" si="13"/>
        <v>263945.40000000002</v>
      </c>
      <c r="AB73" s="147">
        <f t="shared" si="14"/>
        <v>3.1474567222256146E-2</v>
      </c>
      <c r="AC73" s="136"/>
      <c r="AD73" s="146">
        <v>202434.32092762401</v>
      </c>
      <c r="AE73" s="147">
        <f t="shared" si="15"/>
        <v>1.5515289219331378E-2</v>
      </c>
      <c r="AF73" s="148">
        <f t="shared" si="16"/>
        <v>61511.079072376015</v>
      </c>
      <c r="AG73" s="146">
        <v>179266.42</v>
      </c>
      <c r="AH73" s="147">
        <f t="shared" si="17"/>
        <v>5.5012160379088765E-2</v>
      </c>
      <c r="AI73" s="148">
        <f t="shared" si="18"/>
        <v>84678.98000000001</v>
      </c>
      <c r="AJ73" s="431">
        <f t="shared" si="19"/>
        <v>5.4783188044831883</v>
      </c>
      <c r="AK73" s="432">
        <f t="shared" si="20"/>
        <v>4.2016255900295558</v>
      </c>
      <c r="AL73" s="433">
        <f t="shared" si="21"/>
        <v>4.8123921505462945</v>
      </c>
      <c r="AM73" s="434" t="str">
        <f t="shared" si="22"/>
        <v>1.6 pts.</v>
      </c>
      <c r="AN73" s="550" t="str">
        <f t="shared" si="23"/>
        <v>-2.35 pts.</v>
      </c>
      <c r="AO73" s="11"/>
    </row>
    <row r="74" spans="1:41" x14ac:dyDescent="0.25">
      <c r="A74" s="61" t="s">
        <v>40</v>
      </c>
      <c r="B74" s="62"/>
      <c r="C74" s="11"/>
      <c r="D74" s="11"/>
      <c r="E74" s="11"/>
      <c r="F74" s="11"/>
      <c r="G74" s="11"/>
      <c r="H74" s="11"/>
      <c r="I74" s="55"/>
      <c r="J74" s="55"/>
      <c r="K74" s="11"/>
      <c r="L74" s="55"/>
      <c r="M74" s="55"/>
      <c r="N74" s="11"/>
      <c r="O74" s="136"/>
      <c r="P74" s="136"/>
      <c r="Q74" s="136"/>
      <c r="R74" s="136"/>
      <c r="S74" s="136"/>
      <c r="T74" s="136"/>
      <c r="U74" s="136"/>
      <c r="V74" s="136"/>
      <c r="W74" s="136"/>
      <c r="X74" s="136"/>
      <c r="Y74" s="136"/>
      <c r="Z74" s="136"/>
      <c r="AA74" s="136"/>
      <c r="AB74" s="136"/>
      <c r="AC74" s="136"/>
      <c r="AD74" s="136"/>
      <c r="AE74" s="136"/>
      <c r="AF74" s="136"/>
      <c r="AG74" s="136"/>
      <c r="AH74" s="136"/>
      <c r="AI74" s="136"/>
      <c r="AJ74" s="136"/>
      <c r="AK74" s="136"/>
      <c r="AL74" s="136"/>
      <c r="AM74" s="136"/>
      <c r="AN74" s="136"/>
      <c r="AO74" s="11"/>
    </row>
    <row r="75" spans="1:41" x14ac:dyDescent="0.25">
      <c r="A75" s="61" t="s">
        <v>41</v>
      </c>
      <c r="B75" s="62"/>
      <c r="C75" s="11"/>
      <c r="D75" s="11"/>
      <c r="E75" s="11"/>
      <c r="F75" s="11"/>
      <c r="G75" s="11"/>
      <c r="H75" s="84" t="s">
        <v>80</v>
      </c>
      <c r="I75" s="132" t="str">
        <f>IF(_epmOfflineCondition_,"T3",_xll.EVPRO($B$1,$H75,"STYLE"))</f>
        <v>T3</v>
      </c>
      <c r="J75" s="132" t="str">
        <f>IF(_epmOfflineCondition_,"Y",_xll.EVPRO($B$1,$H75,"CALC"))</f>
        <v>Y</v>
      </c>
      <c r="K75" s="102"/>
      <c r="L75" s="55"/>
      <c r="M75" s="55"/>
      <c r="N75" s="102" t="str">
        <f>IF(_epmOfflineCondition_,"Total Expenses",IF(_xll.EVDES(H75,$B$1)="#NODATA","",_xll.EVDES(H75,$B$1)))</f>
        <v>Total Expenses</v>
      </c>
      <c r="O75" s="210">
        <v>43781</v>
      </c>
      <c r="P75" s="210">
        <v>50924.28</v>
      </c>
      <c r="Q75" s="210">
        <v>43487.35</v>
      </c>
      <c r="R75" s="210">
        <v>48201.79</v>
      </c>
      <c r="S75" s="210">
        <v>48405.84</v>
      </c>
      <c r="T75" s="210">
        <v>45096.23</v>
      </c>
      <c r="U75" s="210">
        <v>44740.15</v>
      </c>
      <c r="V75" s="210">
        <v>37520.449999999997</v>
      </c>
      <c r="W75" s="210">
        <v>42780.92</v>
      </c>
      <c r="X75" s="210">
        <v>36516.699999999997</v>
      </c>
      <c r="Y75" s="210">
        <v>42872.76</v>
      </c>
      <c r="Z75" s="210">
        <v>49886.43</v>
      </c>
      <c r="AA75" s="210">
        <f>IF($I75="B1","",SUM(O75:Z75))</f>
        <v>534213.9</v>
      </c>
      <c r="AB75" s="211">
        <f>IF(AA75=0,"",IFERROR(AA75/AA$19,""))</f>
        <v>6.3703142038518651E-2</v>
      </c>
      <c r="AC75" s="136"/>
      <c r="AD75" s="210">
        <v>547403.05867977499</v>
      </c>
      <c r="AE75" s="211">
        <f>IF(AD75=0,"",IFERROR(AD75/AD$19,""))</f>
        <v>4.1954925113710656E-2</v>
      </c>
      <c r="AF75" s="212">
        <f>IF(AND($AA75="",AD75=""),"",$AA75-AD75)</f>
        <v>-13189.158679774962</v>
      </c>
      <c r="AG75" s="213">
        <v>409470.62</v>
      </c>
      <c r="AH75" s="214">
        <f>IF(AG75=0,"",IFERROR(AG75/AG$19,""))</f>
        <v>0.12565578884190864</v>
      </c>
      <c r="AI75" s="212">
        <f>IF(AND($AA75="",AG75=""),"",$AA75-AG75)</f>
        <v>124743.28000000003</v>
      </c>
      <c r="AJ75" s="437">
        <f>IFERROR(AA75/AA$20,0)</f>
        <v>11.087876712328768</v>
      </c>
      <c r="AK75" s="438">
        <f>IFERROR(AD75/AD$20,0)</f>
        <v>11.361624298044312</v>
      </c>
      <c r="AL75" s="439">
        <f>IFERROR(AG75/AG$20,0)</f>
        <v>10.992204773026227</v>
      </c>
      <c r="AM75" s="440" t="str">
        <f>+IFERROR(ROUND(($AB75-AE75)*100,2)&amp;" pts.",0)</f>
        <v>2.17 pts.</v>
      </c>
      <c r="AN75" s="551" t="str">
        <f>+IFERROR(ROUND(($AB75-AH75)*100,2)&amp;" pts.",0)</f>
        <v>-6.2 pts.</v>
      </c>
      <c r="AO75" s="11"/>
    </row>
    <row r="76" spans="1:41" ht="15.75" thickBot="1" x14ac:dyDescent="0.3">
      <c r="A76" s="61" t="s">
        <v>42</v>
      </c>
      <c r="B76" s="62"/>
      <c r="C76" s="11"/>
      <c r="D76" s="11"/>
      <c r="E76" s="11"/>
      <c r="F76" s="11"/>
      <c r="G76" s="11"/>
      <c r="H76" s="84" t="s">
        <v>81</v>
      </c>
      <c r="I76" s="132" t="str">
        <f>IF(_epmOfflineCondition_,"T3",_xll.EVPRO($B$1,$H76,"STYLE"))</f>
        <v>T3</v>
      </c>
      <c r="J76" s="132" t="str">
        <f>IF(_epmOfflineCondition_,"Y",_xll.EVPRO($B$1,$H76,"CALC"))</f>
        <v>Y</v>
      </c>
      <c r="K76" s="102"/>
      <c r="L76" s="55"/>
      <c r="M76" s="55"/>
      <c r="N76" s="102" t="str">
        <f>IF(_epmOfflineCondition_,"Department Profit (Loss)",IF(_xll.EVDES(H76,$B$1)="#NODATA","",_xll.EVDES(H76,$B$1)))</f>
        <v>Department Profit (Loss)</v>
      </c>
      <c r="O76" s="161">
        <v>-43781</v>
      </c>
      <c r="P76" s="161">
        <v>-50924.28</v>
      </c>
      <c r="Q76" s="161">
        <v>-43487.35</v>
      </c>
      <c r="R76" s="161">
        <v>-48201.79</v>
      </c>
      <c r="S76" s="161">
        <v>-48405.84</v>
      </c>
      <c r="T76" s="161">
        <v>-45096.23</v>
      </c>
      <c r="U76" s="161">
        <v>-44740.15</v>
      </c>
      <c r="V76" s="161">
        <v>-37520.449999999997</v>
      </c>
      <c r="W76" s="161">
        <v>-42780.92</v>
      </c>
      <c r="X76" s="161">
        <v>-36516.699999999997</v>
      </c>
      <c r="Y76" s="161">
        <v>-42872.76</v>
      </c>
      <c r="Z76" s="161">
        <v>-49886.43</v>
      </c>
      <c r="AA76" s="161">
        <f>IF($I76="B1","",SUM(O76:Z76))</f>
        <v>-534213.9</v>
      </c>
      <c r="AB76" s="162">
        <f>IF(AA76=0,"",IFERROR(AA76/AA$19,""))</f>
        <v>-6.3703142038518651E-2</v>
      </c>
      <c r="AC76" s="136"/>
      <c r="AD76" s="161">
        <v>-547403.05867977499</v>
      </c>
      <c r="AE76" s="162">
        <f>IF(AD76=0,"",IFERROR(AD76/AD$19,""))</f>
        <v>-4.1954925113710656E-2</v>
      </c>
      <c r="AF76" s="163">
        <f>IF(AND($AA76="",AD76=""),"",$AA76-AD76)</f>
        <v>13189.158679774962</v>
      </c>
      <c r="AG76" s="161">
        <v>-409470.62</v>
      </c>
      <c r="AH76" s="162">
        <f>IF(AG76=0,"",IFERROR(AG76/AG$19,""))</f>
        <v>-0.12565578884190864</v>
      </c>
      <c r="AI76" s="163">
        <f>IF(AND($AA76="",AG76=""),"",$AA76-AG76)</f>
        <v>-124743.28000000003</v>
      </c>
      <c r="AJ76" s="442">
        <f>IFERROR(AA76/AA$20,0)</f>
        <v>-11.087876712328768</v>
      </c>
      <c r="AK76" s="443">
        <f>IFERROR(AD76/AD$20,0)</f>
        <v>-11.361624298044312</v>
      </c>
      <c r="AL76" s="444">
        <f>IFERROR(AG76/AG$20,0)</f>
        <v>-10.992204773026227</v>
      </c>
      <c r="AM76" s="445" t="str">
        <f>+IFERROR(ROUND(($AB76-AE76)*100,2)&amp;" pts.",0)</f>
        <v>-2.17 pts.</v>
      </c>
      <c r="AN76" s="552" t="str">
        <f>+IFERROR(ROUND(($AB76-AH76)*100,2)&amp;" pts.",0)</f>
        <v>6.2 pts.</v>
      </c>
      <c r="AO76" s="11"/>
    </row>
    <row r="77" spans="1:41" ht="15.75" thickTop="1" x14ac:dyDescent="0.25">
      <c r="A77" s="61" t="s">
        <v>43</v>
      </c>
      <c r="B77" s="62"/>
      <c r="C77" s="11"/>
      <c r="D77" s="11"/>
      <c r="E77" s="11"/>
      <c r="F77" s="11"/>
      <c r="G77" s="11"/>
      <c r="H77" s="11"/>
      <c r="I77" s="55"/>
      <c r="J77" s="55"/>
      <c r="K77" s="11"/>
      <c r="L77" s="55"/>
      <c r="M77" s="55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</row>
    <row r="78" spans="1:41" x14ac:dyDescent="0.25">
      <c r="A78" s="61" t="s">
        <v>44</v>
      </c>
      <c r="B78" s="62"/>
      <c r="C78" s="11"/>
      <c r="D78" s="11"/>
      <c r="E78" s="11"/>
      <c r="F78" s="11"/>
      <c r="G78" s="11"/>
      <c r="H78" s="11"/>
      <c r="I78" s="55"/>
      <c r="J78" s="55"/>
      <c r="K78" s="11"/>
      <c r="L78" s="55"/>
      <c r="M78" s="55"/>
      <c r="N78" s="100" t="str">
        <f>N75&amp;" - Check"</f>
        <v>Total Expenses - Check</v>
      </c>
      <c r="O78" s="205">
        <f t="shared" ref="O78:AA78" si="24">SUMIF($H$33:$H$76,"600000",O$33:O$76)+SUMIF($H$33:$H$76,"700000",O$33:O$76)-SUMIF($H$33:$H$76,"TOTDEPTEXP",O$33:O$76)</f>
        <v>0</v>
      </c>
      <c r="P78" s="205">
        <f t="shared" si="24"/>
        <v>0</v>
      </c>
      <c r="Q78" s="205">
        <f t="shared" si="24"/>
        <v>0</v>
      </c>
      <c r="R78" s="205">
        <f t="shared" si="24"/>
        <v>0</v>
      </c>
      <c r="S78" s="205">
        <f t="shared" si="24"/>
        <v>0</v>
      </c>
      <c r="T78" s="205">
        <f t="shared" si="24"/>
        <v>0</v>
      </c>
      <c r="U78" s="205">
        <f t="shared" si="24"/>
        <v>0</v>
      </c>
      <c r="V78" s="205">
        <f t="shared" si="24"/>
        <v>0</v>
      </c>
      <c r="W78" s="205">
        <f t="shared" si="24"/>
        <v>0</v>
      </c>
      <c r="X78" s="205">
        <f t="shared" si="24"/>
        <v>0</v>
      </c>
      <c r="Y78" s="205">
        <f t="shared" si="24"/>
        <v>0</v>
      </c>
      <c r="Z78" s="205">
        <f t="shared" si="24"/>
        <v>0</v>
      </c>
      <c r="AA78" s="205">
        <f t="shared" si="24"/>
        <v>0</v>
      </c>
      <c r="AB78" s="96"/>
      <c r="AC78" s="11"/>
      <c r="AD78" s="205">
        <f>SUMIF($H$33:$H$76,"600000",AD$33:AD$76)+SUMIF($H$33:$H$76,"700000",AD$33:AD$76)-SUMIF($H$33:$H$76,"TOTDEPTEXP",AD$33:AD$76)</f>
        <v>-1.0477378964424133E-9</v>
      </c>
      <c r="AE78" s="96"/>
      <c r="AF78" s="87"/>
      <c r="AG78" s="205">
        <f>SUMIF($H$33:$H$76,"600000",AG$33:AG$76)+SUMIF($H$33:$H$76,"700000",AG$33:AG$76)-SUMIF($H$33:$H$76,"TOTDEPTEXP",AG$33:AG$76)</f>
        <v>0</v>
      </c>
      <c r="AH78" s="96"/>
      <c r="AI78" s="87"/>
      <c r="AJ78" s="11"/>
      <c r="AK78" s="11"/>
      <c r="AL78" s="11"/>
      <c r="AM78" s="11"/>
      <c r="AN78" s="11"/>
      <c r="AO78" s="11"/>
    </row>
    <row r="79" spans="1:41" x14ac:dyDescent="0.25">
      <c r="A79" s="61" t="s">
        <v>45</v>
      </c>
      <c r="B79" s="62"/>
      <c r="C79" s="11"/>
      <c r="D79" s="11"/>
      <c r="E79" s="11"/>
      <c r="F79" s="11"/>
      <c r="G79" s="11"/>
      <c r="H79" s="11"/>
      <c r="I79" s="55"/>
      <c r="J79" s="55"/>
      <c r="K79" s="11"/>
      <c r="L79" s="55"/>
      <c r="M79" s="55"/>
      <c r="N79" s="100" t="str">
        <f>N76&amp;" - Check"</f>
        <v>Department Profit (Loss) - Check</v>
      </c>
      <c r="O79" s="205">
        <f t="shared" ref="O79:AA79" si="25">SUMIF($H$33:$H$76,"TOTDEPTEXP",O$33:O$76)+SUMIF($H$33:$H$76,"TOTDEPTPL",O$33:O$76)</f>
        <v>0</v>
      </c>
      <c r="P79" s="205">
        <f t="shared" si="25"/>
        <v>0</v>
      </c>
      <c r="Q79" s="205">
        <f t="shared" si="25"/>
        <v>0</v>
      </c>
      <c r="R79" s="205">
        <f t="shared" si="25"/>
        <v>0</v>
      </c>
      <c r="S79" s="205">
        <f t="shared" si="25"/>
        <v>0</v>
      </c>
      <c r="T79" s="205">
        <f t="shared" si="25"/>
        <v>0</v>
      </c>
      <c r="U79" s="205">
        <f t="shared" si="25"/>
        <v>0</v>
      </c>
      <c r="V79" s="205">
        <f t="shared" si="25"/>
        <v>0</v>
      </c>
      <c r="W79" s="205">
        <f t="shared" si="25"/>
        <v>0</v>
      </c>
      <c r="X79" s="205">
        <f t="shared" si="25"/>
        <v>0</v>
      </c>
      <c r="Y79" s="205">
        <f t="shared" si="25"/>
        <v>0</v>
      </c>
      <c r="Z79" s="205">
        <f t="shared" si="25"/>
        <v>0</v>
      </c>
      <c r="AA79" s="205">
        <f t="shared" si="25"/>
        <v>0</v>
      </c>
      <c r="AB79" s="96"/>
      <c r="AC79" s="11"/>
      <c r="AD79" s="205">
        <f>SUMIF($H$33:$H$76,"TOTDEPTEXP",AD$33:AD$76)+SUMIF($H$33:$H$76,"TOTDEPTPL",AD$33:AD$76)</f>
        <v>0</v>
      </c>
      <c r="AE79" s="96"/>
      <c r="AF79" s="87"/>
      <c r="AG79" s="205">
        <f>SUMIF($H$33:$H$76,"TOTDEPTEXP",AG$33:AG$76)+SUMIF($H$33:$H$76,"TOTDEPTPL",AG$33:AG$76)</f>
        <v>0</v>
      </c>
      <c r="AH79" s="96"/>
      <c r="AI79" s="87"/>
      <c r="AJ79" s="11"/>
      <c r="AK79" s="11"/>
      <c r="AL79" s="11"/>
      <c r="AM79" s="11"/>
      <c r="AN79" s="11"/>
      <c r="AO79" s="11"/>
    </row>
    <row r="80" spans="1:41" x14ac:dyDescent="0.25">
      <c r="A80" s="61" t="s">
        <v>46</v>
      </c>
      <c r="B80" s="62"/>
      <c r="C80" s="11"/>
      <c r="D80" s="11"/>
      <c r="E80" s="11"/>
      <c r="F80" s="11"/>
      <c r="G80" s="11"/>
      <c r="H80" s="11"/>
      <c r="I80" s="55"/>
      <c r="J80" s="55"/>
      <c r="K80" s="11"/>
      <c r="L80" s="55"/>
      <c r="M80" s="55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x14ac:dyDescent="0.25">
      <c r="A81" s="11"/>
      <c r="B81" s="11"/>
      <c r="C81" s="11"/>
      <c r="D81" s="11"/>
      <c r="E81" s="11"/>
      <c r="F81" s="11"/>
      <c r="G81" s="11"/>
      <c r="H81" s="11"/>
      <c r="I81" s="55"/>
      <c r="J81" s="55"/>
      <c r="K81" s="11"/>
      <c r="L81" s="55"/>
      <c r="M81" s="55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</row>
    <row r="82" spans="1:41" x14ac:dyDescent="0.25">
      <c r="A82" s="11"/>
      <c r="B82" s="11"/>
      <c r="C82" s="11"/>
      <c r="D82" s="11"/>
      <c r="E82" s="11"/>
      <c r="F82" s="11"/>
      <c r="G82" s="11"/>
      <c r="H82" s="11"/>
      <c r="I82" s="55"/>
      <c r="J82" s="55"/>
      <c r="K82" s="11"/>
      <c r="L82" s="55"/>
      <c r="M82" s="55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x14ac:dyDescent="0.25">
      <c r="A83" s="11"/>
      <c r="B83" s="11"/>
      <c r="C83" s="11"/>
      <c r="D83" s="11"/>
      <c r="E83" s="11"/>
      <c r="F83" s="11"/>
      <c r="G83" s="11"/>
      <c r="H83" s="11"/>
      <c r="I83" s="55"/>
      <c r="J83" s="55"/>
      <c r="K83" s="11"/>
      <c r="L83" s="55"/>
      <c r="M83" s="55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x14ac:dyDescent="0.25">
      <c r="A84" s="11"/>
      <c r="B84" s="11"/>
      <c r="C84" s="11"/>
      <c r="D84" s="11"/>
      <c r="E84" s="11"/>
      <c r="F84" s="11"/>
      <c r="G84" s="11"/>
      <c r="H84" s="11"/>
      <c r="I84" s="55"/>
      <c r="J84" s="55"/>
      <c r="K84" s="11"/>
      <c r="L84" s="55"/>
      <c r="M84" s="55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x14ac:dyDescent="0.25">
      <c r="A85" s="11"/>
      <c r="B85" s="11"/>
      <c r="C85" s="11"/>
      <c r="D85" s="11"/>
      <c r="E85" s="11"/>
      <c r="F85" s="11"/>
      <c r="G85" s="11"/>
      <c r="H85" s="11"/>
      <c r="I85" s="55"/>
      <c r="J85" s="55"/>
      <c r="K85" s="11"/>
      <c r="L85" s="55"/>
      <c r="M85" s="55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x14ac:dyDescent="0.25">
      <c r="A86" s="11"/>
      <c r="B86" s="11"/>
      <c r="C86" s="11"/>
      <c r="D86" s="11"/>
      <c r="E86" s="11"/>
      <c r="F86" s="11"/>
      <c r="G86" s="11"/>
      <c r="H86" s="55"/>
      <c r="I86" s="55"/>
      <c r="J86" s="11"/>
      <c r="K86" s="11"/>
      <c r="L86" s="55"/>
      <c r="M86" s="55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x14ac:dyDescent="0.25">
      <c r="A87" s="11"/>
      <c r="B87" s="11"/>
      <c r="C87" s="11"/>
      <c r="D87" s="11"/>
      <c r="E87" s="11"/>
      <c r="F87" s="11"/>
      <c r="G87" s="11"/>
      <c r="H87" s="55"/>
      <c r="I87" s="55"/>
      <c r="J87" s="11"/>
      <c r="K87" s="11"/>
      <c r="L87" s="55"/>
      <c r="M87" s="55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x14ac:dyDescent="0.25">
      <c r="A88" s="11"/>
      <c r="B88" s="11"/>
      <c r="C88" s="11"/>
      <c r="D88" s="11"/>
      <c r="E88" s="11"/>
      <c r="F88" s="11"/>
      <c r="G88" s="11"/>
      <c r="H88" s="55"/>
      <c r="I88" s="55"/>
      <c r="J88" s="11"/>
      <c r="K88" s="11"/>
      <c r="L88" s="55"/>
      <c r="M88" s="55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x14ac:dyDescent="0.25">
      <c r="A89" s="11"/>
      <c r="B89" s="11"/>
      <c r="C89" s="11"/>
      <c r="D89" s="11"/>
      <c r="E89" s="11"/>
      <c r="F89" s="11"/>
      <c r="G89" s="11"/>
      <c r="H89" s="55"/>
      <c r="I89" s="55"/>
      <c r="J89" s="11"/>
      <c r="K89" s="11"/>
      <c r="L89" s="55"/>
      <c r="M89" s="55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x14ac:dyDescent="0.25">
      <c r="A90" s="11"/>
      <c r="B90" s="11"/>
      <c r="C90" s="11"/>
      <c r="D90" s="11"/>
      <c r="E90" s="11"/>
      <c r="F90" s="11"/>
      <c r="G90" s="11"/>
      <c r="H90" s="55"/>
      <c r="I90" s="55"/>
      <c r="J90" s="11"/>
      <c r="K90" s="11"/>
      <c r="L90" s="55"/>
      <c r="M90" s="55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x14ac:dyDescent="0.25">
      <c r="A91" s="11"/>
      <c r="B91" s="11"/>
      <c r="C91" s="11"/>
      <c r="D91" s="11"/>
      <c r="E91" s="11"/>
      <c r="F91" s="11"/>
      <c r="G91" s="11"/>
      <c r="H91" s="55"/>
      <c r="I91" s="55"/>
      <c r="J91" s="11"/>
      <c r="K91" s="11"/>
      <c r="L91" s="55"/>
      <c r="M91" s="55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x14ac:dyDescent="0.25">
      <c r="A92" s="11"/>
      <c r="B92" s="11"/>
      <c r="C92" s="11"/>
      <c r="D92" s="11"/>
      <c r="E92" s="11"/>
      <c r="F92" s="11"/>
      <c r="G92" s="11"/>
      <c r="H92" s="55"/>
      <c r="I92" s="55"/>
      <c r="J92" s="11"/>
      <c r="K92" s="11"/>
      <c r="L92" s="55"/>
      <c r="M92" s="55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x14ac:dyDescent="0.25">
      <c r="A93" s="11"/>
      <c r="B93" s="11"/>
      <c r="C93" s="11"/>
      <c r="D93" s="11"/>
      <c r="E93" s="11"/>
      <c r="F93" s="11"/>
      <c r="G93" s="11"/>
      <c r="H93" s="55"/>
      <c r="I93" s="55"/>
      <c r="J93" s="11"/>
      <c r="K93" s="11"/>
      <c r="L93" s="55"/>
      <c r="M93" s="55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x14ac:dyDescent="0.25">
      <c r="A94" s="11"/>
      <c r="B94" s="11"/>
      <c r="C94" s="11"/>
      <c r="D94" s="11"/>
      <c r="E94" s="11"/>
      <c r="F94" s="11"/>
      <c r="G94" s="11"/>
      <c r="H94" s="55"/>
      <c r="I94" s="55"/>
      <c r="J94" s="11"/>
      <c r="K94" s="11"/>
      <c r="L94" s="55"/>
      <c r="M94" s="55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x14ac:dyDescent="0.25">
      <c r="A95" s="11"/>
      <c r="B95" s="11"/>
      <c r="C95" s="11"/>
      <c r="D95" s="11"/>
      <c r="E95" s="11"/>
      <c r="F95" s="11"/>
      <c r="G95" s="11"/>
      <c r="H95" s="55"/>
      <c r="I95" s="55"/>
      <c r="J95" s="11"/>
      <c r="K95" s="11"/>
      <c r="L95" s="55"/>
      <c r="M95" s="55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x14ac:dyDescent="0.25">
      <c r="A96" s="11"/>
      <c r="B96" s="11"/>
      <c r="C96" s="11"/>
      <c r="D96" s="11"/>
      <c r="E96" s="11"/>
      <c r="F96" s="11"/>
      <c r="G96" s="11"/>
      <c r="H96" s="55"/>
      <c r="I96" s="55"/>
      <c r="J96" s="11"/>
      <c r="K96" s="11"/>
      <c r="L96" s="55"/>
      <c r="M96" s="55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x14ac:dyDescent="0.25">
      <c r="A97" s="11"/>
      <c r="B97" s="11"/>
      <c r="C97" s="11"/>
      <c r="D97" s="11"/>
      <c r="E97" s="11"/>
      <c r="F97" s="11"/>
      <c r="G97" s="11"/>
      <c r="H97" s="55"/>
      <c r="I97" s="55"/>
      <c r="J97" s="11"/>
      <c r="K97" s="11"/>
      <c r="L97" s="55"/>
      <c r="M97" s="55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x14ac:dyDescent="0.25">
      <c r="A98" s="11"/>
      <c r="B98" s="11"/>
      <c r="C98" s="11"/>
      <c r="D98" s="11"/>
      <c r="E98" s="11"/>
      <c r="F98" s="11"/>
      <c r="G98" s="11"/>
      <c r="H98" s="55"/>
      <c r="I98" s="55"/>
      <c r="J98" s="11"/>
      <c r="K98" s="11"/>
      <c r="L98" s="55"/>
      <c r="M98" s="55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x14ac:dyDescent="0.25">
      <c r="A99" s="11"/>
      <c r="B99" s="11"/>
      <c r="C99" s="11"/>
      <c r="D99" s="11"/>
      <c r="E99" s="11"/>
      <c r="F99" s="11"/>
      <c r="G99" s="11"/>
      <c r="H99" s="55"/>
      <c r="I99" s="55"/>
      <c r="J99" s="11"/>
      <c r="K99" s="11"/>
      <c r="L99" s="55"/>
      <c r="M99" s="55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x14ac:dyDescent="0.25">
      <c r="A100" s="11"/>
      <c r="B100" s="11"/>
      <c r="C100" s="11"/>
      <c r="D100" s="11"/>
      <c r="E100" s="11"/>
      <c r="F100" s="11"/>
      <c r="G100" s="11"/>
      <c r="H100" s="55"/>
      <c r="I100" s="55"/>
      <c r="J100" s="11"/>
      <c r="K100" s="11"/>
      <c r="L100" s="55"/>
      <c r="M100" s="55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x14ac:dyDescent="0.25">
      <c r="A101" s="11"/>
      <c r="B101" s="11"/>
      <c r="C101" s="11"/>
      <c r="D101" s="11"/>
      <c r="E101" s="11"/>
      <c r="F101" s="11"/>
      <c r="G101" s="11"/>
      <c r="H101" s="55"/>
      <c r="I101" s="55"/>
      <c r="J101" s="11"/>
      <c r="K101" s="11"/>
      <c r="L101" s="55"/>
      <c r="M101" s="55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x14ac:dyDescent="0.25">
      <c r="A102" s="11"/>
      <c r="B102" s="11"/>
      <c r="C102" s="11"/>
      <c r="D102" s="11"/>
      <c r="E102" s="11"/>
      <c r="F102" s="11"/>
      <c r="G102" s="11"/>
      <c r="H102" s="55"/>
      <c r="I102" s="55"/>
      <c r="J102" s="11"/>
      <c r="K102" s="11"/>
      <c r="L102" s="55"/>
      <c r="M102" s="55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x14ac:dyDescent="0.25">
      <c r="A103" s="11"/>
      <c r="B103" s="11"/>
      <c r="C103" s="11"/>
      <c r="D103" s="11"/>
      <c r="E103" s="11"/>
      <c r="F103" s="11"/>
      <c r="G103" s="11"/>
      <c r="H103" s="55"/>
      <c r="I103" s="55"/>
      <c r="J103" s="11"/>
      <c r="K103" s="11"/>
      <c r="L103" s="55"/>
      <c r="M103" s="55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x14ac:dyDescent="0.25">
      <c r="A104" s="11"/>
      <c r="B104" s="11"/>
      <c r="C104" s="11"/>
      <c r="D104" s="11"/>
      <c r="E104" s="11"/>
      <c r="F104" s="11"/>
      <c r="G104" s="11"/>
      <c r="H104" s="55"/>
      <c r="I104" s="55"/>
      <c r="J104" s="11"/>
      <c r="K104" s="11"/>
      <c r="L104" s="55"/>
      <c r="M104" s="55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x14ac:dyDescent="0.25">
      <c r="A105" s="11"/>
      <c r="B105" s="11"/>
      <c r="C105" s="11"/>
      <c r="D105" s="11"/>
      <c r="E105" s="11"/>
      <c r="F105" s="11"/>
      <c r="G105" s="11"/>
      <c r="H105" s="55"/>
      <c r="I105" s="55"/>
      <c r="J105" s="11"/>
      <c r="K105" s="11"/>
      <c r="L105" s="55"/>
      <c r="M105" s="55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x14ac:dyDescent="0.25">
      <c r="A106" s="11"/>
      <c r="B106" s="11"/>
      <c r="C106" s="11"/>
      <c r="D106" s="11"/>
      <c r="E106" s="11"/>
      <c r="F106" s="11"/>
      <c r="G106" s="11"/>
      <c r="H106" s="55"/>
      <c r="I106" s="55"/>
      <c r="J106" s="11"/>
      <c r="K106" s="11"/>
      <c r="L106" s="55"/>
      <c r="M106" s="55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x14ac:dyDescent="0.25">
      <c r="A107" s="11"/>
      <c r="B107" s="11"/>
      <c r="C107" s="11"/>
      <c r="D107" s="11"/>
      <c r="E107" s="11"/>
      <c r="F107" s="11"/>
      <c r="G107" s="11"/>
      <c r="H107" s="55"/>
      <c r="I107" s="55"/>
      <c r="J107" s="11"/>
      <c r="K107" s="11"/>
      <c r="L107" s="55"/>
      <c r="M107" s="55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x14ac:dyDescent="0.25">
      <c r="A108" s="11"/>
      <c r="B108" s="11"/>
      <c r="C108" s="11"/>
      <c r="D108" s="11"/>
      <c r="E108" s="11"/>
      <c r="F108" s="11"/>
      <c r="G108" s="11"/>
      <c r="H108" s="55"/>
      <c r="I108" s="55"/>
      <c r="J108" s="11"/>
      <c r="K108" s="11"/>
      <c r="L108" s="55"/>
      <c r="M108" s="55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</sheetData>
  <sheetProtection algorithmName="SHA-512" hashValue="xo9vvVBSu3NDU/ucpNEX4zT+ZVspESfRRfkAllhdDAxV3lOyDYLpXMXSGshs7UjypIX3OuLpjCMusP8F40GBaQ==" saltValue="cFsLL0CxG4bl9YR00NrDDg==" spinCount="100000" sheet="1" scenarios="1"/>
  <mergeCells count="2">
    <mergeCell ref="AD31:AE31"/>
    <mergeCell ref="AG31:AH31"/>
  </mergeCells>
  <dataValidations disablePrompts="1" count="2">
    <dataValidation type="list" allowBlank="1" sqref="B28" xr:uid="{00000000-0002-0000-2200-000000000000}">
      <formula1>"ACCOUNT,BUSINESSUNIT,CATEGORY,DATASRC,DEPARTMENT,INTCO,MEASURES,RPTCURRENCY,TIME"</formula1>
    </dataValidation>
    <dataValidation type="list" allowBlank="1" sqref="B29" xr:uid="{00000000-0002-0000-2200-000001000000}">
      <formula1>"SELF,ALL,BAS,DEP,BASMEMBERS,MEMBERS,NOEXPAND,GDEP"</formula1>
    </dataValidation>
  </dataValidations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customProperties>
    <customPr name="EpmWorksheetKeyString_GUID" r:id="rId2"/>
    <customPr name="FPMExcelClientCellBasedFunctionStatus" r:id="rId3"/>
    <customPr name="FPMExcelClientRefreshTime" r:id="rId4"/>
  </customProperties>
  <legacyDrawing r:id="rId5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27">
    <pageSetUpPr fitToPage="1"/>
  </sheetPr>
  <dimension ref="A1:AO69"/>
  <sheetViews>
    <sheetView topLeftCell="K25" zoomScale="85" zoomScaleNormal="85" workbookViewId="0">
      <pane xSplit="4" ySplit="8" topLeftCell="O33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2" width="9.7109375" style="2" hidden="1" customWidth="1" outlineLevel="1" collapsed="1"/>
    <col min="13" max="13" width="9.7109375" style="2" hidden="1" customWidth="1" outlineLevel="1"/>
    <col min="14" max="14" width="36.7109375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40" width="0" style="1" hidden="1" customWidth="1" outlineLevel="1"/>
    <col min="41" max="41" width="9.140625" style="1" collapsed="1"/>
    <col min="42" max="16384" width="9.140625" style="1"/>
  </cols>
  <sheetData>
    <row r="1" spans="1:41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11"/>
      <c r="H1" s="11"/>
      <c r="I1" s="11"/>
      <c r="J1" s="11"/>
      <c r="K1" s="11"/>
      <c r="L1" s="51"/>
      <c r="M1" s="51"/>
      <c r="N1" s="5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</row>
    <row r="2" spans="1:41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11"/>
      <c r="H2" s="11"/>
      <c r="I2" s="11"/>
      <c r="J2" s="11"/>
      <c r="K2" s="11"/>
      <c r="L2" s="51"/>
      <c r="M2" s="5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</row>
    <row r="3" spans="1:41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11"/>
      <c r="H3" s="11"/>
      <c r="I3" s="11"/>
      <c r="J3" s="11"/>
      <c r="K3" s="11"/>
      <c r="L3" s="55"/>
      <c r="M3" s="55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11"/>
      <c r="H4" s="11"/>
      <c r="I4" s="55"/>
      <c r="J4" s="55"/>
      <c r="K4" s="11"/>
      <c r="L4" s="55"/>
      <c r="M4" s="55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11"/>
      <c r="H5" s="11"/>
      <c r="I5" s="55"/>
      <c r="J5" s="55"/>
      <c r="K5" s="11"/>
      <c r="L5" s="55"/>
      <c r="M5" s="55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idden="1" outlineLevel="1" x14ac:dyDescent="0.25">
      <c r="A6" s="49" t="s">
        <v>52</v>
      </c>
      <c r="B6" s="52" t="s">
        <v>514</v>
      </c>
      <c r="C6" s="11" t="str">
        <f>IF(_epmOfflineCondition_,"Utilities",_xll.EVDES(B6,$B$1))</f>
        <v>Utilities</v>
      </c>
      <c r="D6" s="11"/>
      <c r="E6" s="54" t="str">
        <f>IF(_epmOfflineCondition_,"D_EC",_xll.EVPRO($B$1,$B$6,$F$6))</f>
        <v>D_EC</v>
      </c>
      <c r="F6" s="11" t="s">
        <v>278</v>
      </c>
      <c r="G6" s="11"/>
      <c r="H6" s="11"/>
      <c r="I6" s="55"/>
      <c r="J6" s="55"/>
      <c r="K6" s="11"/>
      <c r="L6" s="55"/>
      <c r="M6" s="55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11"/>
      <c r="H7" s="11"/>
      <c r="I7" s="55"/>
      <c r="J7" s="55"/>
      <c r="K7" s="11"/>
      <c r="L7" s="55"/>
      <c r="M7" s="55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11"/>
      <c r="H8" s="11"/>
      <c r="I8" s="55"/>
      <c r="J8" s="55"/>
      <c r="K8" s="11"/>
      <c r="L8" s="55"/>
      <c r="M8" s="55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55"/>
      <c r="M9" s="55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55"/>
      <c r="M10" s="55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55"/>
      <c r="M11" s="55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55"/>
      <c r="M12" s="55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  <c r="AJ12" s="11"/>
      <c r="AK12" s="11"/>
      <c r="AL12" s="11"/>
      <c r="AM12" s="11"/>
      <c r="AN12" s="11"/>
      <c r="AO12" s="11"/>
    </row>
    <row r="13" spans="1:41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55"/>
      <c r="M13" s="55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  <c r="AJ13" s="11"/>
      <c r="AK13" s="11"/>
      <c r="AL13" s="11"/>
      <c r="AM13" s="11"/>
      <c r="AN13" s="11"/>
      <c r="AO13" s="11"/>
    </row>
    <row r="14" spans="1:41" hidden="1" outlineLevel="1" x14ac:dyDescent="0.25">
      <c r="A14" s="56" t="str">
        <f>IF(_epmOfflineCondition_,"Evdre:Ok",_xll.EVDRE($B$1,A17:B24,A27:B33))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55"/>
      <c r="M14" s="55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  <c r="AJ14" s="11"/>
      <c r="AK14" s="11"/>
      <c r="AL14" s="11"/>
      <c r="AM14" s="11"/>
      <c r="AN14" s="11"/>
      <c r="AO14" s="11"/>
    </row>
    <row r="15" spans="1:41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55"/>
      <c r="M15" s="55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  <c r="AJ15" s="11"/>
      <c r="AK15" s="11"/>
      <c r="AL15" s="11"/>
      <c r="AM15" s="11"/>
      <c r="AN15" s="11"/>
      <c r="AO15" s="11"/>
    </row>
    <row r="16" spans="1:41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55"/>
      <c r="M16" s="55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  <c r="AJ16" s="11"/>
      <c r="AK16" s="11"/>
      <c r="AL16" s="11"/>
      <c r="AM16" s="11"/>
      <c r="AN16" s="11"/>
      <c r="AO16" s="11"/>
    </row>
    <row r="17" spans="1:41" hidden="1" outlineLevel="1" x14ac:dyDescent="0.25">
      <c r="A17" s="61" t="s">
        <v>2</v>
      </c>
      <c r="B17" s="62" t="str">
        <f>IF(_epmOfflineCondition_,"'EC'!$B$2:$B$10",_xll.EVRNG($B$2:$B$10))</f>
        <v>'EC'!$B$2:$B$10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55"/>
      <c r="M17" s="55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/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  <c r="AJ17" s="11"/>
      <c r="AK17" s="11"/>
      <c r="AL17" s="11"/>
      <c r="AM17" s="11"/>
      <c r="AN17" s="11"/>
      <c r="AO17" s="11"/>
    </row>
    <row r="18" spans="1:41" hidden="1" outlineLevel="1" x14ac:dyDescent="0.25">
      <c r="A18" s="61" t="s">
        <v>3</v>
      </c>
      <c r="B18" s="62" t="str">
        <f>IF(_epmOfflineCondition_,"'EC'!$O$16:$AN$18",_xll.EVRNG($O$16:$AN$18))</f>
        <v>'EC'!$O$16:$AN$18</v>
      </c>
      <c r="C18" s="11"/>
      <c r="D18" s="11"/>
      <c r="E18" s="11"/>
      <c r="F18" s="11"/>
      <c r="G18" s="11"/>
      <c r="H18" s="11"/>
      <c r="I18" s="55"/>
      <c r="J18" s="55"/>
      <c r="K18" s="11"/>
      <c r="L18" s="55"/>
      <c r="M18" s="55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60"/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  <c r="AJ18" s="11"/>
      <c r="AK18" s="11"/>
      <c r="AL18" s="11"/>
      <c r="AM18" s="11"/>
      <c r="AN18" s="11"/>
      <c r="AO18" s="11"/>
    </row>
    <row r="19" spans="1:41" hidden="1" outlineLevel="1" x14ac:dyDescent="0.25">
      <c r="A19" s="61" t="s">
        <v>4</v>
      </c>
      <c r="B19" s="62" t="str">
        <f>IF(_epmOfflineCondition_,"'EC'!$H$34:$H$36",_xll.EVRNG(H34:H36))</f>
        <v>'EC'!$H$34:$H$36</v>
      </c>
      <c r="C19" s="11"/>
      <c r="D19" s="11"/>
      <c r="E19" s="11"/>
      <c r="F19" s="11"/>
      <c r="G19" s="63" t="s">
        <v>499</v>
      </c>
      <c r="H19" s="63">
        <v>400000</v>
      </c>
      <c r="I19" s="64"/>
      <c r="J19" s="64"/>
      <c r="K19" s="63"/>
      <c r="L19" s="64"/>
      <c r="M19" s="64"/>
      <c r="N19" s="63" t="str">
        <f>IF(_epmOfflineCondition_,"Total Revenue",_xll.EVDES(H19))</f>
        <v>Total Revenue</v>
      </c>
      <c r="O19" s="65">
        <f>IF(_epmOfflineCondition_,816981.25,_xll.EVGTS($B$1,1,$B$3,$B$5,$B$7,$B$9,O$16,O$17,O$18,$G$19,$H$19))</f>
        <v>816981.25</v>
      </c>
      <c r="P19" s="65">
        <f>IF(_epmOfflineCondition_,866773.26,_xll.EVGTS($B$1,1,$B$3,$B$5,$B$7,$B$9,P$16,P$17,P$18,$G$19,$H$19))</f>
        <v>866773.26</v>
      </c>
      <c r="Q19" s="65">
        <f>IF(_epmOfflineCondition_,969793.68,_xll.EVGTS($B$1,1,$B$3,$B$5,$B$7,$B$9,Q$16,Q$17,Q$18,$G$19,$H$19))</f>
        <v>969793.68</v>
      </c>
      <c r="R19" s="65">
        <f>IF(_epmOfflineCondition_,760228.83,_xll.EVGTS($B$1,1,$B$3,$B$5,$B$7,$B$9,R$16,R$17,R$18,$G$19,$H$19))</f>
        <v>760228.83</v>
      </c>
      <c r="S19" s="65">
        <f>IF(_epmOfflineCondition_,618655.29,_xll.EVGTS($B$1,1,$B$3,$B$5,$B$7,$B$9,S$16,S$17,S$18,$G$19,$H$19))</f>
        <v>618655.29</v>
      </c>
      <c r="T19" s="65">
        <f>IF(_epmOfflineCondition_,453678.77,_xll.EVGTS($B$1,1,$B$3,$B$5,$B$7,$B$9,T$16,T$17,T$18,$G$19,$H$19))</f>
        <v>453678.77</v>
      </c>
      <c r="U19" s="65">
        <f>IF(_epmOfflineCondition_,542439.38,_xll.EVGTS($B$1,1,$B$3,$B$5,$B$7,$B$9,U$16,U$17,U$18,$G$19,$H$19))</f>
        <v>542439.38</v>
      </c>
      <c r="V19" s="65">
        <f>IF(_epmOfflineCondition_,530393.92,_xll.EVGTS($B$1,1,$B$3,$B$5,$B$7,$B$9,V$16,V$17,V$18,$G$19,$H$19))</f>
        <v>530393.92000000004</v>
      </c>
      <c r="W19" s="65">
        <f>IF(_epmOfflineCondition_,366989.98,_xll.EVGTS($B$1,1,$B$3,$B$5,$B$7,$B$9,W$16,W$17,W$18,$G$19,$H$19))</f>
        <v>366989.98</v>
      </c>
      <c r="X19" s="65">
        <f>IF(_epmOfflineCondition_,549087,_xll.EVGTS($B$1,1,$B$3,$B$5,$B$7,$B$9,X$16,X$17,X$18,$G$19,$H$19))</f>
        <v>549087</v>
      </c>
      <c r="Y19" s="65">
        <f>IF(_epmOfflineCondition_,756850.37,_xll.EVGTS($B$1,1,$B$3,$B$5,$B$7,$B$9,Y$16,Y$17,Y$18,$G$19,$H$19))</f>
        <v>756850.37</v>
      </c>
      <c r="Z19" s="65">
        <f>IF(_epmOfflineCondition_,1154118.08,_xll.EVGTS($B$1,1,$B$3,$B$5,$B$7,$B$9,Z$16,Z$17,Z$18,$G$19,$H$19))</f>
        <v>1154118.08</v>
      </c>
      <c r="AA19" s="65">
        <f>SUM(O19:Z19)</f>
        <v>8385989.8099999996</v>
      </c>
      <c r="AB19" s="63"/>
      <c r="AC19" s="63"/>
      <c r="AD19" s="65">
        <f>IF(_epmOfflineCondition_,13047408.7892219,_xll.EVGTS($B$1,1,$B$3,$B$5,$B$7,$B$9,AD$16,AD$17,AD$18,$G$19,$H$19))</f>
        <v>13047408.7892219</v>
      </c>
      <c r="AE19" s="63"/>
      <c r="AF19" s="63"/>
      <c r="AG19" s="65">
        <f>IF(_epmOfflineCondition_,3258668.97,_xll.EVGTS($B$1,1,$B$3,$B$5,$B$7,$B$9,AG$16,AG$17,AG$18,$G$19,$H$19))</f>
        <v>3258668.97</v>
      </c>
      <c r="AH19" s="63"/>
      <c r="AI19" s="63"/>
      <c r="AJ19" s="11"/>
      <c r="AK19" s="11"/>
      <c r="AL19" s="11"/>
      <c r="AM19" s="11"/>
      <c r="AN19" s="11"/>
      <c r="AO19" s="11"/>
    </row>
    <row r="20" spans="1:41" hidden="1" outlineLevel="1" x14ac:dyDescent="0.25">
      <c r="A20" s="61" t="s">
        <v>5</v>
      </c>
      <c r="B20" s="62"/>
      <c r="C20" s="11"/>
      <c r="D20" s="11"/>
      <c r="E20" s="11"/>
      <c r="F20" s="11"/>
      <c r="G20" s="63" t="s">
        <v>750</v>
      </c>
      <c r="H20" s="63">
        <v>904100</v>
      </c>
      <c r="I20" s="64"/>
      <c r="J20" s="64"/>
      <c r="K20" s="63"/>
      <c r="L20" s="64"/>
      <c r="M20" s="64"/>
      <c r="N20" s="63" t="str">
        <f>IF(_epmOfflineCondition_,"Available rooms",_xll.EVDES(H20))</f>
        <v>Available rooms</v>
      </c>
      <c r="O20" s="65">
        <f>IF(_epmOfflineCondition_,4092,_xll.EVGTS($B$1,1,$B$3,$B$5,$B$7,$B$9,O$16,O$17,O$18,$G$20,$H$20))</f>
        <v>4092</v>
      </c>
      <c r="P20" s="65">
        <f>IF(_epmOfflineCondition_,3696,_xll.EVGTS($B$1,1,$B$3,$B$5,$B$7,$B$9,P$16,P$17,P$18,$G$20,$H$20))</f>
        <v>3696</v>
      </c>
      <c r="Q20" s="65">
        <f>IF(_epmOfflineCondition_,4092,_xll.EVGTS($B$1,1,$B$3,$B$5,$B$7,$B$9,Q$16,Q$17,Q$18,$G$20,$H$20))</f>
        <v>4092</v>
      </c>
      <c r="R20" s="65">
        <f>IF(_epmOfflineCondition_,3960,_xll.EVGTS($B$1,1,$B$3,$B$5,$B$7,$B$9,R$16,R$17,R$18,$G$20,$H$20))</f>
        <v>3960</v>
      </c>
      <c r="S20" s="65">
        <f>IF(_epmOfflineCondition_,4092,_xll.EVGTS($B$1,1,$B$3,$B$5,$B$7,$B$9,S$16,S$17,S$18,$G$20,$H$20))</f>
        <v>4092</v>
      </c>
      <c r="T20" s="65">
        <f>IF(_epmOfflineCondition_,3960,_xll.EVGTS($B$1,1,$B$3,$B$5,$B$7,$B$9,T$16,T$17,T$18,$G$20,$H$20))</f>
        <v>3960</v>
      </c>
      <c r="U20" s="65">
        <f>IF(_epmOfflineCondition_,4092,_xll.EVGTS($B$1,1,$B$3,$B$5,$B$7,$B$9,U$16,U$17,U$18,$G$20,$H$20))</f>
        <v>4092</v>
      </c>
      <c r="V20" s="65">
        <f>IF(_epmOfflineCondition_,4092,_xll.EVGTS($B$1,1,$B$3,$B$5,$B$7,$B$9,V$16,V$17,V$18,$G$20,$H$20))</f>
        <v>4092</v>
      </c>
      <c r="W20" s="65">
        <f>IF(_epmOfflineCondition_,3960,_xll.EVGTS($B$1,1,$B$3,$B$5,$B$7,$B$9,W$16,W$17,W$18,$G$20,$H$20))</f>
        <v>3960</v>
      </c>
      <c r="X20" s="65">
        <f>IF(_epmOfflineCondition_,4092,_xll.EVGTS($B$1,1,$B$3,$B$5,$B$7,$B$9,X$16,X$17,X$18,$G$20,$H$20))</f>
        <v>4092</v>
      </c>
      <c r="Y20" s="65">
        <f>IF(_epmOfflineCondition_,3960,_xll.EVGTS($B$1,1,$B$3,$B$5,$B$7,$B$9,Y$16,Y$17,Y$18,$G$20,$H$20))</f>
        <v>3960</v>
      </c>
      <c r="Z20" s="65">
        <f>IF(_epmOfflineCondition_,4092,_xll.EVGTS($B$1,1,$B$3,$B$5,$B$7,$B$9,Z$16,Z$17,Z$18,$G$20,$H$20))</f>
        <v>4092</v>
      </c>
      <c r="AA20" s="65">
        <f>SUM(O20:Z20)</f>
        <v>48180</v>
      </c>
      <c r="AB20" s="63"/>
      <c r="AC20" s="63"/>
      <c r="AD20" s="65">
        <f>IF(_epmOfflineCondition_,48180,_xll.EVGTS($B$1,1,$B$3,$B$5,$B$7,$B$9,AD$16,AD$17,AD$18,$G$20,$H$20))</f>
        <v>48180</v>
      </c>
      <c r="AE20" s="63"/>
      <c r="AF20" s="63"/>
      <c r="AG20" s="65">
        <f>IF(_epmOfflineCondition_,37251,_xll.EVGTS($B$1,1,$B$3,$B$5,$B$7,$B$9,AG$16,AG$17,AG$18,$G$20,$H$20))</f>
        <v>37251</v>
      </c>
      <c r="AH20" s="63"/>
      <c r="AI20" s="63"/>
      <c r="AJ20" s="11"/>
      <c r="AK20" s="11"/>
      <c r="AL20" s="11"/>
      <c r="AM20" s="11"/>
      <c r="AN20" s="11"/>
      <c r="AO20" s="11"/>
    </row>
    <row r="21" spans="1:41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55"/>
      <c r="J21" s="55"/>
      <c r="K21" s="11"/>
      <c r="L21" s="55"/>
      <c r="M21" s="55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idden="1" outlineLevel="1" x14ac:dyDescent="0.25">
      <c r="A22" s="61" t="s">
        <v>7</v>
      </c>
      <c r="B22" s="62"/>
      <c r="C22" s="11"/>
      <c r="D22" s="11"/>
      <c r="E22" s="11"/>
      <c r="F22" s="11"/>
      <c r="G22" s="11"/>
      <c r="H22" s="11"/>
      <c r="I22" s="55"/>
      <c r="J22" s="55"/>
      <c r="K22" s="11"/>
      <c r="L22" s="55"/>
      <c r="M22" s="55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idden="1" outlineLevel="1" x14ac:dyDescent="0.25">
      <c r="A23" s="61" t="s">
        <v>47</v>
      </c>
      <c r="B23" s="62" t="str">
        <f>IF(_epmOfflineCondition_,"'EC'!$A$37:$B$58",_xll.EVRNG($A$37:$B$58))</f>
        <v>'EC'!$A$37:$B$58</v>
      </c>
      <c r="C23" s="11"/>
      <c r="D23" s="11"/>
      <c r="E23" s="11"/>
      <c r="F23" s="11"/>
      <c r="G23" s="11"/>
      <c r="H23" s="11"/>
      <c r="I23" s="55"/>
      <c r="J23" s="55"/>
      <c r="K23" s="6"/>
      <c r="L23" s="55"/>
      <c r="M23" s="55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55"/>
      <c r="M24" s="55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55"/>
      <c r="M25" s="55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22.5" x14ac:dyDescent="0.3">
      <c r="A26" s="57" t="s">
        <v>9</v>
      </c>
      <c r="B26" s="58" t="s">
        <v>10</v>
      </c>
      <c r="C26" s="11"/>
      <c r="D26" s="11"/>
      <c r="E26" s="11"/>
      <c r="F26" s="11"/>
      <c r="G26" s="11"/>
      <c r="H26" s="11"/>
      <c r="I26" s="55"/>
      <c r="J26" s="55"/>
      <c r="K26" s="11"/>
      <c r="L26" s="55"/>
      <c r="M26" s="55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8" x14ac:dyDescent="0.25">
      <c r="A27" s="61" t="s">
        <v>11</v>
      </c>
      <c r="B27" s="62" t="s">
        <v>21</v>
      </c>
      <c r="C27" s="11"/>
      <c r="D27" s="11"/>
      <c r="E27" s="11"/>
      <c r="F27" s="11"/>
      <c r="G27" s="11"/>
      <c r="H27" s="11"/>
      <c r="I27" s="55"/>
      <c r="J27" s="55"/>
      <c r="K27" s="11"/>
      <c r="L27" s="55"/>
      <c r="M27" s="55"/>
      <c r="N27" s="67" t="str">
        <f>IF(_epmOfflineCondition_,"Utilities Department",IF(_xll.EVDES(B6,$B$1)="#NODATA","",_xll.EVDES(B6,$B$1)&amp;" Department"))</f>
        <v>Utilities Department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x14ac:dyDescent="0.25">
      <c r="A28" s="61" t="s">
        <v>12</v>
      </c>
      <c r="B28" s="62" t="s">
        <v>22</v>
      </c>
      <c r="C28" s="11"/>
      <c r="D28" s="11"/>
      <c r="E28" s="11"/>
      <c r="F28" s="11"/>
      <c r="G28" s="11"/>
      <c r="H28" s="11"/>
      <c r="I28" s="55"/>
      <c r="J28" s="55"/>
      <c r="K28" s="11"/>
      <c r="L28" s="55"/>
      <c r="M28" s="55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" customHeight="1" x14ac:dyDescent="0.25">
      <c r="A29" s="61" t="s">
        <v>13</v>
      </c>
      <c r="B29" s="62" t="s">
        <v>515</v>
      </c>
      <c r="C29" s="11"/>
      <c r="D29" s="11"/>
      <c r="E29" s="11"/>
      <c r="F29" s="11"/>
      <c r="G29" s="11"/>
      <c r="H29" s="11"/>
      <c r="I29" s="55"/>
      <c r="J29" s="55"/>
      <c r="K29" s="11"/>
      <c r="L29" s="55"/>
      <c r="M29" s="55"/>
      <c r="N29" s="68" t="str">
        <f>IF(_epmOfflineCondition_,"Local Currency",_xll.EVDES(B9,B1))</f>
        <v>Local Currency</v>
      </c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x14ac:dyDescent="0.25">
      <c r="A30" s="61" t="s">
        <v>14</v>
      </c>
      <c r="B30" s="582"/>
      <c r="C30" s="11"/>
      <c r="D30" s="11"/>
      <c r="E30" s="11"/>
      <c r="F30" s="11"/>
      <c r="G30" s="11"/>
      <c r="H30" s="11"/>
      <c r="I30" s="55"/>
      <c r="J30" s="55"/>
      <c r="K30" s="11"/>
      <c r="L30" s="55"/>
      <c r="M30" s="55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  <c r="AJ30" s="69" t="s">
        <v>753</v>
      </c>
      <c r="AK30" s="70"/>
      <c r="AL30" s="71"/>
      <c r="AM30" s="70" t="s">
        <v>751</v>
      </c>
      <c r="AN30" s="70"/>
      <c r="AO30" s="11"/>
    </row>
    <row r="31" spans="1:41" x14ac:dyDescent="0.25">
      <c r="A31" s="61" t="s">
        <v>15</v>
      </c>
      <c r="B31" s="62"/>
      <c r="C31" s="11"/>
      <c r="D31" s="11"/>
      <c r="E31" s="11"/>
      <c r="F31" s="11"/>
      <c r="G31" s="72"/>
      <c r="H31" s="11"/>
      <c r="I31" s="55"/>
      <c r="J31" s="55"/>
      <c r="K31" s="173"/>
      <c r="L31" s="55"/>
      <c r="M31" s="55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  <c r="AJ31" s="73" t="str">
        <f>IF(_epmOfflineCondition_,"2019",_xll.EVPRO($B$1,AA$16,"YEAR"))</f>
        <v>2019</v>
      </c>
      <c r="AK31" s="76" t="str">
        <f>IF(_epmOfflineCondition_,"2019",_xll.EVPRO($B$1,AD$16,"YEAR"))</f>
        <v>2019</v>
      </c>
      <c r="AL31" s="76" t="str">
        <f>IF(_epmOfflineCondition_,"2018",_xll.EVPRO($B$1,AG$16,"YEAR"))</f>
        <v>2018</v>
      </c>
      <c r="AM31" s="73" t="str">
        <f>"vs "&amp;AK31</f>
        <v>vs 2019</v>
      </c>
      <c r="AN31" s="73" t="str">
        <f>"vs "&amp;AL31</f>
        <v>vs 2018</v>
      </c>
      <c r="AO31" s="11"/>
    </row>
    <row r="32" spans="1:41" s="8" customFormat="1" ht="30" customHeight="1" x14ac:dyDescent="0.25">
      <c r="A32" s="77" t="s">
        <v>16</v>
      </c>
      <c r="B32" s="78" t="s">
        <v>78</v>
      </c>
      <c r="C32" s="79"/>
      <c r="D32" s="79"/>
      <c r="E32" s="79"/>
      <c r="F32" s="79"/>
      <c r="G32" s="79"/>
      <c r="H32" s="80"/>
      <c r="I32" s="81"/>
      <c r="J32" s="81"/>
      <c r="K32" s="174" t="s">
        <v>117</v>
      </c>
      <c r="L32" s="81"/>
      <c r="M32" s="81"/>
      <c r="N32" s="82" t="s">
        <v>120</v>
      </c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  <c r="AJ32" s="83" t="str">
        <f>Z32</f>
        <v>Actual</v>
      </c>
      <c r="AK32" s="76" t="str">
        <f>AD32</f>
        <v>Budget</v>
      </c>
      <c r="AL32" s="83" t="str">
        <f>AG32</f>
        <v>Actual</v>
      </c>
      <c r="AM32" s="73" t="s">
        <v>748</v>
      </c>
      <c r="AN32" s="73" t="s">
        <v>748</v>
      </c>
      <c r="AO32" s="79"/>
    </row>
    <row r="33" spans="1:41" x14ac:dyDescent="0.25">
      <c r="A33" s="61" t="s">
        <v>17</v>
      </c>
      <c r="B33" s="62"/>
      <c r="C33" s="11"/>
      <c r="D33" s="11"/>
      <c r="E33" s="11"/>
      <c r="F33" s="11"/>
      <c r="G33" s="11"/>
      <c r="H33" s="11" t="s">
        <v>548</v>
      </c>
      <c r="I33" s="55" t="str">
        <f>IF(_epmOfflineCondition_,"B1",_xll.EVPRO($B$1,$H33,"STYLE"))</f>
        <v>B1</v>
      </c>
      <c r="J33" s="55" t="str">
        <f>IF(_epmOfflineCondition_,"Y",_xll.EVPRO($B$1,$H33,"CALC"))</f>
        <v>Y</v>
      </c>
      <c r="K33" s="11"/>
      <c r="L33" s="11"/>
      <c r="M33" s="11"/>
      <c r="N33" s="101" t="str">
        <f>IF(_epmOfflineCondition_,"Utilities",IF(_xll.EVDES(H33,$B$1)="#NODATA","",_xll.EVDES(H33,$B$1)))</f>
        <v>Utilities</v>
      </c>
      <c r="O33" s="115"/>
      <c r="P33" s="116"/>
      <c r="Q33" s="116"/>
      <c r="R33" s="116"/>
      <c r="S33" s="116"/>
      <c r="T33" s="116"/>
      <c r="U33" s="116"/>
      <c r="V33" s="116"/>
      <c r="W33" s="116"/>
      <c r="X33" s="116"/>
      <c r="Y33" s="116"/>
      <c r="Z33" s="116"/>
      <c r="AA33" s="116"/>
      <c r="AB33" s="117"/>
      <c r="AC33" s="11"/>
      <c r="AD33" s="115"/>
      <c r="AE33" s="116"/>
      <c r="AF33" s="117"/>
      <c r="AG33" s="115"/>
      <c r="AH33" s="116"/>
      <c r="AI33" s="117"/>
      <c r="AJ33" s="11"/>
      <c r="AK33" s="11"/>
      <c r="AL33" s="11"/>
      <c r="AM33" s="11"/>
      <c r="AN33" s="11"/>
      <c r="AO33" s="11"/>
    </row>
    <row r="34" spans="1:41" x14ac:dyDescent="0.25">
      <c r="A34" s="11"/>
      <c r="B34" s="11"/>
      <c r="C34" s="11"/>
      <c r="D34" s="11"/>
      <c r="E34" s="11"/>
      <c r="F34" s="11"/>
      <c r="G34" s="11"/>
      <c r="H34" s="84" t="s">
        <v>837</v>
      </c>
      <c r="I34" s="118" t="str">
        <f>IF(_epmOfflineCondition_,"N",_xll.EVPRO($B$1,$H34,"STYLE"))</f>
        <v>N</v>
      </c>
      <c r="J34" s="118" t="str">
        <f>IF(_epmOfflineCondition_,"N",_xll.EVPRO($B$1,$H34,"CALC"))</f>
        <v>N</v>
      </c>
      <c r="K34" s="175" t="str">
        <f>IF(AND(I34&gt;="T3"),"&gt;","")</f>
        <v/>
      </c>
      <c r="L34" s="86" t="str">
        <f>IF(_epmOfflineCondition_,"717100",_xll.EVPRO($B$1,H34,"JDEID"))</f>
        <v>717100</v>
      </c>
      <c r="M34" s="86" t="str">
        <f>IF(_epmOfflineCondition_,"690800",IF(AND(I34="N",J34="N"),_xll.EVPRO($B$1,H34,"PSFTID"),""))</f>
        <v>690800</v>
      </c>
      <c r="N34" s="86" t="str">
        <f>IF(_epmOfflineCondition_,"Electricity",IF(_xll.EVDES(H34,$B$1)="#NODATA","",_xll.EVDES(H34,$B$1)))</f>
        <v>Electricity</v>
      </c>
      <c r="O34" s="134">
        <v>7480.1</v>
      </c>
      <c r="P34" s="134">
        <v>7196.07</v>
      </c>
      <c r="Q34" s="134">
        <v>9100.94</v>
      </c>
      <c r="R34" s="134">
        <v>6892.56</v>
      </c>
      <c r="S34" s="134">
        <v>9707.7800000000007</v>
      </c>
      <c r="T34" s="134">
        <v>11786.24</v>
      </c>
      <c r="U34" s="134">
        <v>12211.47</v>
      </c>
      <c r="V34" s="134">
        <v>12478.71</v>
      </c>
      <c r="W34" s="134">
        <v>9115.5400000000009</v>
      </c>
      <c r="X34" s="134">
        <v>13595.09</v>
      </c>
      <c r="Y34" s="134">
        <v>12399.07</v>
      </c>
      <c r="Z34" s="134">
        <v>8823.9500000000007</v>
      </c>
      <c r="AA34" s="240">
        <f>IF($I34="B1","",SUM(O34:Z34))</f>
        <v>120787.52</v>
      </c>
      <c r="AB34" s="138">
        <f>IF(AA34=0,"",IFERROR(AA34/AA$19,""))</f>
        <v>1.4403489956065187E-2</v>
      </c>
      <c r="AC34" s="136"/>
      <c r="AD34" s="134">
        <v>219407.58</v>
      </c>
      <c r="AE34" s="138">
        <f>IF(AD34=0,"",IFERROR(AD34/AD$19,""))</f>
        <v>1.6816180403671145E-2</v>
      </c>
      <c r="AF34" s="137">
        <f>IF(AND($AA34="",AD34=""),"",$AA34-AD34)</f>
        <v>-98620.059999999983</v>
      </c>
      <c r="AG34" s="134">
        <v>89329.56</v>
      </c>
      <c r="AH34" s="138">
        <f>IF(AG34=0,"",IFERROR(AG34/AG$19,""))</f>
        <v>2.7412897972266263E-2</v>
      </c>
      <c r="AI34" s="137">
        <f>IF(AND($AA34="",AG34=""),"",$AA34-AG34)</f>
        <v>31457.960000000006</v>
      </c>
      <c r="AJ34" s="458">
        <f>IFERROR(AA34/AA$20,0)</f>
        <v>2.507005396430054</v>
      </c>
      <c r="AK34" s="459">
        <f>IFERROR(AD34/AD$20,0)</f>
        <v>4.5539140722291407</v>
      </c>
      <c r="AL34" s="460">
        <f>IFERROR(AG34/AG$20,0)</f>
        <v>2.3980446162519127</v>
      </c>
      <c r="AM34" s="461" t="str">
        <f>+IFERROR(ROUND(($AB34-AE34)*100,2)&amp;" pts.",0)</f>
        <v>-0.24 pts.</v>
      </c>
      <c r="AN34" s="462" t="str">
        <f>+IFERROR(ROUND(($AB34-AH34)*100,2)&amp;" pts.",0)</f>
        <v>-1.3 pts.</v>
      </c>
      <c r="AO34" s="11"/>
    </row>
    <row r="35" spans="1:41" x14ac:dyDescent="0.25">
      <c r="A35" s="11"/>
      <c r="B35" s="11"/>
      <c r="C35" s="204"/>
      <c r="D35" s="11"/>
      <c r="E35" s="11"/>
      <c r="F35" s="11"/>
      <c r="G35" s="11"/>
      <c r="H35" s="84" t="s">
        <v>838</v>
      </c>
      <c r="I35" s="118" t="str">
        <f>IF(_epmOfflineCondition_,"N",_xll.EVPRO($B$1,$H35,"STYLE"))</f>
        <v>N</v>
      </c>
      <c r="J35" s="118" t="str">
        <f>IF(_epmOfflineCondition_,"N",_xll.EVPRO($B$1,$H35,"CALC"))</f>
        <v>N</v>
      </c>
      <c r="K35" s="175" t="str">
        <f>IF(AND(I35&gt;="T3"),"&gt;","")</f>
        <v/>
      </c>
      <c r="L35" s="86" t="str">
        <f>IF(_epmOfflineCondition_,"717200",_xll.EVPRO($B$1,H35,"JDEID"))</f>
        <v>717200</v>
      </c>
      <c r="M35" s="86" t="str">
        <f>IF(_epmOfflineCondition_,"690805",IF(AND(I35="N",J35="N"),_xll.EVPRO($B$1,H35,"PSFTID"),""))</f>
        <v>690805</v>
      </c>
      <c r="N35" s="86" t="str">
        <f>IF(_epmOfflineCondition_,"Gas",IF(_xll.EVDES(H35,$B$1)="#NODATA","",_xll.EVDES(H35,$B$1)))</f>
        <v>Gas</v>
      </c>
      <c r="O35" s="134">
        <v>2214.13</v>
      </c>
      <c r="P35" s="134">
        <v>1399.58</v>
      </c>
      <c r="Q35" s="134">
        <v>1264.31</v>
      </c>
      <c r="R35" s="134">
        <v>1114.6600000000001</v>
      </c>
      <c r="S35" s="134">
        <v>650.97</v>
      </c>
      <c r="T35" s="134">
        <v>1062.92</v>
      </c>
      <c r="U35" s="134">
        <v>281.70999999999998</v>
      </c>
      <c r="V35" s="134">
        <v>662.07</v>
      </c>
      <c r="W35" s="134">
        <v>848.03</v>
      </c>
      <c r="X35" s="134">
        <v>955.2</v>
      </c>
      <c r="Y35" s="134">
        <v>1998.03</v>
      </c>
      <c r="Z35" s="134">
        <v>2790.91</v>
      </c>
      <c r="AA35" s="240">
        <f>IF($I35="B1","",SUM(O35:Z35))</f>
        <v>15242.520000000002</v>
      </c>
      <c r="AB35" s="138">
        <f>IF(AA35=0,"",IFERROR(AA35/AA$19,""))</f>
        <v>1.8176172813641903E-3</v>
      </c>
      <c r="AC35" s="136"/>
      <c r="AD35" s="134">
        <v>12371.24</v>
      </c>
      <c r="AE35" s="138">
        <f>IF(AD35=0,"",IFERROR(AD35/AD$19,""))</f>
        <v>9.4817600949389548E-4</v>
      </c>
      <c r="AF35" s="137">
        <f>IF(AND($AA35="",AD35=""),"",$AA35-AD35)</f>
        <v>2871.2800000000025</v>
      </c>
      <c r="AG35" s="134">
        <v>4068.75</v>
      </c>
      <c r="AH35" s="138">
        <f>IF(AG35=0,"",IFERROR(AG35/AG$19,""))</f>
        <v>1.2485926117251486E-3</v>
      </c>
      <c r="AI35" s="137">
        <f>IF(AND($AA35="",AG35=""),"",$AA35-AG35)</f>
        <v>11173.770000000002</v>
      </c>
      <c r="AJ35" s="458">
        <f>IFERROR(AA35/AA$20,0)</f>
        <v>0.31636612702366129</v>
      </c>
      <c r="AK35" s="459">
        <f>IFERROR(AD35/AD$20,0)</f>
        <v>0.25677127438771274</v>
      </c>
      <c r="AL35" s="460">
        <f>IFERROR(AG35/AG$20,0)</f>
        <v>0.10922525569783362</v>
      </c>
      <c r="AM35" s="461" t="str">
        <f>+IFERROR(ROUND(($AB35-AE35)*100,2)&amp;" pts.",0)</f>
        <v>0.09 pts.</v>
      </c>
      <c r="AN35" s="462" t="str">
        <f>+IFERROR(ROUND(($AB35-AH35)*100,2)&amp;" pts.",0)</f>
        <v>0.06 pts.</v>
      </c>
      <c r="AO35" s="11"/>
    </row>
    <row r="36" spans="1:41" x14ac:dyDescent="0.25">
      <c r="A36" s="57" t="s">
        <v>23</v>
      </c>
      <c r="B36" s="58" t="s">
        <v>24</v>
      </c>
      <c r="C36" s="11"/>
      <c r="D36" s="11"/>
      <c r="E36" s="11"/>
      <c r="F36" s="11"/>
      <c r="G36" s="11"/>
      <c r="H36" s="84" t="s">
        <v>839</v>
      </c>
      <c r="I36" s="118" t="str">
        <f>IF(_epmOfflineCondition_,"T5",_xll.EVPRO($B$1,$H36,"STYLE"))</f>
        <v>T5</v>
      </c>
      <c r="J36" s="118" t="str">
        <f>IF(_epmOfflineCondition_,"Y",_xll.EVPRO($B$1,$H36,"CALC"))</f>
        <v>Y</v>
      </c>
      <c r="K36" s="175" t="str">
        <f>IF(AND(I36&gt;="T3"),"&gt;","")</f>
        <v>&gt;</v>
      </c>
      <c r="L36" s="86" t="str">
        <f>IF(_epmOfflineCondition_,"",_xll.EVPRO($B$1,H36,"JDEID"))</f>
        <v/>
      </c>
      <c r="M36" s="86" t="str">
        <f>IF(_epmOfflineCondition_,"",IF(AND(I36="N",J36="N"),_xll.EVPRO($B$1,H36,"PSFTID"),""))</f>
        <v/>
      </c>
      <c r="N36" s="86" t="str">
        <f>IF(_epmOfflineCondition_,"Water / Sewer",IF(_xll.EVDES(H36,$B$1)="#NODATA","",_xll.EVDES(H36,$B$1)))</f>
        <v>Water / Sewer</v>
      </c>
      <c r="O36" s="134">
        <v>2295.79</v>
      </c>
      <c r="P36" s="134">
        <v>2218.36</v>
      </c>
      <c r="Q36" s="134">
        <v>2472.62</v>
      </c>
      <c r="R36" s="134">
        <v>2076.35</v>
      </c>
      <c r="S36" s="134">
        <v>2458.06</v>
      </c>
      <c r="T36" s="134">
        <v>2622.51</v>
      </c>
      <c r="U36" s="134">
        <v>1858.6</v>
      </c>
      <c r="V36" s="134">
        <v>2313.08</v>
      </c>
      <c r="W36" s="134">
        <v>1896.4</v>
      </c>
      <c r="X36" s="134">
        <v>2391.83</v>
      </c>
      <c r="Y36" s="134">
        <v>1699.18</v>
      </c>
      <c r="Z36" s="134">
        <v>2197.6999999999998</v>
      </c>
      <c r="AA36" s="240">
        <f>IF($I36="B1","",SUM(O36:Z36))</f>
        <v>26500.48</v>
      </c>
      <c r="AB36" s="138">
        <f>IF(AA36=0,"",IFERROR(AA36/AA$19,""))</f>
        <v>3.1600896972709298E-3</v>
      </c>
      <c r="AC36" s="136"/>
      <c r="AD36" s="134">
        <v>62220.06</v>
      </c>
      <c r="AE36" s="138">
        <f>IF(AD36=0,"",IFERROR(AD36/AD$19,""))</f>
        <v>4.7687675771604741E-3</v>
      </c>
      <c r="AF36" s="137">
        <f>IF(AND($AA36="",AD36=""),"",$AA36-AD36)</f>
        <v>-35719.58</v>
      </c>
      <c r="AG36" s="134">
        <v>27179.23</v>
      </c>
      <c r="AH36" s="138">
        <f>IF(AG36=0,"",IFERROR(AG36/AG$19,""))</f>
        <v>8.3405925088487886E-3</v>
      </c>
      <c r="AI36" s="137">
        <f>IF(AND($AA36="",AG36=""),"",$AA36-AG36)</f>
        <v>-678.75</v>
      </c>
      <c r="AJ36" s="458">
        <f>IFERROR(AA36/AA$20,0)</f>
        <v>0.55003071814030713</v>
      </c>
      <c r="AK36" s="459">
        <f>IFERROR(AD36/AD$20,0)</f>
        <v>1.2914084682440847</v>
      </c>
      <c r="AL36" s="460">
        <f>IFERROR(AG36/AG$20,0)</f>
        <v>0.72962417116319023</v>
      </c>
      <c r="AM36" s="461" t="str">
        <f>+IFERROR(ROUND(($AB36-AE36)*100,2)&amp;" pts.",0)</f>
        <v>-0.16 pts.</v>
      </c>
      <c r="AN36" s="462" t="str">
        <f>+IFERROR(ROUND(($AB36-AH36)*100,2)&amp;" pts.",0)</f>
        <v>-0.52 pts.</v>
      </c>
      <c r="AO36" s="11"/>
    </row>
    <row r="37" spans="1:41" x14ac:dyDescent="0.25">
      <c r="A37" s="61" t="s">
        <v>25</v>
      </c>
      <c r="B37" s="62"/>
      <c r="C37" s="11"/>
      <c r="D37" s="11"/>
      <c r="E37" s="11"/>
      <c r="F37" s="11"/>
      <c r="G37" s="11"/>
      <c r="H37" s="84" t="s">
        <v>79</v>
      </c>
      <c r="I37" s="132" t="str">
        <f>IF(_epmOfflineCondition_,"T3",_xll.EVPRO($B$1,$H37,"STYLE"))</f>
        <v>T3</v>
      </c>
      <c r="J37" s="132" t="str">
        <f>IF(_epmOfflineCondition_,"Y",_xll.EVPRO($B$1,$H37,"CALC"))</f>
        <v>Y</v>
      </c>
      <c r="K37" s="100"/>
      <c r="L37" s="55"/>
      <c r="M37" s="55"/>
      <c r="N37" s="102" t="str">
        <f>IF(_epmOfflineCondition_,"Total Operations Expense",IF(_xll.EVDES(H37,$B$1)="#NODATA","",_xll.EVDES(H37,$B$1)))</f>
        <v>Total Operations Expense</v>
      </c>
      <c r="O37" s="108">
        <f t="shared" ref="O37:Z37" si="0">SUM(O34:O36)</f>
        <v>11990.02</v>
      </c>
      <c r="P37" s="108">
        <f t="shared" si="0"/>
        <v>10814.01</v>
      </c>
      <c r="Q37" s="108">
        <f t="shared" si="0"/>
        <v>12837.869999999999</v>
      </c>
      <c r="R37" s="108">
        <f t="shared" si="0"/>
        <v>10083.57</v>
      </c>
      <c r="S37" s="108">
        <f t="shared" si="0"/>
        <v>12816.81</v>
      </c>
      <c r="T37" s="108">
        <f t="shared" si="0"/>
        <v>15471.67</v>
      </c>
      <c r="U37" s="108">
        <f t="shared" si="0"/>
        <v>14351.779999999999</v>
      </c>
      <c r="V37" s="108">
        <f t="shared" si="0"/>
        <v>15453.859999999999</v>
      </c>
      <c r="W37" s="108">
        <f t="shared" si="0"/>
        <v>11859.970000000001</v>
      </c>
      <c r="X37" s="108">
        <f t="shared" si="0"/>
        <v>16942.120000000003</v>
      </c>
      <c r="Y37" s="108">
        <f t="shared" si="0"/>
        <v>16096.28</v>
      </c>
      <c r="Z37" s="108">
        <f t="shared" si="0"/>
        <v>13812.560000000001</v>
      </c>
      <c r="AA37" s="108">
        <f>IF($I37="B1","",SUM(O37:Z37))</f>
        <v>162530.51999999999</v>
      </c>
      <c r="AB37" s="109">
        <f>IF(AA37=0,"",IFERROR(AA37/AA$19,""))</f>
        <v>1.9381196934700307E-2</v>
      </c>
      <c r="AC37" s="11"/>
      <c r="AD37" s="108">
        <f>SUM(AD34:AD36)</f>
        <v>293998.88</v>
      </c>
      <c r="AE37" s="109">
        <f>IF(AD37=0,"",IFERROR(AD37/AD$19,""))</f>
        <v>2.2533123990325518E-2</v>
      </c>
      <c r="AF37" s="110">
        <f>IF(AND($AA37="",AD37=""),"",$AA37-AD37)</f>
        <v>-131468.36000000002</v>
      </c>
      <c r="AG37" s="108">
        <f>SUM(AG34:AG36)</f>
        <v>120577.54</v>
      </c>
      <c r="AH37" s="109">
        <f>IF(AG37=0,"",IFERROR(AG37/AG$19,""))</f>
        <v>3.7002083092840199E-2</v>
      </c>
      <c r="AI37" s="110">
        <f>IF(AND($AA37="",AG37=""),"",$AA37-AG37)</f>
        <v>41952.979999999996</v>
      </c>
      <c r="AJ37" s="411">
        <f>IFERROR(AA37/AA$20,0)</f>
        <v>3.3734022415940221</v>
      </c>
      <c r="AK37" s="412">
        <f>IFERROR(AD37/AD$20,0)</f>
        <v>6.1020938148609378</v>
      </c>
      <c r="AL37" s="413">
        <f>IFERROR(AG37/AG$20,0)</f>
        <v>3.2368940431129363</v>
      </c>
      <c r="AM37" s="414" t="str">
        <f>+IFERROR(ROUND(($AB37-AE37)*100,2)&amp;" pts.",0)</f>
        <v>-0.32 pts.</v>
      </c>
      <c r="AN37" s="538" t="str">
        <f>+IFERROR(ROUND(($AB37-AH37)*100,2)&amp;" pts.",0)</f>
        <v>-1.76 pts.</v>
      </c>
      <c r="AO37" s="11"/>
    </row>
    <row r="38" spans="1:41" x14ac:dyDescent="0.25">
      <c r="A38" s="61" t="s">
        <v>26</v>
      </c>
      <c r="B38" s="62"/>
      <c r="C38" s="11"/>
      <c r="D38" s="11"/>
      <c r="E38" s="11"/>
      <c r="F38" s="11"/>
      <c r="G38" s="11"/>
      <c r="H38" s="11"/>
      <c r="I38" s="55"/>
      <c r="J38" s="55"/>
      <c r="K38" s="11"/>
      <c r="L38" s="55"/>
      <c r="M38" s="55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</row>
    <row r="39" spans="1:41" x14ac:dyDescent="0.25">
      <c r="A39" s="61" t="s">
        <v>27</v>
      </c>
      <c r="B39" s="62"/>
      <c r="C39" s="11"/>
      <c r="D39" s="11"/>
      <c r="E39" s="11"/>
      <c r="F39" s="11"/>
      <c r="G39" s="11"/>
      <c r="H39" s="84" t="s">
        <v>79</v>
      </c>
      <c r="I39" s="55"/>
      <c r="J39" s="55"/>
      <c r="K39" s="11"/>
      <c r="L39" s="55"/>
      <c r="M39" s="55"/>
      <c r="N39" s="100" t="str">
        <f>N37&amp;" - Check"</f>
        <v>Total Operations Expense - Check</v>
      </c>
      <c r="O39" s="205">
        <f>IF(_epmOfflineCondition_,0,_xll.EVGTS($B$1,1,$B$3,$B$5,$B$7,$B$9,O$16,O$17,O$18,$B$6,$H39)-O37)</f>
        <v>0</v>
      </c>
      <c r="P39" s="205">
        <f>IF(_epmOfflineCondition_,0,_xll.EVGTS($B$1,1,$B$3,$B$5,$B$7,$B$9,P$16,P$17,P$18,$B$6,$H39)-P37)</f>
        <v>0</v>
      </c>
      <c r="Q39" s="205">
        <f>IF(_epmOfflineCondition_,0,_xll.EVGTS($B$1,1,$B$3,$B$5,$B$7,$B$9,Q$16,Q$17,Q$18,$B$6,$H39)-Q37)</f>
        <v>0</v>
      </c>
      <c r="R39" s="205">
        <f>IF(_epmOfflineCondition_,0,_xll.EVGTS($B$1,1,$B$3,$B$5,$B$7,$B$9,R$16,R$17,R$18,$B$6,$H39)-R37)</f>
        <v>0</v>
      </c>
      <c r="S39" s="205">
        <f>IF(_epmOfflineCondition_,0,_xll.EVGTS($B$1,1,$B$3,$B$5,$B$7,$B$9,S$16,S$17,S$18,$B$6,$H39)-S37)</f>
        <v>0</v>
      </c>
      <c r="T39" s="205">
        <f>IF(_epmOfflineCondition_,0,_xll.EVGTS($B$1,1,$B$3,$B$5,$B$7,$B$9,T$16,T$17,T$18,$B$6,$H39)-T37)</f>
        <v>0</v>
      </c>
      <c r="U39" s="205">
        <f>IF(_epmOfflineCondition_,0,_xll.EVGTS($B$1,1,$B$3,$B$5,$B$7,$B$9,U$16,U$17,U$18,$B$6,$H39)-U37)</f>
        <v>0</v>
      </c>
      <c r="V39" s="205">
        <f>IF(_epmOfflineCondition_,0,_xll.EVGTS($B$1,1,$B$3,$B$5,$B$7,$B$9,V$16,V$17,V$18,$B$6,$H39)-V37)</f>
        <v>0</v>
      </c>
      <c r="W39" s="205">
        <f>IF(_epmOfflineCondition_,0,_xll.EVGTS($B$1,1,$B$3,$B$5,$B$7,$B$9,W$16,W$17,W$18,$B$6,$H39)-W37)</f>
        <v>0</v>
      </c>
      <c r="X39" s="205">
        <f>IF(_epmOfflineCondition_,0,_xll.EVGTS($B$1,1,$B$3,$B$5,$B$7,$B$9,X$16,X$17,X$18,$B$6,$H39)-X37)</f>
        <v>0</v>
      </c>
      <c r="Y39" s="205">
        <f>IF(_epmOfflineCondition_,0,_xll.EVGTS($B$1,1,$B$3,$B$5,$B$7,$B$9,Y$16,Y$17,Y$18,$B$6,$H39)-Y37)</f>
        <v>0</v>
      </c>
      <c r="Z39" s="205">
        <f>IF(_epmOfflineCondition_,0,_xll.EVGTS($B$1,1,$B$3,$B$5,$B$7,$B$9,Z$16,Z$17,Z$18,$B$6,$H39)-Z37)</f>
        <v>0</v>
      </c>
      <c r="AA39" s="205">
        <f>SUM(O39:Z39)</f>
        <v>0</v>
      </c>
      <c r="AB39" s="96"/>
      <c r="AC39" s="11"/>
      <c r="AD39" s="205">
        <f>IF(_epmOfflineCondition_,0,_xll.EVGTS($B$1,1,$B$3,$B$5,$B$7,$B$9,AD$16,AD$17,AD$18,$B$6,$H39)-AD37)</f>
        <v>0</v>
      </c>
      <c r="AE39" s="96"/>
      <c r="AF39" s="87"/>
      <c r="AG39" s="205">
        <f>IF(_epmOfflineCondition_,0,_xll.EVGTS($B$1,1,$B$3,$B$5,$B$7,$B$9,AG$16,AG$17,AG$18,$B$6,$H39)-AG37)</f>
        <v>0</v>
      </c>
      <c r="AH39" s="96"/>
      <c r="AI39" s="87"/>
      <c r="AJ39" s="11"/>
      <c r="AK39" s="11"/>
      <c r="AL39" s="11"/>
      <c r="AM39" s="11"/>
      <c r="AN39" s="11"/>
      <c r="AO39" s="11"/>
    </row>
    <row r="40" spans="1:41" x14ac:dyDescent="0.25">
      <c r="A40" s="61" t="s">
        <v>28</v>
      </c>
      <c r="B40" s="62"/>
      <c r="C40" s="11"/>
      <c r="D40" s="11"/>
      <c r="E40" s="11"/>
      <c r="F40" s="11"/>
      <c r="G40" s="11"/>
      <c r="H40" s="11"/>
      <c r="I40" s="55"/>
      <c r="J40" s="55"/>
      <c r="K40" s="11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11"/>
      <c r="AD40" s="55"/>
      <c r="AE40" s="55"/>
      <c r="AF40" s="55"/>
      <c r="AG40" s="55"/>
      <c r="AH40" s="55"/>
      <c r="AI40" s="55"/>
      <c r="AJ40" s="11"/>
      <c r="AK40" s="11"/>
      <c r="AL40" s="11"/>
      <c r="AM40" s="11"/>
      <c r="AN40" s="11"/>
      <c r="AO40" s="11"/>
    </row>
    <row r="41" spans="1:41" x14ac:dyDescent="0.25">
      <c r="A41" s="61" t="s">
        <v>29</v>
      </c>
      <c r="B41" s="62"/>
      <c r="C41" s="11"/>
      <c r="D41" s="11"/>
      <c r="E41" s="11"/>
      <c r="F41" s="11"/>
      <c r="G41" s="11"/>
      <c r="H41" s="11"/>
      <c r="I41" s="55"/>
      <c r="J41" s="55"/>
      <c r="K41" s="11"/>
      <c r="L41" s="55"/>
      <c r="M41" s="55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</row>
    <row r="42" spans="1:41" x14ac:dyDescent="0.25">
      <c r="A42" s="61" t="s">
        <v>30</v>
      </c>
      <c r="B42" s="62" t="s">
        <v>78</v>
      </c>
      <c r="C42" s="11"/>
      <c r="D42" s="11"/>
      <c r="E42" s="11"/>
      <c r="F42" s="11"/>
      <c r="G42" s="11"/>
      <c r="H42" s="11"/>
      <c r="I42" s="55"/>
      <c r="J42" s="55"/>
      <c r="K42" s="11"/>
      <c r="L42" s="55"/>
      <c r="M42" s="55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</row>
    <row r="43" spans="1:41" x14ac:dyDescent="0.25">
      <c r="A43" s="61" t="s">
        <v>31</v>
      </c>
      <c r="B43" s="62" t="s">
        <v>78</v>
      </c>
      <c r="C43" s="11"/>
      <c r="D43" s="11"/>
      <c r="E43" s="11"/>
      <c r="F43" s="11"/>
      <c r="G43" s="11"/>
      <c r="H43" s="11"/>
      <c r="I43" s="55"/>
      <c r="J43" s="55"/>
      <c r="K43" s="11"/>
      <c r="L43" s="55"/>
      <c r="M43" s="55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</row>
    <row r="44" spans="1:41" x14ac:dyDescent="0.25">
      <c r="A44" s="61" t="s">
        <v>32</v>
      </c>
      <c r="B44" s="62"/>
      <c r="C44" s="11"/>
      <c r="D44" s="11"/>
      <c r="E44" s="11"/>
      <c r="F44" s="11"/>
      <c r="G44" s="11"/>
      <c r="H44" s="11"/>
      <c r="I44" s="55"/>
      <c r="J44" s="55"/>
      <c r="K44" s="11"/>
      <c r="L44" s="55"/>
      <c r="M44" s="55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</row>
    <row r="45" spans="1:41" x14ac:dyDescent="0.25">
      <c r="A45" s="61" t="s">
        <v>33</v>
      </c>
      <c r="B45" s="62"/>
      <c r="C45" s="11"/>
      <c r="D45" s="11"/>
      <c r="E45" s="11"/>
      <c r="F45" s="11"/>
      <c r="G45" s="11"/>
      <c r="H45" s="11"/>
      <c r="I45" s="55"/>
      <c r="J45" s="55"/>
      <c r="K45" s="11"/>
      <c r="L45" s="55"/>
      <c r="M45" s="55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</row>
    <row r="46" spans="1:41" x14ac:dyDescent="0.25">
      <c r="A46" s="61" t="s">
        <v>34</v>
      </c>
      <c r="B46" s="62"/>
      <c r="C46" s="11"/>
      <c r="D46" s="11"/>
      <c r="E46" s="11"/>
      <c r="F46" s="11"/>
      <c r="G46" s="11"/>
      <c r="H46" s="11"/>
      <c r="I46" s="55"/>
      <c r="J46" s="55"/>
      <c r="K46" s="11"/>
      <c r="L46" s="55"/>
      <c r="M46" s="55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</row>
    <row r="47" spans="1:41" x14ac:dyDescent="0.25">
      <c r="A47" s="61" t="s">
        <v>35</v>
      </c>
      <c r="B47" s="62"/>
      <c r="C47" s="11"/>
      <c r="D47" s="11"/>
      <c r="E47" s="11"/>
      <c r="F47" s="11"/>
      <c r="G47" s="11"/>
      <c r="H47" s="55"/>
      <c r="I47" s="55"/>
      <c r="J47" s="11"/>
      <c r="K47" s="11"/>
      <c r="L47" s="55"/>
      <c r="M47" s="55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</row>
    <row r="48" spans="1:41" x14ac:dyDescent="0.25">
      <c r="A48" s="61" t="s">
        <v>36</v>
      </c>
      <c r="B48" s="62"/>
      <c r="C48" s="11"/>
      <c r="D48" s="11"/>
      <c r="E48" s="11"/>
      <c r="F48" s="11"/>
      <c r="G48" s="11"/>
      <c r="H48" s="55"/>
      <c r="I48" s="55"/>
      <c r="J48" s="11"/>
      <c r="K48" s="11"/>
      <c r="L48" s="55"/>
      <c r="M48" s="55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</row>
    <row r="49" spans="1:41" x14ac:dyDescent="0.25">
      <c r="A49" s="61" t="s">
        <v>37</v>
      </c>
      <c r="B49" s="62"/>
      <c r="C49" s="11"/>
      <c r="D49" s="11"/>
      <c r="E49" s="11"/>
      <c r="F49" s="11"/>
      <c r="G49" s="11"/>
      <c r="H49" s="55"/>
      <c r="I49" s="55"/>
      <c r="J49" s="11"/>
      <c r="K49" s="11"/>
      <c r="L49" s="55"/>
      <c r="M49" s="55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</row>
    <row r="50" spans="1:41" x14ac:dyDescent="0.25">
      <c r="A50" s="61" t="s">
        <v>38</v>
      </c>
      <c r="B50" s="62"/>
      <c r="C50" s="11"/>
      <c r="D50" s="11"/>
      <c r="E50" s="11"/>
      <c r="F50" s="11"/>
      <c r="G50" s="11"/>
      <c r="H50" s="55"/>
      <c r="I50" s="55"/>
      <c r="J50" s="11"/>
      <c r="K50" s="11"/>
      <c r="L50" s="55"/>
      <c r="M50" s="55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</row>
    <row r="51" spans="1:41" x14ac:dyDescent="0.25">
      <c r="A51" s="61" t="s">
        <v>39</v>
      </c>
      <c r="B51" s="62"/>
      <c r="C51" s="11"/>
      <c r="D51" s="11"/>
      <c r="E51" s="11"/>
      <c r="F51" s="11"/>
      <c r="G51" s="11"/>
      <c r="H51" s="55"/>
      <c r="I51" s="55"/>
      <c r="J51" s="11"/>
      <c r="K51" s="11"/>
      <c r="L51" s="55"/>
      <c r="M51" s="55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</row>
    <row r="52" spans="1:41" x14ac:dyDescent="0.25">
      <c r="A52" s="61" t="s">
        <v>40</v>
      </c>
      <c r="B52" s="62"/>
      <c r="C52" s="11"/>
      <c r="D52" s="11"/>
      <c r="E52" s="11"/>
      <c r="F52" s="11"/>
      <c r="G52" s="11"/>
      <c r="H52" s="55"/>
      <c r="I52" s="55"/>
      <c r="J52" s="11"/>
      <c r="K52" s="11"/>
      <c r="L52" s="55"/>
      <c r="M52" s="55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</row>
    <row r="53" spans="1:41" x14ac:dyDescent="0.25">
      <c r="A53" s="61" t="s">
        <v>41</v>
      </c>
      <c r="B53" s="62"/>
      <c r="C53" s="11"/>
      <c r="D53" s="11"/>
      <c r="E53" s="11"/>
      <c r="F53" s="11"/>
      <c r="G53" s="11"/>
      <c r="H53" s="55"/>
      <c r="I53" s="55"/>
      <c r="J53" s="11"/>
      <c r="K53" s="11"/>
      <c r="L53" s="55"/>
      <c r="M53" s="55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</row>
    <row r="54" spans="1:41" x14ac:dyDescent="0.25">
      <c r="A54" s="61" t="s">
        <v>42</v>
      </c>
      <c r="B54" s="62"/>
      <c r="C54" s="11"/>
      <c r="D54" s="11"/>
      <c r="E54" s="11"/>
      <c r="F54" s="11"/>
      <c r="G54" s="11"/>
      <c r="H54" s="55"/>
      <c r="I54" s="55"/>
      <c r="J54" s="11"/>
      <c r="K54" s="11"/>
      <c r="L54" s="55"/>
      <c r="M54" s="55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</row>
    <row r="55" spans="1:41" x14ac:dyDescent="0.25">
      <c r="A55" s="61" t="s">
        <v>43</v>
      </c>
      <c r="B55" s="62"/>
      <c r="C55" s="11"/>
      <c r="D55" s="11"/>
      <c r="E55" s="11"/>
      <c r="F55" s="11"/>
      <c r="G55" s="11"/>
      <c r="H55" s="55"/>
      <c r="I55" s="55"/>
      <c r="J55" s="11"/>
      <c r="K55" s="11"/>
      <c r="L55" s="55"/>
      <c r="M55" s="55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</row>
    <row r="56" spans="1:41" x14ac:dyDescent="0.25">
      <c r="A56" s="61" t="s">
        <v>44</v>
      </c>
      <c r="B56" s="62"/>
      <c r="C56" s="11"/>
      <c r="D56" s="11"/>
      <c r="E56" s="11"/>
      <c r="F56" s="11"/>
      <c r="G56" s="11"/>
      <c r="H56" s="55"/>
      <c r="I56" s="55"/>
      <c r="J56" s="11"/>
      <c r="K56" s="11"/>
      <c r="L56" s="55"/>
      <c r="M56" s="55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</row>
    <row r="57" spans="1:41" x14ac:dyDescent="0.25">
      <c r="A57" s="61" t="s">
        <v>45</v>
      </c>
      <c r="B57" s="62"/>
      <c r="C57" s="11"/>
      <c r="D57" s="11"/>
      <c r="E57" s="11"/>
      <c r="F57" s="11"/>
      <c r="G57" s="11"/>
      <c r="H57" s="55"/>
      <c r="I57" s="55"/>
      <c r="J57" s="11"/>
      <c r="K57" s="11"/>
      <c r="L57" s="55"/>
      <c r="M57" s="55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</row>
    <row r="58" spans="1:41" x14ac:dyDescent="0.25">
      <c r="A58" s="61" t="s">
        <v>46</v>
      </c>
      <c r="B58" s="62"/>
      <c r="C58" s="11"/>
      <c r="D58" s="11"/>
      <c r="E58" s="11"/>
      <c r="F58" s="11"/>
      <c r="G58" s="11"/>
      <c r="H58" s="55"/>
      <c r="I58" s="55"/>
      <c r="J58" s="11"/>
      <c r="K58" s="11"/>
      <c r="L58" s="55"/>
      <c r="M58" s="55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</row>
    <row r="59" spans="1:41" x14ac:dyDescent="0.25">
      <c r="A59" s="11"/>
      <c r="B59" s="11"/>
      <c r="C59" s="11"/>
      <c r="D59" s="11"/>
      <c r="E59" s="11"/>
      <c r="F59" s="11"/>
      <c r="G59" s="11"/>
      <c r="H59" s="55"/>
      <c r="I59" s="55"/>
      <c r="J59" s="11"/>
      <c r="K59" s="11"/>
      <c r="L59" s="55"/>
      <c r="M59" s="55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</row>
    <row r="60" spans="1:41" x14ac:dyDescent="0.25">
      <c r="A60" s="11"/>
      <c r="B60" s="11"/>
      <c r="C60" s="11"/>
      <c r="D60" s="11"/>
      <c r="E60" s="11"/>
      <c r="F60" s="11"/>
      <c r="G60" s="11"/>
      <c r="H60" s="55"/>
      <c r="I60" s="55"/>
      <c r="J60" s="11"/>
      <c r="K60" s="11"/>
      <c r="L60" s="55"/>
      <c r="M60" s="55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</row>
    <row r="61" spans="1:41" x14ac:dyDescent="0.25">
      <c r="A61" s="11"/>
      <c r="B61" s="11"/>
      <c r="C61" s="11"/>
      <c r="D61" s="11"/>
      <c r="E61" s="11"/>
      <c r="F61" s="11"/>
      <c r="G61" s="11"/>
      <c r="H61" s="55"/>
      <c r="I61" s="55"/>
      <c r="J61" s="11"/>
      <c r="K61" s="11"/>
      <c r="L61" s="55"/>
      <c r="M61" s="55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</row>
    <row r="62" spans="1:41" x14ac:dyDescent="0.25">
      <c r="A62" s="11"/>
      <c r="B62" s="11"/>
      <c r="C62" s="11"/>
      <c r="D62" s="11"/>
      <c r="E62" s="11"/>
      <c r="F62" s="11"/>
      <c r="G62" s="11"/>
      <c r="H62" s="55"/>
      <c r="I62" s="55"/>
      <c r="J62" s="11"/>
      <c r="K62" s="11"/>
      <c r="L62" s="55"/>
      <c r="M62" s="55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</row>
    <row r="63" spans="1:41" x14ac:dyDescent="0.25">
      <c r="A63" s="11"/>
      <c r="B63" s="11"/>
      <c r="C63" s="11"/>
      <c r="D63" s="11"/>
      <c r="E63" s="11"/>
      <c r="F63" s="11"/>
      <c r="G63" s="11"/>
      <c r="H63" s="55"/>
      <c r="I63" s="55"/>
      <c r="J63" s="11"/>
      <c r="K63" s="11"/>
      <c r="L63" s="55"/>
      <c r="M63" s="55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</row>
    <row r="64" spans="1:41" x14ac:dyDescent="0.25">
      <c r="A64" s="11"/>
      <c r="B64" s="11"/>
      <c r="C64" s="11"/>
      <c r="D64" s="11"/>
      <c r="E64" s="11"/>
      <c r="F64" s="11"/>
      <c r="G64" s="11"/>
      <c r="H64" s="55"/>
      <c r="I64" s="55"/>
      <c r="J64" s="11"/>
      <c r="K64" s="11"/>
      <c r="L64" s="55"/>
      <c r="M64" s="55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</row>
    <row r="65" spans="1:41" x14ac:dyDescent="0.25">
      <c r="A65" s="11"/>
      <c r="B65" s="11"/>
      <c r="C65" s="11"/>
      <c r="D65" s="11"/>
      <c r="E65" s="11"/>
      <c r="F65" s="11"/>
      <c r="G65" s="11"/>
      <c r="H65" s="55"/>
      <c r="I65" s="55"/>
      <c r="J65" s="11"/>
      <c r="K65" s="11"/>
      <c r="L65" s="55"/>
      <c r="M65" s="55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</row>
    <row r="66" spans="1:41" x14ac:dyDescent="0.25">
      <c r="A66" s="11"/>
      <c r="B66" s="11"/>
      <c r="C66" s="11"/>
      <c r="D66" s="11"/>
      <c r="E66" s="11"/>
      <c r="F66" s="11"/>
      <c r="G66" s="11"/>
      <c r="H66" s="55"/>
      <c r="I66" s="55"/>
      <c r="J66" s="11"/>
      <c r="K66" s="11"/>
      <c r="L66" s="55"/>
      <c r="M66" s="55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</row>
    <row r="67" spans="1:41" x14ac:dyDescent="0.25">
      <c r="A67" s="11"/>
      <c r="B67" s="11"/>
      <c r="C67" s="11"/>
      <c r="D67" s="11"/>
      <c r="E67" s="11"/>
      <c r="F67" s="11"/>
      <c r="G67" s="11"/>
      <c r="H67" s="55"/>
      <c r="I67" s="55"/>
      <c r="J67" s="11"/>
      <c r="K67" s="11"/>
      <c r="L67" s="55"/>
      <c r="M67" s="55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</row>
    <row r="68" spans="1:41" x14ac:dyDescent="0.25">
      <c r="A68" s="11"/>
      <c r="B68" s="11"/>
      <c r="C68" s="11"/>
      <c r="D68" s="11"/>
      <c r="E68" s="11"/>
      <c r="F68" s="11"/>
      <c r="G68" s="11"/>
      <c r="H68" s="55"/>
      <c r="I68" s="55"/>
      <c r="J68" s="11"/>
      <c r="K68" s="11"/>
      <c r="L68" s="55"/>
      <c r="M68" s="55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</row>
    <row r="69" spans="1:41" x14ac:dyDescent="0.25">
      <c r="A69" s="11"/>
      <c r="B69" s="11"/>
      <c r="C69" s="11"/>
      <c r="D69" s="11"/>
      <c r="E69" s="11"/>
      <c r="F69" s="11"/>
      <c r="G69" s="11"/>
      <c r="H69" s="55"/>
      <c r="I69" s="55"/>
      <c r="J69" s="11"/>
      <c r="K69" s="11"/>
      <c r="L69" s="55"/>
      <c r="M69" s="55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</row>
  </sheetData>
  <sheetProtection algorithmName="SHA-512" hashValue="NjXP0Gq0p8pyuDaBREOxP77D/D9gJhFFMTX3YdVphC2ROwEFb85Tl8zwttPxPkx/5wpoqZdRfm3UFZyiFztvDA==" saltValue="do8gyHJWs2ORInM0JPC1ig==" spinCount="100000" sheet="1" scenarios="1"/>
  <mergeCells count="2">
    <mergeCell ref="AD31:AE31"/>
    <mergeCell ref="AG31:AH31"/>
  </mergeCells>
  <dataValidations disablePrompts="1" count="2">
    <dataValidation type="list" allowBlank="1" sqref="B28" xr:uid="{00000000-0002-0000-2300-000000000000}">
      <formula1>"ACCOUNT,BUSINESSUNIT,CATEGORY,DATASRC,DEPARTMENT,INTCO,MEASURES,RPTCURRENCY,TIME"</formula1>
    </dataValidation>
    <dataValidation type="list" allowBlank="1" sqref="B29" xr:uid="{00000000-0002-0000-2300-000001000000}">
      <formula1>"SELF,ALL,BAS,DEP,BASMEMBERS,MEMBERS,NOEXPAND,GDEP"</formula1>
    </dataValidation>
  </dataValidations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customProperties>
    <customPr name="EpmWorksheetKeyString_GUID" r:id="rId2"/>
    <customPr name="FPMExcelClientCellBasedFunctionStatus" r:id="rId3"/>
    <customPr name="FPMExcelClientRefreshTime" r:id="rId4"/>
  </customProperties>
  <legacyDrawing r:id="rId5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8">
    <pageSetUpPr fitToPage="1"/>
  </sheetPr>
  <dimension ref="A1:AO68"/>
  <sheetViews>
    <sheetView topLeftCell="K25" zoomScale="85" zoomScaleNormal="85" workbookViewId="0">
      <pane xSplit="4" ySplit="8" topLeftCell="O33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2" width="9.7109375" style="2" hidden="1" customWidth="1" outlineLevel="1" collapsed="1"/>
    <col min="13" max="13" width="9.7109375" style="2" hidden="1" customWidth="1" outlineLevel="1"/>
    <col min="14" max="14" width="36.7109375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40" width="0" style="1" hidden="1" customWidth="1" outlineLevel="1"/>
    <col min="41" max="41" width="9.140625" style="1" collapsed="1"/>
    <col min="42" max="16384" width="9.140625" style="1"/>
  </cols>
  <sheetData>
    <row r="1" spans="1:41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11"/>
      <c r="H1" s="11"/>
      <c r="I1" s="11"/>
      <c r="J1" s="11"/>
      <c r="K1" s="11"/>
      <c r="L1" s="51"/>
      <c r="M1" s="51"/>
      <c r="N1" s="5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</row>
    <row r="2" spans="1:41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11"/>
      <c r="H2" s="11"/>
      <c r="I2" s="11"/>
      <c r="J2" s="11"/>
      <c r="K2" s="11"/>
      <c r="L2" s="51"/>
      <c r="M2" s="5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</row>
    <row r="3" spans="1:41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11"/>
      <c r="H3" s="11"/>
      <c r="I3" s="11"/>
      <c r="J3" s="11"/>
      <c r="K3" s="11"/>
      <c r="L3" s="55"/>
      <c r="M3" s="55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11"/>
      <c r="H4" s="11"/>
      <c r="I4" s="55"/>
      <c r="J4" s="55"/>
      <c r="K4" s="11"/>
      <c r="L4" s="55"/>
      <c r="M4" s="55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11"/>
      <c r="H5" s="11"/>
      <c r="I5" s="55"/>
      <c r="J5" s="55"/>
      <c r="K5" s="11"/>
      <c r="L5" s="55"/>
      <c r="M5" s="55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idden="1" outlineLevel="1" x14ac:dyDescent="0.25">
      <c r="A6" s="49" t="s">
        <v>52</v>
      </c>
      <c r="B6" s="52" t="s">
        <v>516</v>
      </c>
      <c r="C6" s="11" t="str">
        <f>IF(_epmOfflineCondition_,"Management Fees",_xll.EVDES(B6,$B$1))</f>
        <v>Management Fees</v>
      </c>
      <c r="D6" s="11"/>
      <c r="E6" s="54" t="str">
        <f>IF(_epmOfflineCondition_,"D1179",_xll.EVPRO($B$1,$B$6,$F$6))</f>
        <v>D1179</v>
      </c>
      <c r="F6" s="11" t="s">
        <v>278</v>
      </c>
      <c r="G6" s="11"/>
      <c r="H6" s="11"/>
      <c r="I6" s="55"/>
      <c r="J6" s="55"/>
      <c r="K6" s="11"/>
      <c r="L6" s="55"/>
      <c r="M6" s="55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11"/>
      <c r="H7" s="11"/>
      <c r="I7" s="55"/>
      <c r="J7" s="55"/>
      <c r="K7" s="11"/>
      <c r="L7" s="55"/>
      <c r="M7" s="55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11"/>
      <c r="H8" s="11"/>
      <c r="I8" s="55"/>
      <c r="J8" s="55"/>
      <c r="K8" s="11"/>
      <c r="L8" s="55"/>
      <c r="M8" s="55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55"/>
      <c r="M9" s="55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55"/>
      <c r="M10" s="55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55"/>
      <c r="M11" s="55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55"/>
      <c r="M12" s="55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  <c r="AJ12" s="11"/>
      <c r="AK12" s="11"/>
      <c r="AL12" s="11"/>
      <c r="AM12" s="11"/>
      <c r="AN12" s="11"/>
      <c r="AO12" s="11"/>
    </row>
    <row r="13" spans="1:41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55"/>
      <c r="M13" s="55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  <c r="AJ13" s="11"/>
      <c r="AK13" s="11"/>
      <c r="AL13" s="11"/>
      <c r="AM13" s="11"/>
      <c r="AN13" s="11"/>
      <c r="AO13" s="11"/>
    </row>
    <row r="14" spans="1:41" hidden="1" outlineLevel="1" x14ac:dyDescent="0.25">
      <c r="A14" s="56" t="str">
        <f>IF(_epmOfflineCondition_,"Evdre:Ok",_xll.EVDRE($B$1,A17:B24,A27:B33))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55"/>
      <c r="M14" s="55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  <c r="AJ14" s="11"/>
      <c r="AK14" s="11"/>
      <c r="AL14" s="11"/>
      <c r="AM14" s="11"/>
      <c r="AN14" s="11"/>
      <c r="AO14" s="11"/>
    </row>
    <row r="15" spans="1:41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55"/>
      <c r="M15" s="55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  <c r="AJ15" s="11"/>
      <c r="AK15" s="11"/>
      <c r="AL15" s="11"/>
      <c r="AM15" s="11"/>
      <c r="AN15" s="11"/>
      <c r="AO15" s="11"/>
    </row>
    <row r="16" spans="1:41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55"/>
      <c r="M16" s="55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  <c r="AJ16" s="11"/>
      <c r="AK16" s="11"/>
      <c r="AL16" s="11"/>
      <c r="AM16" s="11"/>
      <c r="AN16" s="11"/>
      <c r="AO16" s="11"/>
    </row>
    <row r="17" spans="1:41" hidden="1" outlineLevel="1" x14ac:dyDescent="0.25">
      <c r="A17" s="61" t="s">
        <v>2</v>
      </c>
      <c r="B17" s="62" t="str">
        <f>IF(_epmOfflineCondition_,"'Mgt_Fees'!$B$2:$B$10",_xll.EVRNG($B$2:$B$10))</f>
        <v>'Mgt_Fees'!$B$2:$B$10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55"/>
      <c r="M17" s="55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/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  <c r="AJ17" s="11"/>
      <c r="AK17" s="11"/>
      <c r="AL17" s="11"/>
      <c r="AM17" s="11"/>
      <c r="AN17" s="11"/>
      <c r="AO17" s="11"/>
    </row>
    <row r="18" spans="1:41" hidden="1" outlineLevel="1" x14ac:dyDescent="0.25">
      <c r="A18" s="61" t="s">
        <v>3</v>
      </c>
      <c r="B18" s="62" t="str">
        <f>IF(_epmOfflineCondition_,"'Mgt_Fees'!$O$16:$AN$18",_xll.EVRNG($O$16:$AN$18))</f>
        <v>'Mgt_Fees'!$O$16:$AN$18</v>
      </c>
      <c r="C18" s="11"/>
      <c r="D18" s="11"/>
      <c r="E18" s="11"/>
      <c r="F18" s="11"/>
      <c r="G18" s="11"/>
      <c r="H18" s="11"/>
      <c r="I18" s="55"/>
      <c r="J18" s="55"/>
      <c r="K18" s="11"/>
      <c r="L18" s="55"/>
      <c r="M18" s="55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60"/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  <c r="AJ18" s="11"/>
      <c r="AK18" s="11"/>
      <c r="AL18" s="11"/>
      <c r="AM18" s="11"/>
      <c r="AN18" s="11"/>
      <c r="AO18" s="11"/>
    </row>
    <row r="19" spans="1:41" hidden="1" outlineLevel="1" x14ac:dyDescent="0.25">
      <c r="A19" s="61" t="s">
        <v>4</v>
      </c>
      <c r="B19" s="62" t="str">
        <f>IF(_epmOfflineCondition_,"'Mgt_Fees'!$H$34:$H$35",_xll.EVRNG(H34:H35))</f>
        <v>'Mgt_Fees'!$H$34:$H$35</v>
      </c>
      <c r="C19" s="11"/>
      <c r="D19" s="11"/>
      <c r="E19" s="11"/>
      <c r="F19" s="11"/>
      <c r="G19" s="63" t="s">
        <v>499</v>
      </c>
      <c r="H19" s="63">
        <v>400000</v>
      </c>
      <c r="I19" s="64"/>
      <c r="J19" s="64"/>
      <c r="K19" s="63"/>
      <c r="L19" s="64"/>
      <c r="M19" s="64"/>
      <c r="N19" s="63" t="str">
        <f>IF(_epmOfflineCondition_,"Total Revenue",_xll.EVDES(H19))</f>
        <v>Total Revenue</v>
      </c>
      <c r="O19" s="65">
        <f>IF(_epmOfflineCondition_,816981.25,_xll.EVGTS($B$1,1,$B$3,$B$5,$B$7,$B$9,O$16,O$17,O$18,$G$19,$H$19))</f>
        <v>816981.25</v>
      </c>
      <c r="P19" s="65">
        <f>IF(_epmOfflineCondition_,866773.26,_xll.EVGTS($B$1,1,$B$3,$B$5,$B$7,$B$9,P$16,P$17,P$18,$G$19,$H$19))</f>
        <v>866773.26</v>
      </c>
      <c r="Q19" s="65">
        <f>IF(_epmOfflineCondition_,969793.68,_xll.EVGTS($B$1,1,$B$3,$B$5,$B$7,$B$9,Q$16,Q$17,Q$18,$G$19,$H$19))</f>
        <v>969793.68</v>
      </c>
      <c r="R19" s="65">
        <f>IF(_epmOfflineCondition_,760228.83,_xll.EVGTS($B$1,1,$B$3,$B$5,$B$7,$B$9,R$16,R$17,R$18,$G$19,$H$19))</f>
        <v>760228.83</v>
      </c>
      <c r="S19" s="65">
        <f>IF(_epmOfflineCondition_,618655.29,_xll.EVGTS($B$1,1,$B$3,$B$5,$B$7,$B$9,S$16,S$17,S$18,$G$19,$H$19))</f>
        <v>618655.29</v>
      </c>
      <c r="T19" s="65">
        <f>IF(_epmOfflineCondition_,453678.77,_xll.EVGTS($B$1,1,$B$3,$B$5,$B$7,$B$9,T$16,T$17,T$18,$G$19,$H$19))</f>
        <v>453678.77</v>
      </c>
      <c r="U19" s="65">
        <f>IF(_epmOfflineCondition_,542439.38,_xll.EVGTS($B$1,1,$B$3,$B$5,$B$7,$B$9,U$16,U$17,U$18,$G$19,$H$19))</f>
        <v>542439.38</v>
      </c>
      <c r="V19" s="65">
        <f>IF(_epmOfflineCondition_,530393.92,_xll.EVGTS($B$1,1,$B$3,$B$5,$B$7,$B$9,V$16,V$17,V$18,$G$19,$H$19))</f>
        <v>530393.92000000004</v>
      </c>
      <c r="W19" s="65">
        <f>IF(_epmOfflineCondition_,366989.98,_xll.EVGTS($B$1,1,$B$3,$B$5,$B$7,$B$9,W$16,W$17,W$18,$G$19,$H$19))</f>
        <v>366989.98</v>
      </c>
      <c r="X19" s="65">
        <f>IF(_epmOfflineCondition_,549087,_xll.EVGTS($B$1,1,$B$3,$B$5,$B$7,$B$9,X$16,X$17,X$18,$G$19,$H$19))</f>
        <v>549087</v>
      </c>
      <c r="Y19" s="65">
        <f>IF(_epmOfflineCondition_,756850.37,_xll.EVGTS($B$1,1,$B$3,$B$5,$B$7,$B$9,Y$16,Y$17,Y$18,$G$19,$H$19))</f>
        <v>756850.37</v>
      </c>
      <c r="Z19" s="65">
        <f>IF(_epmOfflineCondition_,1154118.08,_xll.EVGTS($B$1,1,$B$3,$B$5,$B$7,$B$9,Z$16,Z$17,Z$18,$G$19,$H$19))</f>
        <v>1154118.08</v>
      </c>
      <c r="AA19" s="65">
        <f>SUM(O19:Z19)</f>
        <v>8385989.8099999996</v>
      </c>
      <c r="AB19" s="63"/>
      <c r="AC19" s="63"/>
      <c r="AD19" s="65">
        <f>IF(_epmOfflineCondition_,13047408.7892219,_xll.EVGTS($B$1,1,$B$3,$B$5,$B$7,$B$9,AD$16,AD$17,AD$18,$G$19,$H$19))</f>
        <v>13047408.7892219</v>
      </c>
      <c r="AE19" s="63"/>
      <c r="AF19" s="63"/>
      <c r="AG19" s="65">
        <f>IF(_epmOfflineCondition_,3258668.97,_xll.EVGTS($B$1,1,$B$3,$B$5,$B$7,$B$9,AG$16,AG$17,AG$18,$G$19,$H$19))</f>
        <v>3258668.97</v>
      </c>
      <c r="AH19" s="63"/>
      <c r="AI19" s="63"/>
      <c r="AJ19" s="11"/>
      <c r="AK19" s="11"/>
      <c r="AL19" s="11"/>
      <c r="AM19" s="11"/>
      <c r="AN19" s="11"/>
      <c r="AO19" s="11"/>
    </row>
    <row r="20" spans="1:41" hidden="1" outlineLevel="1" x14ac:dyDescent="0.25">
      <c r="A20" s="61" t="s">
        <v>5</v>
      </c>
      <c r="B20" s="62"/>
      <c r="C20" s="11"/>
      <c r="D20" s="11"/>
      <c r="E20" s="11"/>
      <c r="F20" s="11"/>
      <c r="G20" s="63" t="s">
        <v>750</v>
      </c>
      <c r="H20" s="63">
        <v>904100</v>
      </c>
      <c r="I20" s="64"/>
      <c r="J20" s="64"/>
      <c r="K20" s="63"/>
      <c r="L20" s="64"/>
      <c r="M20" s="64"/>
      <c r="N20" s="63" t="str">
        <f>IF(_epmOfflineCondition_,"Available rooms",_xll.EVDES(H20))</f>
        <v>Available rooms</v>
      </c>
      <c r="O20" s="65">
        <f>IF(_epmOfflineCondition_,4092,_xll.EVGTS($B$1,1,$B$3,$B$5,$B$7,$B$9,O$16,O$17,O$18,$G$20,$H$20))</f>
        <v>4092</v>
      </c>
      <c r="P20" s="65">
        <f>IF(_epmOfflineCondition_,3696,_xll.EVGTS($B$1,1,$B$3,$B$5,$B$7,$B$9,P$16,P$17,P$18,$G$20,$H$20))</f>
        <v>3696</v>
      </c>
      <c r="Q20" s="65">
        <f>IF(_epmOfflineCondition_,4092,_xll.EVGTS($B$1,1,$B$3,$B$5,$B$7,$B$9,Q$16,Q$17,Q$18,$G$20,$H$20))</f>
        <v>4092</v>
      </c>
      <c r="R20" s="65">
        <f>IF(_epmOfflineCondition_,3960,_xll.EVGTS($B$1,1,$B$3,$B$5,$B$7,$B$9,R$16,R$17,R$18,$G$20,$H$20))</f>
        <v>3960</v>
      </c>
      <c r="S20" s="65">
        <f>IF(_epmOfflineCondition_,4092,_xll.EVGTS($B$1,1,$B$3,$B$5,$B$7,$B$9,S$16,S$17,S$18,$G$20,$H$20))</f>
        <v>4092</v>
      </c>
      <c r="T20" s="65">
        <f>IF(_epmOfflineCondition_,3960,_xll.EVGTS($B$1,1,$B$3,$B$5,$B$7,$B$9,T$16,T$17,T$18,$G$20,$H$20))</f>
        <v>3960</v>
      </c>
      <c r="U20" s="65">
        <f>IF(_epmOfflineCondition_,4092,_xll.EVGTS($B$1,1,$B$3,$B$5,$B$7,$B$9,U$16,U$17,U$18,$G$20,$H$20))</f>
        <v>4092</v>
      </c>
      <c r="V20" s="65">
        <f>IF(_epmOfflineCondition_,4092,_xll.EVGTS($B$1,1,$B$3,$B$5,$B$7,$B$9,V$16,V$17,V$18,$G$20,$H$20))</f>
        <v>4092</v>
      </c>
      <c r="W20" s="65">
        <f>IF(_epmOfflineCondition_,3960,_xll.EVGTS($B$1,1,$B$3,$B$5,$B$7,$B$9,W$16,W$17,W$18,$G$20,$H$20))</f>
        <v>3960</v>
      </c>
      <c r="X20" s="65">
        <f>IF(_epmOfflineCondition_,4092,_xll.EVGTS($B$1,1,$B$3,$B$5,$B$7,$B$9,X$16,X$17,X$18,$G$20,$H$20))</f>
        <v>4092</v>
      </c>
      <c r="Y20" s="65">
        <f>IF(_epmOfflineCondition_,3960,_xll.EVGTS($B$1,1,$B$3,$B$5,$B$7,$B$9,Y$16,Y$17,Y$18,$G$20,$H$20))</f>
        <v>3960</v>
      </c>
      <c r="Z20" s="65">
        <f>IF(_epmOfflineCondition_,4092,_xll.EVGTS($B$1,1,$B$3,$B$5,$B$7,$B$9,Z$16,Z$17,Z$18,$G$20,$H$20))</f>
        <v>4092</v>
      </c>
      <c r="AA20" s="65">
        <f>SUM(O20:Z20)</f>
        <v>48180</v>
      </c>
      <c r="AB20" s="63"/>
      <c r="AC20" s="63"/>
      <c r="AD20" s="65">
        <f>IF(_epmOfflineCondition_,48180,_xll.EVGTS($B$1,1,$B$3,$B$5,$B$7,$B$9,AD$16,AD$17,AD$18,$G$20,$H$20))</f>
        <v>48180</v>
      </c>
      <c r="AE20" s="63"/>
      <c r="AF20" s="63"/>
      <c r="AG20" s="65">
        <f>IF(_epmOfflineCondition_,37251,_xll.EVGTS($B$1,1,$B$3,$B$5,$B$7,$B$9,AG$16,AG$17,AG$18,$G$20,$H$20))</f>
        <v>37251</v>
      </c>
      <c r="AH20" s="63"/>
      <c r="AI20" s="63"/>
      <c r="AJ20" s="11"/>
      <c r="AK20" s="11"/>
      <c r="AL20" s="11"/>
      <c r="AM20" s="11"/>
      <c r="AN20" s="11"/>
      <c r="AO20" s="11"/>
    </row>
    <row r="21" spans="1:41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55"/>
      <c r="J21" s="55"/>
      <c r="K21" s="11"/>
      <c r="L21" s="55"/>
      <c r="M21" s="55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idden="1" outlineLevel="1" x14ac:dyDescent="0.25">
      <c r="A22" s="61" t="s">
        <v>7</v>
      </c>
      <c r="B22" s="62"/>
      <c r="C22" s="11"/>
      <c r="D22" s="11"/>
      <c r="E22" s="11"/>
      <c r="F22" s="11"/>
      <c r="G22" s="11"/>
      <c r="H22" s="11"/>
      <c r="I22" s="55"/>
      <c r="J22" s="55"/>
      <c r="K22" s="11"/>
      <c r="L22" s="55"/>
      <c r="M22" s="55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idden="1" outlineLevel="1" x14ac:dyDescent="0.25">
      <c r="A23" s="61" t="s">
        <v>47</v>
      </c>
      <c r="B23" s="62" t="str">
        <f>IF(_epmOfflineCondition_,"'Mgt_Fees'!$A$37:$B$58",_xll.EVRNG($A$37:$B$58))</f>
        <v>'Mgt_Fees'!$A$37:$B$58</v>
      </c>
      <c r="C23" s="11"/>
      <c r="D23" s="11"/>
      <c r="E23" s="11"/>
      <c r="F23" s="11"/>
      <c r="G23" s="11"/>
      <c r="H23" s="11"/>
      <c r="I23" s="55"/>
      <c r="J23" s="55"/>
      <c r="K23" s="6"/>
      <c r="L23" s="55"/>
      <c r="M23" s="55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55"/>
      <c r="M24" s="55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55"/>
      <c r="M25" s="55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22.5" x14ac:dyDescent="0.3">
      <c r="A26" s="57" t="s">
        <v>9</v>
      </c>
      <c r="B26" s="58" t="s">
        <v>10</v>
      </c>
      <c r="C26" s="11"/>
      <c r="D26" s="11"/>
      <c r="E26" s="11"/>
      <c r="F26" s="11"/>
      <c r="G26" s="11"/>
      <c r="H26" s="11"/>
      <c r="I26" s="55"/>
      <c r="J26" s="55"/>
      <c r="K26" s="11"/>
      <c r="L26" s="55"/>
      <c r="M26" s="55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8" x14ac:dyDescent="0.25">
      <c r="A27" s="61" t="s">
        <v>11</v>
      </c>
      <c r="B27" s="62" t="s">
        <v>21</v>
      </c>
      <c r="C27" s="11"/>
      <c r="D27" s="11"/>
      <c r="E27" s="11"/>
      <c r="F27" s="11"/>
      <c r="G27" s="11"/>
      <c r="H27" s="11"/>
      <c r="I27" s="55"/>
      <c r="J27" s="55"/>
      <c r="K27" s="11"/>
      <c r="L27" s="55"/>
      <c r="M27" s="55"/>
      <c r="N27" s="67" t="str">
        <f>IF(_epmOfflineCondition_,"Management Fees Department",IF(_xll.EVDES(B6,$B$1)="#NODATA","",_xll.EVDES(B6,$B$1)&amp;" Department"))</f>
        <v>Management Fees Department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x14ac:dyDescent="0.25">
      <c r="A28" s="61" t="s">
        <v>12</v>
      </c>
      <c r="B28" s="62" t="s">
        <v>22</v>
      </c>
      <c r="C28" s="11"/>
      <c r="D28" s="11"/>
      <c r="E28" s="11"/>
      <c r="F28" s="11"/>
      <c r="G28" s="11"/>
      <c r="H28" s="11"/>
      <c r="I28" s="55"/>
      <c r="J28" s="55"/>
      <c r="K28" s="11"/>
      <c r="L28" s="55"/>
      <c r="M28" s="55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" customHeight="1" x14ac:dyDescent="0.25">
      <c r="A29" s="61" t="s">
        <v>13</v>
      </c>
      <c r="B29" s="62" t="s">
        <v>517</v>
      </c>
      <c r="C29" s="11"/>
      <c r="D29" s="11"/>
      <c r="E29" s="11"/>
      <c r="F29" s="11"/>
      <c r="G29" s="11"/>
      <c r="H29" s="11"/>
      <c r="I29" s="55"/>
      <c r="J29" s="55"/>
      <c r="K29" s="11"/>
      <c r="L29" s="55"/>
      <c r="M29" s="55"/>
      <c r="N29" s="68" t="str">
        <f>IF(_epmOfflineCondition_,"Local Currency",_xll.EVDES(B9,B1))</f>
        <v>Local Currency</v>
      </c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x14ac:dyDescent="0.25">
      <c r="A30" s="61" t="s">
        <v>14</v>
      </c>
      <c r="B30" s="582"/>
      <c r="C30" s="11"/>
      <c r="D30" s="11"/>
      <c r="E30" s="11"/>
      <c r="F30" s="11"/>
      <c r="G30" s="11"/>
      <c r="H30" s="11"/>
      <c r="I30" s="55"/>
      <c r="J30" s="55"/>
      <c r="K30" s="11"/>
      <c r="L30" s="55"/>
      <c r="M30" s="55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  <c r="AJ30" s="69" t="s">
        <v>753</v>
      </c>
      <c r="AK30" s="70"/>
      <c r="AL30" s="71"/>
      <c r="AM30" s="70" t="s">
        <v>751</v>
      </c>
      <c r="AN30" s="70"/>
      <c r="AO30" s="11"/>
    </row>
    <row r="31" spans="1:41" x14ac:dyDescent="0.25">
      <c r="A31" s="61" t="s">
        <v>15</v>
      </c>
      <c r="B31" s="62"/>
      <c r="C31" s="11"/>
      <c r="D31" s="11"/>
      <c r="E31" s="11"/>
      <c r="F31" s="11"/>
      <c r="G31" s="72"/>
      <c r="H31" s="11"/>
      <c r="I31" s="55"/>
      <c r="J31" s="55"/>
      <c r="K31" s="173"/>
      <c r="L31" s="55"/>
      <c r="M31" s="55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  <c r="AJ31" s="73" t="str">
        <f>IF(_epmOfflineCondition_,"2019",_xll.EVPRO($B$1,AA$16,"YEAR"))</f>
        <v>2019</v>
      </c>
      <c r="AK31" s="76" t="str">
        <f>IF(_epmOfflineCondition_,"2019",_xll.EVPRO($B$1,AD$16,"YEAR"))</f>
        <v>2019</v>
      </c>
      <c r="AL31" s="76" t="str">
        <f>IF(_epmOfflineCondition_,"2018",_xll.EVPRO($B$1,AG$16,"YEAR"))</f>
        <v>2018</v>
      </c>
      <c r="AM31" s="73" t="str">
        <f>"vs "&amp;AK31</f>
        <v>vs 2019</v>
      </c>
      <c r="AN31" s="73" t="str">
        <f>"vs "&amp;AL31</f>
        <v>vs 2018</v>
      </c>
      <c r="AO31" s="11"/>
    </row>
    <row r="32" spans="1:41" s="8" customFormat="1" ht="30" customHeight="1" x14ac:dyDescent="0.25">
      <c r="A32" s="77" t="s">
        <v>16</v>
      </c>
      <c r="B32" s="78" t="s">
        <v>78</v>
      </c>
      <c r="C32" s="79"/>
      <c r="D32" s="79"/>
      <c r="E32" s="79"/>
      <c r="F32" s="79"/>
      <c r="G32" s="79"/>
      <c r="H32" s="80"/>
      <c r="I32" s="81"/>
      <c r="J32" s="81"/>
      <c r="K32" s="174" t="s">
        <v>117</v>
      </c>
      <c r="L32" s="81"/>
      <c r="M32" s="81"/>
      <c r="N32" s="82" t="s">
        <v>120</v>
      </c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  <c r="AJ32" s="83" t="str">
        <f>Z32</f>
        <v>Actual</v>
      </c>
      <c r="AK32" s="76" t="str">
        <f>AD32</f>
        <v>Budget</v>
      </c>
      <c r="AL32" s="83" t="str">
        <f>AG32</f>
        <v>Actual</v>
      </c>
      <c r="AM32" s="73" t="s">
        <v>748</v>
      </c>
      <c r="AN32" s="73" t="s">
        <v>748</v>
      </c>
      <c r="AO32" s="79"/>
    </row>
    <row r="33" spans="1:41" x14ac:dyDescent="0.25">
      <c r="A33" s="61" t="s">
        <v>17</v>
      </c>
      <c r="B33" s="62"/>
      <c r="C33" s="11"/>
      <c r="D33" s="11"/>
      <c r="E33" s="11"/>
      <c r="F33" s="11"/>
      <c r="G33" s="11"/>
      <c r="H33" s="11" t="s">
        <v>518</v>
      </c>
      <c r="I33" s="55" t="str">
        <f>IF(_epmOfflineCondition_,"B1",_xll.EVPRO($B$1,$H33,"STYLE"))</f>
        <v>B1</v>
      </c>
      <c r="J33" s="55" t="str">
        <f>IF(_epmOfflineCondition_,"Y",_xll.EVPRO($B$1,$H33,"CALC"))</f>
        <v>Y</v>
      </c>
      <c r="K33" s="11"/>
      <c r="L33" s="11"/>
      <c r="M33" s="11"/>
      <c r="N33" s="101" t="str">
        <f>IF(_epmOfflineCondition_,"Management Fees",IF(_xll.EVDES(H33,$B$1)="#NODATA","",_xll.EVDES(H33,$B$1)))</f>
        <v>Management Fees</v>
      </c>
      <c r="O33" s="115"/>
      <c r="P33" s="116"/>
      <c r="Q33" s="116"/>
      <c r="R33" s="116"/>
      <c r="S33" s="116"/>
      <c r="T33" s="116"/>
      <c r="U33" s="116"/>
      <c r="V33" s="116"/>
      <c r="W33" s="116"/>
      <c r="X33" s="116"/>
      <c r="Y33" s="116"/>
      <c r="Z33" s="116"/>
      <c r="AA33" s="116"/>
      <c r="AB33" s="117"/>
      <c r="AC33" s="11"/>
      <c r="AD33" s="115"/>
      <c r="AE33" s="116"/>
      <c r="AF33" s="117"/>
      <c r="AG33" s="115"/>
      <c r="AH33" s="116"/>
      <c r="AI33" s="117"/>
      <c r="AJ33" s="11"/>
      <c r="AK33" s="11"/>
      <c r="AL33" s="11"/>
      <c r="AM33" s="11"/>
      <c r="AN33" s="11"/>
      <c r="AO33" s="11"/>
    </row>
    <row r="34" spans="1:41" x14ac:dyDescent="0.25">
      <c r="A34" s="11"/>
      <c r="B34" s="11"/>
      <c r="C34" s="11"/>
      <c r="D34" s="11"/>
      <c r="E34" s="11"/>
      <c r="F34" s="11"/>
      <c r="G34" s="11"/>
      <c r="H34" s="84" t="s">
        <v>855</v>
      </c>
      <c r="I34" s="118" t="str">
        <f>IF(_epmOfflineCondition_,"N",_xll.EVPRO($B$1,$H34,"STYLE"))</f>
        <v>N</v>
      </c>
      <c r="J34" s="118" t="str">
        <f>IF(_epmOfflineCondition_,"N",_xll.EVPRO($B$1,$H34,"CALC"))</f>
        <v>N</v>
      </c>
      <c r="K34" s="175" t="str">
        <f>IF(AND(I34&gt;="T3"),"&gt;","")</f>
        <v/>
      </c>
      <c r="L34" s="86" t="str">
        <f>IF(_epmOfflineCondition_,"731010",_xll.EVPRO($B$1,H34,"JDEID"))</f>
        <v>731010</v>
      </c>
      <c r="M34" s="86" t="str">
        <f>IF(_epmOfflineCondition_,"790180",IF(AND(I34="N",J34="N"),_xll.EVPRO($B$1,H34,"PSFTID"),""))</f>
        <v>790180</v>
      </c>
      <c r="N34" s="86" t="str">
        <f>IF(_epmOfflineCondition_,"Base Management Fees",IF(_xll.EVDES(H34,$B$1)="#NODATA","",_xll.EVDES(H34,$B$1)))</f>
        <v>Base Management Fees</v>
      </c>
      <c r="O34" s="134">
        <v>26131.68</v>
      </c>
      <c r="P34" s="134">
        <v>27583.69</v>
      </c>
      <c r="Q34" s="134">
        <v>31125.34</v>
      </c>
      <c r="R34" s="134">
        <v>24733.43</v>
      </c>
      <c r="S34" s="134">
        <v>19629.86</v>
      </c>
      <c r="T34" s="134">
        <v>14390.97</v>
      </c>
      <c r="U34" s="134">
        <v>17183.54</v>
      </c>
      <c r="V34" s="134">
        <v>17059.52</v>
      </c>
      <c r="W34" s="134">
        <v>11795.89</v>
      </c>
      <c r="X34" s="134">
        <v>17571.45</v>
      </c>
      <c r="Y34" s="134">
        <v>24459.73</v>
      </c>
      <c r="Z34" s="134">
        <v>36081.26</v>
      </c>
      <c r="AA34" s="134">
        <f>IF($I34="B1","",SUM(O34:Z34))</f>
        <v>267746.36</v>
      </c>
      <c r="AB34" s="138">
        <f>IF(AA34=0,"",IFERROR(AA34/AA$19,""))</f>
        <v>3.1927818428865939E-2</v>
      </c>
      <c r="AC34" s="136"/>
      <c r="AD34" s="134">
        <v>410632.592975026</v>
      </c>
      <c r="AE34" s="138">
        <f>IF(AD34=0,"",IFERROR(AD34/AD$19,""))</f>
        <v>3.1472348234711414E-2</v>
      </c>
      <c r="AF34" s="137">
        <f>IF(AND($AA34="",AD34=""),"",$AA34-AD34)</f>
        <v>-142886.23297502601</v>
      </c>
      <c r="AG34" s="134">
        <v>112730.68</v>
      </c>
      <c r="AH34" s="138">
        <f>IF(AG34=0,"",IFERROR(AG34/AG$19,""))</f>
        <v>3.4594087659048103E-2</v>
      </c>
      <c r="AI34" s="137">
        <f>IF(AND($AA34="",AG34=""),"",$AA34-AG34)</f>
        <v>155015.67999999999</v>
      </c>
      <c r="AJ34" s="458">
        <f>IFERROR(AA34/AA$20,0)</f>
        <v>5.5572096305520962</v>
      </c>
      <c r="AK34" s="459">
        <f>IFERROR(AD34/AD$20,0)</f>
        <v>8.5228848687220005</v>
      </c>
      <c r="AL34" s="460">
        <f>IFERROR(AG34/AG$20,0)</f>
        <v>3.0262457383694397</v>
      </c>
      <c r="AM34" s="461" t="str">
        <f>+IFERROR(ROUND(($AB34-AE34)*100,2)&amp;" pts.",0)</f>
        <v>0.05 pts.</v>
      </c>
      <c r="AN34" s="462" t="str">
        <f>+IFERROR(ROUND(($AB34-AH34)*100,2)&amp;" pts.",0)</f>
        <v>-0.27 pts.</v>
      </c>
      <c r="AO34" s="11"/>
    </row>
    <row r="35" spans="1:41" hidden="1" x14ac:dyDescent="0.25">
      <c r="A35" s="11"/>
      <c r="B35" s="11"/>
      <c r="C35" s="204"/>
      <c r="D35" s="11"/>
      <c r="E35" s="11"/>
      <c r="F35" s="11"/>
      <c r="G35" s="11"/>
      <c r="H35" s="84"/>
      <c r="I35" s="118" t="str">
        <f>IF(_epmOfflineCondition_,"",_xll.EVPRO($B$1,$H35,"STYLE"))</f>
        <v/>
      </c>
      <c r="J35" s="118" t="str">
        <f>IF(_epmOfflineCondition_,"",_xll.EVPRO($B$1,$H35,"CALC"))</f>
        <v/>
      </c>
      <c r="K35" s="175" t="str">
        <f>IF(AND(I35&gt;="T3"),"&gt;","")</f>
        <v/>
      </c>
      <c r="L35" s="86" t="str">
        <f>IF(_epmOfflineCondition_,"",_xll.EVPRO($B$1,H35,"JDEID"))</f>
        <v/>
      </c>
      <c r="M35" s="86" t="str">
        <f>IF(_epmOfflineCondition_,"",IF(AND(I35="N",J35="N"),_xll.EVPRO($B$1,H35,"PSFTID"),""))</f>
        <v/>
      </c>
      <c r="N35" s="86" t="str">
        <f>IF(_epmOfflineCondition_,"",IF(_xll.EVDES(H35,$B$1)="#NODATA","",_xll.EVDES(H35,$B$1)))</f>
        <v/>
      </c>
      <c r="O35" s="134"/>
      <c r="P35" s="134"/>
      <c r="Q35" s="134"/>
      <c r="R35" s="134"/>
      <c r="S35" s="134"/>
      <c r="T35" s="134"/>
      <c r="U35" s="134"/>
      <c r="V35" s="134"/>
      <c r="W35" s="134"/>
      <c r="X35" s="134"/>
      <c r="Y35" s="134"/>
      <c r="Z35" s="134"/>
      <c r="AA35" s="134">
        <f>IF($I35="B1","",SUM(O35:Z35))</f>
        <v>0</v>
      </c>
      <c r="AB35" s="138" t="str">
        <f>IF(AA35=0,"",IFERROR(AA35/AA$19,""))</f>
        <v/>
      </c>
      <c r="AC35" s="136"/>
      <c r="AD35" s="134"/>
      <c r="AE35" s="138" t="str">
        <f>IF(AD35=0,"",IFERROR(AD35/AD$19,""))</f>
        <v/>
      </c>
      <c r="AF35" s="137">
        <f>IF(AND($AA35="",AD35=""),"",$AA35-AD35)</f>
        <v>0</v>
      </c>
      <c r="AG35" s="134"/>
      <c r="AH35" s="138" t="str">
        <f>IF(AG35=0,"",IFERROR(AG35/AG$19,""))</f>
        <v/>
      </c>
      <c r="AI35" s="137">
        <f>IF(AND($AA35="",AG35=""),"",$AA35-AG35)</f>
        <v>0</v>
      </c>
      <c r="AJ35" s="458">
        <f>IFERROR(AA35/AA$20,0)</f>
        <v>0</v>
      </c>
      <c r="AK35" s="459">
        <f>IFERROR(AD35/AD$20,0)</f>
        <v>0</v>
      </c>
      <c r="AL35" s="460">
        <f>IFERROR(AG35/AG$20,0)</f>
        <v>0</v>
      </c>
      <c r="AM35" s="461">
        <f>+IFERROR(ROUND(($AB35-AE35)*100,2)&amp;" pts.",0)</f>
        <v>0</v>
      </c>
      <c r="AN35" s="462">
        <f>+IFERROR(ROUND(($AB35-AH35)*100,2)&amp;" pts.",0)</f>
        <v>0</v>
      </c>
      <c r="AO35" s="11"/>
    </row>
    <row r="36" spans="1:41" x14ac:dyDescent="0.25">
      <c r="A36" s="57" t="s">
        <v>23</v>
      </c>
      <c r="B36" s="58" t="s">
        <v>24</v>
      </c>
      <c r="C36" s="11"/>
      <c r="D36" s="11"/>
      <c r="E36" s="11"/>
      <c r="F36" s="11"/>
      <c r="G36" s="11"/>
      <c r="H36" s="84" t="s">
        <v>79</v>
      </c>
      <c r="I36" s="132" t="str">
        <f>IF(_epmOfflineCondition_,"T3",_xll.EVPRO($B$1,$H36,"STYLE"))</f>
        <v>T3</v>
      </c>
      <c r="J36" s="132" t="str">
        <f>IF(_epmOfflineCondition_,"Y",_xll.EVPRO($B$1,$H36,"CALC"))</f>
        <v>Y</v>
      </c>
      <c r="K36" s="100"/>
      <c r="L36" s="55"/>
      <c r="M36" s="55"/>
      <c r="N36" s="102" t="str">
        <f>IF(_epmOfflineCondition_,"Total Operations Expense",IF(_xll.EVDES(H36,$B$1)="#NODATA","",_xll.EVDES(H36,$B$1)))</f>
        <v>Total Operations Expense</v>
      </c>
      <c r="O36" s="108">
        <f t="shared" ref="O36:Z36" si="0">SUM(O34:O35)</f>
        <v>26131.68</v>
      </c>
      <c r="P36" s="108">
        <f t="shared" si="0"/>
        <v>27583.69</v>
      </c>
      <c r="Q36" s="108">
        <f t="shared" si="0"/>
        <v>31125.34</v>
      </c>
      <c r="R36" s="108">
        <f t="shared" si="0"/>
        <v>24733.43</v>
      </c>
      <c r="S36" s="108">
        <f t="shared" si="0"/>
        <v>19629.86</v>
      </c>
      <c r="T36" s="108">
        <f t="shared" si="0"/>
        <v>14390.97</v>
      </c>
      <c r="U36" s="108">
        <f t="shared" si="0"/>
        <v>17183.54</v>
      </c>
      <c r="V36" s="108">
        <f t="shared" si="0"/>
        <v>17059.52</v>
      </c>
      <c r="W36" s="108">
        <f t="shared" si="0"/>
        <v>11795.89</v>
      </c>
      <c r="X36" s="108">
        <f t="shared" si="0"/>
        <v>17571.45</v>
      </c>
      <c r="Y36" s="108">
        <f t="shared" si="0"/>
        <v>24459.73</v>
      </c>
      <c r="Z36" s="108">
        <f t="shared" si="0"/>
        <v>36081.26</v>
      </c>
      <c r="AA36" s="108">
        <f>IF($I36="B1","",SUM(O36:Z36))</f>
        <v>267746.36</v>
      </c>
      <c r="AB36" s="109">
        <f>IF(AA36=0,"",IFERROR(AA36/AA$19,""))</f>
        <v>3.1927818428865939E-2</v>
      </c>
      <c r="AC36" s="11"/>
      <c r="AD36" s="108">
        <f>SUM(AD34:AD35)</f>
        <v>410632.592975026</v>
      </c>
      <c r="AE36" s="109">
        <f>IF(AD36=0,"",IFERROR(AD36/AD$19,""))</f>
        <v>3.1472348234711414E-2</v>
      </c>
      <c r="AF36" s="110">
        <f>IF(AND($AA36="",AD36=""),"",$AA36-AD36)</f>
        <v>-142886.23297502601</v>
      </c>
      <c r="AG36" s="108">
        <f>SUM(AG34:AG35)</f>
        <v>112730.68</v>
      </c>
      <c r="AH36" s="109">
        <f>IF(AG36=0,"",IFERROR(AG36/AG$19,""))</f>
        <v>3.4594087659048103E-2</v>
      </c>
      <c r="AI36" s="110">
        <f>IF(AND($AA36="",AG36=""),"",$AA36-AG36)</f>
        <v>155015.67999999999</v>
      </c>
      <c r="AJ36" s="411">
        <f>IFERROR(AA36/AA$20,0)</f>
        <v>5.5572096305520962</v>
      </c>
      <c r="AK36" s="412">
        <f>IFERROR(AD36/AD$20,0)</f>
        <v>8.5228848687220005</v>
      </c>
      <c r="AL36" s="413">
        <f>IFERROR(AG36/AG$20,0)</f>
        <v>3.0262457383694397</v>
      </c>
      <c r="AM36" s="414" t="str">
        <f>+IFERROR(ROUND(($AB36-AE36)*100,2)&amp;" pts.",0)</f>
        <v>0.05 pts.</v>
      </c>
      <c r="AN36" s="538" t="str">
        <f>+IFERROR(ROUND(($AB36-AH36)*100,2)&amp;" pts.",0)</f>
        <v>-0.27 pts.</v>
      </c>
      <c r="AO36" s="11"/>
    </row>
    <row r="37" spans="1:41" x14ac:dyDescent="0.25">
      <c r="A37" s="61" t="s">
        <v>25</v>
      </c>
      <c r="B37" s="62"/>
      <c r="C37" s="11"/>
      <c r="D37" s="11"/>
      <c r="E37" s="11"/>
      <c r="F37" s="11"/>
      <c r="G37" s="11"/>
      <c r="H37" s="11"/>
      <c r="I37" s="55"/>
      <c r="J37" s="55"/>
      <c r="K37" s="11"/>
      <c r="L37" s="55"/>
      <c r="M37" s="55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</row>
    <row r="38" spans="1:41" x14ac:dyDescent="0.25">
      <c r="A38" s="61" t="s">
        <v>26</v>
      </c>
      <c r="B38" s="62"/>
      <c r="C38" s="11"/>
      <c r="D38" s="11"/>
      <c r="E38" s="11"/>
      <c r="F38" s="11"/>
      <c r="G38" s="11"/>
      <c r="H38" s="84" t="s">
        <v>79</v>
      </c>
      <c r="I38" s="55"/>
      <c r="J38" s="55"/>
      <c r="K38" s="11"/>
      <c r="L38" s="55"/>
      <c r="M38" s="55"/>
      <c r="N38" s="100" t="str">
        <f>N36&amp;" - Check"</f>
        <v>Total Operations Expense - Check</v>
      </c>
      <c r="O38" s="205">
        <f>IF(_epmOfflineCondition_,0,_xll.EVGTS($B$1,1,$B$3,$B$5,$B$7,$B$9,O$16,O$17,O$18,$B$6,$H38)-O36)</f>
        <v>0</v>
      </c>
      <c r="P38" s="205">
        <f>IF(_epmOfflineCondition_,0,_xll.EVGTS($B$1,1,$B$3,$B$5,$B$7,$B$9,P$16,P$17,P$18,$B$6,$H38)-P36)</f>
        <v>0</v>
      </c>
      <c r="Q38" s="205">
        <f>IF(_epmOfflineCondition_,0,_xll.EVGTS($B$1,1,$B$3,$B$5,$B$7,$B$9,Q$16,Q$17,Q$18,$B$6,$H38)-Q36)</f>
        <v>0</v>
      </c>
      <c r="R38" s="205">
        <f>IF(_epmOfflineCondition_,0,_xll.EVGTS($B$1,1,$B$3,$B$5,$B$7,$B$9,R$16,R$17,R$18,$B$6,$H38)-R36)</f>
        <v>0</v>
      </c>
      <c r="S38" s="205">
        <f>IF(_epmOfflineCondition_,0,_xll.EVGTS($B$1,1,$B$3,$B$5,$B$7,$B$9,S$16,S$17,S$18,$B$6,$H38)-S36)</f>
        <v>0</v>
      </c>
      <c r="T38" s="205">
        <f>IF(_epmOfflineCondition_,0,_xll.EVGTS($B$1,1,$B$3,$B$5,$B$7,$B$9,T$16,T$17,T$18,$B$6,$H38)-T36)</f>
        <v>0</v>
      </c>
      <c r="U38" s="205">
        <f>IF(_epmOfflineCondition_,0,_xll.EVGTS($B$1,1,$B$3,$B$5,$B$7,$B$9,U$16,U$17,U$18,$B$6,$H38)-U36)</f>
        <v>0</v>
      </c>
      <c r="V38" s="205">
        <f>IF(_epmOfflineCondition_,0,_xll.EVGTS($B$1,1,$B$3,$B$5,$B$7,$B$9,V$16,V$17,V$18,$B$6,$H38)-V36)</f>
        <v>0</v>
      </c>
      <c r="W38" s="205">
        <f>IF(_epmOfflineCondition_,0,_xll.EVGTS($B$1,1,$B$3,$B$5,$B$7,$B$9,W$16,W$17,W$18,$B$6,$H38)-W36)</f>
        <v>0</v>
      </c>
      <c r="X38" s="205">
        <f>IF(_epmOfflineCondition_,0,_xll.EVGTS($B$1,1,$B$3,$B$5,$B$7,$B$9,X$16,X$17,X$18,$B$6,$H38)-X36)</f>
        <v>0</v>
      </c>
      <c r="Y38" s="205">
        <f>IF(_epmOfflineCondition_,0,_xll.EVGTS($B$1,1,$B$3,$B$5,$B$7,$B$9,Y$16,Y$17,Y$18,$B$6,$H38)-Y36)</f>
        <v>0</v>
      </c>
      <c r="Z38" s="205">
        <f>IF(_epmOfflineCondition_,0,_xll.EVGTS($B$1,1,$B$3,$B$5,$B$7,$B$9,Z$16,Z$17,Z$18,$B$6,$H38)-Z36)</f>
        <v>0</v>
      </c>
      <c r="AA38" s="205">
        <f>IF($I38="B1","",SUM(O38:Z38))</f>
        <v>0</v>
      </c>
      <c r="AB38" s="96"/>
      <c r="AC38" s="11"/>
      <c r="AD38" s="205">
        <f>IF(_epmOfflineCondition_,0,_xll.EVGTS($B$1,1,$B$3,$B$5,$B$7,$B$9,AD$16,AD$17,AD$18,$B$6,$H38)-AD36)</f>
        <v>0</v>
      </c>
      <c r="AE38" s="96"/>
      <c r="AF38" s="87"/>
      <c r="AG38" s="205">
        <f>IF(_epmOfflineCondition_,0,_xll.EVGTS($B$1,1,$B$3,$B$5,$B$7,$B$9,AG$16,AG$17,AG$18,$B$6,$H38)-AG36)</f>
        <v>0</v>
      </c>
      <c r="AH38" s="96"/>
      <c r="AI38" s="87"/>
      <c r="AJ38" s="11"/>
      <c r="AK38" s="11"/>
      <c r="AL38" s="11"/>
      <c r="AM38" s="11"/>
      <c r="AN38" s="11"/>
      <c r="AO38" s="11"/>
    </row>
    <row r="39" spans="1:41" x14ac:dyDescent="0.25">
      <c r="A39" s="61" t="s">
        <v>27</v>
      </c>
      <c r="B39" s="62"/>
      <c r="C39" s="11"/>
      <c r="D39" s="11"/>
      <c r="E39" s="11"/>
      <c r="F39" s="11"/>
      <c r="G39" s="11"/>
      <c r="H39" s="11"/>
      <c r="I39" s="55"/>
      <c r="J39" s="55"/>
      <c r="K39" s="11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11"/>
      <c r="AD39" s="55"/>
      <c r="AE39" s="55"/>
      <c r="AF39" s="55"/>
      <c r="AG39" s="55"/>
      <c r="AH39" s="55"/>
      <c r="AI39" s="55"/>
      <c r="AJ39" s="11"/>
      <c r="AK39" s="11"/>
      <c r="AL39" s="11"/>
      <c r="AM39" s="11"/>
      <c r="AN39" s="11"/>
      <c r="AO39" s="11"/>
    </row>
    <row r="40" spans="1:41" x14ac:dyDescent="0.25">
      <c r="A40" s="61" t="s">
        <v>28</v>
      </c>
      <c r="B40" s="62"/>
      <c r="C40" s="11"/>
      <c r="D40" s="11"/>
      <c r="E40" s="11"/>
      <c r="F40" s="11"/>
      <c r="G40" s="11"/>
      <c r="H40" s="11"/>
      <c r="I40" s="55"/>
      <c r="J40" s="55"/>
      <c r="K40" s="11"/>
      <c r="L40" s="55"/>
      <c r="M40" s="55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</row>
    <row r="41" spans="1:41" x14ac:dyDescent="0.25">
      <c r="A41" s="61" t="s">
        <v>29</v>
      </c>
      <c r="B41" s="62"/>
      <c r="C41" s="11"/>
      <c r="D41" s="11"/>
      <c r="E41" s="11"/>
      <c r="F41" s="11"/>
      <c r="G41" s="11"/>
      <c r="H41" s="11"/>
      <c r="I41" s="55"/>
      <c r="J41" s="55"/>
      <c r="K41" s="11"/>
      <c r="L41" s="55"/>
      <c r="M41" s="55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</row>
    <row r="42" spans="1:41" x14ac:dyDescent="0.25">
      <c r="A42" s="61" t="s">
        <v>30</v>
      </c>
      <c r="B42" s="62" t="s">
        <v>78</v>
      </c>
      <c r="C42" s="11"/>
      <c r="D42" s="11"/>
      <c r="E42" s="11"/>
      <c r="F42" s="11"/>
      <c r="G42" s="11"/>
      <c r="H42" s="11"/>
      <c r="I42" s="55"/>
      <c r="J42" s="55"/>
      <c r="K42" s="11"/>
      <c r="L42" s="55"/>
      <c r="M42" s="55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</row>
    <row r="43" spans="1:41" x14ac:dyDescent="0.25">
      <c r="A43" s="61" t="s">
        <v>31</v>
      </c>
      <c r="B43" s="62" t="s">
        <v>78</v>
      </c>
      <c r="C43" s="11"/>
      <c r="D43" s="11"/>
      <c r="E43" s="11"/>
      <c r="F43" s="11"/>
      <c r="G43" s="11"/>
      <c r="H43" s="11"/>
      <c r="I43" s="55"/>
      <c r="J43" s="55"/>
      <c r="K43" s="11"/>
      <c r="L43" s="55"/>
      <c r="M43" s="55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</row>
    <row r="44" spans="1:41" x14ac:dyDescent="0.25">
      <c r="A44" s="61" t="s">
        <v>32</v>
      </c>
      <c r="B44" s="62"/>
      <c r="C44" s="11"/>
      <c r="D44" s="11"/>
      <c r="E44" s="11"/>
      <c r="F44" s="11"/>
      <c r="G44" s="11"/>
      <c r="H44" s="11"/>
      <c r="I44" s="55"/>
      <c r="J44" s="55"/>
      <c r="K44" s="11"/>
      <c r="L44" s="55"/>
      <c r="M44" s="55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</row>
    <row r="45" spans="1:41" x14ac:dyDescent="0.25">
      <c r="A45" s="61" t="s">
        <v>33</v>
      </c>
      <c r="B45" s="62"/>
      <c r="C45" s="11"/>
      <c r="D45" s="11"/>
      <c r="E45" s="11"/>
      <c r="F45" s="11"/>
      <c r="G45" s="11"/>
      <c r="H45" s="11"/>
      <c r="I45" s="55"/>
      <c r="J45" s="55"/>
      <c r="K45" s="11"/>
      <c r="L45" s="55"/>
      <c r="M45" s="55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</row>
    <row r="46" spans="1:41" x14ac:dyDescent="0.25">
      <c r="A46" s="61" t="s">
        <v>34</v>
      </c>
      <c r="B46" s="62"/>
      <c r="C46" s="11"/>
      <c r="D46" s="11"/>
      <c r="E46" s="11"/>
      <c r="F46" s="11"/>
      <c r="G46" s="11"/>
      <c r="H46" s="55"/>
      <c r="I46" s="55"/>
      <c r="J46" s="11"/>
      <c r="K46" s="11"/>
      <c r="L46" s="55"/>
      <c r="M46" s="55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</row>
    <row r="47" spans="1:41" x14ac:dyDescent="0.25">
      <c r="A47" s="61" t="s">
        <v>35</v>
      </c>
      <c r="B47" s="62"/>
      <c r="C47" s="11"/>
      <c r="D47" s="11"/>
      <c r="E47" s="11"/>
      <c r="F47" s="11"/>
      <c r="G47" s="11"/>
      <c r="H47" s="55"/>
      <c r="I47" s="55"/>
      <c r="J47" s="11"/>
      <c r="K47" s="11"/>
      <c r="L47" s="55"/>
      <c r="M47" s="55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</row>
    <row r="48" spans="1:41" x14ac:dyDescent="0.25">
      <c r="A48" s="61" t="s">
        <v>36</v>
      </c>
      <c r="B48" s="62"/>
      <c r="C48" s="11"/>
      <c r="D48" s="11"/>
      <c r="E48" s="11"/>
      <c r="F48" s="11"/>
      <c r="G48" s="11"/>
      <c r="H48" s="55"/>
      <c r="I48" s="55"/>
      <c r="J48" s="11"/>
      <c r="K48" s="11"/>
      <c r="L48" s="55"/>
      <c r="M48" s="55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</row>
    <row r="49" spans="1:41" x14ac:dyDescent="0.25">
      <c r="A49" s="61" t="s">
        <v>37</v>
      </c>
      <c r="B49" s="62"/>
      <c r="C49" s="11"/>
      <c r="D49" s="11"/>
      <c r="E49" s="11"/>
      <c r="F49" s="11"/>
      <c r="G49" s="11"/>
      <c r="H49" s="55"/>
      <c r="I49" s="55"/>
      <c r="J49" s="11"/>
      <c r="K49" s="11"/>
      <c r="L49" s="55"/>
      <c r="M49" s="55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</row>
    <row r="50" spans="1:41" x14ac:dyDescent="0.25">
      <c r="A50" s="61" t="s">
        <v>38</v>
      </c>
      <c r="B50" s="62"/>
      <c r="C50" s="11"/>
      <c r="D50" s="11"/>
      <c r="E50" s="11"/>
      <c r="F50" s="11"/>
      <c r="G50" s="11"/>
      <c r="H50" s="55"/>
      <c r="I50" s="55"/>
      <c r="J50" s="11"/>
      <c r="K50" s="11"/>
      <c r="L50" s="55"/>
      <c r="M50" s="55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</row>
    <row r="51" spans="1:41" x14ac:dyDescent="0.25">
      <c r="A51" s="61" t="s">
        <v>39</v>
      </c>
      <c r="B51" s="62"/>
      <c r="C51" s="11"/>
      <c r="D51" s="11"/>
      <c r="E51" s="11"/>
      <c r="F51" s="11"/>
      <c r="G51" s="11"/>
      <c r="H51" s="55"/>
      <c r="I51" s="55"/>
      <c r="J51" s="11"/>
      <c r="K51" s="11"/>
      <c r="L51" s="55"/>
      <c r="M51" s="55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</row>
    <row r="52" spans="1:41" x14ac:dyDescent="0.25">
      <c r="A52" s="61" t="s">
        <v>40</v>
      </c>
      <c r="B52" s="62"/>
      <c r="C52" s="11"/>
      <c r="D52" s="11"/>
      <c r="E52" s="11"/>
      <c r="F52" s="11"/>
      <c r="G52" s="11"/>
      <c r="H52" s="55"/>
      <c r="I52" s="55"/>
      <c r="J52" s="11"/>
      <c r="K52" s="11"/>
      <c r="L52" s="55"/>
      <c r="M52" s="55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</row>
    <row r="53" spans="1:41" x14ac:dyDescent="0.25">
      <c r="A53" s="61" t="s">
        <v>41</v>
      </c>
      <c r="B53" s="62"/>
      <c r="C53" s="11"/>
      <c r="D53" s="11"/>
      <c r="E53" s="11"/>
      <c r="F53" s="11"/>
      <c r="G53" s="11"/>
      <c r="H53" s="55"/>
      <c r="I53" s="55"/>
      <c r="J53" s="11"/>
      <c r="K53" s="11"/>
      <c r="L53" s="55"/>
      <c r="M53" s="55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</row>
    <row r="54" spans="1:41" x14ac:dyDescent="0.25">
      <c r="A54" s="61" t="s">
        <v>42</v>
      </c>
      <c r="B54" s="62"/>
      <c r="C54" s="11"/>
      <c r="D54" s="11"/>
      <c r="E54" s="11"/>
      <c r="F54" s="11"/>
      <c r="G54" s="11"/>
      <c r="H54" s="55"/>
      <c r="I54" s="55"/>
      <c r="J54" s="11"/>
      <c r="K54" s="11"/>
      <c r="L54" s="55"/>
      <c r="M54" s="55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</row>
    <row r="55" spans="1:41" x14ac:dyDescent="0.25">
      <c r="A55" s="61" t="s">
        <v>43</v>
      </c>
      <c r="B55" s="62"/>
      <c r="C55" s="11"/>
      <c r="D55" s="11"/>
      <c r="E55" s="11"/>
      <c r="F55" s="11"/>
      <c r="G55" s="11"/>
      <c r="H55" s="55"/>
      <c r="I55" s="55"/>
      <c r="J55" s="11"/>
      <c r="K55" s="11"/>
      <c r="L55" s="55"/>
      <c r="M55" s="55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</row>
    <row r="56" spans="1:41" x14ac:dyDescent="0.25">
      <c r="A56" s="61" t="s">
        <v>44</v>
      </c>
      <c r="B56" s="62"/>
      <c r="C56" s="11"/>
      <c r="D56" s="11"/>
      <c r="E56" s="11"/>
      <c r="F56" s="11"/>
      <c r="G56" s="11"/>
      <c r="H56" s="55"/>
      <c r="I56" s="55"/>
      <c r="J56" s="11"/>
      <c r="K56" s="11"/>
      <c r="L56" s="55"/>
      <c r="M56" s="55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</row>
    <row r="57" spans="1:41" x14ac:dyDescent="0.25">
      <c r="A57" s="61" t="s">
        <v>45</v>
      </c>
      <c r="B57" s="62"/>
      <c r="C57" s="11"/>
      <c r="D57" s="11"/>
      <c r="E57" s="11"/>
      <c r="F57" s="11"/>
      <c r="G57" s="11"/>
      <c r="H57" s="55"/>
      <c r="I57" s="55"/>
      <c r="J57" s="11"/>
      <c r="K57" s="11"/>
      <c r="L57" s="55"/>
      <c r="M57" s="55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</row>
    <row r="58" spans="1:41" x14ac:dyDescent="0.25">
      <c r="A58" s="61" t="s">
        <v>46</v>
      </c>
      <c r="B58" s="62"/>
      <c r="C58" s="11"/>
      <c r="D58" s="11"/>
      <c r="E58" s="11"/>
      <c r="F58" s="11"/>
      <c r="G58" s="11"/>
      <c r="H58" s="55"/>
      <c r="I58" s="55"/>
      <c r="J58" s="11"/>
      <c r="K58" s="11"/>
      <c r="L58" s="55"/>
      <c r="M58" s="55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</row>
    <row r="59" spans="1:41" x14ac:dyDescent="0.25">
      <c r="A59" s="11"/>
      <c r="B59" s="11"/>
      <c r="C59" s="11"/>
      <c r="D59" s="11"/>
      <c r="E59" s="11"/>
      <c r="F59" s="11"/>
      <c r="G59" s="11"/>
      <c r="H59" s="55"/>
      <c r="I59" s="55"/>
      <c r="J59" s="11"/>
      <c r="K59" s="11"/>
      <c r="L59" s="55"/>
      <c r="M59" s="55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</row>
    <row r="60" spans="1:41" x14ac:dyDescent="0.25">
      <c r="A60" s="11"/>
      <c r="B60" s="11"/>
      <c r="C60" s="11"/>
      <c r="D60" s="11"/>
      <c r="E60" s="11"/>
      <c r="F60" s="11"/>
      <c r="G60" s="11"/>
      <c r="H60" s="55"/>
      <c r="I60" s="55"/>
      <c r="J60" s="11"/>
      <c r="K60" s="11"/>
      <c r="L60" s="55"/>
      <c r="M60" s="55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</row>
    <row r="61" spans="1:41" x14ac:dyDescent="0.25">
      <c r="A61" s="11"/>
      <c r="B61" s="11"/>
      <c r="C61" s="11"/>
      <c r="D61" s="11"/>
      <c r="E61" s="11"/>
      <c r="F61" s="11"/>
      <c r="G61" s="11"/>
      <c r="H61" s="55"/>
      <c r="I61" s="55"/>
      <c r="J61" s="11"/>
      <c r="K61" s="11"/>
      <c r="L61" s="55"/>
      <c r="M61" s="55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</row>
    <row r="62" spans="1:41" x14ac:dyDescent="0.25">
      <c r="A62" s="11"/>
      <c r="B62" s="11"/>
      <c r="C62" s="11"/>
      <c r="D62" s="11"/>
      <c r="E62" s="11"/>
      <c r="F62" s="11"/>
      <c r="G62" s="11"/>
      <c r="H62" s="55"/>
      <c r="I62" s="55"/>
      <c r="J62" s="11"/>
      <c r="K62" s="11"/>
      <c r="L62" s="55"/>
      <c r="M62" s="55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</row>
    <row r="63" spans="1:41" x14ac:dyDescent="0.25">
      <c r="A63" s="11"/>
      <c r="B63" s="11"/>
      <c r="C63" s="11"/>
      <c r="D63" s="11"/>
      <c r="E63" s="11"/>
      <c r="F63" s="11"/>
      <c r="G63" s="11"/>
      <c r="H63" s="55"/>
      <c r="I63" s="55"/>
      <c r="J63" s="11"/>
      <c r="K63" s="11"/>
      <c r="L63" s="55"/>
      <c r="M63" s="55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</row>
    <row r="64" spans="1:41" x14ac:dyDescent="0.25">
      <c r="A64" s="11"/>
      <c r="B64" s="11"/>
      <c r="C64" s="11"/>
      <c r="D64" s="11"/>
      <c r="E64" s="11"/>
      <c r="F64" s="11"/>
      <c r="G64" s="11"/>
      <c r="H64" s="55"/>
      <c r="I64" s="55"/>
      <c r="J64" s="11"/>
      <c r="K64" s="11"/>
      <c r="L64" s="55"/>
      <c r="M64" s="55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</row>
    <row r="65" spans="1:41" x14ac:dyDescent="0.25">
      <c r="A65" s="11"/>
      <c r="B65" s="11"/>
      <c r="C65" s="11"/>
      <c r="D65" s="11"/>
      <c r="E65" s="11"/>
      <c r="F65" s="11"/>
      <c r="G65" s="11"/>
      <c r="H65" s="55"/>
      <c r="I65" s="55"/>
      <c r="J65" s="11"/>
      <c r="K65" s="11"/>
      <c r="L65" s="55"/>
      <c r="M65" s="55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</row>
    <row r="66" spans="1:41" x14ac:dyDescent="0.25">
      <c r="A66" s="11"/>
      <c r="B66" s="11"/>
      <c r="C66" s="11"/>
      <c r="D66" s="11"/>
      <c r="E66" s="11"/>
      <c r="F66" s="11"/>
      <c r="G66" s="11"/>
      <c r="H66" s="55"/>
      <c r="I66" s="55"/>
      <c r="J66" s="11"/>
      <c r="K66" s="11"/>
      <c r="L66" s="55"/>
      <c r="M66" s="55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</row>
    <row r="67" spans="1:41" x14ac:dyDescent="0.25">
      <c r="A67" s="11"/>
      <c r="B67" s="11"/>
      <c r="C67" s="11"/>
      <c r="D67" s="11"/>
      <c r="E67" s="11"/>
      <c r="F67" s="11"/>
      <c r="G67" s="11"/>
      <c r="H67" s="55"/>
      <c r="I67" s="55"/>
      <c r="J67" s="11"/>
      <c r="K67" s="11"/>
      <c r="L67" s="55"/>
      <c r="M67" s="55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</row>
    <row r="68" spans="1:41" x14ac:dyDescent="0.25">
      <c r="A68" s="11"/>
      <c r="B68" s="11"/>
      <c r="C68" s="11"/>
      <c r="D68" s="11"/>
      <c r="E68" s="11"/>
      <c r="F68" s="11"/>
      <c r="G68" s="11"/>
      <c r="H68" s="55"/>
      <c r="I68" s="55"/>
      <c r="J68" s="11"/>
      <c r="K68" s="11"/>
      <c r="L68" s="55"/>
      <c r="M68" s="55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</row>
  </sheetData>
  <sheetProtection algorithmName="SHA-512" hashValue="lHns4pcN26LYPEYB+jABHJRy/hn+EiWgqslkQ1wdLdgNyrCKhqHpNAiNjbpivurfLYipbpO0Mrk40vA+Emqfsg==" saltValue="CtArf+w3d5sqpjWA5tzwTw==" spinCount="100000" sheet="1" scenarios="1"/>
  <mergeCells count="2">
    <mergeCell ref="AD31:AE31"/>
    <mergeCell ref="AG31:AH31"/>
  </mergeCells>
  <dataValidations disablePrompts="1" count="2">
    <dataValidation type="list" allowBlank="1" sqref="B29" xr:uid="{00000000-0002-0000-2400-000000000000}">
      <formula1>"SELF,ALL,BAS,DEP,BASMEMBERS,MEMBERS,NOEXPAND,GDEP"</formula1>
    </dataValidation>
    <dataValidation type="list" allowBlank="1" sqref="B28" xr:uid="{00000000-0002-0000-2400-000001000000}">
      <formula1>"ACCOUNT,BUSINESSUNIT,CATEGORY,DATASRC,DEPARTMENT,INTCO,MEASURES,RPTCURRENCY,TIME"</formula1>
    </dataValidation>
  </dataValidations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customProperties>
    <customPr name="EpmWorksheetKeyString_GUID" r:id="rId2"/>
    <customPr name="FPMExcelClientCellBasedFunctionStatus" r:id="rId3"/>
    <customPr name="FPMExcelClientRefreshTime" r:id="rId4"/>
  </customProperties>
  <legacyDrawing r:id="rId5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9">
    <pageSetUpPr fitToPage="1"/>
  </sheetPr>
  <dimension ref="A1:AO97"/>
  <sheetViews>
    <sheetView topLeftCell="K25" zoomScale="85" zoomScaleNormal="85" workbookViewId="0">
      <pane xSplit="4" ySplit="8" topLeftCell="P33" activePane="bottomRight" state="frozen"/>
      <selection activeCell="K25" sqref="K25"/>
      <selection pane="topRight" activeCell="K25" sqref="K25"/>
      <selection pane="bottomLeft" activeCell="K25" sqref="K25"/>
      <selection pane="bottomRight" activeCell="P66" sqref="P66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2" width="9.7109375" style="2" hidden="1" customWidth="1" outlineLevel="1" collapsed="1"/>
    <col min="13" max="13" width="9.7109375" style="2" hidden="1" customWidth="1" outlineLevel="1"/>
    <col min="14" max="14" width="40.7109375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40" width="0" style="1" hidden="1" customWidth="1" outlineLevel="1"/>
    <col min="41" max="41" width="9.140625" style="1" collapsed="1"/>
    <col min="42" max="16384" width="9.140625" style="1"/>
  </cols>
  <sheetData>
    <row r="1" spans="1:41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11"/>
      <c r="H1" s="11"/>
      <c r="I1" s="11"/>
      <c r="J1" s="11"/>
      <c r="K1" s="11"/>
      <c r="L1" s="51"/>
      <c r="M1" s="51"/>
      <c r="N1" s="5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</row>
    <row r="2" spans="1:41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11"/>
      <c r="H2" s="11"/>
      <c r="I2" s="11"/>
      <c r="J2" s="11"/>
      <c r="K2" s="11"/>
      <c r="L2" s="51"/>
      <c r="M2" s="5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</row>
    <row r="3" spans="1:41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11"/>
      <c r="H3" s="11"/>
      <c r="I3" s="11"/>
      <c r="J3" s="11"/>
      <c r="K3" s="11"/>
      <c r="L3" s="55"/>
      <c r="M3" s="55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11"/>
      <c r="H4" s="11"/>
      <c r="I4" s="55"/>
      <c r="J4" s="55"/>
      <c r="K4" s="11"/>
      <c r="L4" s="55"/>
      <c r="M4" s="55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11"/>
      <c r="H5" s="11"/>
      <c r="I5" s="55"/>
      <c r="J5" s="55"/>
      <c r="K5" s="11"/>
      <c r="L5" s="55"/>
      <c r="M5" s="55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idden="1" outlineLevel="1" x14ac:dyDescent="0.25">
      <c r="A6" s="49" t="s">
        <v>52</v>
      </c>
      <c r="B6" s="52" t="s">
        <v>519</v>
      </c>
      <c r="C6" s="11" t="str">
        <f>IF(_epmOfflineCondition_,"Non-Operating Income &amp; Expenses",_xll.EVDES(B6,$B$1))</f>
        <v>Non-Operating Income &amp; Expenses</v>
      </c>
      <c r="D6" s="11"/>
      <c r="E6" s="54" t="str">
        <f>IF(_epmOfflineCondition_,"",_xll.EVPRO($B$1,$B$6,$F$6))</f>
        <v/>
      </c>
      <c r="F6" s="11" t="s">
        <v>278</v>
      </c>
      <c r="G6" s="11"/>
      <c r="H6" s="11"/>
      <c r="I6" s="55"/>
      <c r="J6" s="55"/>
      <c r="K6" s="11"/>
      <c r="L6" s="55"/>
      <c r="M6" s="55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11"/>
      <c r="H7" s="11"/>
      <c r="I7" s="55"/>
      <c r="J7" s="55"/>
      <c r="K7" s="11"/>
      <c r="L7" s="55"/>
      <c r="M7" s="55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11"/>
      <c r="H8" s="11"/>
      <c r="I8" s="55"/>
      <c r="J8" s="55"/>
      <c r="K8" s="11"/>
      <c r="L8" s="55"/>
      <c r="M8" s="55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55"/>
      <c r="M9" s="55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55"/>
      <c r="M10" s="55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55"/>
      <c r="M11" s="55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55"/>
      <c r="M12" s="55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  <c r="AJ12" s="11"/>
      <c r="AK12" s="11"/>
      <c r="AL12" s="11"/>
      <c r="AM12" s="11"/>
      <c r="AN12" s="11"/>
      <c r="AO12" s="11"/>
    </row>
    <row r="13" spans="1:41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55"/>
      <c r="M13" s="55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  <c r="AJ13" s="11"/>
      <c r="AK13" s="11"/>
      <c r="AL13" s="11"/>
      <c r="AM13" s="11"/>
      <c r="AN13" s="11"/>
      <c r="AO13" s="11"/>
    </row>
    <row r="14" spans="1:41" hidden="1" outlineLevel="1" x14ac:dyDescent="0.25">
      <c r="A14" s="56" t="str">
        <f>IF(_epmOfflineCondition_,"Evdre:Ok",_xll.EVDRE($B$1,A17:B24,A27:B33))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55"/>
      <c r="M14" s="55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  <c r="AJ14" s="11"/>
      <c r="AK14" s="11"/>
      <c r="AL14" s="11"/>
      <c r="AM14" s="11"/>
      <c r="AN14" s="11"/>
      <c r="AO14" s="11"/>
    </row>
    <row r="15" spans="1:41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55"/>
      <c r="M15" s="55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  <c r="AJ15" s="11"/>
      <c r="AK15" s="11"/>
      <c r="AL15" s="11"/>
      <c r="AM15" s="11"/>
      <c r="AN15" s="11"/>
      <c r="AO15" s="11"/>
    </row>
    <row r="16" spans="1:41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55"/>
      <c r="M16" s="55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  <c r="AJ16" s="11"/>
      <c r="AK16" s="11"/>
      <c r="AL16" s="11"/>
      <c r="AM16" s="11"/>
      <c r="AN16" s="11"/>
      <c r="AO16" s="11"/>
    </row>
    <row r="17" spans="1:41" hidden="1" outlineLevel="1" x14ac:dyDescent="0.25">
      <c r="A17" s="61" t="s">
        <v>2</v>
      </c>
      <c r="B17" s="62" t="str">
        <f>IF(_epmOfflineCondition_,"'Non_Op'!$B$2:$B$10",_xll.EVRNG($B$2:$B$10))</f>
        <v>'Non_Op'!$B$2:$B$10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55"/>
      <c r="M17" s="55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/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  <c r="AJ17" s="11"/>
      <c r="AK17" s="11"/>
      <c r="AL17" s="11"/>
      <c r="AM17" s="11"/>
      <c r="AN17" s="11"/>
      <c r="AO17" s="11"/>
    </row>
    <row r="18" spans="1:41" hidden="1" outlineLevel="1" x14ac:dyDescent="0.25">
      <c r="A18" s="61" t="s">
        <v>3</v>
      </c>
      <c r="B18" s="62" t="str">
        <f>IF(_epmOfflineCondition_,"'Non_Op'!$O$16:$AN$18",_xll.EVRNG($O$16:$AN$18))</f>
        <v>'Non_Op'!$O$16:$AN$18</v>
      </c>
      <c r="C18" s="11"/>
      <c r="D18" s="11"/>
      <c r="E18" s="11"/>
      <c r="F18" s="11"/>
      <c r="G18" s="11"/>
      <c r="H18" s="11"/>
      <c r="I18" s="55"/>
      <c r="J18" s="55"/>
      <c r="K18" s="11"/>
      <c r="L18" s="55"/>
      <c r="M18" s="55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60"/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  <c r="AJ18" s="11"/>
      <c r="AK18" s="11"/>
      <c r="AL18" s="11"/>
      <c r="AM18" s="11"/>
      <c r="AN18" s="11"/>
      <c r="AO18" s="11"/>
    </row>
    <row r="19" spans="1:41" hidden="1" outlineLevel="1" x14ac:dyDescent="0.25">
      <c r="A19" s="61" t="s">
        <v>4</v>
      </c>
      <c r="B19" s="62" t="str">
        <f>IF(_epmOfflineCondition_,"'Non_Op'!$H$34:$H$62",_xll.EVRNG(H34:H62))</f>
        <v>'Non_Op'!$H$34:$H$62</v>
      </c>
      <c r="C19" s="11"/>
      <c r="D19" s="11"/>
      <c r="E19" s="11"/>
      <c r="F19" s="11"/>
      <c r="G19" s="63" t="s">
        <v>499</v>
      </c>
      <c r="H19" s="63">
        <v>400000</v>
      </c>
      <c r="I19" s="64"/>
      <c r="J19" s="64"/>
      <c r="K19" s="63"/>
      <c r="L19" s="64"/>
      <c r="M19" s="64"/>
      <c r="N19" s="63" t="str">
        <f>IF(_epmOfflineCondition_,"Total Revenue",_xll.EVDES(H19))</f>
        <v>Total Revenue</v>
      </c>
      <c r="O19" s="65">
        <f>IF(_epmOfflineCondition_,816981.25,_xll.EVGTS($B$1,1,$B$3,$B$5,$B$7,$B$9,O$16,O$17,O$18,$G$19,$H$19))</f>
        <v>816981.25</v>
      </c>
      <c r="P19" s="65">
        <f>IF(_epmOfflineCondition_,866773.26,_xll.EVGTS($B$1,1,$B$3,$B$5,$B$7,$B$9,P$16,P$17,P$18,$G$19,$H$19))</f>
        <v>866773.26</v>
      </c>
      <c r="Q19" s="65">
        <f>IF(_epmOfflineCondition_,969793.68,_xll.EVGTS($B$1,1,$B$3,$B$5,$B$7,$B$9,Q$16,Q$17,Q$18,$G$19,$H$19))</f>
        <v>969793.68</v>
      </c>
      <c r="R19" s="65">
        <f>IF(_epmOfflineCondition_,760228.83,_xll.EVGTS($B$1,1,$B$3,$B$5,$B$7,$B$9,R$16,R$17,R$18,$G$19,$H$19))</f>
        <v>760228.83</v>
      </c>
      <c r="S19" s="65">
        <f>IF(_epmOfflineCondition_,618655.29,_xll.EVGTS($B$1,1,$B$3,$B$5,$B$7,$B$9,S$16,S$17,S$18,$G$19,$H$19))</f>
        <v>618655.29</v>
      </c>
      <c r="T19" s="65">
        <f>IF(_epmOfflineCondition_,453678.77,_xll.EVGTS($B$1,1,$B$3,$B$5,$B$7,$B$9,T$16,T$17,T$18,$G$19,$H$19))</f>
        <v>453678.77</v>
      </c>
      <c r="U19" s="65">
        <f>IF(_epmOfflineCondition_,542439.38,_xll.EVGTS($B$1,1,$B$3,$B$5,$B$7,$B$9,U$16,U$17,U$18,$G$19,$H$19))</f>
        <v>542439.38</v>
      </c>
      <c r="V19" s="65">
        <f>IF(_epmOfflineCondition_,530393.92,_xll.EVGTS($B$1,1,$B$3,$B$5,$B$7,$B$9,V$16,V$17,V$18,$G$19,$H$19))</f>
        <v>530393.92000000004</v>
      </c>
      <c r="W19" s="65">
        <f>IF(_epmOfflineCondition_,366989.98,_xll.EVGTS($B$1,1,$B$3,$B$5,$B$7,$B$9,W$16,W$17,W$18,$G$19,$H$19))</f>
        <v>366989.98</v>
      </c>
      <c r="X19" s="65">
        <f>IF(_epmOfflineCondition_,549087,_xll.EVGTS($B$1,1,$B$3,$B$5,$B$7,$B$9,X$16,X$17,X$18,$G$19,$H$19))</f>
        <v>549087</v>
      </c>
      <c r="Y19" s="65">
        <f>IF(_epmOfflineCondition_,756850.37,_xll.EVGTS($B$1,1,$B$3,$B$5,$B$7,$B$9,Y$16,Y$17,Y$18,$G$19,$H$19))</f>
        <v>756850.37</v>
      </c>
      <c r="Z19" s="65">
        <f>IF(_epmOfflineCondition_,1154118.08,_xll.EVGTS($B$1,1,$B$3,$B$5,$B$7,$B$9,Z$16,Z$17,Z$18,$G$19,$H$19))</f>
        <v>1154118.08</v>
      </c>
      <c r="AA19" s="65">
        <f>SUM(O19:Z19)</f>
        <v>8385989.8099999996</v>
      </c>
      <c r="AB19" s="63"/>
      <c r="AC19" s="63"/>
      <c r="AD19" s="65">
        <f>IF(_epmOfflineCondition_,13047408.7892219,_xll.EVGTS($B$1,1,$B$3,$B$5,$B$7,$B$9,AD$16,AD$17,AD$18,$G$19,$H$19))</f>
        <v>13047408.7892219</v>
      </c>
      <c r="AE19" s="63"/>
      <c r="AF19" s="63"/>
      <c r="AG19" s="65">
        <f>IF(_epmOfflineCondition_,3258668.97,_xll.EVGTS($B$1,1,$B$3,$B$5,$B$7,$B$9,AG$16,AG$17,AG$18,$G$19,$H$19))</f>
        <v>3258668.97</v>
      </c>
      <c r="AH19" s="63"/>
      <c r="AI19" s="63"/>
      <c r="AJ19" s="11"/>
      <c r="AK19" s="11"/>
      <c r="AL19" s="11"/>
      <c r="AM19" s="11"/>
      <c r="AN19" s="11"/>
      <c r="AO19" s="11"/>
    </row>
    <row r="20" spans="1:41" hidden="1" outlineLevel="1" x14ac:dyDescent="0.25">
      <c r="A20" s="61" t="s">
        <v>5</v>
      </c>
      <c r="B20" s="62"/>
      <c r="C20" s="11"/>
      <c r="D20" s="11"/>
      <c r="E20" s="11"/>
      <c r="F20" s="11"/>
      <c r="G20" s="63" t="s">
        <v>583</v>
      </c>
      <c r="H20" s="63" t="s">
        <v>584</v>
      </c>
      <c r="I20" s="64" t="str">
        <f>IF(_epmOfflineCondition_,"T1",_xll.EVPRO($B$1,$H20,"STYLE"))</f>
        <v>T1</v>
      </c>
      <c r="J20" s="64" t="str">
        <f>IF(_epmOfflineCondition_,"Y",_xll.EVPRO($B$1,$H20,"CALC"))</f>
        <v>Y</v>
      </c>
      <c r="K20" s="63"/>
      <c r="L20" s="64"/>
      <c r="M20" s="64"/>
      <c r="N20" s="63" t="str">
        <f>IF(_epmOfflineCondition_,"Net Income-Development &amp; Renovation Projects",IF(_xll.EVDES(H20,$B$1)="#NODATA","",_xll.EVDES(H20,$B$1))&amp;"-"&amp;_xll.EVDES(G20))</f>
        <v>Net Income-Development &amp; Renovation Projects</v>
      </c>
      <c r="O20" s="65">
        <f>IF(_epmOfflineCondition_,0,_xll.EVGTS($B$1,1,$B$3,$B$5,$B$7,$B$9,O$16,O$17,O$18,$G$20,$H$20))</f>
        <v>0</v>
      </c>
      <c r="P20" s="65">
        <f>IF(_epmOfflineCondition_,0,_xll.EVGTS($B$1,1,$B$3,$B$5,$B$7,$B$9,P$16,P$17,P$18,$G$20,$H$20))</f>
        <v>0</v>
      </c>
      <c r="Q20" s="65">
        <f>IF(_epmOfflineCondition_,0,_xll.EVGTS($B$1,1,$B$3,$B$5,$B$7,$B$9,Q$16,Q$17,Q$18,$G$20,$H$20))</f>
        <v>0</v>
      </c>
      <c r="R20" s="65">
        <f>IF(_epmOfflineCondition_,0,_xll.EVGTS($B$1,1,$B$3,$B$5,$B$7,$B$9,R$16,R$17,R$18,$G$20,$H$20))</f>
        <v>0</v>
      </c>
      <c r="S20" s="65">
        <f>IF(_epmOfflineCondition_,0,_xll.EVGTS($B$1,1,$B$3,$B$5,$B$7,$B$9,S$16,S$17,S$18,$G$20,$H$20))</f>
        <v>0</v>
      </c>
      <c r="T20" s="65">
        <f>IF(_epmOfflineCondition_,0,_xll.EVGTS($B$1,1,$B$3,$B$5,$B$7,$B$9,T$16,T$17,T$18,$G$20,$H$20))</f>
        <v>0</v>
      </c>
      <c r="U20" s="65">
        <f>IF(_epmOfflineCondition_,0,_xll.EVGTS($B$1,1,$B$3,$B$5,$B$7,$B$9,U$16,U$17,U$18,$G$20,$H$20))</f>
        <v>0</v>
      </c>
      <c r="V20" s="65">
        <f>IF(_epmOfflineCondition_,0,_xll.EVGTS($B$1,1,$B$3,$B$5,$B$7,$B$9,V$16,V$17,V$18,$G$20,$H$20))</f>
        <v>0</v>
      </c>
      <c r="W20" s="65">
        <f>IF(_epmOfflineCondition_,0,_xll.EVGTS($B$1,1,$B$3,$B$5,$B$7,$B$9,W$16,W$17,W$18,$G$20,$H$20))</f>
        <v>0</v>
      </c>
      <c r="X20" s="65">
        <f>IF(_epmOfflineCondition_,0,_xll.EVGTS($B$1,1,$B$3,$B$5,$B$7,$B$9,X$16,X$17,X$18,$G$20,$H$20))</f>
        <v>0</v>
      </c>
      <c r="Y20" s="65">
        <f>IF(_epmOfflineCondition_,0,_xll.EVGTS($B$1,1,$B$3,$B$5,$B$7,$B$9,Y$16,Y$17,Y$18,$G$20,$H$20))</f>
        <v>0</v>
      </c>
      <c r="Z20" s="65">
        <f>IF(_epmOfflineCondition_,0,_xll.EVGTS($B$1,1,$B$3,$B$5,$B$7,$B$9,Z$16,Z$17,Z$18,$G$20,$H$20))</f>
        <v>0</v>
      </c>
      <c r="AA20" s="65">
        <f>SUM(O20:Z20)</f>
        <v>0</v>
      </c>
      <c r="AB20" s="63"/>
      <c r="AC20" s="63"/>
      <c r="AD20" s="65">
        <f>IF(_epmOfflineCondition_,0,_xll.EVGTS($B$1,1,$B$3,$B$5,$B$7,$B$9,AD$16,AD$17,AD$18,$G$20,$H$20))</f>
        <v>0</v>
      </c>
      <c r="AE20" s="63"/>
      <c r="AF20" s="63"/>
      <c r="AG20" s="65">
        <f>IF(_epmOfflineCondition_,0,_xll.EVGTS($B$1,1,$B$3,$B$5,$B$7,$B$9,AG$16,AG$17,AG$18,$G$20,$H$20))</f>
        <v>0</v>
      </c>
      <c r="AH20" s="63"/>
      <c r="AI20" s="63"/>
      <c r="AJ20" s="11"/>
      <c r="AK20" s="11"/>
      <c r="AL20" s="11"/>
      <c r="AM20" s="11"/>
      <c r="AN20" s="11"/>
      <c r="AO20" s="11"/>
    </row>
    <row r="21" spans="1:41" hidden="1" outlineLevel="1" x14ac:dyDescent="0.25">
      <c r="A21" s="61" t="s">
        <v>6</v>
      </c>
      <c r="B21" s="62"/>
      <c r="C21" s="11"/>
      <c r="D21" s="11"/>
      <c r="E21" s="11"/>
      <c r="F21" s="11"/>
      <c r="G21" s="63" t="s">
        <v>750</v>
      </c>
      <c r="H21" s="63">
        <v>904100</v>
      </c>
      <c r="I21" s="64"/>
      <c r="J21" s="64"/>
      <c r="K21" s="63"/>
      <c r="L21" s="64"/>
      <c r="M21" s="64"/>
      <c r="N21" s="63" t="str">
        <f>IF(_epmOfflineCondition_,"Available rooms",_xll.EVDES(H21))</f>
        <v>Available rooms</v>
      </c>
      <c r="O21" s="65">
        <f>IF(_epmOfflineCondition_,4092,_xll.EVGTS($B$1,1,$B$3,$B$5,$B$7,$B$9,O$16,O$17,O$18,$G$21,$H$21))</f>
        <v>4092</v>
      </c>
      <c r="P21" s="65">
        <f>IF(_epmOfflineCondition_,3696,_xll.EVGTS($B$1,1,$B$3,$B$5,$B$7,$B$9,P$16,P$17,P$18,$G$21,$H$21))</f>
        <v>3696</v>
      </c>
      <c r="Q21" s="65">
        <f>IF(_epmOfflineCondition_,4092,_xll.EVGTS($B$1,1,$B$3,$B$5,$B$7,$B$9,Q$16,Q$17,Q$18,$G$21,$H$21))</f>
        <v>4092</v>
      </c>
      <c r="R21" s="65">
        <f>IF(_epmOfflineCondition_,3960,_xll.EVGTS($B$1,1,$B$3,$B$5,$B$7,$B$9,R$16,R$17,R$18,$G$21,$H$21))</f>
        <v>3960</v>
      </c>
      <c r="S21" s="65">
        <f>IF(_epmOfflineCondition_,4092,_xll.EVGTS($B$1,1,$B$3,$B$5,$B$7,$B$9,S$16,S$17,S$18,$G$21,$H$21))</f>
        <v>4092</v>
      </c>
      <c r="T21" s="65">
        <f>IF(_epmOfflineCondition_,3960,_xll.EVGTS($B$1,1,$B$3,$B$5,$B$7,$B$9,T$16,T$17,T$18,$G$21,$H$21))</f>
        <v>3960</v>
      </c>
      <c r="U21" s="65">
        <f>IF(_epmOfflineCondition_,4092,_xll.EVGTS($B$1,1,$B$3,$B$5,$B$7,$B$9,U$16,U$17,U$18,$G$21,$H$21))</f>
        <v>4092</v>
      </c>
      <c r="V21" s="65">
        <f>IF(_epmOfflineCondition_,4092,_xll.EVGTS($B$1,1,$B$3,$B$5,$B$7,$B$9,V$16,V$17,V$18,$G$21,$H$21))</f>
        <v>4092</v>
      </c>
      <c r="W21" s="65">
        <f>IF(_epmOfflineCondition_,3960,_xll.EVGTS($B$1,1,$B$3,$B$5,$B$7,$B$9,W$16,W$17,W$18,$G$21,$H$21))</f>
        <v>3960</v>
      </c>
      <c r="X21" s="65">
        <f>IF(_epmOfflineCondition_,4092,_xll.EVGTS($B$1,1,$B$3,$B$5,$B$7,$B$9,X$16,X$17,X$18,$G$21,$H$21))</f>
        <v>4092</v>
      </c>
      <c r="Y21" s="65">
        <f>IF(_epmOfflineCondition_,3960,_xll.EVGTS($B$1,1,$B$3,$B$5,$B$7,$B$9,Y$16,Y$17,Y$18,$G$21,$H$21))</f>
        <v>3960</v>
      </c>
      <c r="Z21" s="65">
        <f>IF(_epmOfflineCondition_,4092,_xll.EVGTS($B$1,1,$B$3,$B$5,$B$7,$B$9,Z$16,Z$17,Z$18,$G$21,$H$21))</f>
        <v>4092</v>
      </c>
      <c r="AA21" s="65">
        <f>SUM(O21:Z21)</f>
        <v>48180</v>
      </c>
      <c r="AB21" s="63"/>
      <c r="AC21" s="63"/>
      <c r="AD21" s="65">
        <f>IF(_epmOfflineCondition_,48180,_xll.EVGTS($B$1,1,$B$3,$B$5,$B$7,$B$9,AD$16,AD$17,AD$18,$G$21,$H$21))</f>
        <v>48180</v>
      </c>
      <c r="AE21" s="63"/>
      <c r="AF21" s="63"/>
      <c r="AG21" s="65">
        <f>IF(_epmOfflineCondition_,37251,_xll.EVGTS($B$1,1,$B$3,$B$5,$B$7,$B$9,AG$16,AG$17,AG$18,$G$21,$H$21))</f>
        <v>37251</v>
      </c>
      <c r="AH21" s="63"/>
      <c r="AI21" s="63"/>
      <c r="AJ21" s="11"/>
      <c r="AK21" s="11"/>
      <c r="AL21" s="11"/>
      <c r="AM21" s="11"/>
      <c r="AN21" s="11"/>
      <c r="AO21" s="11"/>
    </row>
    <row r="22" spans="1:41" hidden="1" outlineLevel="1" x14ac:dyDescent="0.25">
      <c r="A22" s="61" t="s">
        <v>7</v>
      </c>
      <c r="B22" s="62" t="str">
        <f>IF(_epmOfflineCondition_,"'Non_Op'!$A$36:$F$41",_xll.EVRNG(A36:F41))</f>
        <v>'Non_Op'!$A$36:$F$41</v>
      </c>
      <c r="C22" s="11"/>
      <c r="D22" s="11"/>
      <c r="E22" s="11"/>
      <c r="F22" s="11"/>
      <c r="G22" s="49" t="s">
        <v>589</v>
      </c>
      <c r="H22" s="11"/>
      <c r="I22" s="55"/>
      <c r="J22" s="55"/>
      <c r="K22" s="11"/>
      <c r="L22" s="55"/>
      <c r="M22" s="55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idden="1" outlineLevel="1" x14ac:dyDescent="0.25">
      <c r="A23" s="61" t="s">
        <v>47</v>
      </c>
      <c r="B23" s="62" t="str">
        <f>IF(_epmOfflineCondition_,"'Non_Op'!$A$45:$B$66",_xll.EVRNG($A$45:$B$66))</f>
        <v>'Non_Op'!$A$45:$B$66</v>
      </c>
      <c r="C23" s="11"/>
      <c r="D23" s="11"/>
      <c r="E23" s="11"/>
      <c r="F23" s="11"/>
      <c r="G23" s="11"/>
      <c r="H23" s="11"/>
      <c r="I23" s="55"/>
      <c r="J23" s="55"/>
      <c r="K23" s="6"/>
      <c r="L23" s="55"/>
      <c r="M23" s="55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55"/>
      <c r="M24" s="55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55"/>
      <c r="M25" s="55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22.5" x14ac:dyDescent="0.3">
      <c r="A26" s="57" t="s">
        <v>9</v>
      </c>
      <c r="B26" s="58" t="s">
        <v>10</v>
      </c>
      <c r="C26" s="11"/>
      <c r="D26" s="11"/>
      <c r="E26" s="11"/>
      <c r="F26" s="11"/>
      <c r="G26" s="11"/>
      <c r="H26" s="11"/>
      <c r="I26" s="55"/>
      <c r="J26" s="55"/>
      <c r="K26" s="11"/>
      <c r="L26" s="55"/>
      <c r="M26" s="55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8" x14ac:dyDescent="0.25">
      <c r="A27" s="61" t="s">
        <v>11</v>
      </c>
      <c r="B27" s="62" t="s">
        <v>21</v>
      </c>
      <c r="C27" s="11"/>
      <c r="D27" s="11"/>
      <c r="E27" s="11"/>
      <c r="F27" s="11"/>
      <c r="G27" s="11"/>
      <c r="H27" s="11"/>
      <c r="I27" s="55"/>
      <c r="J27" s="55"/>
      <c r="K27" s="11"/>
      <c r="L27" s="55"/>
      <c r="M27" s="55"/>
      <c r="N27" s="67" t="str">
        <f>IF(_epmOfflineCondition_,"Non-Operating Income &amp; Expenses Department",IF(_xll.EVDES(B6,$B$1)="#NODATA","",_xll.EVDES(B6,$B$1)&amp;" Department"))</f>
        <v>Non-Operating Income &amp; Expenses Department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x14ac:dyDescent="0.25">
      <c r="A28" s="61" t="s">
        <v>12</v>
      </c>
      <c r="B28" s="62" t="s">
        <v>22</v>
      </c>
      <c r="C28" s="11"/>
      <c r="D28" s="11"/>
      <c r="E28" s="11"/>
      <c r="F28" s="11"/>
      <c r="G28" s="11"/>
      <c r="H28" s="11"/>
      <c r="I28" s="55"/>
      <c r="J28" s="55"/>
      <c r="K28" s="11"/>
      <c r="L28" s="55"/>
      <c r="M28" s="55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" customHeight="1" x14ac:dyDescent="0.25">
      <c r="A29" s="61" t="s">
        <v>13</v>
      </c>
      <c r="B29" s="62" t="s">
        <v>549</v>
      </c>
      <c r="C29" s="11"/>
      <c r="D29" s="11"/>
      <c r="E29" s="11"/>
      <c r="F29" s="11"/>
      <c r="G29" s="11"/>
      <c r="H29" s="11"/>
      <c r="I29" s="55"/>
      <c r="J29" s="55"/>
      <c r="K29" s="11"/>
      <c r="L29" s="55"/>
      <c r="M29" s="55"/>
      <c r="N29" s="68" t="str">
        <f>IF(_epmOfflineCondition_,"Local Currency",_xll.EVDES(B9,B1))</f>
        <v>Local Currency</v>
      </c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x14ac:dyDescent="0.25">
      <c r="A30" s="61" t="s">
        <v>14</v>
      </c>
      <c r="B30" s="582"/>
      <c r="C30" s="11"/>
      <c r="D30" s="11"/>
      <c r="E30" s="11"/>
      <c r="F30" s="11"/>
      <c r="G30" s="11"/>
      <c r="H30" s="11"/>
      <c r="I30" s="55"/>
      <c r="J30" s="55"/>
      <c r="K30" s="11"/>
      <c r="L30" s="55"/>
      <c r="M30" s="55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  <c r="AJ30" s="69" t="s">
        <v>753</v>
      </c>
      <c r="AK30" s="70"/>
      <c r="AL30" s="71"/>
      <c r="AM30" s="70" t="s">
        <v>751</v>
      </c>
      <c r="AN30" s="70"/>
      <c r="AO30" s="11"/>
    </row>
    <row r="31" spans="1:41" x14ac:dyDescent="0.25">
      <c r="A31" s="61" t="s">
        <v>15</v>
      </c>
      <c r="B31" s="62"/>
      <c r="C31" s="11"/>
      <c r="D31" s="11"/>
      <c r="E31" s="11"/>
      <c r="F31" s="11"/>
      <c r="G31" s="72"/>
      <c r="H31" s="11"/>
      <c r="I31" s="55"/>
      <c r="J31" s="55"/>
      <c r="K31" s="173"/>
      <c r="L31" s="55"/>
      <c r="M31" s="55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  <c r="AJ31" s="73" t="str">
        <f>IF(_epmOfflineCondition_,"2019",_xll.EVPRO($B$1,AA$16,"YEAR"))</f>
        <v>2019</v>
      </c>
      <c r="AK31" s="76" t="str">
        <f>IF(_epmOfflineCondition_,"2019",_xll.EVPRO($B$1,AD$16,"YEAR"))</f>
        <v>2019</v>
      </c>
      <c r="AL31" s="76" t="str">
        <f>IF(_epmOfflineCondition_,"2018",_xll.EVPRO($B$1,AG$16,"YEAR"))</f>
        <v>2018</v>
      </c>
      <c r="AM31" s="73" t="str">
        <f>"vs "&amp;AK31</f>
        <v>vs 2019</v>
      </c>
      <c r="AN31" s="73" t="str">
        <f>"vs "&amp;AL31</f>
        <v>vs 2018</v>
      </c>
      <c r="AO31" s="11"/>
    </row>
    <row r="32" spans="1:41" s="8" customFormat="1" ht="30" customHeight="1" x14ac:dyDescent="0.25">
      <c r="A32" s="77" t="s">
        <v>16</v>
      </c>
      <c r="B32" s="78"/>
      <c r="C32" s="79"/>
      <c r="D32" s="79"/>
      <c r="E32" s="79"/>
      <c r="F32" s="79"/>
      <c r="G32" s="79"/>
      <c r="H32" s="80"/>
      <c r="I32" s="81"/>
      <c r="J32" s="81"/>
      <c r="K32" s="174" t="s">
        <v>117</v>
      </c>
      <c r="L32" s="81"/>
      <c r="M32" s="81"/>
      <c r="N32" s="82" t="s">
        <v>120</v>
      </c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  <c r="AJ32" s="83" t="str">
        <f>Z32</f>
        <v>Actual</v>
      </c>
      <c r="AK32" s="76" t="str">
        <f>AD32</f>
        <v>Budget</v>
      </c>
      <c r="AL32" s="83" t="str">
        <f>AG32</f>
        <v>Actual</v>
      </c>
      <c r="AM32" s="73" t="s">
        <v>748</v>
      </c>
      <c r="AN32" s="73" t="s">
        <v>748</v>
      </c>
      <c r="AO32" s="79"/>
    </row>
    <row r="33" spans="1:41" x14ac:dyDescent="0.25">
      <c r="A33" s="61" t="s">
        <v>17</v>
      </c>
      <c r="B33" s="62"/>
      <c r="C33" s="11"/>
      <c r="D33" s="11"/>
      <c r="E33" s="11"/>
      <c r="F33" s="11"/>
      <c r="G33" s="11"/>
      <c r="H33" s="11" t="s">
        <v>544</v>
      </c>
      <c r="I33" s="55" t="str">
        <f>IF(_epmOfflineCondition_,"B1",_xll.EVPRO($B$1,$H33,"STYLE"))</f>
        <v>B1</v>
      </c>
      <c r="J33" s="55" t="str">
        <f>IF(_epmOfflineCondition_,"Y",_xll.EVPRO($B$1,$H33,"CALC"))</f>
        <v>Y</v>
      </c>
      <c r="K33" s="11"/>
      <c r="L33" s="11"/>
      <c r="M33" s="11"/>
      <c r="N33" s="101" t="str">
        <f>IF(_epmOfflineCondition_,"Income",IF(_xll.EVDES(H33,$B$1)="#NODATA","",_xll.EVDES(H33,$B$1)))</f>
        <v>Income</v>
      </c>
      <c r="O33" s="115"/>
      <c r="P33" s="116"/>
      <c r="Q33" s="116"/>
      <c r="R33" s="116"/>
      <c r="S33" s="116"/>
      <c r="T33" s="116"/>
      <c r="U33" s="116"/>
      <c r="V33" s="116"/>
      <c r="W33" s="116"/>
      <c r="X33" s="116"/>
      <c r="Y33" s="116"/>
      <c r="Z33" s="116"/>
      <c r="AA33" s="116"/>
      <c r="AB33" s="117"/>
      <c r="AC33" s="11"/>
      <c r="AD33" s="115"/>
      <c r="AE33" s="116"/>
      <c r="AF33" s="117"/>
      <c r="AG33" s="115"/>
      <c r="AH33" s="116"/>
      <c r="AI33" s="117"/>
      <c r="AJ33" s="11"/>
      <c r="AK33" s="11"/>
      <c r="AL33" s="11"/>
      <c r="AM33" s="11"/>
      <c r="AN33" s="11"/>
      <c r="AO33" s="11"/>
    </row>
    <row r="34" spans="1:41" x14ac:dyDescent="0.25">
      <c r="A34" s="11"/>
      <c r="B34" s="11"/>
      <c r="C34" s="11"/>
      <c r="D34" s="11"/>
      <c r="E34" s="11"/>
      <c r="F34" s="11"/>
      <c r="G34" s="11"/>
      <c r="H34" s="84" t="s">
        <v>522</v>
      </c>
      <c r="I34" s="118" t="str">
        <f>IF(_epmOfflineCondition_,"N",_xll.EVPRO($B$1,$H34,"STYLE"))</f>
        <v>N</v>
      </c>
      <c r="J34" s="118" t="str">
        <f>IF(_epmOfflineCondition_,"N",_xll.EVPRO($B$1,$H34,"CALC"))</f>
        <v>N</v>
      </c>
      <c r="K34" s="175" t="str">
        <f t="shared" ref="K34:K62" si="0">IF(AND(I34&gt;="T4"),"&gt;","")</f>
        <v/>
      </c>
      <c r="L34" s="86" t="str">
        <f>IF(_epmOfflineCondition_,"804100",_xll.EVPRO($B$1,H34,"JDEID"))</f>
        <v>804100</v>
      </c>
      <c r="M34" s="86" t="str">
        <f>IF(_epmOfflineCondition_,"790300",IF(AND(I34="N",J34="N"),_xll.EVPRO($B$1,H34,"PSFTID"),""))</f>
        <v>790300</v>
      </c>
      <c r="N34" s="86" t="str">
        <f>IF(_epmOfflineCondition_,"Cost Recovery Income (CAM)",IF(_xll.EVDES(H34,$B$1)="#NODATA","",_xll.EVDES(H34,$B$1)))</f>
        <v>Cost Recovery Income (CAM)</v>
      </c>
      <c r="O34" s="134"/>
      <c r="P34" s="134"/>
      <c r="Q34" s="134"/>
      <c r="R34" s="134"/>
      <c r="S34" s="134"/>
      <c r="T34" s="134"/>
      <c r="U34" s="134"/>
      <c r="V34" s="134"/>
      <c r="W34" s="134"/>
      <c r="X34" s="134"/>
      <c r="Y34" s="134"/>
      <c r="Z34" s="134"/>
      <c r="AA34" s="134">
        <f t="shared" ref="AA34:AA65" si="1">IF($I34="B1","",SUM(O34:Z34))</f>
        <v>0</v>
      </c>
      <c r="AB34" s="138" t="str">
        <f t="shared" ref="AB34:AB65" si="2">IF(AA34=0,"",IFERROR(AA34/AA$19,""))</f>
        <v/>
      </c>
      <c r="AC34" s="136"/>
      <c r="AD34" s="134">
        <v>-42000</v>
      </c>
      <c r="AE34" s="138">
        <f t="shared" ref="AE34:AE65" si="3">IF(AD34=0,"",IFERROR(AD34/AD$19,""))</f>
        <v>-3.2190299758749819E-3</v>
      </c>
      <c r="AF34" s="137">
        <f t="shared" ref="AF34:AF65" si="4">IF(AND($AA34="",AD34=""),"",$AA34-AD34)</f>
        <v>42000</v>
      </c>
      <c r="AG34" s="134"/>
      <c r="AH34" s="138" t="str">
        <f t="shared" ref="AH34:AH65" si="5">IF(AG34=0,"",IFERROR(AG34/AG$19,""))</f>
        <v/>
      </c>
      <c r="AI34" s="137">
        <f t="shared" ref="AI34:AI65" si="6">IF(AND($AA34="",AG34=""),"",$AA34-AG34)</f>
        <v>0</v>
      </c>
      <c r="AJ34" s="458">
        <f t="shared" ref="AJ34:AJ65" si="7">IFERROR(AA34/AA$21,0)</f>
        <v>0</v>
      </c>
      <c r="AK34" s="459">
        <f t="shared" ref="AK34:AK65" si="8">IFERROR(AD34/AD$21,0)</f>
        <v>-0.87173100871731013</v>
      </c>
      <c r="AL34" s="460">
        <f t="shared" ref="AL34:AL65" si="9">IFERROR(AG34/AG$21,0)</f>
        <v>0</v>
      </c>
      <c r="AM34" s="461">
        <f t="shared" ref="AM34:AM65" si="10">+IFERROR(ROUND(($AB34-AE34)*100,2)&amp;" pts.",0)</f>
        <v>0</v>
      </c>
      <c r="AN34" s="462">
        <f t="shared" ref="AN34:AN65" si="11">+IFERROR(ROUND(($AB34-AH34)*100,2)&amp;" pts.",0)</f>
        <v>0</v>
      </c>
      <c r="AO34" s="11"/>
    </row>
    <row r="35" spans="1:41" x14ac:dyDescent="0.25">
      <c r="A35" s="93" t="s">
        <v>92</v>
      </c>
      <c r="B35" s="94" t="s">
        <v>93</v>
      </c>
      <c r="C35" s="94" t="s">
        <v>94</v>
      </c>
      <c r="D35" s="94" t="s">
        <v>95</v>
      </c>
      <c r="E35" s="94" t="s">
        <v>96</v>
      </c>
      <c r="F35" s="95" t="s">
        <v>97</v>
      </c>
      <c r="G35" s="11"/>
      <c r="H35" s="84" t="s">
        <v>523</v>
      </c>
      <c r="I35" s="118" t="str">
        <f>IF(_epmOfflineCondition_,"N",_xll.EVPRO($B$1,$H35,"STYLE"))</f>
        <v>N</v>
      </c>
      <c r="J35" s="118" t="str">
        <f>IF(_epmOfflineCondition_,"N",_xll.EVPRO($B$1,$H35,"CALC"))</f>
        <v>N</v>
      </c>
      <c r="K35" s="175" t="str">
        <f t="shared" si="0"/>
        <v/>
      </c>
      <c r="L35" s="86" t="str">
        <f>IF(_epmOfflineCondition_,"804110",_xll.EVPRO($B$1,H35,"JDEID"))</f>
        <v>804110</v>
      </c>
      <c r="M35" s="86" t="str">
        <f>IF(_epmOfflineCondition_,"890040",IF(AND(I35="N",J35="N"),_xll.EVPRO($B$1,H35,"PSFTID"),""))</f>
        <v>890040</v>
      </c>
      <c r="N35" s="86" t="str">
        <f>IF(_epmOfflineCondition_,"Interest Income (Restricted &amp; FF&amp;E Accts)",IF(_xll.EVDES(H35,$B$1)="#NODATA","",_xll.EVDES(H35,$B$1)))</f>
        <v>Interest Income (Restricted &amp; FF&amp;E Accts)</v>
      </c>
      <c r="O35" s="134"/>
      <c r="P35" s="134"/>
      <c r="Q35" s="134"/>
      <c r="R35" s="134"/>
      <c r="S35" s="134"/>
      <c r="T35" s="134"/>
      <c r="U35" s="134"/>
      <c r="V35" s="134"/>
      <c r="W35" s="134"/>
      <c r="X35" s="134"/>
      <c r="Y35" s="134"/>
      <c r="Z35" s="134"/>
      <c r="AA35" s="134">
        <f t="shared" si="1"/>
        <v>0</v>
      </c>
      <c r="AB35" s="138" t="str">
        <f t="shared" si="2"/>
        <v/>
      </c>
      <c r="AC35" s="136"/>
      <c r="AD35" s="134"/>
      <c r="AE35" s="138" t="str">
        <f t="shared" si="3"/>
        <v/>
      </c>
      <c r="AF35" s="137">
        <f t="shared" si="4"/>
        <v>0</v>
      </c>
      <c r="AG35" s="134"/>
      <c r="AH35" s="138" t="str">
        <f t="shared" si="5"/>
        <v/>
      </c>
      <c r="AI35" s="137">
        <f t="shared" si="6"/>
        <v>0</v>
      </c>
      <c r="AJ35" s="458">
        <f t="shared" si="7"/>
        <v>0</v>
      </c>
      <c r="AK35" s="459">
        <f t="shared" si="8"/>
        <v>0</v>
      </c>
      <c r="AL35" s="460">
        <f t="shared" si="9"/>
        <v>0</v>
      </c>
      <c r="AM35" s="461">
        <f t="shared" si="10"/>
        <v>0</v>
      </c>
      <c r="AN35" s="462">
        <f t="shared" si="11"/>
        <v>0</v>
      </c>
      <c r="AO35" s="11"/>
    </row>
    <row r="36" spans="1:41" x14ac:dyDescent="0.25">
      <c r="A36" s="11"/>
      <c r="B36" s="11"/>
      <c r="C36" s="11"/>
      <c r="D36" s="11"/>
      <c r="E36" s="11"/>
      <c r="F36" s="11"/>
      <c r="G36" s="11"/>
      <c r="H36" s="84" t="s">
        <v>524</v>
      </c>
      <c r="I36" s="118" t="str">
        <f>IF(_epmOfflineCondition_,"N",_xll.EVPRO($B$1,$H36,"STYLE"))</f>
        <v>N</v>
      </c>
      <c r="J36" s="118" t="str">
        <f>IF(_epmOfflineCondition_,"N",_xll.EVPRO($B$1,$H36,"CALC"))</f>
        <v>N</v>
      </c>
      <c r="K36" s="175" t="str">
        <f t="shared" si="0"/>
        <v/>
      </c>
      <c r="L36" s="86" t="str">
        <f>IF(_epmOfflineCondition_,"804120",_xll.EVPRO($B$1,H36,"JDEID"))</f>
        <v>804120</v>
      </c>
      <c r="M36" s="86" t="str">
        <f>IF(_epmOfflineCondition_,"890309",IF(AND(I36="N",J36="N"),_xll.EVPRO($B$1,H36,"PSFTID"),""))</f>
        <v>890309</v>
      </c>
      <c r="N36" s="86" t="str">
        <f>IF(_epmOfflineCondition_,"Other Income",IF(_xll.EVDES(H36,$B$1)="#NODATA","",_xll.EVDES(H36,$B$1)))</f>
        <v>Other Income</v>
      </c>
      <c r="O36" s="228"/>
      <c r="P36" s="228"/>
      <c r="Q36" s="228"/>
      <c r="R36" s="228"/>
      <c r="S36" s="228"/>
      <c r="T36" s="228"/>
      <c r="U36" s="228"/>
      <c r="V36" s="228"/>
      <c r="W36" s="228"/>
      <c r="X36" s="228"/>
      <c r="Y36" s="228"/>
      <c r="Z36" s="228"/>
      <c r="AA36" s="228">
        <f t="shared" si="1"/>
        <v>0</v>
      </c>
      <c r="AB36" s="230" t="str">
        <f t="shared" si="2"/>
        <v/>
      </c>
      <c r="AC36" s="136"/>
      <c r="AD36" s="228"/>
      <c r="AE36" s="230" t="str">
        <f t="shared" si="3"/>
        <v/>
      </c>
      <c r="AF36" s="231">
        <f t="shared" si="4"/>
        <v>0</v>
      </c>
      <c r="AG36" s="228"/>
      <c r="AH36" s="230" t="str">
        <f t="shared" si="5"/>
        <v/>
      </c>
      <c r="AI36" s="231">
        <f t="shared" si="6"/>
        <v>0</v>
      </c>
      <c r="AJ36" s="467">
        <f t="shared" si="7"/>
        <v>0</v>
      </c>
      <c r="AK36" s="468">
        <f t="shared" si="8"/>
        <v>0</v>
      </c>
      <c r="AL36" s="469">
        <f t="shared" si="9"/>
        <v>0</v>
      </c>
      <c r="AM36" s="470">
        <f t="shared" si="10"/>
        <v>0</v>
      </c>
      <c r="AN36" s="471">
        <f t="shared" si="11"/>
        <v>0</v>
      </c>
      <c r="AO36" s="11"/>
    </row>
    <row r="37" spans="1:41" x14ac:dyDescent="0.25">
      <c r="A37" s="11" t="s">
        <v>100</v>
      </c>
      <c r="B37" s="11"/>
      <c r="C37" s="101" t="s">
        <v>101</v>
      </c>
      <c r="D37" s="11" t="s">
        <v>551</v>
      </c>
      <c r="E37" s="11"/>
      <c r="F37" s="11" t="s">
        <v>98</v>
      </c>
      <c r="G37" s="11"/>
      <c r="H37" s="84" t="s">
        <v>525</v>
      </c>
      <c r="I37" s="184" t="str">
        <f>IF(_epmOfflineCondition_,"T3",_xll.EVPRO($B$1,$H37,"STYLE"))</f>
        <v>T3</v>
      </c>
      <c r="J37" s="184" t="str">
        <f>IF(_epmOfflineCondition_,"Y",_xll.EVPRO($B$1,$H37,"CALC"))</f>
        <v>Y</v>
      </c>
      <c r="K37" s="185" t="str">
        <f t="shared" si="0"/>
        <v/>
      </c>
      <c r="L37" s="186" t="str">
        <f>IF(_epmOfflineCondition_,"804000",_xll.EVPRO($B$1,H37,"JDEID"))</f>
        <v>804000</v>
      </c>
      <c r="M37" s="186" t="str">
        <f>IF(_epmOfflineCondition_,"",IF(AND(I37="N",J37="N"),_xll.EVPRO($B$1,H37,"PSFTID"),""))</f>
        <v/>
      </c>
      <c r="N37" s="186" t="str">
        <f>IF(_epmOfflineCondition_,"Total Income ",IF(_xll.EVDES(H37,$B$1)="#NODATA","",_xll.EVDES(H37,$B$1)))</f>
        <v xml:space="preserve">Total Income </v>
      </c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>
        <f t="shared" si="1"/>
        <v>0</v>
      </c>
      <c r="AB37" s="147" t="str">
        <f t="shared" si="2"/>
        <v/>
      </c>
      <c r="AC37" s="251"/>
      <c r="AD37" s="146">
        <v>-42000</v>
      </c>
      <c r="AE37" s="147">
        <f t="shared" si="3"/>
        <v>-3.2190299758749819E-3</v>
      </c>
      <c r="AF37" s="148">
        <f t="shared" si="4"/>
        <v>42000</v>
      </c>
      <c r="AG37" s="146"/>
      <c r="AH37" s="147" t="str">
        <f t="shared" si="5"/>
        <v/>
      </c>
      <c r="AI37" s="148">
        <f t="shared" si="6"/>
        <v>0</v>
      </c>
      <c r="AJ37" s="206">
        <f t="shared" si="7"/>
        <v>0</v>
      </c>
      <c r="AK37" s="207">
        <f t="shared" si="8"/>
        <v>-0.87173100871731013</v>
      </c>
      <c r="AL37" s="209">
        <f t="shared" si="9"/>
        <v>0</v>
      </c>
      <c r="AM37" s="429">
        <f t="shared" si="10"/>
        <v>0</v>
      </c>
      <c r="AN37" s="591">
        <f t="shared" si="11"/>
        <v>0</v>
      </c>
      <c r="AO37" s="11"/>
    </row>
    <row r="38" spans="1:41" x14ac:dyDescent="0.25">
      <c r="A38" s="11" t="s">
        <v>105</v>
      </c>
      <c r="B38" s="11"/>
      <c r="C38" s="100" t="s">
        <v>101</v>
      </c>
      <c r="D38" s="11" t="s">
        <v>106</v>
      </c>
      <c r="E38" s="11"/>
      <c r="F38" s="11" t="s">
        <v>98</v>
      </c>
      <c r="G38" s="11"/>
      <c r="H38" s="84" t="s">
        <v>547</v>
      </c>
      <c r="I38" s="584" t="str">
        <f>IF(_epmOfflineCondition_,"B1",_xll.EVPRO($B$1,$H38,"STYLE"))</f>
        <v>B1</v>
      </c>
      <c r="J38" s="584" t="str">
        <f>IF(_epmOfflineCondition_,"Y",_xll.EVPRO($B$1,$H38,"CALC"))</f>
        <v>Y</v>
      </c>
      <c r="K38" s="585" t="str">
        <f t="shared" si="0"/>
        <v/>
      </c>
      <c r="L38" s="585" t="str">
        <f>IF(_epmOfflineCondition_,"",_xll.EVPRO($B$1,H38,"JDEID"))</f>
        <v/>
      </c>
      <c r="M38" s="585" t="str">
        <f>IF(_epmOfflineCondition_,"",IF(AND(I38="N",J38="N"),_xll.EVPRO($B$1,H38,"PSFTID"),""))</f>
        <v/>
      </c>
      <c r="N38" s="585" t="str">
        <f>IF(_epmOfflineCondition_,"Rent",IF(_xll.EVDES(H38,$B$1)="#NODATA","",_xll.EVDES(H38,$B$1)))</f>
        <v>Rent</v>
      </c>
      <c r="O38" s="134"/>
      <c r="P38" s="134"/>
      <c r="Q38" s="134"/>
      <c r="R38" s="134"/>
      <c r="S38" s="134"/>
      <c r="T38" s="134"/>
      <c r="U38" s="134"/>
      <c r="V38" s="134"/>
      <c r="W38" s="134"/>
      <c r="X38" s="134"/>
      <c r="Y38" s="134"/>
      <c r="Z38" s="134"/>
      <c r="AA38" s="134" t="str">
        <f t="shared" si="1"/>
        <v/>
      </c>
      <c r="AB38" s="138" t="str">
        <f t="shared" si="2"/>
        <v/>
      </c>
      <c r="AC38" s="136"/>
      <c r="AD38" s="134"/>
      <c r="AE38" s="138" t="str">
        <f t="shared" si="3"/>
        <v/>
      </c>
      <c r="AF38" s="137" t="str">
        <f t="shared" si="4"/>
        <v/>
      </c>
      <c r="AG38" s="134"/>
      <c r="AH38" s="138" t="str">
        <f t="shared" si="5"/>
        <v/>
      </c>
      <c r="AI38" s="137" t="str">
        <f t="shared" si="6"/>
        <v/>
      </c>
      <c r="AJ38" s="458">
        <f t="shared" si="7"/>
        <v>0</v>
      </c>
      <c r="AK38" s="459">
        <f t="shared" si="8"/>
        <v>0</v>
      </c>
      <c r="AL38" s="460">
        <f t="shared" si="9"/>
        <v>0</v>
      </c>
      <c r="AM38" s="461">
        <f t="shared" si="10"/>
        <v>0</v>
      </c>
      <c r="AN38" s="462">
        <f t="shared" si="11"/>
        <v>0</v>
      </c>
      <c r="AO38" s="11"/>
    </row>
    <row r="39" spans="1:41" x14ac:dyDescent="0.25">
      <c r="A39" s="11" t="s">
        <v>102</v>
      </c>
      <c r="B39" s="11"/>
      <c r="C39" s="100" t="s">
        <v>101</v>
      </c>
      <c r="D39" s="11" t="s">
        <v>106</v>
      </c>
      <c r="E39" s="11"/>
      <c r="F39" s="11" t="s">
        <v>98</v>
      </c>
      <c r="G39" s="11"/>
      <c r="H39" s="84" t="s">
        <v>526</v>
      </c>
      <c r="I39" s="118" t="str">
        <f>IF(_epmOfflineCondition_,"T4",_xll.EVPRO($B$1,$H39,"STYLE"))</f>
        <v>T4</v>
      </c>
      <c r="J39" s="118" t="str">
        <f>IF(_epmOfflineCondition_,"Y",_xll.EVPRO($B$1,$H39,"CALC"))</f>
        <v>Y</v>
      </c>
      <c r="K39" s="175" t="str">
        <f t="shared" si="0"/>
        <v>&gt;</v>
      </c>
      <c r="L39" s="86" t="str">
        <f>IF(_epmOfflineCondition_,"",_xll.EVPRO($B$1,H39,"JDEID"))</f>
        <v/>
      </c>
      <c r="M39" s="86" t="str">
        <f>IF(_epmOfflineCondition_,"",IF(AND(I39="N",J39="N"),_xll.EVPRO($B$1,H39,"PSFTID"),""))</f>
        <v/>
      </c>
      <c r="N39" s="86" t="str">
        <f>IF(_epmOfflineCondition_,"Land &amp; Buildings",IF(_xll.EVDES(H39,$B$1)="#NODATA","",_xll.EVDES(H39,$B$1)))</f>
        <v>Land &amp; Buildings</v>
      </c>
      <c r="O39" s="134"/>
      <c r="P39" s="134"/>
      <c r="Q39" s="134"/>
      <c r="R39" s="134"/>
      <c r="S39" s="134"/>
      <c r="T39" s="134"/>
      <c r="U39" s="134"/>
      <c r="V39" s="134"/>
      <c r="W39" s="134"/>
      <c r="X39" s="134"/>
      <c r="Y39" s="134"/>
      <c r="Z39" s="134"/>
      <c r="AA39" s="134">
        <f t="shared" si="1"/>
        <v>0</v>
      </c>
      <c r="AB39" s="138" t="str">
        <f t="shared" si="2"/>
        <v/>
      </c>
      <c r="AC39" s="136"/>
      <c r="AD39" s="134"/>
      <c r="AE39" s="138" t="str">
        <f t="shared" si="3"/>
        <v/>
      </c>
      <c r="AF39" s="137">
        <f t="shared" si="4"/>
        <v>0</v>
      </c>
      <c r="AG39" s="134"/>
      <c r="AH39" s="138" t="str">
        <f t="shared" si="5"/>
        <v/>
      </c>
      <c r="AI39" s="137">
        <f t="shared" si="6"/>
        <v>0</v>
      </c>
      <c r="AJ39" s="458">
        <f t="shared" si="7"/>
        <v>0</v>
      </c>
      <c r="AK39" s="459">
        <f t="shared" si="8"/>
        <v>0</v>
      </c>
      <c r="AL39" s="460">
        <f t="shared" si="9"/>
        <v>0</v>
      </c>
      <c r="AM39" s="461">
        <f t="shared" si="10"/>
        <v>0</v>
      </c>
      <c r="AN39" s="462">
        <f t="shared" si="11"/>
        <v>0</v>
      </c>
      <c r="AO39" s="11"/>
    </row>
    <row r="40" spans="1:41" x14ac:dyDescent="0.25">
      <c r="A40" s="11" t="s">
        <v>108</v>
      </c>
      <c r="B40" s="11"/>
      <c r="C40" s="102" t="s">
        <v>101</v>
      </c>
      <c r="D40" s="11" t="s">
        <v>106</v>
      </c>
      <c r="E40" s="11"/>
      <c r="F40" s="11" t="s">
        <v>98</v>
      </c>
      <c r="G40" s="11"/>
      <c r="H40" s="84" t="s">
        <v>527</v>
      </c>
      <c r="I40" s="118" t="str">
        <f>IF(_epmOfflineCondition_,"T4",_xll.EVPRO($B$1,$H40,"STYLE"))</f>
        <v>T4</v>
      </c>
      <c r="J40" s="118" t="str">
        <f>IF(_epmOfflineCondition_,"Y",_xll.EVPRO($B$1,$H40,"CALC"))</f>
        <v>Y</v>
      </c>
      <c r="K40" s="175" t="str">
        <f t="shared" si="0"/>
        <v>&gt;</v>
      </c>
      <c r="L40" s="86" t="str">
        <f>IF(_epmOfflineCondition_,"",_xll.EVPRO($B$1,H40,"JDEID"))</f>
        <v/>
      </c>
      <c r="M40" s="86" t="str">
        <f>IF(_epmOfflineCondition_,"",IF(AND(I40="N",J40="N"),_xll.EVPRO($B$1,H40,"PSFTID"),""))</f>
        <v/>
      </c>
      <c r="N40" s="86" t="str">
        <f>IF(_epmOfflineCondition_,"Other Property &amp; Equipment",IF(_xll.EVDES(H40,$B$1)="#NODATA","",_xll.EVDES(H40,$B$1)))</f>
        <v>Other Property &amp; Equipment</v>
      </c>
      <c r="O40" s="228">
        <v>721.81</v>
      </c>
      <c r="P40" s="228">
        <v>834.55</v>
      </c>
      <c r="Q40" s="228">
        <v>685.8</v>
      </c>
      <c r="R40" s="228">
        <v>580.75</v>
      </c>
      <c r="S40" s="228">
        <v>697.2</v>
      </c>
      <c r="T40" s="228">
        <v>917.23</v>
      </c>
      <c r="U40" s="228">
        <v>1346.39</v>
      </c>
      <c r="V40" s="228">
        <v>453.5</v>
      </c>
      <c r="W40" s="228">
        <v>386.07</v>
      </c>
      <c r="X40" s="228">
        <v>2287.23</v>
      </c>
      <c r="Y40" s="228">
        <v>814.51</v>
      </c>
      <c r="Z40" s="228">
        <v>994.02</v>
      </c>
      <c r="AA40" s="228">
        <f t="shared" si="1"/>
        <v>10719.060000000001</v>
      </c>
      <c r="AB40" s="230">
        <f t="shared" si="2"/>
        <v>1.2782104728076222E-3</v>
      </c>
      <c r="AC40" s="136"/>
      <c r="AD40" s="228">
        <v>20714</v>
      </c>
      <c r="AE40" s="230">
        <f t="shared" si="3"/>
        <v>1.5875949266731994E-3</v>
      </c>
      <c r="AF40" s="231">
        <f t="shared" si="4"/>
        <v>-9994.9399999999987</v>
      </c>
      <c r="AG40" s="228">
        <v>7228.74</v>
      </c>
      <c r="AH40" s="230">
        <f t="shared" si="5"/>
        <v>2.2183106251507344E-3</v>
      </c>
      <c r="AI40" s="231">
        <f t="shared" si="6"/>
        <v>3490.3200000000015</v>
      </c>
      <c r="AJ40" s="467">
        <f t="shared" si="7"/>
        <v>0.22247945205479455</v>
      </c>
      <c r="AK40" s="468">
        <f t="shared" si="8"/>
        <v>0.42992943129929434</v>
      </c>
      <c r="AL40" s="469">
        <f t="shared" si="9"/>
        <v>0.19405492470000804</v>
      </c>
      <c r="AM40" s="470" t="str">
        <f t="shared" si="10"/>
        <v>-0.03 pts.</v>
      </c>
      <c r="AN40" s="471" t="str">
        <f t="shared" si="11"/>
        <v>-0.09 pts.</v>
      </c>
      <c r="AO40" s="11"/>
    </row>
    <row r="41" spans="1:41" x14ac:dyDescent="0.25">
      <c r="A41" s="11" t="s">
        <v>108</v>
      </c>
      <c r="B41" s="11"/>
      <c r="C41" s="105" t="s">
        <v>101</v>
      </c>
      <c r="D41" s="11" t="s">
        <v>107</v>
      </c>
      <c r="E41" s="11"/>
      <c r="F41" s="11" t="s">
        <v>99</v>
      </c>
      <c r="G41" s="11"/>
      <c r="H41" s="181" t="s">
        <v>520</v>
      </c>
      <c r="I41" s="184" t="str">
        <f>IF(_epmOfflineCondition_,"T3",_xll.EVPRO($B$1,$H41,"STYLE"))</f>
        <v>T3</v>
      </c>
      <c r="J41" s="184" t="str">
        <f>IF(_epmOfflineCondition_,"Y",_xll.EVPRO($B$1,$H41,"CALC"))</f>
        <v>Y</v>
      </c>
      <c r="K41" s="185" t="str">
        <f t="shared" si="0"/>
        <v/>
      </c>
      <c r="L41" s="186" t="str">
        <f>IF(_epmOfflineCondition_,"",_xll.EVPRO($B$1,H41,"JDEID"))</f>
        <v/>
      </c>
      <c r="M41" s="186" t="str">
        <f>IF(_epmOfflineCondition_,"",IF(AND(I41="N",J41="N"),_xll.EVPRO($B$1,H41,"PSFTID"),""))</f>
        <v/>
      </c>
      <c r="N41" s="186" t="str">
        <f>IF(_epmOfflineCondition_,"Total Rent",IF(_xll.EVDES(H41,$B$1)="#NODATA","",_xll.EVDES(H41,$B$1)))</f>
        <v>Total Rent</v>
      </c>
      <c r="O41" s="146">
        <v>721.81</v>
      </c>
      <c r="P41" s="146">
        <v>834.55</v>
      </c>
      <c r="Q41" s="146">
        <v>685.8</v>
      </c>
      <c r="R41" s="146">
        <v>580.75</v>
      </c>
      <c r="S41" s="146">
        <v>697.2</v>
      </c>
      <c r="T41" s="146">
        <v>917.23</v>
      </c>
      <c r="U41" s="146">
        <v>1346.39</v>
      </c>
      <c r="V41" s="146">
        <v>453.5</v>
      </c>
      <c r="W41" s="146">
        <v>386.07</v>
      </c>
      <c r="X41" s="146">
        <v>2287.23</v>
      </c>
      <c r="Y41" s="146">
        <v>814.51</v>
      </c>
      <c r="Z41" s="146">
        <v>994.02</v>
      </c>
      <c r="AA41" s="146">
        <f t="shared" si="1"/>
        <v>10719.060000000001</v>
      </c>
      <c r="AB41" s="147">
        <f t="shared" si="2"/>
        <v>1.2782104728076222E-3</v>
      </c>
      <c r="AC41" s="251"/>
      <c r="AD41" s="146">
        <v>20714</v>
      </c>
      <c r="AE41" s="147">
        <f t="shared" si="3"/>
        <v>1.5875949266731994E-3</v>
      </c>
      <c r="AF41" s="148">
        <f t="shared" si="4"/>
        <v>-9994.9399999999987</v>
      </c>
      <c r="AG41" s="146">
        <v>7228.74</v>
      </c>
      <c r="AH41" s="147">
        <f t="shared" si="5"/>
        <v>2.2183106251507344E-3</v>
      </c>
      <c r="AI41" s="148">
        <f t="shared" si="6"/>
        <v>3490.3200000000015</v>
      </c>
      <c r="AJ41" s="206">
        <f t="shared" si="7"/>
        <v>0.22247945205479455</v>
      </c>
      <c r="AK41" s="207">
        <f t="shared" si="8"/>
        <v>0.42992943129929434</v>
      </c>
      <c r="AL41" s="209">
        <f t="shared" si="9"/>
        <v>0.19405492470000804</v>
      </c>
      <c r="AM41" s="429" t="str">
        <f t="shared" si="10"/>
        <v>-0.03 pts.</v>
      </c>
      <c r="AN41" s="591" t="str">
        <f t="shared" si="11"/>
        <v>-0.09 pts.</v>
      </c>
      <c r="AO41" s="11"/>
    </row>
    <row r="42" spans="1:41" x14ac:dyDescent="0.25">
      <c r="A42" s="11"/>
      <c r="B42" s="11"/>
      <c r="C42" s="11"/>
      <c r="D42" s="11"/>
      <c r="E42" s="11"/>
      <c r="F42" s="11"/>
      <c r="G42" s="11"/>
      <c r="H42" s="181" t="s">
        <v>546</v>
      </c>
      <c r="I42" s="584" t="str">
        <f>IF(_epmOfflineCondition_,"B1",_xll.EVPRO($B$1,$H42,"STYLE"))</f>
        <v>B1</v>
      </c>
      <c r="J42" s="584" t="str">
        <f>IF(_epmOfflineCondition_,"Y",_xll.EVPRO($B$1,$H42,"CALC"))</f>
        <v>Y</v>
      </c>
      <c r="K42" s="585" t="str">
        <f t="shared" si="0"/>
        <v/>
      </c>
      <c r="L42" s="585" t="str">
        <f>IF(_epmOfflineCondition_,"",_xll.EVPRO($B$1,H42,"JDEID"))</f>
        <v/>
      </c>
      <c r="M42" s="585" t="str">
        <f>IF(_epmOfflineCondition_,"",IF(AND(I42="N",J42="N"),_xll.EVPRO($B$1,H42,"PSFTID"),""))</f>
        <v/>
      </c>
      <c r="N42" s="585" t="str">
        <f>IF(_epmOfflineCondition_,"Property &amp; Other Taxes",IF(_xll.EVDES(H42,$B$1)="#NODATA","",_xll.EVDES(H42,$B$1)))</f>
        <v>Property &amp; Other Taxes</v>
      </c>
      <c r="O42" s="134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 t="str">
        <f t="shared" si="1"/>
        <v/>
      </c>
      <c r="AB42" s="138" t="str">
        <f t="shared" si="2"/>
        <v/>
      </c>
      <c r="AC42" s="136"/>
      <c r="AD42" s="134"/>
      <c r="AE42" s="138" t="str">
        <f t="shared" si="3"/>
        <v/>
      </c>
      <c r="AF42" s="137" t="str">
        <f t="shared" si="4"/>
        <v/>
      </c>
      <c r="AG42" s="134"/>
      <c r="AH42" s="138" t="str">
        <f t="shared" si="5"/>
        <v/>
      </c>
      <c r="AI42" s="137" t="str">
        <f t="shared" si="6"/>
        <v/>
      </c>
      <c r="AJ42" s="458">
        <f t="shared" si="7"/>
        <v>0</v>
      </c>
      <c r="AK42" s="459">
        <f t="shared" si="8"/>
        <v>0</v>
      </c>
      <c r="AL42" s="460">
        <f t="shared" si="9"/>
        <v>0</v>
      </c>
      <c r="AM42" s="461">
        <f t="shared" si="10"/>
        <v>0</v>
      </c>
      <c r="AN42" s="462">
        <f t="shared" si="11"/>
        <v>0</v>
      </c>
      <c r="AO42" s="11"/>
    </row>
    <row r="43" spans="1:41" x14ac:dyDescent="0.25">
      <c r="A43" s="11"/>
      <c r="B43" s="11"/>
      <c r="C43" s="204"/>
      <c r="D43" s="11"/>
      <c r="E43" s="11"/>
      <c r="F43" s="11"/>
      <c r="G43" s="11"/>
      <c r="H43" s="181" t="s">
        <v>528</v>
      </c>
      <c r="I43" s="118" t="str">
        <f>IF(_epmOfflineCondition_,"N",_xll.EVPRO($B$1,$H43,"STYLE"))</f>
        <v>N</v>
      </c>
      <c r="J43" s="118" t="str">
        <f>IF(_epmOfflineCondition_,"N",_xll.EVPRO($B$1,$H43,"CALC"))</f>
        <v>N</v>
      </c>
      <c r="K43" s="175" t="str">
        <f t="shared" si="0"/>
        <v/>
      </c>
      <c r="L43" s="86" t="str">
        <f>IF(_epmOfflineCondition_,"752100",_xll.EVPRO($B$1,H43,"JDEID"))</f>
        <v>752100</v>
      </c>
      <c r="M43" s="86" t="str">
        <f>IF(_epmOfflineCondition_,"790145",IF(AND(I43="N",J43="N"),_xll.EVPRO($B$1,H43,"PSFTID"),""))</f>
        <v>790145</v>
      </c>
      <c r="N43" s="86" t="str">
        <f>IF(_epmOfflineCondition_,"Real Estate Taxes",IF(_xll.EVDES(H43,$B$1)="#NODATA","",_xll.EVDES(H43,$B$1)))</f>
        <v>Real Estate Taxes</v>
      </c>
      <c r="O43" s="134">
        <v>32167</v>
      </c>
      <c r="P43" s="134">
        <v>32167</v>
      </c>
      <c r="Q43" s="134">
        <v>32167</v>
      </c>
      <c r="R43" s="134">
        <v>32167</v>
      </c>
      <c r="S43" s="134">
        <v>29367</v>
      </c>
      <c r="T43" s="134">
        <v>32167</v>
      </c>
      <c r="U43" s="134">
        <v>32167</v>
      </c>
      <c r="V43" s="134">
        <v>32167</v>
      </c>
      <c r="W43" s="134">
        <v>32167</v>
      </c>
      <c r="X43" s="134">
        <v>32167</v>
      </c>
      <c r="Y43" s="134">
        <v>65004.32</v>
      </c>
      <c r="Z43" s="134">
        <v>35152.21</v>
      </c>
      <c r="AA43" s="134">
        <f t="shared" si="1"/>
        <v>419026.53</v>
      </c>
      <c r="AB43" s="138">
        <f t="shared" si="2"/>
        <v>4.9967450413584517E-2</v>
      </c>
      <c r="AC43" s="136"/>
      <c r="AD43" s="134">
        <v>386000.04</v>
      </c>
      <c r="AE43" s="138">
        <f t="shared" si="3"/>
        <v>2.9584421415451E-2</v>
      </c>
      <c r="AF43" s="137">
        <f t="shared" si="4"/>
        <v>33026.490000000049</v>
      </c>
      <c r="AG43" s="134">
        <v>188469.11</v>
      </c>
      <c r="AH43" s="138">
        <f t="shared" si="5"/>
        <v>5.78362244631433E-2</v>
      </c>
      <c r="AI43" s="137">
        <f t="shared" si="6"/>
        <v>230557.42000000004</v>
      </c>
      <c r="AJ43" s="458">
        <f t="shared" si="7"/>
        <v>8.6971052303860521</v>
      </c>
      <c r="AK43" s="459">
        <f t="shared" si="8"/>
        <v>8.0116239103362386</v>
      </c>
      <c r="AL43" s="460">
        <f t="shared" si="9"/>
        <v>5.0594375989906304</v>
      </c>
      <c r="AM43" s="461" t="str">
        <f t="shared" si="10"/>
        <v>2.04 pts.</v>
      </c>
      <c r="AN43" s="462" t="str">
        <f t="shared" si="11"/>
        <v>-0.79 pts.</v>
      </c>
      <c r="AO43" s="11"/>
    </row>
    <row r="44" spans="1:41" x14ac:dyDescent="0.25">
      <c r="A44" s="57" t="s">
        <v>23</v>
      </c>
      <c r="B44" s="58" t="s">
        <v>24</v>
      </c>
      <c r="C44" s="11"/>
      <c r="D44" s="11"/>
      <c r="E44" s="11"/>
      <c r="F44" s="11"/>
      <c r="G44" s="11"/>
      <c r="H44" s="181" t="s">
        <v>529</v>
      </c>
      <c r="I44" s="118" t="str">
        <f>IF(_epmOfflineCondition_,"N",_xll.EVPRO($B$1,$H44,"STYLE"))</f>
        <v>N</v>
      </c>
      <c r="J44" s="118" t="str">
        <f>IF(_epmOfflineCondition_,"N",_xll.EVPRO($B$1,$H44,"CALC"))</f>
        <v>N</v>
      </c>
      <c r="K44" s="175" t="str">
        <f t="shared" si="0"/>
        <v/>
      </c>
      <c r="L44" s="86" t="str">
        <f>IF(_epmOfflineCondition_,"752200",_xll.EVPRO($B$1,H44,"JDEID"))</f>
        <v>752200</v>
      </c>
      <c r="M44" s="86" t="str">
        <f>IF(_epmOfflineCondition_,"790150",IF(AND(I44="N",J44="N"),_xll.EVPRO($B$1,H44,"PSFTID"),""))</f>
        <v>790150</v>
      </c>
      <c r="N44" s="86" t="str">
        <f>IF(_epmOfflineCondition_,"Personal Property Taxes",IF(_xll.EVDES(H44,$B$1)="#NODATA","",_xll.EVDES(H44,$B$1)))</f>
        <v>Personal Property Taxes</v>
      </c>
      <c r="O44" s="134">
        <v>2506</v>
      </c>
      <c r="P44" s="134">
        <v>2506</v>
      </c>
      <c r="Q44" s="134">
        <v>2506</v>
      </c>
      <c r="R44" s="134">
        <v>2506</v>
      </c>
      <c r="S44" s="134">
        <v>2506</v>
      </c>
      <c r="T44" s="134">
        <v>2506</v>
      </c>
      <c r="U44" s="134">
        <v>2506</v>
      </c>
      <c r="V44" s="134">
        <v>3256</v>
      </c>
      <c r="W44" s="134">
        <v>2506</v>
      </c>
      <c r="X44" s="134">
        <v>2506</v>
      </c>
      <c r="Y44" s="134">
        <v>42526.14</v>
      </c>
      <c r="Z44" s="134">
        <v>40020.14</v>
      </c>
      <c r="AA44" s="134">
        <f t="shared" si="1"/>
        <v>108356.28</v>
      </c>
      <c r="AB44" s="138">
        <f t="shared" si="2"/>
        <v>1.2921107997387372E-2</v>
      </c>
      <c r="AC44" s="136"/>
      <c r="AD44" s="134">
        <v>30072</v>
      </c>
      <c r="AE44" s="138">
        <f t="shared" si="3"/>
        <v>2.3048254627264873E-3</v>
      </c>
      <c r="AF44" s="137">
        <f t="shared" si="4"/>
        <v>78284.28</v>
      </c>
      <c r="AG44" s="134">
        <v>11573.69</v>
      </c>
      <c r="AH44" s="138">
        <f t="shared" si="5"/>
        <v>3.5516617694371084E-3</v>
      </c>
      <c r="AI44" s="137">
        <f t="shared" si="6"/>
        <v>96782.59</v>
      </c>
      <c r="AJ44" s="458">
        <f t="shared" si="7"/>
        <v>2.2489887920298881</v>
      </c>
      <c r="AK44" s="459">
        <f t="shared" si="8"/>
        <v>0.62415940224159405</v>
      </c>
      <c r="AL44" s="460">
        <f t="shared" si="9"/>
        <v>0.31069474644975975</v>
      </c>
      <c r="AM44" s="461" t="str">
        <f t="shared" si="10"/>
        <v>1.06 pts.</v>
      </c>
      <c r="AN44" s="462" t="str">
        <f t="shared" si="11"/>
        <v>0.94 pts.</v>
      </c>
      <c r="AO44" s="11"/>
    </row>
    <row r="45" spans="1:41" x14ac:dyDescent="0.25">
      <c r="A45" s="61" t="s">
        <v>25</v>
      </c>
      <c r="B45" s="62"/>
      <c r="C45" s="11"/>
      <c r="D45" s="11"/>
      <c r="E45" s="11"/>
      <c r="F45" s="11"/>
      <c r="G45" s="11"/>
      <c r="H45" s="84" t="s">
        <v>530</v>
      </c>
      <c r="I45" s="118" t="str">
        <f>IF(_epmOfflineCondition_,"N",_xll.EVPRO($B$1,$H45,"STYLE"))</f>
        <v>N</v>
      </c>
      <c r="J45" s="118" t="str">
        <f>IF(_epmOfflineCondition_,"N",_xll.EVPRO($B$1,$H45,"CALC"))</f>
        <v>N</v>
      </c>
      <c r="K45" s="175" t="str">
        <f t="shared" si="0"/>
        <v/>
      </c>
      <c r="L45" s="86" t="str">
        <f>IF(_epmOfflineCondition_,"752300",_xll.EVPRO($B$1,H45,"JDEID"))</f>
        <v>752300</v>
      </c>
      <c r="M45" s="86" t="str">
        <f>IF(_epmOfflineCondition_,"790160",IF(AND(I45="N",J45="N"),_xll.EVPRO($B$1,H45,"PSFTID"),""))</f>
        <v>790160</v>
      </c>
      <c r="N45" s="86" t="str">
        <f>IF(_epmOfflineCondition_,"Business &amp; Occupation Taxes",IF(_xll.EVDES(H45,$B$1)="#NODATA","",_xll.EVDES(H45,$B$1)))</f>
        <v>Business &amp; Occupation Taxes</v>
      </c>
      <c r="O45" s="134"/>
      <c r="P45" s="134"/>
      <c r="Q45" s="134"/>
      <c r="R45" s="134">
        <v>19389.2</v>
      </c>
      <c r="S45" s="134"/>
      <c r="T45" s="134"/>
      <c r="U45" s="134"/>
      <c r="V45" s="134"/>
      <c r="W45" s="134">
        <v>630</v>
      </c>
      <c r="X45" s="134"/>
      <c r="Y45" s="134"/>
      <c r="Z45" s="134"/>
      <c r="AA45" s="134">
        <f t="shared" si="1"/>
        <v>20019.2</v>
      </c>
      <c r="AB45" s="138">
        <f t="shared" si="2"/>
        <v>2.3872196906473465E-3</v>
      </c>
      <c r="AC45" s="136"/>
      <c r="AD45" s="134"/>
      <c r="AE45" s="138" t="str">
        <f t="shared" si="3"/>
        <v/>
      </c>
      <c r="AF45" s="137">
        <f t="shared" si="4"/>
        <v>20019.2</v>
      </c>
      <c r="AG45" s="134">
        <v>0</v>
      </c>
      <c r="AH45" s="138" t="str">
        <f t="shared" si="5"/>
        <v/>
      </c>
      <c r="AI45" s="137">
        <f t="shared" si="6"/>
        <v>20019.2</v>
      </c>
      <c r="AJ45" s="458">
        <f t="shared" si="7"/>
        <v>0.41550850975508513</v>
      </c>
      <c r="AK45" s="459">
        <f t="shared" si="8"/>
        <v>0</v>
      </c>
      <c r="AL45" s="460">
        <f t="shared" si="9"/>
        <v>0</v>
      </c>
      <c r="AM45" s="461">
        <f t="shared" si="10"/>
        <v>0</v>
      </c>
      <c r="AN45" s="462">
        <f t="shared" si="11"/>
        <v>0</v>
      </c>
      <c r="AO45" s="11"/>
    </row>
    <row r="46" spans="1:41" x14ac:dyDescent="0.25">
      <c r="A46" s="61" t="s">
        <v>26</v>
      </c>
      <c r="B46" s="62"/>
      <c r="C46" s="11"/>
      <c r="D46" s="11"/>
      <c r="E46" s="11"/>
      <c r="F46" s="11"/>
      <c r="G46" s="11"/>
      <c r="H46" s="181" t="s">
        <v>531</v>
      </c>
      <c r="I46" s="118" t="str">
        <f>IF(_epmOfflineCondition_,"N",_xll.EVPRO($B$1,$H46,"STYLE"))</f>
        <v>N</v>
      </c>
      <c r="J46" s="118" t="str">
        <f>IF(_epmOfflineCondition_,"N",_xll.EVPRO($B$1,$H46,"CALC"))</f>
        <v>N</v>
      </c>
      <c r="K46" s="175" t="str">
        <f t="shared" si="0"/>
        <v/>
      </c>
      <c r="L46" s="86" t="str">
        <f>IF(_epmOfflineCondition_,"752400",_xll.EVPRO($B$1,H46,"JDEID"))</f>
        <v>752400</v>
      </c>
      <c r="M46" s="86" t="str">
        <f>IF(_epmOfflineCondition_,"790160",IF(AND(I46="N",J46="N"),_xll.EVPRO($B$1,H46,"PSFTID"),""))</f>
        <v>790160</v>
      </c>
      <c r="N46" s="86" t="str">
        <f>IF(_epmOfflineCondition_,"Other Taxes &amp; Assesments",IF(_xll.EVDES(H46,$B$1)="#NODATA","",_xll.EVDES(H46,$B$1)))</f>
        <v>Other Taxes &amp; Assesments</v>
      </c>
      <c r="O46" s="228"/>
      <c r="P46" s="228"/>
      <c r="Q46" s="228"/>
      <c r="R46" s="228"/>
      <c r="S46" s="228"/>
      <c r="T46" s="228"/>
      <c r="U46" s="228"/>
      <c r="V46" s="228"/>
      <c r="W46" s="228"/>
      <c r="X46" s="228"/>
      <c r="Y46" s="228"/>
      <c r="Z46" s="228"/>
      <c r="AA46" s="228">
        <f t="shared" si="1"/>
        <v>0</v>
      </c>
      <c r="AB46" s="230" t="str">
        <f t="shared" si="2"/>
        <v/>
      </c>
      <c r="AC46" s="136"/>
      <c r="AD46" s="228"/>
      <c r="AE46" s="230" t="str">
        <f t="shared" si="3"/>
        <v/>
      </c>
      <c r="AF46" s="231">
        <f t="shared" si="4"/>
        <v>0</v>
      </c>
      <c r="AG46" s="228"/>
      <c r="AH46" s="230" t="str">
        <f t="shared" si="5"/>
        <v/>
      </c>
      <c r="AI46" s="231">
        <f t="shared" si="6"/>
        <v>0</v>
      </c>
      <c r="AJ46" s="467">
        <f t="shared" si="7"/>
        <v>0</v>
      </c>
      <c r="AK46" s="468">
        <f t="shared" si="8"/>
        <v>0</v>
      </c>
      <c r="AL46" s="469">
        <f t="shared" si="9"/>
        <v>0</v>
      </c>
      <c r="AM46" s="470">
        <f t="shared" si="10"/>
        <v>0</v>
      </c>
      <c r="AN46" s="471">
        <f t="shared" si="11"/>
        <v>0</v>
      </c>
      <c r="AO46" s="11"/>
    </row>
    <row r="47" spans="1:41" x14ac:dyDescent="0.25">
      <c r="A47" s="61" t="s">
        <v>27</v>
      </c>
      <c r="B47" s="62"/>
      <c r="C47" s="11"/>
      <c r="D47" s="11"/>
      <c r="E47" s="11"/>
      <c r="F47" s="11"/>
      <c r="G47" s="11"/>
      <c r="H47" s="181" t="s">
        <v>521</v>
      </c>
      <c r="I47" s="184" t="str">
        <f>IF(_epmOfflineCondition_,"T3",_xll.EVPRO($B$1,$H47,"STYLE"))</f>
        <v>T3</v>
      </c>
      <c r="J47" s="184" t="str">
        <f>IF(_epmOfflineCondition_,"Y",_xll.EVPRO($B$1,$H47,"CALC"))</f>
        <v>Y</v>
      </c>
      <c r="K47" s="185" t="str">
        <f t="shared" si="0"/>
        <v/>
      </c>
      <c r="L47" s="186" t="str">
        <f>IF(_epmOfflineCondition_,"",_xll.EVPRO($B$1,H47,"JDEID"))</f>
        <v/>
      </c>
      <c r="M47" s="186" t="str">
        <f>IF(_epmOfflineCondition_,"",IF(AND(I47="N",J47="N"),_xll.EVPRO($B$1,H47,"PSFTID"),""))</f>
        <v/>
      </c>
      <c r="N47" s="186" t="str">
        <f>IF(_epmOfflineCondition_,"Total Property &amp; Other Taxes",IF(_xll.EVDES(H47,$B$1)="#NODATA","",_xll.EVDES(H47,$B$1)))</f>
        <v>Total Property &amp; Other Taxes</v>
      </c>
      <c r="O47" s="146">
        <v>34673</v>
      </c>
      <c r="P47" s="146">
        <v>34673</v>
      </c>
      <c r="Q47" s="146">
        <v>34673</v>
      </c>
      <c r="R47" s="146">
        <v>54062.2</v>
      </c>
      <c r="S47" s="146">
        <v>31873</v>
      </c>
      <c r="T47" s="146">
        <v>34673</v>
      </c>
      <c r="U47" s="146">
        <v>34673</v>
      </c>
      <c r="V47" s="146">
        <v>35423</v>
      </c>
      <c r="W47" s="146">
        <v>35303</v>
      </c>
      <c r="X47" s="146">
        <v>34673</v>
      </c>
      <c r="Y47" s="146">
        <v>107530.46</v>
      </c>
      <c r="Z47" s="146">
        <v>75172.350000000006</v>
      </c>
      <c r="AA47" s="146">
        <f t="shared" si="1"/>
        <v>547402.01</v>
      </c>
      <c r="AB47" s="147">
        <f t="shared" si="2"/>
        <v>6.5275778101619233E-2</v>
      </c>
      <c r="AC47" s="251"/>
      <c r="AD47" s="146">
        <v>416072.04</v>
      </c>
      <c r="AE47" s="147">
        <f t="shared" si="3"/>
        <v>3.1889246878177485E-2</v>
      </c>
      <c r="AF47" s="148">
        <f t="shared" si="4"/>
        <v>131329.97000000003</v>
      </c>
      <c r="AG47" s="146">
        <v>200042.8</v>
      </c>
      <c r="AH47" s="147">
        <f t="shared" si="5"/>
        <v>6.1387886232580409E-2</v>
      </c>
      <c r="AI47" s="148">
        <f t="shared" si="6"/>
        <v>347359.21</v>
      </c>
      <c r="AJ47" s="206">
        <f t="shared" si="7"/>
        <v>11.361602532171025</v>
      </c>
      <c r="AK47" s="207">
        <f t="shared" si="8"/>
        <v>8.635783312577832</v>
      </c>
      <c r="AL47" s="209">
        <f t="shared" si="9"/>
        <v>5.3701323454403909</v>
      </c>
      <c r="AM47" s="429" t="str">
        <f t="shared" si="10"/>
        <v>3.34 pts.</v>
      </c>
      <c r="AN47" s="591" t="str">
        <f t="shared" si="11"/>
        <v>0.39 pts.</v>
      </c>
      <c r="AO47" s="11"/>
    </row>
    <row r="48" spans="1:41" x14ac:dyDescent="0.25">
      <c r="A48" s="61" t="s">
        <v>28</v>
      </c>
      <c r="B48" s="62"/>
      <c r="C48" s="11"/>
      <c r="D48" s="11"/>
      <c r="E48" s="11"/>
      <c r="F48" s="11"/>
      <c r="G48" s="11"/>
      <c r="H48" s="181" t="s">
        <v>550</v>
      </c>
      <c r="I48" s="584" t="str">
        <f>IF(_epmOfflineCondition_,"B1",_xll.EVPRO($B$1,$H48,"STYLE"))</f>
        <v>B1</v>
      </c>
      <c r="J48" s="584" t="str">
        <f>IF(_epmOfflineCondition_,"Y",_xll.EVPRO($B$1,$H48,"CALC"))</f>
        <v>Y</v>
      </c>
      <c r="K48" s="585" t="str">
        <f t="shared" si="0"/>
        <v/>
      </c>
      <c r="L48" s="585" t="str">
        <f>IF(_epmOfflineCondition_,"",_xll.EVPRO($B$1,H48,"JDEID"))</f>
        <v/>
      </c>
      <c r="M48" s="585" t="str">
        <f>IF(_epmOfflineCondition_,"",IF(AND(I48="N",J48="N"),_xll.EVPRO($B$1,H48,"PSFTID"),""))</f>
        <v/>
      </c>
      <c r="N48" s="585" t="str">
        <f>IF(_epmOfflineCondition_,"Insurance",IF(_xll.EVDES(H48,$B$1)="#NODATA","",_xll.EVDES(H48,$B$1)))</f>
        <v>Insurance</v>
      </c>
      <c r="O48" s="134"/>
      <c r="P48" s="134"/>
      <c r="Q48" s="134"/>
      <c r="R48" s="134"/>
      <c r="S48" s="134"/>
      <c r="T48" s="134"/>
      <c r="U48" s="134"/>
      <c r="V48" s="134"/>
      <c r="W48" s="134"/>
      <c r="X48" s="134"/>
      <c r="Y48" s="134"/>
      <c r="Z48" s="134"/>
      <c r="AA48" s="134" t="str">
        <f t="shared" si="1"/>
        <v/>
      </c>
      <c r="AB48" s="138" t="str">
        <f t="shared" si="2"/>
        <v/>
      </c>
      <c r="AC48" s="136"/>
      <c r="AD48" s="134"/>
      <c r="AE48" s="138" t="str">
        <f t="shared" si="3"/>
        <v/>
      </c>
      <c r="AF48" s="137" t="str">
        <f t="shared" si="4"/>
        <v/>
      </c>
      <c r="AG48" s="134"/>
      <c r="AH48" s="138" t="str">
        <f t="shared" si="5"/>
        <v/>
      </c>
      <c r="AI48" s="137" t="str">
        <f t="shared" si="6"/>
        <v/>
      </c>
      <c r="AJ48" s="458">
        <f t="shared" si="7"/>
        <v>0</v>
      </c>
      <c r="AK48" s="459">
        <f t="shared" si="8"/>
        <v>0</v>
      </c>
      <c r="AL48" s="460">
        <f t="shared" si="9"/>
        <v>0</v>
      </c>
      <c r="AM48" s="461">
        <f t="shared" si="10"/>
        <v>0</v>
      </c>
      <c r="AN48" s="462">
        <f t="shared" si="11"/>
        <v>0</v>
      </c>
      <c r="AO48" s="11"/>
    </row>
    <row r="49" spans="1:41" x14ac:dyDescent="0.25">
      <c r="A49" s="61" t="s">
        <v>29</v>
      </c>
      <c r="B49" s="62"/>
      <c r="C49" s="11"/>
      <c r="D49" s="11"/>
      <c r="E49" s="11"/>
      <c r="F49" s="11"/>
      <c r="G49" s="11"/>
      <c r="H49" s="84" t="s">
        <v>532</v>
      </c>
      <c r="I49" s="118" t="str">
        <f>IF(_epmOfflineCondition_,"T4",_xll.EVPRO($B$1,$H49,"STYLE"))</f>
        <v>T4</v>
      </c>
      <c r="J49" s="118" t="str">
        <f>IF(_epmOfflineCondition_,"Y",_xll.EVPRO($B$1,$H49,"CALC"))</f>
        <v>Y</v>
      </c>
      <c r="K49" s="175" t="str">
        <f t="shared" si="0"/>
        <v>&gt;</v>
      </c>
      <c r="L49" s="86" t="str">
        <f>IF(_epmOfflineCondition_,"751100",_xll.EVPRO($B$1,H49,"JDEID"))</f>
        <v>751100</v>
      </c>
      <c r="M49" s="86" t="str">
        <f>IF(_epmOfflineCondition_,"",IF(AND(I49="N",J49="N"),_xll.EVPRO($B$1,H49,"PSFTID"),""))</f>
        <v/>
      </c>
      <c r="N49" s="86" t="str">
        <f>IF(_epmOfflineCondition_,"Earthquake - Insurance",IF(_xll.EVDES(H49,$B$1)="#NODATA","",_xll.EVDES(H49,$B$1)))</f>
        <v>Earthquake - Insurance</v>
      </c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  <c r="AA49" s="134">
        <f t="shared" si="1"/>
        <v>0</v>
      </c>
      <c r="AB49" s="138" t="str">
        <f t="shared" si="2"/>
        <v/>
      </c>
      <c r="AC49" s="136"/>
      <c r="AD49" s="134"/>
      <c r="AE49" s="138" t="str">
        <f t="shared" si="3"/>
        <v/>
      </c>
      <c r="AF49" s="137">
        <f t="shared" si="4"/>
        <v>0</v>
      </c>
      <c r="AG49" s="134"/>
      <c r="AH49" s="138" t="str">
        <f t="shared" si="5"/>
        <v/>
      </c>
      <c r="AI49" s="137">
        <f t="shared" si="6"/>
        <v>0</v>
      </c>
      <c r="AJ49" s="458">
        <f t="shared" si="7"/>
        <v>0</v>
      </c>
      <c r="AK49" s="459">
        <f t="shared" si="8"/>
        <v>0</v>
      </c>
      <c r="AL49" s="460">
        <f t="shared" si="9"/>
        <v>0</v>
      </c>
      <c r="AM49" s="461">
        <f t="shared" si="10"/>
        <v>0</v>
      </c>
      <c r="AN49" s="462">
        <f t="shared" si="11"/>
        <v>0</v>
      </c>
      <c r="AO49" s="11"/>
    </row>
    <row r="50" spans="1:41" x14ac:dyDescent="0.25">
      <c r="A50" s="61" t="s">
        <v>30</v>
      </c>
      <c r="B50" s="62" t="s">
        <v>78</v>
      </c>
      <c r="C50" s="11"/>
      <c r="D50" s="11"/>
      <c r="E50" s="11"/>
      <c r="F50" s="11"/>
      <c r="G50" s="11"/>
      <c r="H50" s="84" t="s">
        <v>533</v>
      </c>
      <c r="I50" s="118" t="str">
        <f>IF(_epmOfflineCondition_,"T4",_xll.EVPRO($B$1,$H50,"STYLE"))</f>
        <v>T4</v>
      </c>
      <c r="J50" s="118" t="str">
        <f>IF(_epmOfflineCondition_,"Y",_xll.EVPRO($B$1,$H50,"CALC"))</f>
        <v>Y</v>
      </c>
      <c r="K50" s="175" t="str">
        <f t="shared" si="0"/>
        <v>&gt;</v>
      </c>
      <c r="L50" s="86" t="str">
        <f>IF(_epmOfflineCondition_,"751200",_xll.EVPRO($B$1,H50,"JDEID"))</f>
        <v>751200</v>
      </c>
      <c r="M50" s="86" t="str">
        <f>IF(_epmOfflineCondition_,"",IF(AND(I50="N",J50="N"),_xll.EVPRO($B$1,H50,"PSFTID"),""))</f>
        <v/>
      </c>
      <c r="N50" s="86" t="str">
        <f>IF(_epmOfflineCondition_,"Property Insurance",IF(_xll.EVDES(H50,$B$1)="#NODATA","",_xll.EVDES(H50,$B$1)))</f>
        <v>Property Insurance</v>
      </c>
      <c r="O50" s="134">
        <v>42154.35</v>
      </c>
      <c r="P50" s="134">
        <v>42154.35</v>
      </c>
      <c r="Q50" s="134">
        <v>42154.35</v>
      </c>
      <c r="R50" s="134">
        <v>42154.35</v>
      </c>
      <c r="S50" s="134">
        <v>42154.35</v>
      </c>
      <c r="T50" s="134">
        <v>42154.35</v>
      </c>
      <c r="U50" s="134">
        <v>42154.32</v>
      </c>
      <c r="V50" s="134">
        <v>51000</v>
      </c>
      <c r="W50" s="134">
        <v>51106.38</v>
      </c>
      <c r="X50" s="134">
        <v>51053.19</v>
      </c>
      <c r="Y50" s="134">
        <v>51053.2</v>
      </c>
      <c r="Z50" s="134">
        <v>51053.2</v>
      </c>
      <c r="AA50" s="134">
        <f t="shared" si="1"/>
        <v>550346.39</v>
      </c>
      <c r="AB50" s="138">
        <f t="shared" si="2"/>
        <v>6.562688513450507E-2</v>
      </c>
      <c r="AC50" s="136"/>
      <c r="AD50" s="134">
        <v>516390.79749999999</v>
      </c>
      <c r="AE50" s="138">
        <f t="shared" si="3"/>
        <v>3.9578034676630659E-2</v>
      </c>
      <c r="AF50" s="137">
        <f t="shared" si="4"/>
        <v>33955.592500000028</v>
      </c>
      <c r="AG50" s="134">
        <v>284876.09000000003</v>
      </c>
      <c r="AH50" s="138">
        <f t="shared" si="5"/>
        <v>8.7420996923170138E-2</v>
      </c>
      <c r="AI50" s="137">
        <f t="shared" si="6"/>
        <v>265470.3</v>
      </c>
      <c r="AJ50" s="458">
        <f t="shared" si="7"/>
        <v>11.422714611872147</v>
      </c>
      <c r="AK50" s="459">
        <f t="shared" si="8"/>
        <v>10.717949304690743</v>
      </c>
      <c r="AL50" s="460">
        <f t="shared" si="9"/>
        <v>7.6474749671149773</v>
      </c>
      <c r="AM50" s="461" t="str">
        <f t="shared" si="10"/>
        <v>2.6 pts.</v>
      </c>
      <c r="AN50" s="462" t="str">
        <f t="shared" si="11"/>
        <v>-2.18 pts.</v>
      </c>
      <c r="AO50" s="11"/>
    </row>
    <row r="51" spans="1:41" x14ac:dyDescent="0.25">
      <c r="A51" s="61" t="s">
        <v>31</v>
      </c>
      <c r="B51" s="62" t="s">
        <v>78</v>
      </c>
      <c r="C51" s="11"/>
      <c r="D51" s="11"/>
      <c r="E51" s="11"/>
      <c r="F51" s="11"/>
      <c r="G51" s="11"/>
      <c r="H51" s="84" t="s">
        <v>534</v>
      </c>
      <c r="I51" s="118" t="str">
        <f>IF(_epmOfflineCondition_,"T4",_xll.EVPRO($B$1,$H51,"STYLE"))</f>
        <v>T4</v>
      </c>
      <c r="J51" s="118" t="str">
        <f>IF(_epmOfflineCondition_,"Y",_xll.EVPRO($B$1,$H51,"CALC"))</f>
        <v>Y</v>
      </c>
      <c r="K51" s="175" t="str">
        <f t="shared" si="0"/>
        <v>&gt;</v>
      </c>
      <c r="L51" s="86" t="str">
        <f>IF(_epmOfflineCondition_,"751300",_xll.EVPRO($B$1,H51,"JDEID"))</f>
        <v>751300</v>
      </c>
      <c r="M51" s="86" t="str">
        <f>IF(_epmOfflineCondition_,"",IF(AND(I51="N",J51="N"),_xll.EVPRO($B$1,H51,"PSFTID"),""))</f>
        <v/>
      </c>
      <c r="N51" s="86" t="str">
        <f>IF(_epmOfflineCondition_,"Liability Insurance",IF(_xll.EVDES(H51,$B$1)="#NODATA","",_xll.EVDES(H51,$B$1)))</f>
        <v>Liability Insurance</v>
      </c>
      <c r="O51" s="134">
        <v>3690.16</v>
      </c>
      <c r="P51" s="134">
        <v>3690.17</v>
      </c>
      <c r="Q51" s="134">
        <v>3690.17</v>
      </c>
      <c r="R51" s="134">
        <v>4506.45</v>
      </c>
      <c r="S51" s="134">
        <v>4098.3100000000004</v>
      </c>
      <c r="T51" s="134">
        <v>3690</v>
      </c>
      <c r="U51" s="134">
        <v>3690</v>
      </c>
      <c r="V51" s="134">
        <v>3690</v>
      </c>
      <c r="W51" s="134">
        <v>10151.34</v>
      </c>
      <c r="X51" s="134">
        <v>5305.34</v>
      </c>
      <c r="Y51" s="134">
        <v>5305.36</v>
      </c>
      <c r="Z51" s="134">
        <v>5305.36</v>
      </c>
      <c r="AA51" s="134">
        <f t="shared" si="1"/>
        <v>56812.66</v>
      </c>
      <c r="AB51" s="138">
        <f t="shared" si="2"/>
        <v>6.7747113086463438E-3</v>
      </c>
      <c r="AC51" s="136"/>
      <c r="AD51" s="134">
        <v>46125</v>
      </c>
      <c r="AE51" s="138">
        <f t="shared" si="3"/>
        <v>3.535184705648418E-3</v>
      </c>
      <c r="AF51" s="137">
        <f t="shared" si="4"/>
        <v>10687.660000000003</v>
      </c>
      <c r="AG51" s="134">
        <v>32281.14</v>
      </c>
      <c r="AH51" s="138">
        <f t="shared" si="5"/>
        <v>9.9062348146396716E-3</v>
      </c>
      <c r="AI51" s="137">
        <f t="shared" si="6"/>
        <v>24531.520000000004</v>
      </c>
      <c r="AJ51" s="458">
        <f t="shared" si="7"/>
        <v>1.1791751764217517</v>
      </c>
      <c r="AK51" s="459">
        <f t="shared" si="8"/>
        <v>0.95734744707347452</v>
      </c>
      <c r="AL51" s="460">
        <f t="shared" si="9"/>
        <v>0.86658452122090679</v>
      </c>
      <c r="AM51" s="461" t="str">
        <f t="shared" si="10"/>
        <v>0.32 pts.</v>
      </c>
      <c r="AN51" s="462" t="str">
        <f t="shared" si="11"/>
        <v>-0.31 pts.</v>
      </c>
      <c r="AO51" s="11"/>
    </row>
    <row r="52" spans="1:41" x14ac:dyDescent="0.25">
      <c r="A52" s="61" t="s">
        <v>32</v>
      </c>
      <c r="B52" s="62"/>
      <c r="C52" s="11"/>
      <c r="D52" s="11"/>
      <c r="E52" s="11"/>
      <c r="F52" s="11"/>
      <c r="G52" s="11"/>
      <c r="H52" s="84" t="s">
        <v>535</v>
      </c>
      <c r="I52" s="118" t="str">
        <f>IF(_epmOfflineCondition_,"T4",_xll.EVPRO($B$1,$H52,"STYLE"))</f>
        <v>T4</v>
      </c>
      <c r="J52" s="118" t="str">
        <f>IF(_epmOfflineCondition_,"Y",_xll.EVPRO($B$1,$H52,"CALC"))</f>
        <v>Y</v>
      </c>
      <c r="K52" s="175" t="str">
        <f t="shared" si="0"/>
        <v>&gt;</v>
      </c>
      <c r="L52" s="86" t="str">
        <f>IF(_epmOfflineCondition_,"751400",_xll.EVPRO($B$1,H52,"JDEID"))</f>
        <v>751400</v>
      </c>
      <c r="M52" s="86" t="str">
        <f>IF(_epmOfflineCondition_,"",IF(AND(I52="N",J52="N"),_xll.EVPRO($B$1,H52,"PSFTID"),""))</f>
        <v/>
      </c>
      <c r="N52" s="86" t="str">
        <f>IF(_epmOfflineCondition_,"Flood Insurance",IF(_xll.EVDES(H52,$B$1)="#NODATA","",_xll.EVDES(H52,$B$1)))</f>
        <v>Flood Insurance</v>
      </c>
      <c r="O52" s="134">
        <v>2718.75</v>
      </c>
      <c r="P52" s="134">
        <v>2718.75</v>
      </c>
      <c r="Q52" s="134">
        <v>3077.33</v>
      </c>
      <c r="R52" s="134">
        <v>2360.17</v>
      </c>
      <c r="S52" s="134">
        <v>2718.75</v>
      </c>
      <c r="T52" s="134">
        <v>2739.92</v>
      </c>
      <c r="U52" s="134">
        <v>2739.92</v>
      </c>
      <c r="V52" s="134">
        <v>2723.75</v>
      </c>
      <c r="W52" s="134">
        <v>2713.92</v>
      </c>
      <c r="X52" s="134">
        <v>2713.92</v>
      </c>
      <c r="Y52" s="134">
        <v>2713.92</v>
      </c>
      <c r="Z52" s="134">
        <v>2713.92</v>
      </c>
      <c r="AA52" s="134">
        <f t="shared" si="1"/>
        <v>32653.019999999997</v>
      </c>
      <c r="AB52" s="138">
        <f t="shared" si="2"/>
        <v>3.893758606892464E-3</v>
      </c>
      <c r="AC52" s="136"/>
      <c r="AD52" s="134">
        <v>32625</v>
      </c>
      <c r="AE52" s="138">
        <f t="shared" si="3"/>
        <v>2.5004964991171734E-3</v>
      </c>
      <c r="AF52" s="137">
        <f t="shared" si="4"/>
        <v>28.019999999996799</v>
      </c>
      <c r="AG52" s="134">
        <v>16282.25</v>
      </c>
      <c r="AH52" s="138">
        <f t="shared" si="5"/>
        <v>4.996595281661886E-3</v>
      </c>
      <c r="AI52" s="137">
        <f t="shared" si="6"/>
        <v>16370.769999999997</v>
      </c>
      <c r="AJ52" s="458">
        <f t="shared" si="7"/>
        <v>0.67772976338729751</v>
      </c>
      <c r="AK52" s="459">
        <f t="shared" si="8"/>
        <v>0.67714819427148198</v>
      </c>
      <c r="AL52" s="460">
        <f t="shared" si="9"/>
        <v>0.43709564843896809</v>
      </c>
      <c r="AM52" s="461" t="str">
        <f t="shared" si="10"/>
        <v>0.14 pts.</v>
      </c>
      <c r="AN52" s="462" t="str">
        <f t="shared" si="11"/>
        <v>-0.11 pts.</v>
      </c>
      <c r="AO52" s="11"/>
    </row>
    <row r="53" spans="1:41" x14ac:dyDescent="0.25">
      <c r="A53" s="61" t="s">
        <v>33</v>
      </c>
      <c r="B53" s="62"/>
      <c r="C53" s="11"/>
      <c r="D53" s="11"/>
      <c r="E53" s="11"/>
      <c r="F53" s="11"/>
      <c r="G53" s="11"/>
      <c r="H53" s="84" t="s">
        <v>536</v>
      </c>
      <c r="I53" s="118" t="str">
        <f>IF(_epmOfflineCondition_,"T4",_xll.EVPRO($B$1,$H53,"STYLE"))</f>
        <v>T4</v>
      </c>
      <c r="J53" s="118" t="str">
        <f>IF(_epmOfflineCondition_,"Y",_xll.EVPRO($B$1,$H53,"CALC"))</f>
        <v>Y</v>
      </c>
      <c r="K53" s="175" t="str">
        <f t="shared" si="0"/>
        <v>&gt;</v>
      </c>
      <c r="L53" s="86" t="str">
        <f>IF(_epmOfflineCondition_,"751500",_xll.EVPRO($B$1,H53,"JDEID"))</f>
        <v>751500</v>
      </c>
      <c r="M53" s="86" t="str">
        <f>IF(_epmOfflineCondition_,"",IF(AND(I53="N",J53="N"),_xll.EVPRO($B$1,H53,"PSFTID"),""))</f>
        <v/>
      </c>
      <c r="N53" s="86" t="str">
        <f>IF(_epmOfflineCondition_,"Other Insurance",IF(_xll.EVDES(H53,$B$1)="#NODATA","",_xll.EVDES(H53,$B$1)))</f>
        <v>Other Insurance</v>
      </c>
      <c r="O53" s="228">
        <v>2203.38</v>
      </c>
      <c r="P53" s="228">
        <v>1795.48</v>
      </c>
      <c r="Q53" s="228">
        <v>1795.48</v>
      </c>
      <c r="R53" s="228">
        <v>972.58</v>
      </c>
      <c r="S53" s="228">
        <v>1387.34</v>
      </c>
      <c r="T53" s="228">
        <v>1387.34</v>
      </c>
      <c r="U53" s="228">
        <v>1387.34</v>
      </c>
      <c r="V53" s="228">
        <v>1387.34</v>
      </c>
      <c r="W53" s="228">
        <v>4353.76</v>
      </c>
      <c r="X53" s="228">
        <v>2128.9499999999998</v>
      </c>
      <c r="Y53" s="228">
        <v>2128.9499999999998</v>
      </c>
      <c r="Z53" s="228">
        <v>1686.33</v>
      </c>
      <c r="AA53" s="228">
        <f t="shared" si="1"/>
        <v>22614.270000000004</v>
      </c>
      <c r="AB53" s="230">
        <f t="shared" si="2"/>
        <v>2.6966727258639495E-3</v>
      </c>
      <c r="AC53" s="136"/>
      <c r="AD53" s="228">
        <v>26404.080000000002</v>
      </c>
      <c r="AE53" s="230">
        <f t="shared" si="3"/>
        <v>2.0237029763190738E-3</v>
      </c>
      <c r="AF53" s="231">
        <f t="shared" si="4"/>
        <v>-3789.8099999999977</v>
      </c>
      <c r="AG53" s="228">
        <v>17292.64</v>
      </c>
      <c r="AH53" s="230">
        <f t="shared" si="5"/>
        <v>5.3066574602083621E-3</v>
      </c>
      <c r="AI53" s="231">
        <f t="shared" si="6"/>
        <v>5321.6300000000047</v>
      </c>
      <c r="AJ53" s="467">
        <f t="shared" si="7"/>
        <v>0.46937048567870493</v>
      </c>
      <c r="AK53" s="468">
        <f t="shared" si="8"/>
        <v>0.54802988792029894</v>
      </c>
      <c r="AL53" s="469">
        <f t="shared" si="9"/>
        <v>0.46421948404069691</v>
      </c>
      <c r="AM53" s="470" t="str">
        <f t="shared" si="10"/>
        <v>0.07 pts.</v>
      </c>
      <c r="AN53" s="471" t="str">
        <f t="shared" si="11"/>
        <v>-0.26 pts.</v>
      </c>
      <c r="AO53" s="11"/>
    </row>
    <row r="54" spans="1:41" x14ac:dyDescent="0.25">
      <c r="A54" s="61" t="s">
        <v>34</v>
      </c>
      <c r="B54" s="62"/>
      <c r="C54" s="11"/>
      <c r="D54" s="11"/>
      <c r="E54" s="11"/>
      <c r="F54" s="11"/>
      <c r="G54" s="11"/>
      <c r="H54" s="84" t="s">
        <v>537</v>
      </c>
      <c r="I54" s="184" t="str">
        <f>IF(_epmOfflineCondition_,"T3",_xll.EVPRO($B$1,$H54,"STYLE"))</f>
        <v>T3</v>
      </c>
      <c r="J54" s="184" t="str">
        <f>IF(_epmOfflineCondition_,"Y",_xll.EVPRO($B$1,$H54,"CALC"))</f>
        <v>Y</v>
      </c>
      <c r="K54" s="185" t="str">
        <f t="shared" si="0"/>
        <v/>
      </c>
      <c r="L54" s="186" t="str">
        <f>IF(_epmOfflineCondition_,"751000",_xll.EVPRO($B$1,H54,"JDEID"))</f>
        <v>751000</v>
      </c>
      <c r="M54" s="186" t="str">
        <f>IF(_epmOfflineCondition_,"",IF(AND(I54="N",J54="N"),_xll.EVPRO($B$1,H54,"PSFTID"),""))</f>
        <v/>
      </c>
      <c r="N54" s="186" t="str">
        <f>IF(_epmOfflineCondition_,"Total Insurance",IF(_xll.EVDES(H54,$B$1)="#NODATA","",_xll.EVDES(H54,$B$1)))</f>
        <v>Total Insurance</v>
      </c>
      <c r="O54" s="146">
        <v>50766.64</v>
      </c>
      <c r="P54" s="146">
        <v>50358.75</v>
      </c>
      <c r="Q54" s="146">
        <v>50717.33</v>
      </c>
      <c r="R54" s="146">
        <v>49993.55</v>
      </c>
      <c r="S54" s="146">
        <v>50358.75</v>
      </c>
      <c r="T54" s="146">
        <v>49971.61</v>
      </c>
      <c r="U54" s="146">
        <v>49971.58</v>
      </c>
      <c r="V54" s="146">
        <v>58801.09</v>
      </c>
      <c r="W54" s="146">
        <v>68325.399999999994</v>
      </c>
      <c r="X54" s="146">
        <v>61201.4</v>
      </c>
      <c r="Y54" s="146">
        <v>61201.43</v>
      </c>
      <c r="Z54" s="146">
        <v>60758.81</v>
      </c>
      <c r="AA54" s="146">
        <f t="shared" si="1"/>
        <v>662426.34000000008</v>
      </c>
      <c r="AB54" s="147">
        <f t="shared" si="2"/>
        <v>7.8992027775907844E-2</v>
      </c>
      <c r="AC54" s="251"/>
      <c r="AD54" s="146">
        <v>621544.87749999994</v>
      </c>
      <c r="AE54" s="147">
        <f t="shared" si="3"/>
        <v>4.7637418857715323E-2</v>
      </c>
      <c r="AF54" s="148">
        <f t="shared" si="4"/>
        <v>40881.46250000014</v>
      </c>
      <c r="AG54" s="146">
        <v>350732.12</v>
      </c>
      <c r="AH54" s="147">
        <f t="shared" si="5"/>
        <v>0.10763048447968004</v>
      </c>
      <c r="AI54" s="148">
        <f t="shared" si="6"/>
        <v>311694.22000000009</v>
      </c>
      <c r="AJ54" s="206">
        <f t="shared" si="7"/>
        <v>13.748990037359903</v>
      </c>
      <c r="AK54" s="207">
        <f t="shared" si="8"/>
        <v>12.900474833955997</v>
      </c>
      <c r="AL54" s="209">
        <f t="shared" si="9"/>
        <v>9.4153746208155482</v>
      </c>
      <c r="AM54" s="429" t="str">
        <f t="shared" si="10"/>
        <v>3.14 pts.</v>
      </c>
      <c r="AN54" s="591" t="str">
        <f t="shared" si="11"/>
        <v>-2.86 pts.</v>
      </c>
      <c r="AO54" s="11"/>
    </row>
    <row r="55" spans="1:41" x14ac:dyDescent="0.25">
      <c r="A55" s="61" t="s">
        <v>35</v>
      </c>
      <c r="B55" s="62"/>
      <c r="C55" s="11"/>
      <c r="D55" s="11"/>
      <c r="E55" s="11"/>
      <c r="F55" s="11"/>
      <c r="G55" s="11"/>
      <c r="H55" s="84" t="s">
        <v>545</v>
      </c>
      <c r="I55" s="584" t="str">
        <f>IF(_epmOfflineCondition_,"B1",_xll.EVPRO($B$1,$H55,"STYLE"))</f>
        <v>B1</v>
      </c>
      <c r="J55" s="584" t="str">
        <f>IF(_epmOfflineCondition_,"Y",_xll.EVPRO($B$1,$H55,"CALC"))</f>
        <v>Y</v>
      </c>
      <c r="K55" s="585" t="str">
        <f t="shared" si="0"/>
        <v/>
      </c>
      <c r="L55" s="585" t="str">
        <f>IF(_epmOfflineCondition_,"",_xll.EVPRO($B$1,H55,"JDEID"))</f>
        <v/>
      </c>
      <c r="M55" s="585" t="str">
        <f>IF(_epmOfflineCondition_,"",IF(AND(I55="N",J55="N"),_xll.EVPRO($B$1,H55,"PSFTID"),""))</f>
        <v/>
      </c>
      <c r="N55" s="585" t="str">
        <f>IF(_epmOfflineCondition_,"Other",IF(_xll.EVDES(H55,$B$1)="#NODATA","",_xll.EVDES(H55,$B$1)))</f>
        <v>Other</v>
      </c>
      <c r="O55" s="134"/>
      <c r="P55" s="134"/>
      <c r="Q55" s="134"/>
      <c r="R55" s="134"/>
      <c r="S55" s="134"/>
      <c r="T55" s="134"/>
      <c r="U55" s="134"/>
      <c r="V55" s="134"/>
      <c r="W55" s="134"/>
      <c r="X55" s="134"/>
      <c r="Y55" s="134"/>
      <c r="Z55" s="134"/>
      <c r="AA55" s="134" t="str">
        <f t="shared" si="1"/>
        <v/>
      </c>
      <c r="AB55" s="138" t="str">
        <f t="shared" si="2"/>
        <v/>
      </c>
      <c r="AC55" s="136"/>
      <c r="AD55" s="134"/>
      <c r="AE55" s="138" t="str">
        <f t="shared" si="3"/>
        <v/>
      </c>
      <c r="AF55" s="137" t="str">
        <f t="shared" si="4"/>
        <v/>
      </c>
      <c r="AG55" s="134"/>
      <c r="AH55" s="138" t="str">
        <f t="shared" si="5"/>
        <v/>
      </c>
      <c r="AI55" s="137" t="str">
        <f t="shared" si="6"/>
        <v/>
      </c>
      <c r="AJ55" s="458">
        <f t="shared" si="7"/>
        <v>0</v>
      </c>
      <c r="AK55" s="459">
        <f t="shared" si="8"/>
        <v>0</v>
      </c>
      <c r="AL55" s="460">
        <f t="shared" si="9"/>
        <v>0</v>
      </c>
      <c r="AM55" s="461">
        <f t="shared" si="10"/>
        <v>0</v>
      </c>
      <c r="AN55" s="462">
        <f t="shared" si="11"/>
        <v>0</v>
      </c>
      <c r="AO55" s="11"/>
    </row>
    <row r="56" spans="1:41" x14ac:dyDescent="0.25">
      <c r="A56" s="61" t="s">
        <v>36</v>
      </c>
      <c r="B56" s="62"/>
      <c r="C56" s="11"/>
      <c r="D56" s="11"/>
      <c r="E56" s="11"/>
      <c r="F56" s="11"/>
      <c r="G56" s="11"/>
      <c r="H56" s="84" t="s">
        <v>538</v>
      </c>
      <c r="I56" s="118" t="str">
        <f>IF(_epmOfflineCondition_,"N",_xll.EVPRO($B$1,$H56,"STYLE"))</f>
        <v>N</v>
      </c>
      <c r="J56" s="118" t="str">
        <f>IF(_epmOfflineCondition_,"N",_xll.EVPRO($B$1,$H56,"CALC"))</f>
        <v>N</v>
      </c>
      <c r="K56" s="175" t="str">
        <f t="shared" si="0"/>
        <v/>
      </c>
      <c r="L56" s="86" t="str">
        <f>IF(_epmOfflineCondition_,"801290",_xll.EVPRO($B$1,H56,"JDEID"))</f>
        <v>801290</v>
      </c>
      <c r="M56" s="86" t="str">
        <f>IF(_epmOfflineCondition_,"690850",IF(AND(I56="N",J56="N"),_xll.EVPRO($B$1,H56,"PSFTID"),""))</f>
        <v>690850</v>
      </c>
      <c r="N56" s="86" t="str">
        <f>IF(_epmOfflineCondition_,"Cost Recovery Expense (CAM)",IF(_xll.EVDES(H56,$B$1)="#NODATA","",_xll.EVDES(H56,$B$1)))</f>
        <v>Cost Recovery Expense (CAM)</v>
      </c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/>
      <c r="Z56" s="134"/>
      <c r="AA56" s="134">
        <f t="shared" si="1"/>
        <v>0</v>
      </c>
      <c r="AB56" s="138" t="str">
        <f t="shared" si="2"/>
        <v/>
      </c>
      <c r="AC56" s="136"/>
      <c r="AD56" s="134"/>
      <c r="AE56" s="138" t="str">
        <f t="shared" si="3"/>
        <v/>
      </c>
      <c r="AF56" s="137">
        <f t="shared" si="4"/>
        <v>0</v>
      </c>
      <c r="AG56" s="134"/>
      <c r="AH56" s="138" t="str">
        <f t="shared" si="5"/>
        <v/>
      </c>
      <c r="AI56" s="137">
        <f t="shared" si="6"/>
        <v>0</v>
      </c>
      <c r="AJ56" s="458">
        <f t="shared" si="7"/>
        <v>0</v>
      </c>
      <c r="AK56" s="459">
        <f t="shared" si="8"/>
        <v>0</v>
      </c>
      <c r="AL56" s="460">
        <f t="shared" si="9"/>
        <v>0</v>
      </c>
      <c r="AM56" s="461">
        <f t="shared" si="10"/>
        <v>0</v>
      </c>
      <c r="AN56" s="462">
        <f t="shared" si="11"/>
        <v>0</v>
      </c>
      <c r="AO56" s="11"/>
    </row>
    <row r="57" spans="1:41" x14ac:dyDescent="0.25">
      <c r="A57" s="61" t="s">
        <v>37</v>
      </c>
      <c r="B57" s="62"/>
      <c r="C57" s="11"/>
      <c r="D57" s="11"/>
      <c r="E57" s="11"/>
      <c r="F57" s="11"/>
      <c r="G57" s="11"/>
      <c r="H57" s="84" t="s">
        <v>539</v>
      </c>
      <c r="I57" s="118" t="str">
        <f>IF(_epmOfflineCondition_,"N",_xll.EVPRO($B$1,$H57,"STYLE"))</f>
        <v>N</v>
      </c>
      <c r="J57" s="118" t="str">
        <f>IF(_epmOfflineCondition_,"N",_xll.EVPRO($B$1,$H57,"CALC"))</f>
        <v>N</v>
      </c>
      <c r="K57" s="175" t="str">
        <f t="shared" si="0"/>
        <v/>
      </c>
      <c r="L57" s="86" t="str">
        <f>IF(_epmOfflineCondition_,"801300",_xll.EVPRO($B$1,H57,"JDEID"))</f>
        <v>801300</v>
      </c>
      <c r="M57" s="86" t="str">
        <f>IF(_epmOfflineCondition_,"790095",IF(AND(I57="N",J57="N"),_xll.EVPRO($B$1,H57,"PSFTID"),""))</f>
        <v>790095</v>
      </c>
      <c r="N57" s="86" t="str">
        <f>IF(_epmOfflineCondition_,"Gain/Loss on Fixed Assets",IF(_xll.EVDES(H57,$B$1)="#NODATA","",_xll.EVDES(H57,$B$1)))</f>
        <v>Gain/Loss on Fixed Assets</v>
      </c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>
        <f t="shared" si="1"/>
        <v>0</v>
      </c>
      <c r="AB57" s="138" t="str">
        <f t="shared" si="2"/>
        <v/>
      </c>
      <c r="AC57" s="136"/>
      <c r="AD57" s="134"/>
      <c r="AE57" s="138" t="str">
        <f t="shared" si="3"/>
        <v/>
      </c>
      <c r="AF57" s="137">
        <f t="shared" si="4"/>
        <v>0</v>
      </c>
      <c r="AG57" s="134">
        <v>79762.899999999994</v>
      </c>
      <c r="AH57" s="138">
        <f t="shared" si="5"/>
        <v>2.4477141045719655E-2</v>
      </c>
      <c r="AI57" s="137">
        <f t="shared" si="6"/>
        <v>-79762.899999999994</v>
      </c>
      <c r="AJ57" s="458">
        <f t="shared" si="7"/>
        <v>0</v>
      </c>
      <c r="AK57" s="459">
        <f t="shared" si="8"/>
        <v>0</v>
      </c>
      <c r="AL57" s="460">
        <f t="shared" si="9"/>
        <v>2.1412284233980294</v>
      </c>
      <c r="AM57" s="461">
        <f t="shared" si="10"/>
        <v>0</v>
      </c>
      <c r="AN57" s="462">
        <f t="shared" si="11"/>
        <v>0</v>
      </c>
      <c r="AO57" s="11"/>
    </row>
    <row r="58" spans="1:41" x14ac:dyDescent="0.25">
      <c r="A58" s="61" t="s">
        <v>38</v>
      </c>
      <c r="B58" s="62"/>
      <c r="C58" s="11"/>
      <c r="D58" s="11"/>
      <c r="E58" s="11"/>
      <c r="F58" s="11"/>
      <c r="G58" s="11"/>
      <c r="H58" s="84" t="s">
        <v>787</v>
      </c>
      <c r="I58" s="118" t="str">
        <f>IF(_epmOfflineCondition_,"N",_xll.EVPRO($B$1,$H58,"STYLE"))</f>
        <v>N</v>
      </c>
      <c r="J58" s="118" t="str">
        <f>IF(_epmOfflineCondition_,"N",_xll.EVPRO($B$1,$H58,"CALC"))</f>
        <v>N</v>
      </c>
      <c r="K58" s="175" t="str">
        <f t="shared" si="0"/>
        <v/>
      </c>
      <c r="L58" s="86" t="str">
        <f>IF(_epmOfflineCondition_,"801310",_xll.EVPRO($B$1,H58,"JDEID"))</f>
        <v>801310</v>
      </c>
      <c r="M58" s="86" t="str">
        <f>IF(_epmOfflineCondition_,"790083",IF(AND(I58="N",J58="N"),_xll.EVPRO($B$1,H58,"PSFTID"),""))</f>
        <v>790083</v>
      </c>
      <c r="N58" s="86" t="str">
        <f>IF(_epmOfflineCondition_,"Lease Asset Impairment",IF(_xll.EVDES(H58,$B$1)="#NODATA","",_xll.EVDES(H58,$B$1)))</f>
        <v>Lease Asset Impairment</v>
      </c>
      <c r="O58" s="134"/>
      <c r="P58" s="134"/>
      <c r="Q58" s="134"/>
      <c r="R58" s="134"/>
      <c r="S58" s="134"/>
      <c r="T58" s="134"/>
      <c r="U58" s="134"/>
      <c r="V58" s="134"/>
      <c r="W58" s="134"/>
      <c r="X58" s="134"/>
      <c r="Y58" s="134"/>
      <c r="Z58" s="134"/>
      <c r="AA58" s="134">
        <f t="shared" si="1"/>
        <v>0</v>
      </c>
      <c r="AB58" s="138" t="str">
        <f t="shared" si="2"/>
        <v/>
      </c>
      <c r="AC58" s="136"/>
      <c r="AD58" s="134"/>
      <c r="AE58" s="138" t="str">
        <f t="shared" si="3"/>
        <v/>
      </c>
      <c r="AF58" s="137">
        <f t="shared" si="4"/>
        <v>0</v>
      </c>
      <c r="AG58" s="134"/>
      <c r="AH58" s="138" t="str">
        <f t="shared" si="5"/>
        <v/>
      </c>
      <c r="AI58" s="137">
        <f t="shared" si="6"/>
        <v>0</v>
      </c>
      <c r="AJ58" s="458">
        <f t="shared" si="7"/>
        <v>0</v>
      </c>
      <c r="AK58" s="459">
        <f t="shared" si="8"/>
        <v>0</v>
      </c>
      <c r="AL58" s="460">
        <f t="shared" si="9"/>
        <v>0</v>
      </c>
      <c r="AM58" s="461">
        <f t="shared" si="10"/>
        <v>0</v>
      </c>
      <c r="AN58" s="462">
        <f t="shared" si="11"/>
        <v>0</v>
      </c>
      <c r="AO58" s="11"/>
    </row>
    <row r="59" spans="1:41" x14ac:dyDescent="0.25">
      <c r="A59" s="61" t="s">
        <v>39</v>
      </c>
      <c r="B59" s="62"/>
      <c r="C59" s="11"/>
      <c r="D59" s="11"/>
      <c r="E59" s="11"/>
      <c r="F59" s="11"/>
      <c r="G59" s="11"/>
      <c r="H59" s="84" t="s">
        <v>770</v>
      </c>
      <c r="I59" s="118" t="str">
        <f>IF(_epmOfflineCondition_,"T4",_xll.EVPRO($B$1,$H59,"STYLE"))</f>
        <v>T4</v>
      </c>
      <c r="J59" s="118" t="str">
        <f>IF(_epmOfflineCondition_,"Y",_xll.EVPRO($B$1,$H59,"CALC"))</f>
        <v>Y</v>
      </c>
      <c r="K59" s="175" t="str">
        <f t="shared" si="0"/>
        <v>&gt;</v>
      </c>
      <c r="L59" s="86" t="str">
        <f>IF(_epmOfflineCondition_,"",_xll.EVPRO($B$1,H59,"JDEID"))</f>
        <v/>
      </c>
      <c r="M59" s="86" t="str">
        <f>IF(_epmOfflineCondition_,"",IF(AND(I59="N",J59="N"),_xll.EVPRO($B$1,H59,"PSFTID"),""))</f>
        <v/>
      </c>
      <c r="N59" s="86" t="str">
        <f>IF(_epmOfflineCondition_,"Owner's Expense",IF(_xll.EVDES(H59,$B$1)="#NODATA","",_xll.EVDES(H59,$B$1)))</f>
        <v>Owner's Expense</v>
      </c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>
        <v>2450</v>
      </c>
      <c r="AA59" s="134">
        <f t="shared" si="1"/>
        <v>2450</v>
      </c>
      <c r="AB59" s="138">
        <f t="shared" si="2"/>
        <v>2.9215394431775493E-4</v>
      </c>
      <c r="AC59" s="136"/>
      <c r="AD59" s="134"/>
      <c r="AE59" s="138" t="str">
        <f t="shared" si="3"/>
        <v/>
      </c>
      <c r="AF59" s="137">
        <f t="shared" si="4"/>
        <v>2450</v>
      </c>
      <c r="AG59" s="134">
        <v>9962</v>
      </c>
      <c r="AH59" s="138">
        <f t="shared" si="5"/>
        <v>3.0570763988954667E-3</v>
      </c>
      <c r="AI59" s="137">
        <f t="shared" si="6"/>
        <v>-7512</v>
      </c>
      <c r="AJ59" s="458">
        <f t="shared" si="7"/>
        <v>5.0850975508509755E-2</v>
      </c>
      <c r="AK59" s="459">
        <f t="shared" si="8"/>
        <v>0</v>
      </c>
      <c r="AL59" s="460">
        <f t="shared" si="9"/>
        <v>0.26742906230705216</v>
      </c>
      <c r="AM59" s="461">
        <f t="shared" si="10"/>
        <v>0</v>
      </c>
      <c r="AN59" s="462" t="str">
        <f t="shared" si="11"/>
        <v>-0.28 pts.</v>
      </c>
      <c r="AO59" s="11"/>
    </row>
    <row r="60" spans="1:41" x14ac:dyDescent="0.25">
      <c r="A60" s="61" t="s">
        <v>40</v>
      </c>
      <c r="B60" s="62"/>
      <c r="C60" s="11"/>
      <c r="D60" s="11"/>
      <c r="E60" s="11"/>
      <c r="F60" s="11"/>
      <c r="G60" s="11"/>
      <c r="H60" s="84" t="s">
        <v>540</v>
      </c>
      <c r="I60" s="118" t="str">
        <f>IF(_epmOfflineCondition_,"N",_xll.EVPRO($B$1,$H60,"STYLE"))</f>
        <v>N</v>
      </c>
      <c r="J60" s="118" t="str">
        <f>IF(_epmOfflineCondition_,"N",_xll.EVPRO($B$1,$H60,"CALC"))</f>
        <v>N</v>
      </c>
      <c r="K60" s="175" t="str">
        <f t="shared" si="0"/>
        <v/>
      </c>
      <c r="L60" s="86" t="str">
        <f>IF(_epmOfflineCondition_,"801360",_xll.EVPRO($B$1,H60,"JDEID"))</f>
        <v>801360</v>
      </c>
      <c r="M60" s="86" t="str">
        <f>IF(_epmOfflineCondition_,"890125",IF(AND(I60="N",J60="N"),_xll.EVPRO($B$1,H60,"PSFTID"),""))</f>
        <v>890125</v>
      </c>
      <c r="N60" s="86" t="str">
        <f>IF(_epmOfflineCondition_,"Unrealized Foreign Exchange Gain/Loss",IF(_xll.EVDES(H60,$B$1)="#NODATA","",_xll.EVDES(H60,$B$1)))</f>
        <v>Unrealized Foreign Exchange Gain/Loss</v>
      </c>
      <c r="O60" s="134"/>
      <c r="P60" s="134"/>
      <c r="Q60" s="134"/>
      <c r="R60" s="134"/>
      <c r="S60" s="134"/>
      <c r="T60" s="134"/>
      <c r="U60" s="134"/>
      <c r="V60" s="134"/>
      <c r="W60" s="134"/>
      <c r="X60" s="134"/>
      <c r="Y60" s="134"/>
      <c r="Z60" s="134"/>
      <c r="AA60" s="134">
        <f t="shared" si="1"/>
        <v>0</v>
      </c>
      <c r="AB60" s="138" t="str">
        <f t="shared" si="2"/>
        <v/>
      </c>
      <c r="AC60" s="136"/>
      <c r="AD60" s="134"/>
      <c r="AE60" s="138" t="str">
        <f t="shared" si="3"/>
        <v/>
      </c>
      <c r="AF60" s="137">
        <f t="shared" si="4"/>
        <v>0</v>
      </c>
      <c r="AG60" s="134"/>
      <c r="AH60" s="138" t="str">
        <f t="shared" si="5"/>
        <v/>
      </c>
      <c r="AI60" s="137">
        <f t="shared" si="6"/>
        <v>0</v>
      </c>
      <c r="AJ60" s="458">
        <f t="shared" si="7"/>
        <v>0</v>
      </c>
      <c r="AK60" s="459">
        <f t="shared" si="8"/>
        <v>0</v>
      </c>
      <c r="AL60" s="460">
        <f t="shared" si="9"/>
        <v>0</v>
      </c>
      <c r="AM60" s="461">
        <f t="shared" si="10"/>
        <v>0</v>
      </c>
      <c r="AN60" s="462">
        <f t="shared" si="11"/>
        <v>0</v>
      </c>
      <c r="AO60" s="11"/>
    </row>
    <row r="61" spans="1:41" x14ac:dyDescent="0.25">
      <c r="A61" s="61" t="s">
        <v>41</v>
      </c>
      <c r="B61" s="62"/>
      <c r="C61" s="11"/>
      <c r="D61" s="11"/>
      <c r="E61" s="11"/>
      <c r="F61" s="11"/>
      <c r="G61" s="11"/>
      <c r="H61" s="84" t="s">
        <v>541</v>
      </c>
      <c r="I61" s="118" t="str">
        <f>IF(_epmOfflineCondition_,"T4",_xll.EVPRO($B$1,$H61,"STYLE"))</f>
        <v>T4</v>
      </c>
      <c r="J61" s="118" t="str">
        <f>IF(_epmOfflineCondition_,"Y",_xll.EVPRO($B$1,$H61,"CALC"))</f>
        <v>Y</v>
      </c>
      <c r="K61" s="175" t="str">
        <f t="shared" si="0"/>
        <v>&gt;</v>
      </c>
      <c r="L61" s="86" t="str">
        <f>IF(_epmOfflineCondition_,"",_xll.EVPRO($B$1,H61,"JDEID"))</f>
        <v/>
      </c>
      <c r="M61" s="86" t="str">
        <f>IF(_epmOfflineCondition_,"",IF(AND(I61="N",J61="N"),_xll.EVPRO($B$1,H61,"PSFTID"),""))</f>
        <v/>
      </c>
      <c r="N61" s="86" t="str">
        <f>IF(_epmOfflineCondition_,"Miscellaneous Other",IF(_xll.EVDES(H61,$B$1)="#NODATA","",_xll.EVDES(H61,$B$1)))</f>
        <v>Miscellaneous Other</v>
      </c>
      <c r="O61" s="228"/>
      <c r="P61" s="228"/>
      <c r="Q61" s="228"/>
      <c r="R61" s="228"/>
      <c r="S61" s="228"/>
      <c r="T61" s="228"/>
      <c r="U61" s="228"/>
      <c r="V61" s="228"/>
      <c r="W61" s="228"/>
      <c r="X61" s="228"/>
      <c r="Y61" s="228"/>
      <c r="Z61" s="228"/>
      <c r="AA61" s="228">
        <f t="shared" si="1"/>
        <v>0</v>
      </c>
      <c r="AB61" s="230" t="str">
        <f t="shared" si="2"/>
        <v/>
      </c>
      <c r="AC61" s="136"/>
      <c r="AD61" s="228"/>
      <c r="AE61" s="230" t="str">
        <f t="shared" si="3"/>
        <v/>
      </c>
      <c r="AF61" s="231">
        <f t="shared" si="4"/>
        <v>0</v>
      </c>
      <c r="AG61" s="228"/>
      <c r="AH61" s="230" t="str">
        <f t="shared" si="5"/>
        <v/>
      </c>
      <c r="AI61" s="231">
        <f t="shared" si="6"/>
        <v>0</v>
      </c>
      <c r="AJ61" s="467">
        <f t="shared" si="7"/>
        <v>0</v>
      </c>
      <c r="AK61" s="468">
        <f t="shared" si="8"/>
        <v>0</v>
      </c>
      <c r="AL61" s="469">
        <f t="shared" si="9"/>
        <v>0</v>
      </c>
      <c r="AM61" s="470">
        <f t="shared" si="10"/>
        <v>0</v>
      </c>
      <c r="AN61" s="471">
        <f t="shared" si="11"/>
        <v>0</v>
      </c>
      <c r="AO61" s="11"/>
    </row>
    <row r="62" spans="1:41" x14ac:dyDescent="0.25">
      <c r="A62" s="61" t="s">
        <v>42</v>
      </c>
      <c r="B62" s="62"/>
      <c r="C62" s="11"/>
      <c r="D62" s="11"/>
      <c r="E62" s="11"/>
      <c r="F62" s="11"/>
      <c r="G62" s="11"/>
      <c r="H62" s="84" t="s">
        <v>542</v>
      </c>
      <c r="I62" s="184" t="str">
        <f>IF(_epmOfflineCondition_,"T3",_xll.EVPRO($B$1,$H62,"STYLE"))</f>
        <v>T3</v>
      </c>
      <c r="J62" s="184" t="str">
        <f>IF(_epmOfflineCondition_,"Y",_xll.EVPRO($B$1,$H62,"CALC"))</f>
        <v>Y</v>
      </c>
      <c r="K62" s="185" t="str">
        <f t="shared" si="0"/>
        <v/>
      </c>
      <c r="L62" s="186" t="str">
        <f>IF(_epmOfflineCondition_,"801000",_xll.EVPRO($B$1,H62,"JDEID"))</f>
        <v>801000</v>
      </c>
      <c r="M62" s="186" t="str">
        <f>IF(_epmOfflineCondition_,"",IF(AND(I62="N",J62="N"),_xll.EVPRO($B$1,H62,"PSFTID"),""))</f>
        <v/>
      </c>
      <c r="N62" s="186" t="str">
        <f>IF(_epmOfflineCondition_,"Total Other",IF(_xll.EVDES(H62,$B$1)="#NODATA","",_xll.EVDES(H62,$B$1)))</f>
        <v>Total Other</v>
      </c>
      <c r="O62" s="146"/>
      <c r="P62" s="146"/>
      <c r="Q62" s="146"/>
      <c r="R62" s="146"/>
      <c r="S62" s="146"/>
      <c r="T62" s="146"/>
      <c r="U62" s="146"/>
      <c r="V62" s="146"/>
      <c r="W62" s="146"/>
      <c r="X62" s="146"/>
      <c r="Y62" s="146"/>
      <c r="Z62" s="146">
        <v>2450</v>
      </c>
      <c r="AA62" s="146">
        <f t="shared" si="1"/>
        <v>2450</v>
      </c>
      <c r="AB62" s="147">
        <f t="shared" si="2"/>
        <v>2.9215394431775493E-4</v>
      </c>
      <c r="AC62" s="251"/>
      <c r="AD62" s="146"/>
      <c r="AE62" s="147" t="str">
        <f t="shared" si="3"/>
        <v/>
      </c>
      <c r="AF62" s="148">
        <f t="shared" si="4"/>
        <v>2450</v>
      </c>
      <c r="AG62" s="146">
        <v>89724.9</v>
      </c>
      <c r="AH62" s="147">
        <f t="shared" si="5"/>
        <v>2.7534217444615122E-2</v>
      </c>
      <c r="AI62" s="148">
        <f t="shared" si="6"/>
        <v>-87274.9</v>
      </c>
      <c r="AJ62" s="206">
        <f t="shared" si="7"/>
        <v>5.0850975508509755E-2</v>
      </c>
      <c r="AK62" s="207">
        <f t="shared" si="8"/>
        <v>0</v>
      </c>
      <c r="AL62" s="209">
        <f t="shared" si="9"/>
        <v>2.4086574857050818</v>
      </c>
      <c r="AM62" s="429">
        <f t="shared" si="10"/>
        <v>0</v>
      </c>
      <c r="AN62" s="591" t="str">
        <f t="shared" si="11"/>
        <v>-2.72 pts.</v>
      </c>
      <c r="AO62" s="11"/>
    </row>
    <row r="63" spans="1:41" x14ac:dyDescent="0.25">
      <c r="A63" s="61" t="s">
        <v>43</v>
      </c>
      <c r="B63" s="62"/>
      <c r="C63" s="11"/>
      <c r="D63" s="11"/>
      <c r="E63" s="11"/>
      <c r="F63" s="11"/>
      <c r="G63" s="11"/>
      <c r="H63" s="84"/>
      <c r="I63" s="85"/>
      <c r="J63" s="85"/>
      <c r="K63" s="261"/>
      <c r="L63" s="102"/>
      <c r="M63" s="102"/>
      <c r="N63" s="86" t="str">
        <f>N20</f>
        <v>Net Income-Development &amp; Renovation Projects</v>
      </c>
      <c r="O63" s="87">
        <f t="shared" ref="O63:Z63" si="12">O$20</f>
        <v>0</v>
      </c>
      <c r="P63" s="87">
        <f t="shared" si="12"/>
        <v>0</v>
      </c>
      <c r="Q63" s="87">
        <f t="shared" si="12"/>
        <v>0</v>
      </c>
      <c r="R63" s="87">
        <f t="shared" si="12"/>
        <v>0</v>
      </c>
      <c r="S63" s="87">
        <f t="shared" si="12"/>
        <v>0</v>
      </c>
      <c r="T63" s="87">
        <f t="shared" si="12"/>
        <v>0</v>
      </c>
      <c r="U63" s="87">
        <f t="shared" si="12"/>
        <v>0</v>
      </c>
      <c r="V63" s="87">
        <f t="shared" si="12"/>
        <v>0</v>
      </c>
      <c r="W63" s="87">
        <f t="shared" si="12"/>
        <v>0</v>
      </c>
      <c r="X63" s="87">
        <f t="shared" si="12"/>
        <v>0</v>
      </c>
      <c r="Y63" s="87">
        <f t="shared" si="12"/>
        <v>0</v>
      </c>
      <c r="Z63" s="87">
        <f t="shared" si="12"/>
        <v>0</v>
      </c>
      <c r="AA63" s="87">
        <f t="shared" si="1"/>
        <v>0</v>
      </c>
      <c r="AB63" s="96" t="str">
        <f t="shared" si="2"/>
        <v/>
      </c>
      <c r="AC63" s="11"/>
      <c r="AD63" s="87">
        <f>AD$20</f>
        <v>0</v>
      </c>
      <c r="AE63" s="96" t="str">
        <f t="shared" si="3"/>
        <v/>
      </c>
      <c r="AF63" s="88">
        <f t="shared" si="4"/>
        <v>0</v>
      </c>
      <c r="AG63" s="87">
        <f>AG$20</f>
        <v>0</v>
      </c>
      <c r="AH63" s="96" t="str">
        <f t="shared" si="5"/>
        <v/>
      </c>
      <c r="AI63" s="88">
        <f t="shared" si="6"/>
        <v>0</v>
      </c>
      <c r="AJ63" s="398">
        <f t="shared" si="7"/>
        <v>0</v>
      </c>
      <c r="AK63" s="399">
        <f t="shared" si="8"/>
        <v>0</v>
      </c>
      <c r="AL63" s="400">
        <f t="shared" si="9"/>
        <v>0</v>
      </c>
      <c r="AM63" s="401">
        <f t="shared" si="10"/>
        <v>0</v>
      </c>
      <c r="AN63" s="402">
        <f t="shared" si="11"/>
        <v>0</v>
      </c>
      <c r="AO63" s="11"/>
    </row>
    <row r="64" spans="1:41" x14ac:dyDescent="0.25">
      <c r="A64" s="61" t="s">
        <v>44</v>
      </c>
      <c r="B64" s="62"/>
      <c r="C64" s="11"/>
      <c r="D64" s="11"/>
      <c r="E64" s="11"/>
      <c r="F64" s="11"/>
      <c r="G64" s="11"/>
      <c r="H64" s="84"/>
      <c r="I64" s="85"/>
      <c r="J64" s="85"/>
      <c r="K64" s="261"/>
      <c r="L64" s="102"/>
      <c r="M64" s="102"/>
      <c r="N64" s="102" t="s">
        <v>588</v>
      </c>
      <c r="O64" s="108">
        <f t="shared" ref="O64:Z64" si="13">O62-O63</f>
        <v>0</v>
      </c>
      <c r="P64" s="108">
        <f t="shared" si="13"/>
        <v>0</v>
      </c>
      <c r="Q64" s="108">
        <f t="shared" si="13"/>
        <v>0</v>
      </c>
      <c r="R64" s="108">
        <f t="shared" si="13"/>
        <v>0</v>
      </c>
      <c r="S64" s="108">
        <f t="shared" si="13"/>
        <v>0</v>
      </c>
      <c r="T64" s="108">
        <f t="shared" si="13"/>
        <v>0</v>
      </c>
      <c r="U64" s="108">
        <f t="shared" si="13"/>
        <v>0</v>
      </c>
      <c r="V64" s="108">
        <f t="shared" si="13"/>
        <v>0</v>
      </c>
      <c r="W64" s="108">
        <f t="shared" si="13"/>
        <v>0</v>
      </c>
      <c r="X64" s="108">
        <f t="shared" si="13"/>
        <v>0</v>
      </c>
      <c r="Y64" s="108">
        <f t="shared" si="13"/>
        <v>0</v>
      </c>
      <c r="Z64" s="108">
        <f t="shared" si="13"/>
        <v>2450</v>
      </c>
      <c r="AA64" s="108">
        <f t="shared" si="1"/>
        <v>2450</v>
      </c>
      <c r="AB64" s="109">
        <f t="shared" si="2"/>
        <v>2.9215394431775493E-4</v>
      </c>
      <c r="AC64" s="11"/>
      <c r="AD64" s="108">
        <f>AD62-AD63</f>
        <v>0</v>
      </c>
      <c r="AE64" s="109" t="str">
        <f t="shared" si="3"/>
        <v/>
      </c>
      <c r="AF64" s="110">
        <f t="shared" si="4"/>
        <v>2450</v>
      </c>
      <c r="AG64" s="108">
        <f>AG62-AG63</f>
        <v>89724.9</v>
      </c>
      <c r="AH64" s="109">
        <f t="shared" si="5"/>
        <v>2.7534217444615122E-2</v>
      </c>
      <c r="AI64" s="110">
        <f t="shared" si="6"/>
        <v>-87274.9</v>
      </c>
      <c r="AJ64" s="384">
        <f t="shared" si="7"/>
        <v>5.0850975508509755E-2</v>
      </c>
      <c r="AK64" s="385">
        <f t="shared" si="8"/>
        <v>0</v>
      </c>
      <c r="AL64" s="386">
        <f t="shared" si="9"/>
        <v>2.4086574857050818</v>
      </c>
      <c r="AM64" s="387">
        <f t="shared" si="10"/>
        <v>0</v>
      </c>
      <c r="AN64" s="539" t="str">
        <f t="shared" si="11"/>
        <v>-2.72 pts.</v>
      </c>
      <c r="AO64" s="11"/>
    </row>
    <row r="65" spans="1:41" x14ac:dyDescent="0.25">
      <c r="A65" s="61" t="s">
        <v>45</v>
      </c>
      <c r="B65" s="62"/>
      <c r="C65" s="11"/>
      <c r="D65" s="11"/>
      <c r="E65" s="11"/>
      <c r="F65" s="11"/>
      <c r="G65" s="11"/>
      <c r="H65" s="84" t="s">
        <v>543</v>
      </c>
      <c r="I65" s="132" t="str">
        <f>IF(_epmOfflineCondition_,"T2",_xll.EVPRO($B$1,$H65,"STYLE"))</f>
        <v>T2</v>
      </c>
      <c r="J65" s="132" t="str">
        <f>IF(_epmOfflineCondition_,"Y",_xll.EVPRO($B$1,$H65,"CALC"))</f>
        <v>Y</v>
      </c>
      <c r="K65" s="100"/>
      <c r="L65" s="55"/>
      <c r="M65" s="55"/>
      <c r="N65" s="102" t="str">
        <f>IF(_epmOfflineCondition_,"Total Non-Operating Income &amp; Expense",IF(_xll.EVDES(H65,$B$1)="#NODATA","",_xll.EVDES(H65,$B$1)))</f>
        <v>Total Non-Operating Income &amp; Expense</v>
      </c>
      <c r="O65" s="108">
        <f t="shared" ref="O65:Z65" si="14">O37+O41+O47+O54+O62-O63</f>
        <v>86161.45</v>
      </c>
      <c r="P65" s="108">
        <f t="shared" si="14"/>
        <v>85866.3</v>
      </c>
      <c r="Q65" s="108">
        <f t="shared" si="14"/>
        <v>86076.13</v>
      </c>
      <c r="R65" s="108">
        <f t="shared" si="14"/>
        <v>104636.5</v>
      </c>
      <c r="S65" s="108">
        <f t="shared" si="14"/>
        <v>82928.95</v>
      </c>
      <c r="T65" s="108">
        <f t="shared" si="14"/>
        <v>85561.84</v>
      </c>
      <c r="U65" s="108">
        <f t="shared" si="14"/>
        <v>85990.97</v>
      </c>
      <c r="V65" s="108">
        <f t="shared" si="14"/>
        <v>94677.59</v>
      </c>
      <c r="W65" s="108">
        <f t="shared" si="14"/>
        <v>104014.47</v>
      </c>
      <c r="X65" s="108">
        <f t="shared" si="14"/>
        <v>98161.63</v>
      </c>
      <c r="Y65" s="108">
        <f t="shared" si="14"/>
        <v>169546.4</v>
      </c>
      <c r="Z65" s="108">
        <f t="shared" si="14"/>
        <v>139375.18</v>
      </c>
      <c r="AA65" s="108">
        <f t="shared" si="1"/>
        <v>1222997.4099999999</v>
      </c>
      <c r="AB65" s="109">
        <f t="shared" si="2"/>
        <v>0.14583817029465243</v>
      </c>
      <c r="AC65" s="11"/>
      <c r="AD65" s="108">
        <f>AD37+AD41+AD47+AD54+AD62-AD63</f>
        <v>1016330.9175</v>
      </c>
      <c r="AE65" s="109">
        <f t="shared" si="3"/>
        <v>7.7895230686691033E-2</v>
      </c>
      <c r="AF65" s="110">
        <f t="shared" si="4"/>
        <v>206666.49249999993</v>
      </c>
      <c r="AG65" s="108">
        <f>AG37+AG41+AG47+AG54+AG62-AG63</f>
        <v>647728.55999999994</v>
      </c>
      <c r="AH65" s="109">
        <f t="shared" si="5"/>
        <v>0.19877089878202631</v>
      </c>
      <c r="AI65" s="110">
        <f t="shared" si="6"/>
        <v>575268.85</v>
      </c>
      <c r="AJ65" s="586">
        <f t="shared" si="7"/>
        <v>25.383922997094228</v>
      </c>
      <c r="AK65" s="587">
        <f t="shared" si="8"/>
        <v>21.094456569115817</v>
      </c>
      <c r="AL65" s="588">
        <f t="shared" si="9"/>
        <v>17.388219376661027</v>
      </c>
      <c r="AM65" s="589" t="str">
        <f t="shared" si="10"/>
        <v>6.79 pts.</v>
      </c>
      <c r="AN65" s="590" t="str">
        <f t="shared" si="11"/>
        <v>-5.29 pts.</v>
      </c>
      <c r="AO65" s="11"/>
    </row>
    <row r="66" spans="1:41" x14ac:dyDescent="0.25">
      <c r="A66" s="61" t="s">
        <v>46</v>
      </c>
      <c r="B66" s="62"/>
      <c r="C66" s="11"/>
      <c r="D66" s="11"/>
      <c r="E66" s="11"/>
      <c r="F66" s="11"/>
      <c r="G66" s="11"/>
      <c r="H66" s="11"/>
      <c r="I66" s="55"/>
      <c r="J66" s="55"/>
      <c r="K66" s="11"/>
      <c r="L66" s="55"/>
      <c r="M66" s="55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</row>
    <row r="67" spans="1:41" x14ac:dyDescent="0.2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</row>
    <row r="68" spans="1:41" x14ac:dyDescent="0.2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</row>
    <row r="69" spans="1:41" x14ac:dyDescent="0.2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</row>
    <row r="70" spans="1:41" x14ac:dyDescent="0.25">
      <c r="A70" s="11"/>
      <c r="B70" s="11"/>
      <c r="C70" s="11"/>
      <c r="D70" s="11"/>
      <c r="E70" s="11"/>
      <c r="F70" s="11"/>
      <c r="G70" s="11"/>
      <c r="H70" s="11"/>
      <c r="I70" s="55"/>
      <c r="J70" s="55"/>
      <c r="K70" s="11"/>
      <c r="L70" s="55"/>
      <c r="M70" s="55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</row>
    <row r="71" spans="1:41" x14ac:dyDescent="0.25">
      <c r="A71" s="11"/>
      <c r="B71" s="11"/>
      <c r="C71" s="11"/>
      <c r="D71" s="11"/>
      <c r="E71" s="11"/>
      <c r="F71" s="11"/>
      <c r="G71" s="11"/>
      <c r="H71" s="11"/>
      <c r="I71" s="55"/>
      <c r="J71" s="55"/>
      <c r="K71" s="11"/>
      <c r="L71" s="55"/>
      <c r="M71" s="55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</row>
    <row r="72" spans="1:41" x14ac:dyDescent="0.25">
      <c r="A72" s="11"/>
      <c r="B72" s="11"/>
      <c r="C72" s="11"/>
      <c r="D72" s="11"/>
      <c r="E72" s="11"/>
      <c r="F72" s="11"/>
      <c r="G72" s="11"/>
      <c r="H72" s="11"/>
      <c r="I72" s="55"/>
      <c r="J72" s="55"/>
      <c r="K72" s="11"/>
      <c r="L72" s="55"/>
      <c r="M72" s="55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</row>
    <row r="73" spans="1:41" x14ac:dyDescent="0.25">
      <c r="A73" s="11"/>
      <c r="B73" s="11"/>
      <c r="C73" s="11"/>
      <c r="D73" s="11"/>
      <c r="E73" s="11"/>
      <c r="F73" s="11"/>
      <c r="G73" s="11"/>
      <c r="H73" s="11"/>
      <c r="I73" s="55"/>
      <c r="J73" s="55"/>
      <c r="K73" s="11"/>
      <c r="L73" s="55"/>
      <c r="M73" s="55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</row>
    <row r="74" spans="1:41" x14ac:dyDescent="0.25">
      <c r="A74" s="11"/>
      <c r="B74" s="11"/>
      <c r="C74" s="11"/>
      <c r="D74" s="11"/>
      <c r="E74" s="11"/>
      <c r="F74" s="11"/>
      <c r="G74" s="11"/>
      <c r="H74" s="11"/>
      <c r="I74" s="55"/>
      <c r="J74" s="55"/>
      <c r="K74" s="11"/>
      <c r="L74" s="55"/>
      <c r="M74" s="55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</row>
    <row r="75" spans="1:41" x14ac:dyDescent="0.2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</row>
    <row r="76" spans="1:41" x14ac:dyDescent="0.25">
      <c r="A76" s="11"/>
      <c r="B76" s="11"/>
      <c r="C76" s="11"/>
      <c r="D76" s="11"/>
      <c r="E76" s="11"/>
      <c r="F76" s="11"/>
      <c r="G76" s="11"/>
      <c r="H76" s="55"/>
      <c r="I76" s="55"/>
      <c r="J76" s="11"/>
      <c r="K76" s="11"/>
      <c r="L76" s="55"/>
      <c r="M76" s="55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</row>
    <row r="77" spans="1:41" x14ac:dyDescent="0.25">
      <c r="A77" s="11"/>
      <c r="B77" s="11"/>
      <c r="C77" s="11"/>
      <c r="D77" s="11"/>
      <c r="E77" s="11"/>
      <c r="F77" s="11"/>
      <c r="G77" s="11"/>
      <c r="H77" s="55"/>
      <c r="I77" s="55"/>
      <c r="J77" s="11"/>
      <c r="K77" s="11"/>
      <c r="L77" s="55"/>
      <c r="M77" s="55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</row>
    <row r="78" spans="1:41" x14ac:dyDescent="0.25">
      <c r="A78" s="11"/>
      <c r="B78" s="11"/>
      <c r="C78" s="11"/>
      <c r="D78" s="11"/>
      <c r="E78" s="11"/>
      <c r="F78" s="11"/>
      <c r="G78" s="11"/>
      <c r="H78" s="55"/>
      <c r="I78" s="55"/>
      <c r="J78" s="11"/>
      <c r="K78" s="11"/>
      <c r="L78" s="55"/>
      <c r="M78" s="55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  <row r="79" spans="1:41" x14ac:dyDescent="0.25">
      <c r="A79" s="11"/>
      <c r="B79" s="11"/>
      <c r="C79" s="11"/>
      <c r="D79" s="11"/>
      <c r="E79" s="11"/>
      <c r="F79" s="11"/>
      <c r="G79" s="11"/>
      <c r="H79" s="55"/>
      <c r="I79" s="55"/>
      <c r="J79" s="11"/>
      <c r="K79" s="11"/>
      <c r="L79" s="55"/>
      <c r="M79" s="55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</row>
    <row r="80" spans="1:41" x14ac:dyDescent="0.25">
      <c r="A80" s="11"/>
      <c r="B80" s="11"/>
      <c r="C80" s="11"/>
      <c r="D80" s="11"/>
      <c r="E80" s="11"/>
      <c r="F80" s="11"/>
      <c r="G80" s="11"/>
      <c r="H80" s="55"/>
      <c r="I80" s="55"/>
      <c r="J80" s="11"/>
      <c r="K80" s="11"/>
      <c r="L80" s="55"/>
      <c r="M80" s="55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x14ac:dyDescent="0.25">
      <c r="A81" s="11"/>
      <c r="B81" s="11"/>
      <c r="C81" s="11"/>
      <c r="D81" s="11"/>
      <c r="E81" s="11"/>
      <c r="F81" s="11"/>
      <c r="G81" s="11"/>
      <c r="H81" s="55"/>
      <c r="I81" s="55"/>
      <c r="J81" s="11"/>
      <c r="K81" s="11"/>
      <c r="L81" s="55"/>
      <c r="M81" s="55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</row>
    <row r="82" spans="1:41" x14ac:dyDescent="0.25">
      <c r="A82" s="11"/>
      <c r="B82" s="11"/>
      <c r="C82" s="11"/>
      <c r="D82" s="11"/>
      <c r="E82" s="11"/>
      <c r="F82" s="11"/>
      <c r="G82" s="11"/>
      <c r="H82" s="55"/>
      <c r="I82" s="55"/>
      <c r="J82" s="11"/>
      <c r="K82" s="11"/>
      <c r="L82" s="55"/>
      <c r="M82" s="55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x14ac:dyDescent="0.25">
      <c r="A83" s="11"/>
      <c r="B83" s="11"/>
      <c r="C83" s="11"/>
      <c r="D83" s="11"/>
      <c r="E83" s="11"/>
      <c r="F83" s="11"/>
      <c r="G83" s="11"/>
      <c r="H83" s="55"/>
      <c r="I83" s="55"/>
      <c r="J83" s="11"/>
      <c r="K83" s="11"/>
      <c r="L83" s="55"/>
      <c r="M83" s="55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x14ac:dyDescent="0.25">
      <c r="A84" s="11"/>
      <c r="B84" s="11"/>
      <c r="C84" s="11"/>
      <c r="D84" s="11"/>
      <c r="E84" s="11"/>
      <c r="F84" s="11"/>
      <c r="G84" s="11"/>
      <c r="H84" s="55"/>
      <c r="I84" s="55"/>
      <c r="J84" s="11"/>
      <c r="K84" s="11"/>
      <c r="L84" s="55"/>
      <c r="M84" s="55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x14ac:dyDescent="0.25">
      <c r="A85" s="11"/>
      <c r="B85" s="11"/>
      <c r="C85" s="11"/>
      <c r="D85" s="11"/>
      <c r="E85" s="11"/>
      <c r="F85" s="11"/>
      <c r="G85" s="11"/>
      <c r="H85" s="55"/>
      <c r="I85" s="55"/>
      <c r="J85" s="11"/>
      <c r="K85" s="11"/>
      <c r="L85" s="55"/>
      <c r="M85" s="55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x14ac:dyDescent="0.25">
      <c r="A86" s="11"/>
      <c r="B86" s="11"/>
      <c r="C86" s="11"/>
      <c r="D86" s="11"/>
      <c r="E86" s="11"/>
      <c r="F86" s="11"/>
      <c r="G86" s="11"/>
      <c r="H86" s="55"/>
      <c r="I86" s="55"/>
      <c r="J86" s="11"/>
      <c r="K86" s="11"/>
      <c r="L86" s="55"/>
      <c r="M86" s="55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x14ac:dyDescent="0.25">
      <c r="A87" s="11"/>
      <c r="B87" s="11"/>
      <c r="C87" s="11"/>
      <c r="D87" s="11"/>
      <c r="E87" s="11"/>
      <c r="F87" s="11"/>
      <c r="G87" s="11"/>
      <c r="H87" s="55"/>
      <c r="I87" s="55"/>
      <c r="J87" s="11"/>
      <c r="K87" s="11"/>
      <c r="L87" s="55"/>
      <c r="M87" s="55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x14ac:dyDescent="0.25">
      <c r="A88" s="11"/>
      <c r="B88" s="11"/>
      <c r="C88" s="11"/>
      <c r="D88" s="11"/>
      <c r="E88" s="11"/>
      <c r="F88" s="11"/>
      <c r="G88" s="11"/>
      <c r="H88" s="55"/>
      <c r="I88" s="55"/>
      <c r="J88" s="11"/>
      <c r="K88" s="11"/>
      <c r="L88" s="55"/>
      <c r="M88" s="55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x14ac:dyDescent="0.25">
      <c r="A89" s="11"/>
      <c r="B89" s="11"/>
      <c r="C89" s="11"/>
      <c r="D89" s="11"/>
      <c r="E89" s="11"/>
      <c r="F89" s="11"/>
      <c r="G89" s="11"/>
      <c r="H89" s="55"/>
      <c r="I89" s="55"/>
      <c r="J89" s="11"/>
      <c r="K89" s="11"/>
      <c r="L89" s="55"/>
      <c r="M89" s="55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x14ac:dyDescent="0.25">
      <c r="A90" s="11"/>
      <c r="B90" s="11"/>
      <c r="C90" s="11"/>
      <c r="D90" s="11"/>
      <c r="E90" s="11"/>
      <c r="F90" s="11"/>
      <c r="G90" s="11"/>
      <c r="H90" s="55"/>
      <c r="I90" s="55"/>
      <c r="J90" s="11"/>
      <c r="K90" s="11"/>
      <c r="L90" s="55"/>
      <c r="M90" s="55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x14ac:dyDescent="0.25">
      <c r="A91" s="11"/>
      <c r="B91" s="11"/>
      <c r="C91" s="11"/>
      <c r="D91" s="11"/>
      <c r="E91" s="11"/>
      <c r="F91" s="11"/>
      <c r="G91" s="11"/>
      <c r="H91" s="55"/>
      <c r="I91" s="55"/>
      <c r="J91" s="11"/>
      <c r="K91" s="11"/>
      <c r="L91" s="55"/>
      <c r="M91" s="55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x14ac:dyDescent="0.25">
      <c r="A92" s="11"/>
      <c r="B92" s="11"/>
      <c r="C92" s="11"/>
      <c r="D92" s="11"/>
      <c r="E92" s="11"/>
      <c r="F92" s="11"/>
      <c r="G92" s="11"/>
      <c r="H92" s="55"/>
      <c r="I92" s="55"/>
      <c r="J92" s="11"/>
      <c r="K92" s="11"/>
      <c r="L92" s="55"/>
      <c r="M92" s="55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x14ac:dyDescent="0.25">
      <c r="A93" s="11"/>
      <c r="B93" s="11"/>
      <c r="C93" s="11"/>
      <c r="D93" s="11"/>
      <c r="E93" s="11"/>
      <c r="F93" s="11"/>
      <c r="G93" s="11"/>
      <c r="H93" s="55"/>
      <c r="I93" s="55"/>
      <c r="J93" s="11"/>
      <c r="K93" s="11"/>
      <c r="L93" s="55"/>
      <c r="M93" s="55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x14ac:dyDescent="0.25">
      <c r="A94" s="11"/>
      <c r="B94" s="11"/>
      <c r="C94" s="11"/>
      <c r="D94" s="11"/>
      <c r="E94" s="11"/>
      <c r="F94" s="11"/>
      <c r="G94" s="11"/>
      <c r="H94" s="55"/>
      <c r="I94" s="55"/>
      <c r="J94" s="11"/>
      <c r="K94" s="11"/>
      <c r="L94" s="55"/>
      <c r="M94" s="55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x14ac:dyDescent="0.25">
      <c r="A95" s="11"/>
      <c r="B95" s="11"/>
      <c r="C95" s="11"/>
      <c r="D95" s="11"/>
      <c r="E95" s="11"/>
      <c r="F95" s="11"/>
      <c r="G95" s="11"/>
      <c r="H95" s="55"/>
      <c r="I95" s="55"/>
      <c r="J95" s="11"/>
      <c r="K95" s="11"/>
      <c r="L95" s="55"/>
      <c r="M95" s="55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x14ac:dyDescent="0.25">
      <c r="A96" s="11"/>
      <c r="B96" s="11"/>
      <c r="C96" s="11"/>
      <c r="D96" s="11"/>
      <c r="E96" s="11"/>
      <c r="F96" s="11"/>
      <c r="G96" s="11"/>
      <c r="H96" s="55"/>
      <c r="I96" s="55"/>
      <c r="J96" s="11"/>
      <c r="K96" s="11"/>
      <c r="L96" s="55"/>
      <c r="M96" s="55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x14ac:dyDescent="0.25">
      <c r="A97" s="11"/>
      <c r="B97" s="11"/>
      <c r="C97" s="11"/>
      <c r="D97" s="11"/>
      <c r="E97" s="11"/>
      <c r="F97" s="11"/>
      <c r="G97" s="11"/>
      <c r="H97" s="55"/>
      <c r="I97" s="55"/>
      <c r="J97" s="11"/>
      <c r="K97" s="11"/>
      <c r="L97" s="55"/>
      <c r="M97" s="55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</sheetData>
  <sheetProtection algorithmName="SHA-512" hashValue="En8dJLofxSd/bUDT3GH3bqalMXA+2Ekr1pu26DaAgB1glGkOSD9FXxLeq3vvM+WvQvjlkMFy8r5B4yTHickBlw==" saltValue="MQ+/fK0de0kAmO4RZNrr0w==" spinCount="100000" sheet="1" scenarios="1"/>
  <mergeCells count="2">
    <mergeCell ref="AD31:AE31"/>
    <mergeCell ref="AG31:AH31"/>
  </mergeCells>
  <dataValidations disablePrompts="1" count="2">
    <dataValidation type="list" allowBlank="1" sqref="B28" xr:uid="{00000000-0002-0000-2500-000000000000}">
      <formula1>"ACCOUNT,BUSINESSUNIT,CATEGORY,DATASRC,DEPARTMENT,INTCO,MEASURES,RPTCURRENCY,TIME"</formula1>
    </dataValidation>
    <dataValidation type="list" allowBlank="1" sqref="B29" xr:uid="{00000000-0002-0000-2500-000001000000}">
      <formula1>"SELF,ALL,BAS,DEP,BASMEMBERS,MEMBERS,NOEXPAND,GDEP"</formula1>
    </dataValidation>
  </dataValidations>
  <pageMargins left="0.25" right="0.25" top="0.5" bottom="0.5" header="0.3" footer="0.3"/>
  <pageSetup scale="49" fitToHeight="0" orientation="landscape" r:id="rId1"/>
  <headerFooter>
    <oddFooter>&amp;L&amp;F&amp;C&amp;P of &amp;N&amp;R&amp;D</oddFooter>
  </headerFooter>
  <customProperties>
    <customPr name="EpmWorksheetKeyString_GUID" r:id="rId2"/>
    <customPr name="FPMExcelClientCellBasedFunctionStatus" r:id="rId3"/>
    <customPr name="FPMExcelClientRefreshTime" r:id="rId4"/>
  </customProperties>
  <drawing r:id="rId5"/>
  <legacyDrawing r:id="rId6"/>
  <controls>
    <mc:AlternateContent xmlns:mc="http://schemas.openxmlformats.org/markup-compatibility/2006">
      <mc:Choice Requires="x14">
        <control shapeId="62467" r:id="rId7" name="FPMExcelClientSheetOptionstb1">
          <controlPr defaultSize="0" autoLine="0" r:id="rId8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13</xdr:col>
                <xdr:colOff>666750</xdr:colOff>
                <xdr:row>0</xdr:row>
                <xdr:rowOff>0</xdr:rowOff>
              </to>
            </anchor>
          </controlPr>
        </control>
      </mc:Choice>
      <mc:Fallback>
        <control shapeId="62467" r:id="rId7" name="FPMExcelClientSheetOptionstb1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0">
    <pageSetUpPr fitToPage="1"/>
  </sheetPr>
  <dimension ref="A1:AO102"/>
  <sheetViews>
    <sheetView topLeftCell="K25" zoomScale="85" zoomScaleNormal="85" workbookViewId="0">
      <pane xSplit="4" ySplit="8" topLeftCell="O33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2" width="9.7109375" style="2" hidden="1" customWidth="1" outlineLevel="1" collapsed="1"/>
    <col min="13" max="13" width="9.7109375" style="2" hidden="1" customWidth="1" outlineLevel="1"/>
    <col min="14" max="14" width="36.7109375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40" width="0" style="1" hidden="1" customWidth="1" outlineLevel="1"/>
    <col min="41" max="41" width="9.140625" style="1" collapsed="1"/>
    <col min="42" max="16384" width="9.140625" style="1"/>
  </cols>
  <sheetData>
    <row r="1" spans="1:41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11"/>
      <c r="H1" s="11"/>
      <c r="I1" s="11"/>
      <c r="J1" s="11"/>
      <c r="K1" s="11"/>
      <c r="L1" s="51"/>
      <c r="M1" s="51"/>
      <c r="N1" s="5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</row>
    <row r="2" spans="1:41" hidden="1" outlineLevel="1" x14ac:dyDescent="0.25">
      <c r="A2" s="49" t="s">
        <v>22</v>
      </c>
      <c r="B2" s="52" t="s">
        <v>554</v>
      </c>
      <c r="C2" s="11" t="str">
        <f>IF(_epmOfflineCondition_,"POD Allocation Out Account",_xll.EVDES(B2,$B$1))</f>
        <v>POD Allocation Out Account</v>
      </c>
      <c r="D2" s="11"/>
      <c r="E2" s="11"/>
      <c r="F2" s="11"/>
      <c r="G2" s="11"/>
      <c r="H2" s="11"/>
      <c r="I2" s="11"/>
      <c r="J2" s="11"/>
      <c r="K2" s="11"/>
      <c r="L2" s="51"/>
      <c r="M2" s="5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</row>
    <row r="3" spans="1:41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11"/>
      <c r="H3" s="11"/>
      <c r="I3" s="11"/>
      <c r="J3" s="11"/>
      <c r="K3" s="11"/>
      <c r="L3" s="55"/>
      <c r="M3" s="55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11"/>
      <c r="H4" s="11"/>
      <c r="I4" s="55"/>
      <c r="J4" s="55"/>
      <c r="K4" s="11"/>
      <c r="L4" s="55"/>
      <c r="M4" s="55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11"/>
      <c r="H5" s="11"/>
      <c r="I5" s="55"/>
      <c r="J5" s="55"/>
      <c r="K5" s="11"/>
      <c r="L5" s="55"/>
      <c r="M5" s="55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idden="1" outlineLevel="1" x14ac:dyDescent="0.25">
      <c r="A6" s="49" t="s">
        <v>52</v>
      </c>
      <c r="B6" s="52" t="s">
        <v>552</v>
      </c>
      <c r="C6" s="11" t="str">
        <f>IF(_epmOfflineCondition_,"House Laundry",_xll.EVDES(B6,$B$1))</f>
        <v>House Laundry</v>
      </c>
      <c r="D6" s="11"/>
      <c r="E6" s="54" t="str">
        <f>IF(_epmOfflineCondition_,"D1228",_xll.EVPRO($B$1,$B$6,$F$6))</f>
        <v>D1228</v>
      </c>
      <c r="F6" s="11" t="s">
        <v>278</v>
      </c>
      <c r="G6" s="11"/>
      <c r="H6" s="11"/>
      <c r="I6" s="55"/>
      <c r="J6" s="55"/>
      <c r="K6" s="11"/>
      <c r="L6" s="55"/>
      <c r="M6" s="55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11"/>
      <c r="H7" s="11"/>
      <c r="I7" s="55"/>
      <c r="J7" s="55"/>
      <c r="K7" s="11"/>
      <c r="L7" s="55"/>
      <c r="M7" s="55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11"/>
      <c r="H8" s="11"/>
      <c r="I8" s="55"/>
      <c r="J8" s="55"/>
      <c r="K8" s="11"/>
      <c r="L8" s="55"/>
      <c r="M8" s="55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55"/>
      <c r="M9" s="55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55"/>
      <c r="M10" s="55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55"/>
      <c r="M11" s="55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55"/>
      <c r="M12" s="55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  <c r="AJ12" s="11"/>
      <c r="AK12" s="11"/>
      <c r="AL12" s="11"/>
      <c r="AM12" s="11"/>
      <c r="AN12" s="11"/>
      <c r="AO12" s="11"/>
    </row>
    <row r="13" spans="1:41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55"/>
      <c r="M13" s="55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  <c r="AJ13" s="11"/>
      <c r="AK13" s="11"/>
      <c r="AL13" s="11"/>
      <c r="AM13" s="11"/>
      <c r="AN13" s="11"/>
      <c r="AO13" s="11"/>
    </row>
    <row r="14" spans="1:41" hidden="1" outlineLevel="1" x14ac:dyDescent="0.25">
      <c r="A14" s="56" t="str">
        <f>IF(_epmOfflineCondition_,"Evdre:Ok",_xll.EVDRE($B$1,A17:B24,A27:B33))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55"/>
      <c r="M14" s="55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  <c r="AJ14" s="11"/>
      <c r="AK14" s="11"/>
      <c r="AL14" s="11"/>
      <c r="AM14" s="11"/>
      <c r="AN14" s="11"/>
      <c r="AO14" s="11"/>
    </row>
    <row r="15" spans="1:41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55"/>
      <c r="M15" s="55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  <c r="AJ15" s="11"/>
      <c r="AK15" s="11"/>
      <c r="AL15" s="11"/>
      <c r="AM15" s="11"/>
      <c r="AN15" s="11"/>
      <c r="AO15" s="11"/>
    </row>
    <row r="16" spans="1:41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55"/>
      <c r="M16" s="55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  <c r="AJ16" s="11"/>
      <c r="AK16" s="11"/>
      <c r="AL16" s="11"/>
      <c r="AM16" s="11"/>
      <c r="AN16" s="11"/>
      <c r="AO16" s="11"/>
    </row>
    <row r="17" spans="1:41" hidden="1" outlineLevel="1" x14ac:dyDescent="0.25">
      <c r="A17" s="61" t="s">
        <v>2</v>
      </c>
      <c r="B17" s="62" t="str">
        <f>IF(_epmOfflineCondition_,"'Laundry'!$B$2:$B$10",_xll.EVRNG($B$2:$B$10))</f>
        <v>'Laundry'!$B$2:$B$10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55"/>
      <c r="M17" s="55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/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  <c r="AJ17" s="11"/>
      <c r="AK17" s="11"/>
      <c r="AL17" s="11"/>
      <c r="AM17" s="11"/>
      <c r="AN17" s="11"/>
      <c r="AO17" s="11"/>
    </row>
    <row r="18" spans="1:41" hidden="1" outlineLevel="1" x14ac:dyDescent="0.25">
      <c r="A18" s="61" t="s">
        <v>3</v>
      </c>
      <c r="B18" s="62" t="str">
        <f>IF(_epmOfflineCondition_,"'Laundry'!$O$16:$AN$18",_xll.EVRNG($O$16:$AN$18))</f>
        <v>'Laundry'!$O$16:$AN$18</v>
      </c>
      <c r="C18" s="11"/>
      <c r="D18" s="11"/>
      <c r="E18" s="11"/>
      <c r="F18" s="11"/>
      <c r="G18" s="11"/>
      <c r="H18" s="11"/>
      <c r="I18" s="55"/>
      <c r="J18" s="55"/>
      <c r="K18" s="11"/>
      <c r="L18" s="55"/>
      <c r="M18" s="55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60"/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  <c r="AJ18" s="11"/>
      <c r="AK18" s="11"/>
      <c r="AL18" s="11"/>
      <c r="AM18" s="11"/>
      <c r="AN18" s="11"/>
      <c r="AO18" s="11"/>
    </row>
    <row r="19" spans="1:41" hidden="1" outlineLevel="1" x14ac:dyDescent="0.25">
      <c r="A19" s="61" t="s">
        <v>4</v>
      </c>
      <c r="B19" s="62" t="str">
        <f>IF(_epmOfflineCondition_,"'Laundry'!$H$35:$H$36,'Laundry'!$H$38:$H$39,'Laundry'!$H$42:$H$43",_xll.EVRNG(H35:H36,H38:H39,H42:H43))</f>
        <v>'Laundry'!$H$35:$H$36,'Laundry'!$H$38:$H$39,'Laundry'!$H$42:$H$43</v>
      </c>
      <c r="C19" s="11"/>
      <c r="D19" s="11"/>
      <c r="E19" s="11"/>
      <c r="F19" s="11"/>
      <c r="G19" s="63" t="s">
        <v>499</v>
      </c>
      <c r="H19" s="63">
        <v>400000</v>
      </c>
      <c r="I19" s="64"/>
      <c r="J19" s="64"/>
      <c r="K19" s="63"/>
      <c r="L19" s="64"/>
      <c r="M19" s="64"/>
      <c r="N19" s="63" t="str">
        <f>IF(_epmOfflineCondition_,"Total Revenue",_xll.EVDES(H19))</f>
        <v>Total Revenue</v>
      </c>
      <c r="O19" s="65">
        <f>IF(_epmOfflineCondition_,816981.25,_xll.EVGTS($B$1,1,$B$3,$B$5,$B$7,$B$9,O$16,O$17,O$18,$G$19,$H$19))</f>
        <v>816981.25</v>
      </c>
      <c r="P19" s="65">
        <f>IF(_epmOfflineCondition_,866773.26,_xll.EVGTS($B$1,1,$B$3,$B$5,$B$7,$B$9,P$16,P$17,P$18,$G$19,$H$19))</f>
        <v>866773.26</v>
      </c>
      <c r="Q19" s="65">
        <f>IF(_epmOfflineCondition_,969793.68,_xll.EVGTS($B$1,1,$B$3,$B$5,$B$7,$B$9,Q$16,Q$17,Q$18,$G$19,$H$19))</f>
        <v>969793.68</v>
      </c>
      <c r="R19" s="65">
        <f>IF(_epmOfflineCondition_,760228.83,_xll.EVGTS($B$1,1,$B$3,$B$5,$B$7,$B$9,R$16,R$17,R$18,$G$19,$H$19))</f>
        <v>760228.83</v>
      </c>
      <c r="S19" s="65">
        <f>IF(_epmOfflineCondition_,618655.29,_xll.EVGTS($B$1,1,$B$3,$B$5,$B$7,$B$9,S$16,S$17,S$18,$G$19,$H$19))</f>
        <v>618655.29</v>
      </c>
      <c r="T19" s="65">
        <f>IF(_epmOfflineCondition_,453678.77,_xll.EVGTS($B$1,1,$B$3,$B$5,$B$7,$B$9,T$16,T$17,T$18,$G$19,$H$19))</f>
        <v>453678.77</v>
      </c>
      <c r="U19" s="65">
        <f>IF(_epmOfflineCondition_,542439.38,_xll.EVGTS($B$1,1,$B$3,$B$5,$B$7,$B$9,U$16,U$17,U$18,$G$19,$H$19))</f>
        <v>542439.38</v>
      </c>
      <c r="V19" s="65">
        <f>IF(_epmOfflineCondition_,530393.92,_xll.EVGTS($B$1,1,$B$3,$B$5,$B$7,$B$9,V$16,V$17,V$18,$G$19,$H$19))</f>
        <v>530393.92000000004</v>
      </c>
      <c r="W19" s="65">
        <f>IF(_epmOfflineCondition_,366989.98,_xll.EVGTS($B$1,1,$B$3,$B$5,$B$7,$B$9,W$16,W$17,W$18,$G$19,$H$19))</f>
        <v>366989.98</v>
      </c>
      <c r="X19" s="65">
        <f>IF(_epmOfflineCondition_,549087,_xll.EVGTS($B$1,1,$B$3,$B$5,$B$7,$B$9,X$16,X$17,X$18,$G$19,$H$19))</f>
        <v>549087</v>
      </c>
      <c r="Y19" s="65">
        <f>IF(_epmOfflineCondition_,756850.37,_xll.EVGTS($B$1,1,$B$3,$B$5,$B$7,$B$9,Y$16,Y$17,Y$18,$G$19,$H$19))</f>
        <v>756850.37</v>
      </c>
      <c r="Z19" s="65">
        <f>IF(_epmOfflineCondition_,1154118.08,_xll.EVGTS($B$1,1,$B$3,$B$5,$B$7,$B$9,Z$16,Z$17,Z$18,$G$19,$H$19))</f>
        <v>1154118.08</v>
      </c>
      <c r="AA19" s="65">
        <f>SUM(O19:Z19)</f>
        <v>8385989.8099999996</v>
      </c>
      <c r="AB19" s="63"/>
      <c r="AC19" s="63"/>
      <c r="AD19" s="65">
        <f>IF(_epmOfflineCondition_,13047408.7892219,_xll.EVGTS($B$1,1,$B$3,$B$5,$B$7,$B$9,AD$16,AD$17,AD$18,$G$19,$H$19))</f>
        <v>13047408.7892219</v>
      </c>
      <c r="AE19" s="63"/>
      <c r="AF19" s="63"/>
      <c r="AG19" s="65">
        <f>IF(_epmOfflineCondition_,3258668.97,_xll.EVGTS($B$1,1,$B$3,$B$5,$B$7,$B$9,AG$16,AG$17,AG$18,$G$19,$H$19))</f>
        <v>3258668.97</v>
      </c>
      <c r="AH19" s="63"/>
      <c r="AI19" s="63"/>
      <c r="AJ19" s="11"/>
      <c r="AK19" s="11"/>
      <c r="AL19" s="11"/>
      <c r="AM19" s="11"/>
      <c r="AN19" s="11"/>
      <c r="AO19" s="11"/>
    </row>
    <row r="20" spans="1:41" hidden="1" outlineLevel="1" x14ac:dyDescent="0.25">
      <c r="A20" s="61" t="s">
        <v>5</v>
      </c>
      <c r="B20" s="62"/>
      <c r="C20" s="11"/>
      <c r="D20" s="11"/>
      <c r="E20" s="11"/>
      <c r="F20" s="11"/>
      <c r="G20" s="63" t="s">
        <v>750</v>
      </c>
      <c r="H20" s="63">
        <v>904100</v>
      </c>
      <c r="I20" s="64"/>
      <c r="J20" s="64"/>
      <c r="K20" s="63"/>
      <c r="L20" s="64"/>
      <c r="M20" s="64"/>
      <c r="N20" s="63" t="str">
        <f>IF(_epmOfflineCondition_,"Available rooms",_xll.EVDES(H20))</f>
        <v>Available rooms</v>
      </c>
      <c r="O20" s="65">
        <f>IF(_epmOfflineCondition_,4092,_xll.EVGTS($B$1,1,$B$3,$B$5,$B$7,$B$9,O$16,O$17,O$18,$G$20,$H$20))</f>
        <v>4092</v>
      </c>
      <c r="P20" s="65">
        <f>IF(_epmOfflineCondition_,3696,_xll.EVGTS($B$1,1,$B$3,$B$5,$B$7,$B$9,P$16,P$17,P$18,$G$20,$H$20))</f>
        <v>3696</v>
      </c>
      <c r="Q20" s="65">
        <f>IF(_epmOfflineCondition_,4092,_xll.EVGTS($B$1,1,$B$3,$B$5,$B$7,$B$9,Q$16,Q$17,Q$18,$G$20,$H$20))</f>
        <v>4092</v>
      </c>
      <c r="R20" s="65">
        <f>IF(_epmOfflineCondition_,3960,_xll.EVGTS($B$1,1,$B$3,$B$5,$B$7,$B$9,R$16,R$17,R$18,$G$20,$H$20))</f>
        <v>3960</v>
      </c>
      <c r="S20" s="65">
        <f>IF(_epmOfflineCondition_,4092,_xll.EVGTS($B$1,1,$B$3,$B$5,$B$7,$B$9,S$16,S$17,S$18,$G$20,$H$20))</f>
        <v>4092</v>
      </c>
      <c r="T20" s="65">
        <f>IF(_epmOfflineCondition_,3960,_xll.EVGTS($B$1,1,$B$3,$B$5,$B$7,$B$9,T$16,T$17,T$18,$G$20,$H$20))</f>
        <v>3960</v>
      </c>
      <c r="U20" s="65">
        <f>IF(_epmOfflineCondition_,4092,_xll.EVGTS($B$1,1,$B$3,$B$5,$B$7,$B$9,U$16,U$17,U$18,$G$20,$H$20))</f>
        <v>4092</v>
      </c>
      <c r="V20" s="65">
        <f>IF(_epmOfflineCondition_,4092,_xll.EVGTS($B$1,1,$B$3,$B$5,$B$7,$B$9,V$16,V$17,V$18,$G$20,$H$20))</f>
        <v>4092</v>
      </c>
      <c r="W20" s="65">
        <f>IF(_epmOfflineCondition_,3960,_xll.EVGTS($B$1,1,$B$3,$B$5,$B$7,$B$9,W$16,W$17,W$18,$G$20,$H$20))</f>
        <v>3960</v>
      </c>
      <c r="X20" s="65">
        <f>IF(_epmOfflineCondition_,4092,_xll.EVGTS($B$1,1,$B$3,$B$5,$B$7,$B$9,X$16,X$17,X$18,$G$20,$H$20))</f>
        <v>4092</v>
      </c>
      <c r="Y20" s="65">
        <f>IF(_epmOfflineCondition_,3960,_xll.EVGTS($B$1,1,$B$3,$B$5,$B$7,$B$9,Y$16,Y$17,Y$18,$G$20,$H$20))</f>
        <v>3960</v>
      </c>
      <c r="Z20" s="65">
        <f>IF(_epmOfflineCondition_,4092,_xll.EVGTS($B$1,1,$B$3,$B$5,$B$7,$B$9,Z$16,Z$17,Z$18,$G$20,$H$20))</f>
        <v>4092</v>
      </c>
      <c r="AA20" s="65">
        <f>SUM(O20:Z20)</f>
        <v>48180</v>
      </c>
      <c r="AB20" s="63"/>
      <c r="AC20" s="63"/>
      <c r="AD20" s="65">
        <f>IF(_epmOfflineCondition_,48180,_xll.EVGTS($B$1,1,$B$3,$B$5,$B$7,$B$9,AD$16,AD$17,AD$18,$G$20,$H$20))</f>
        <v>48180</v>
      </c>
      <c r="AE20" s="63"/>
      <c r="AF20" s="63"/>
      <c r="AG20" s="65">
        <f>IF(_epmOfflineCondition_,37251,_xll.EVGTS($B$1,1,$B$3,$B$5,$B$7,$B$9,AG$16,AG$17,AG$18,$G$20,$H$20))</f>
        <v>37251</v>
      </c>
      <c r="AH20" s="63"/>
      <c r="AI20" s="63"/>
      <c r="AJ20" s="11"/>
      <c r="AK20" s="11"/>
      <c r="AL20" s="11"/>
      <c r="AM20" s="11"/>
      <c r="AN20" s="11"/>
      <c r="AO20" s="11"/>
    </row>
    <row r="21" spans="1:41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55"/>
      <c r="J21" s="55"/>
      <c r="K21" s="11"/>
      <c r="L21" s="55"/>
      <c r="M21" s="55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idden="1" outlineLevel="1" x14ac:dyDescent="0.25">
      <c r="A22" s="61" t="s">
        <v>7</v>
      </c>
      <c r="B22" s="62" t="str">
        <f>IF(_epmOfflineCondition_,"'Laundry'!$A$36:$F$42",_xll.EVRNG(A36:F42))</f>
        <v>'Laundry'!$A$36:$F$42</v>
      </c>
      <c r="C22" s="11"/>
      <c r="D22" s="11"/>
      <c r="E22" s="11"/>
      <c r="F22" s="11"/>
      <c r="G22" s="11"/>
      <c r="H22" s="11"/>
      <c r="I22" s="55"/>
      <c r="J22" s="55"/>
      <c r="K22" s="11"/>
      <c r="L22" s="55"/>
      <c r="M22" s="55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idden="1" outlineLevel="1" x14ac:dyDescent="0.25">
      <c r="A23" s="61" t="s">
        <v>47</v>
      </c>
      <c r="B23" s="62" t="str">
        <f>IF(_epmOfflineCondition_,"'Laundry'!$A$81:$B$102",_xll.EVRNG($A$81:$B$102))</f>
        <v>'Laundry'!$A$81:$B$102</v>
      </c>
      <c r="C23" s="11"/>
      <c r="D23" s="11"/>
      <c r="E23" s="11"/>
      <c r="F23" s="11"/>
      <c r="G23" s="11"/>
      <c r="H23" s="11"/>
      <c r="I23" s="55"/>
      <c r="J23" s="55"/>
      <c r="K23" s="6"/>
      <c r="L23" s="55"/>
      <c r="M23" s="55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55"/>
      <c r="M24" s="55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55"/>
      <c r="M25" s="55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22.5" x14ac:dyDescent="0.3">
      <c r="A26" s="57" t="s">
        <v>9</v>
      </c>
      <c r="B26" s="58" t="s">
        <v>10</v>
      </c>
      <c r="C26" s="11"/>
      <c r="D26" s="11"/>
      <c r="E26" s="11"/>
      <c r="F26" s="11"/>
      <c r="G26" s="11"/>
      <c r="H26" s="11"/>
      <c r="I26" s="55"/>
      <c r="J26" s="55"/>
      <c r="K26" s="11"/>
      <c r="L26" s="55"/>
      <c r="M26" s="55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8" x14ac:dyDescent="0.25">
      <c r="A27" s="61" t="s">
        <v>11</v>
      </c>
      <c r="B27" s="62" t="s">
        <v>21</v>
      </c>
      <c r="C27" s="11"/>
      <c r="D27" s="11"/>
      <c r="E27" s="11"/>
      <c r="F27" s="11"/>
      <c r="G27" s="11"/>
      <c r="H27" s="11"/>
      <c r="I27" s="55"/>
      <c r="J27" s="55"/>
      <c r="K27" s="11"/>
      <c r="L27" s="55"/>
      <c r="M27" s="55"/>
      <c r="N27" s="67" t="str">
        <f>IF(_epmOfflineCondition_,"House Laundry Department",IF(_xll.EVDES(B6,$B$1)="#NODATA","",_xll.EVDES(B6,$B$1)&amp;" Department"))</f>
        <v>House Laundry Department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x14ac:dyDescent="0.25">
      <c r="A28" s="61" t="s">
        <v>12</v>
      </c>
      <c r="B28" s="62" t="s">
        <v>22</v>
      </c>
      <c r="C28" s="11"/>
      <c r="D28" s="11"/>
      <c r="E28" s="11"/>
      <c r="F28" s="11"/>
      <c r="G28" s="11"/>
      <c r="H28" s="11"/>
      <c r="I28" s="55"/>
      <c r="J28" s="55"/>
      <c r="K28" s="11"/>
      <c r="L28" s="55"/>
      <c r="M28" s="55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" customHeight="1" x14ac:dyDescent="0.25">
      <c r="A29" s="61" t="s">
        <v>13</v>
      </c>
      <c r="B29" s="62" t="s">
        <v>747</v>
      </c>
      <c r="C29" s="11"/>
      <c r="D29" s="11"/>
      <c r="E29" s="11"/>
      <c r="F29" s="11"/>
      <c r="G29" s="11"/>
      <c r="H29" s="11"/>
      <c r="I29" s="55"/>
      <c r="J29" s="55"/>
      <c r="K29" s="11"/>
      <c r="L29" s="55"/>
      <c r="M29" s="55"/>
      <c r="N29" s="68" t="str">
        <f>IF(_epmOfflineCondition_,"Local Currency",_xll.EVDES(B9,B1))</f>
        <v>Local Currency</v>
      </c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x14ac:dyDescent="0.25">
      <c r="A30" s="61" t="s">
        <v>14</v>
      </c>
      <c r="B30" s="62"/>
      <c r="C30" s="11"/>
      <c r="D30" s="11"/>
      <c r="E30" s="11"/>
      <c r="F30" s="11"/>
      <c r="G30" s="11"/>
      <c r="H30" s="11"/>
      <c r="I30" s="55"/>
      <c r="J30" s="55"/>
      <c r="K30" s="11"/>
      <c r="L30" s="55"/>
      <c r="M30" s="55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  <c r="AJ30" s="69" t="s">
        <v>753</v>
      </c>
      <c r="AK30" s="70"/>
      <c r="AL30" s="71"/>
      <c r="AM30" s="70" t="s">
        <v>751</v>
      </c>
      <c r="AN30" s="70"/>
      <c r="AO30" s="11"/>
    </row>
    <row r="31" spans="1:41" x14ac:dyDescent="0.25">
      <c r="A31" s="61" t="s">
        <v>15</v>
      </c>
      <c r="B31" s="62"/>
      <c r="C31" s="11"/>
      <c r="D31" s="11"/>
      <c r="E31" s="11"/>
      <c r="F31" s="11"/>
      <c r="G31" s="72"/>
      <c r="H31" s="11"/>
      <c r="I31" s="55"/>
      <c r="J31" s="55"/>
      <c r="K31" s="173"/>
      <c r="L31" s="55"/>
      <c r="M31" s="55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  <c r="AJ31" s="73" t="str">
        <f>IF(_epmOfflineCondition_,"2019",_xll.EVPRO($B$1,AA$16,"YEAR"))</f>
        <v>2019</v>
      </c>
      <c r="AK31" s="76" t="str">
        <f>IF(_epmOfflineCondition_,"2019",_xll.EVPRO($B$1,AD$16,"YEAR"))</f>
        <v>2019</v>
      </c>
      <c r="AL31" s="76" t="str">
        <f>IF(_epmOfflineCondition_,"2018",_xll.EVPRO($B$1,AG$16,"YEAR"))</f>
        <v>2018</v>
      </c>
      <c r="AM31" s="73" t="str">
        <f>"vs "&amp;AK31</f>
        <v>vs 2019</v>
      </c>
      <c r="AN31" s="73" t="str">
        <f>"vs "&amp;AL31</f>
        <v>vs 2018</v>
      </c>
      <c r="AO31" s="11"/>
    </row>
    <row r="32" spans="1:41" s="8" customFormat="1" ht="30" customHeight="1" x14ac:dyDescent="0.25">
      <c r="A32" s="77" t="s">
        <v>16</v>
      </c>
      <c r="B32" s="78" t="s">
        <v>78</v>
      </c>
      <c r="C32" s="79"/>
      <c r="D32" s="79"/>
      <c r="E32" s="79"/>
      <c r="F32" s="79"/>
      <c r="G32" s="79"/>
      <c r="H32" s="80"/>
      <c r="I32" s="81"/>
      <c r="J32" s="81"/>
      <c r="K32" s="174" t="s">
        <v>117</v>
      </c>
      <c r="L32" s="81"/>
      <c r="M32" s="81"/>
      <c r="N32" s="82" t="s">
        <v>120</v>
      </c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  <c r="AJ32" s="83" t="str">
        <f>Z32</f>
        <v>Actual</v>
      </c>
      <c r="AK32" s="76" t="str">
        <f>AD32</f>
        <v>Budget</v>
      </c>
      <c r="AL32" s="83" t="str">
        <f>AG32</f>
        <v>Actual</v>
      </c>
      <c r="AM32" s="73" t="s">
        <v>748</v>
      </c>
      <c r="AN32" s="73" t="s">
        <v>748</v>
      </c>
      <c r="AO32" s="79"/>
    </row>
    <row r="33" spans="1:41" x14ac:dyDescent="0.25">
      <c r="A33" s="61" t="s">
        <v>17</v>
      </c>
      <c r="B33" s="62"/>
      <c r="C33" s="11"/>
      <c r="D33" s="11"/>
      <c r="E33" s="11"/>
      <c r="F33" s="11"/>
      <c r="G33" s="11"/>
      <c r="H33" s="11" t="s">
        <v>73</v>
      </c>
      <c r="I33" s="55" t="str">
        <f>IF(_epmOfflineCondition_,"B1",_xll.EVPRO($B$1,$H33,"STYLE"))</f>
        <v>B1</v>
      </c>
      <c r="J33" s="55" t="str">
        <f>IF(_epmOfflineCondition_,"Y",_xll.EVPRO($B$1,$H33,"CALC"))</f>
        <v>Y</v>
      </c>
      <c r="K33" s="11"/>
      <c r="L33" s="55"/>
      <c r="M33" s="55"/>
      <c r="N33" s="101" t="str">
        <f>IF(_epmOfflineCondition_,"Labor &amp; Related Expenses",IF(_xll.EVDES(H33,$B$1)="#NODATA","",_xll.EVDES(H33,$B$1)))</f>
        <v>Labor &amp; Related Expenses</v>
      </c>
      <c r="O33" s="199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114"/>
      <c r="AC33" s="11"/>
      <c r="AD33" s="199"/>
      <c r="AE33" s="200"/>
      <c r="AF33" s="114"/>
      <c r="AG33" s="199"/>
      <c r="AH33" s="200"/>
      <c r="AI33" s="114"/>
      <c r="AJ33" s="11"/>
      <c r="AK33" s="11"/>
      <c r="AL33" s="11"/>
      <c r="AM33" s="11"/>
      <c r="AN33" s="11"/>
      <c r="AO33" s="11"/>
    </row>
    <row r="34" spans="1:41" x14ac:dyDescent="0.25">
      <c r="A34" s="11"/>
      <c r="B34" s="11"/>
      <c r="C34" s="11"/>
      <c r="D34" s="11"/>
      <c r="E34" s="11"/>
      <c r="F34" s="11"/>
      <c r="G34" s="11"/>
      <c r="H34" s="11" t="s">
        <v>74</v>
      </c>
      <c r="I34" s="55" t="str">
        <f>IF(_epmOfflineCondition_,"B1",_xll.EVPRO($B$1,$H34,"STYLE"))</f>
        <v>B1</v>
      </c>
      <c r="J34" s="55" t="str">
        <f>IF(_epmOfflineCondition_,"Y",_xll.EVPRO($B$1,$H34,"CALC"))</f>
        <v>Y</v>
      </c>
      <c r="K34" s="11"/>
      <c r="L34" s="55"/>
      <c r="M34" s="55"/>
      <c r="N34" s="49" t="str">
        <f>IF(_epmOfflineCondition_,"Salaries &amp; Wages",IF(_xll.EVDES(H34,$B$1)="#NODATA","",_xll.EVDES(H34,$B$1)))</f>
        <v>Salaries &amp; Wages</v>
      </c>
      <c r="O34" s="115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7"/>
      <c r="AC34" s="11"/>
      <c r="AD34" s="115"/>
      <c r="AE34" s="116"/>
      <c r="AF34" s="117"/>
      <c r="AG34" s="115"/>
      <c r="AH34" s="116"/>
      <c r="AI34" s="117"/>
      <c r="AJ34" s="11"/>
      <c r="AK34" s="11"/>
      <c r="AL34" s="11"/>
      <c r="AM34" s="11"/>
      <c r="AN34" s="11"/>
      <c r="AO34" s="11"/>
    </row>
    <row r="35" spans="1:41" hidden="1" x14ac:dyDescent="0.25">
      <c r="A35" s="93" t="s">
        <v>92</v>
      </c>
      <c r="B35" s="94" t="s">
        <v>93</v>
      </c>
      <c r="C35" s="94" t="s">
        <v>94</v>
      </c>
      <c r="D35" s="94" t="s">
        <v>95</v>
      </c>
      <c r="E35" s="94" t="s">
        <v>96</v>
      </c>
      <c r="F35" s="95" t="s">
        <v>97</v>
      </c>
      <c r="G35" s="11"/>
      <c r="H35" s="84" t="s">
        <v>668</v>
      </c>
      <c r="I35" s="118" t="str">
        <f>IF(_epmOfflineCondition_,"",_xll.EVPRO($B$1,$H35,"STYLE"))</f>
        <v/>
      </c>
      <c r="J35" s="118" t="str">
        <f>IF(_epmOfflineCondition_,"",_xll.EVPRO($B$1,$H35,"CALC"))</f>
        <v/>
      </c>
      <c r="K35" s="175" t="str">
        <f>IF(AND(I35&gt;="T3"),"&gt;","")</f>
        <v/>
      </c>
      <c r="L35" s="86" t="str">
        <f>IF(_epmOfflineCondition_,"",_xll.EVPRO($B$1,H35,"JDEID"))</f>
        <v/>
      </c>
      <c r="M35" s="86" t="str">
        <f>IF(_epmOfflineCondition_,"",IF(AND(I35="N",J35="N"),_xll.EVPRO($B$1,H35,"PSFTID"),""))</f>
        <v/>
      </c>
      <c r="N35" s="86" t="str">
        <f>IF(_epmOfflineCondition_,"",IF(_xll.EVDES(H35,$B$1)="#NODATA","",_xll.EVDES(H35,$B$1)))</f>
        <v/>
      </c>
      <c r="O35" s="248"/>
      <c r="P35" s="248"/>
      <c r="Q35" s="248"/>
      <c r="R35" s="248"/>
      <c r="S35" s="248"/>
      <c r="T35" s="248"/>
      <c r="U35" s="248"/>
      <c r="V35" s="248"/>
      <c r="W35" s="248"/>
      <c r="X35" s="248"/>
      <c r="Y35" s="248"/>
      <c r="Z35" s="248"/>
      <c r="AA35" s="228">
        <f>IF($I35="B1","",SUM(O35:Z35))</f>
        <v>0</v>
      </c>
      <c r="AB35" s="249" t="str">
        <f>IF(AA35=0,"",IFERROR(AA35/AA$19,""))</f>
        <v/>
      </c>
      <c r="AC35" s="136"/>
      <c r="AD35" s="228"/>
      <c r="AE35" s="230" t="str">
        <f>IF(AD35=0,"",IFERROR(AD35/AD$19,""))</f>
        <v/>
      </c>
      <c r="AF35" s="231">
        <f>IF(AND($AA35="",AD35=""),"",$AA35-AD35)</f>
        <v>0</v>
      </c>
      <c r="AG35" s="228"/>
      <c r="AH35" s="230" t="str">
        <f>IF(AG35=0,"",IFERROR(AG35/AG$19,""))</f>
        <v/>
      </c>
      <c r="AI35" s="231">
        <f>IF(AND($AA35="",AG35=""),"",$AA35-AG35)</f>
        <v>0</v>
      </c>
      <c r="AJ35" s="458">
        <f>IFERROR(AA35/AA$20,0)</f>
        <v>0</v>
      </c>
      <c r="AK35" s="459">
        <f>IFERROR(AD35/AD$20,0)</f>
        <v>0</v>
      </c>
      <c r="AL35" s="460">
        <f>IFERROR(AG35/AG$20,0)</f>
        <v>0</v>
      </c>
      <c r="AM35" s="461">
        <f>+IFERROR(ROUND(($AB35-AE35)*100,2)&amp;" pts.",0)</f>
        <v>0</v>
      </c>
      <c r="AN35" s="462">
        <f>+IFERROR(ROUND(($AB35-AH35)*100,2)&amp;" pts.",0)</f>
        <v>0</v>
      </c>
      <c r="AO35" s="11"/>
    </row>
    <row r="36" spans="1:41" hidden="1" x14ac:dyDescent="0.25">
      <c r="A36" s="11"/>
      <c r="B36" s="11"/>
      <c r="C36" s="11"/>
      <c r="D36" s="11"/>
      <c r="E36" s="11"/>
      <c r="F36" s="11"/>
      <c r="G36" s="11"/>
      <c r="H36" s="84"/>
      <c r="I36" s="118" t="str">
        <f>IF(_epmOfflineCondition_,"",_xll.EVPRO($B$1,$H36,"STYLE"))</f>
        <v/>
      </c>
      <c r="J36" s="118" t="str">
        <f>IF(_epmOfflineCondition_,"",_xll.EVPRO($B$1,$H36,"CALC"))</f>
        <v/>
      </c>
      <c r="K36" s="175" t="str">
        <f>IF(AND(I36&gt;="T3"),"&gt;","")</f>
        <v/>
      </c>
      <c r="L36" s="86" t="str">
        <f>IF(_epmOfflineCondition_,"",_xll.EVPRO($B$1,H36,"JDEID"))</f>
        <v/>
      </c>
      <c r="M36" s="86" t="str">
        <f>IF(_epmOfflineCondition_,"",IF(AND(I36="N",J36="N"),_xll.EVPRO($B$1,H36,"PSFTID"),""))</f>
        <v/>
      </c>
      <c r="N36" s="86" t="str">
        <f>IF(_epmOfflineCondition_,"",IF(_xll.EVDES(H36,$B$1)="#NODATA","",_xll.EVDES(H36,$B$1)))</f>
        <v/>
      </c>
      <c r="O36" s="248"/>
      <c r="P36" s="248"/>
      <c r="Q36" s="248"/>
      <c r="R36" s="248"/>
      <c r="S36" s="248"/>
      <c r="T36" s="248"/>
      <c r="U36" s="248"/>
      <c r="V36" s="248"/>
      <c r="W36" s="248"/>
      <c r="X36" s="248"/>
      <c r="Y36" s="248"/>
      <c r="Z36" s="248"/>
      <c r="AA36" s="228">
        <f>IF($I36="B1","",SUM(O36:Z36))</f>
        <v>0</v>
      </c>
      <c r="AB36" s="249" t="str">
        <f>IF(AA36=0,"",IFERROR(AA36/AA$19,""))</f>
        <v/>
      </c>
      <c r="AC36" s="136"/>
      <c r="AD36" s="228"/>
      <c r="AE36" s="230" t="str">
        <f>IF(AD36=0,"",IFERROR(AD36/AD$19,""))</f>
        <v/>
      </c>
      <c r="AF36" s="231">
        <f>IF(AND($AA36="",AD36=""),"",$AA36-AD36)</f>
        <v>0</v>
      </c>
      <c r="AG36" s="228"/>
      <c r="AH36" s="230" t="str">
        <f>IF(AG36=0,"",IFERROR(AG36/AG$19,""))</f>
        <v/>
      </c>
      <c r="AI36" s="231">
        <f>IF(AND($AA36="",AG36=""),"",$AA36-AG36)</f>
        <v>0</v>
      </c>
      <c r="AJ36" s="458">
        <f>IFERROR(AA36/AA$20,0)</f>
        <v>0</v>
      </c>
      <c r="AK36" s="459">
        <f>IFERROR(AD36/AD$20,0)</f>
        <v>0</v>
      </c>
      <c r="AL36" s="460">
        <f>IFERROR(AG36/AG$20,0)</f>
        <v>0</v>
      </c>
      <c r="AM36" s="461">
        <f>+IFERROR(ROUND(($AB36-AE36)*100,2)&amp;" pts.",0)</f>
        <v>0</v>
      </c>
      <c r="AN36" s="462">
        <f>+IFERROR(ROUND(($AB36-AH36)*100,2)&amp;" pts.",0)</f>
        <v>0</v>
      </c>
      <c r="AO36" s="11"/>
    </row>
    <row r="37" spans="1:41" x14ac:dyDescent="0.25">
      <c r="A37" s="11" t="s">
        <v>108</v>
      </c>
      <c r="B37" s="11"/>
      <c r="C37" s="100" t="s">
        <v>101</v>
      </c>
      <c r="D37" s="11" t="s">
        <v>106</v>
      </c>
      <c r="E37" s="11"/>
      <c r="F37" s="11" t="s">
        <v>98</v>
      </c>
      <c r="G37" s="11"/>
      <c r="H37" s="84" t="s">
        <v>75</v>
      </c>
      <c r="I37" s="85" t="str">
        <f>IF(_epmOfflineCondition_,"B1",_xll.EVPRO($B$1,$H37,"STYLE"))</f>
        <v>B1</v>
      </c>
      <c r="J37" s="85" t="str">
        <f>IF(_epmOfflineCondition_,"Y",_xll.EVPRO($B$1,$H37,"CALC"))</f>
        <v>Y</v>
      </c>
      <c r="K37" s="261" t="str">
        <f>IF(AND(I37&gt;="T3"),"&gt;","")</f>
        <v/>
      </c>
      <c r="L37" s="102" t="str">
        <f>IF(_epmOfflineCondition_,"",_xll.EVPRO($B$1,H37,"JDEID"))</f>
        <v/>
      </c>
      <c r="M37" s="86" t="str">
        <f>IF(_epmOfflineCondition_,"",IF(AND(I37="N",J37="N"),_xll.EVPRO($B$1,H37,"PSFTID"),""))</f>
        <v/>
      </c>
      <c r="N37" s="102" t="str">
        <f>IF(_epmOfflineCondition_,"Non-Management",IF(_xll.EVDES(H37,$B$1)="#NODATA","",_xll.EVDES(H37,$B$1)))</f>
        <v>Non-Management</v>
      </c>
      <c r="O37" s="193"/>
      <c r="P37" s="193"/>
      <c r="Q37" s="193"/>
      <c r="R37" s="193"/>
      <c r="S37" s="193"/>
      <c r="T37" s="193"/>
      <c r="U37" s="193"/>
      <c r="V37" s="193"/>
      <c r="W37" s="193"/>
      <c r="X37" s="193"/>
      <c r="Y37" s="193"/>
      <c r="Z37" s="193"/>
      <c r="AA37" s="87" t="str">
        <f>IF($I37="B1","",SUM(O37:Z37))</f>
        <v/>
      </c>
      <c r="AB37" s="194" t="str">
        <f>IF(AA37=0,"",IFERROR(AA37/AA$19,""))</f>
        <v/>
      </c>
      <c r="AC37" s="11"/>
      <c r="AD37" s="87"/>
      <c r="AE37" s="96" t="str">
        <f>IF(AD37=0,"",IFERROR(AD37/AD$19,""))</f>
        <v/>
      </c>
      <c r="AF37" s="88" t="str">
        <f>IF(AND($AA37="",AD37=""),"",$AA37-AD37)</f>
        <v/>
      </c>
      <c r="AG37" s="87"/>
      <c r="AH37" s="96" t="str">
        <f>IF(AG37=0,"",IFERROR(AG37/AG$19,""))</f>
        <v/>
      </c>
      <c r="AI37" s="88" t="str">
        <f>IF(AND($AA37="",AG37=""),"",$AA37-AG37)</f>
        <v/>
      </c>
      <c r="AJ37" s="393">
        <f>IFERROR(AA37/AA$20,0)</f>
        <v>0</v>
      </c>
      <c r="AK37" s="394">
        <f>IFERROR(AD37/AD$20,0)</f>
        <v>0</v>
      </c>
      <c r="AL37" s="395">
        <f>IFERROR(AG37/AG$20,0)</f>
        <v>0</v>
      </c>
      <c r="AM37" s="396">
        <f>+IFERROR(ROUND(($AB37-AE37)*100,2)&amp;" pts.",0)</f>
        <v>0</v>
      </c>
      <c r="AN37" s="397">
        <f>+IFERROR(ROUND(($AB37-AH37)*100,2)&amp;" pts.",0)</f>
        <v>0</v>
      </c>
      <c r="AO37" s="11"/>
    </row>
    <row r="38" spans="1:41" hidden="1" x14ac:dyDescent="0.25">
      <c r="A38" s="11" t="s">
        <v>100</v>
      </c>
      <c r="B38" s="11"/>
      <c r="C38" s="49" t="s">
        <v>101</v>
      </c>
      <c r="D38" s="11" t="s">
        <v>106</v>
      </c>
      <c r="E38" s="11"/>
      <c r="F38" s="11" t="s">
        <v>98</v>
      </c>
      <c r="G38" s="11"/>
      <c r="H38" s="84" t="s">
        <v>668</v>
      </c>
      <c r="I38" s="118" t="str">
        <f>IF(_epmOfflineCondition_,"",_xll.EVPRO($B$1,$H38,"STYLE"))</f>
        <v/>
      </c>
      <c r="J38" s="118" t="str">
        <f>IF(_epmOfflineCondition_,"",_xll.EVPRO($B$1,$H38,"CALC"))</f>
        <v/>
      </c>
      <c r="K38" s="175" t="str">
        <f>IF(AND(I38&gt;="T3"),"&gt;","")</f>
        <v/>
      </c>
      <c r="L38" s="86" t="str">
        <f>IF(_epmOfflineCondition_,"",_xll.EVPRO($B$1,H38,"JDEID"))</f>
        <v/>
      </c>
      <c r="M38" s="86" t="str">
        <f>IF(_epmOfflineCondition_,"",IF(AND(I38="N",J38="N"),_xll.EVPRO($B$1,H38,"PSFTID"),""))</f>
        <v/>
      </c>
      <c r="N38" s="86" t="str">
        <f>IF(_epmOfflineCondition_,"",IF(_xll.EVDES(H38,$B$1)="#NODATA","",_xll.EVDES(H38,$B$1)))</f>
        <v/>
      </c>
      <c r="O38" s="248"/>
      <c r="P38" s="248"/>
      <c r="Q38" s="248"/>
      <c r="R38" s="248"/>
      <c r="S38" s="248"/>
      <c r="T38" s="248"/>
      <c r="U38" s="248"/>
      <c r="V38" s="248"/>
      <c r="W38" s="248"/>
      <c r="X38" s="248"/>
      <c r="Y38" s="248"/>
      <c r="Z38" s="248"/>
      <c r="AA38" s="228">
        <f>IF($I38="B1","",SUM(O38:Z38))</f>
        <v>0</v>
      </c>
      <c r="AB38" s="249" t="str">
        <f>IF(AA38=0,"",IFERROR(AA38/AA$19,""))</f>
        <v/>
      </c>
      <c r="AC38" s="136"/>
      <c r="AD38" s="228"/>
      <c r="AE38" s="230" t="str">
        <f>IF(AD38=0,"",IFERROR(AD38/AD$19,""))</f>
        <v/>
      </c>
      <c r="AF38" s="231">
        <f>IF(AND($AA38="",AD38=""),"",$AA38-AD38)</f>
        <v>0</v>
      </c>
      <c r="AG38" s="228"/>
      <c r="AH38" s="230" t="str">
        <f>IF(AG38=0,"",IFERROR(AG38/AG$19,""))</f>
        <v/>
      </c>
      <c r="AI38" s="231">
        <f>IF(AND($AA38="",AG38=""),"",$AA38-AG38)</f>
        <v>0</v>
      </c>
      <c r="AJ38" s="467">
        <f>IFERROR(AA38/AA$20,0)</f>
        <v>0</v>
      </c>
      <c r="AK38" s="468">
        <f>IFERROR(AD38/AD$20,0)</f>
        <v>0</v>
      </c>
      <c r="AL38" s="469">
        <f>IFERROR(AG38/AG$20,0)</f>
        <v>0</v>
      </c>
      <c r="AM38" s="470">
        <f>+IFERROR(ROUND(($AB38-AE38)*100,2)&amp;" pts.",0)</f>
        <v>0</v>
      </c>
      <c r="AN38" s="471">
        <f>+IFERROR(ROUND(($AB38-AH38)*100,2)&amp;" pts.",0)</f>
        <v>0</v>
      </c>
      <c r="AO38" s="11"/>
    </row>
    <row r="39" spans="1:41" hidden="1" x14ac:dyDescent="0.25">
      <c r="A39" s="11" t="s">
        <v>109</v>
      </c>
      <c r="B39" s="11"/>
      <c r="C39" s="102" t="s">
        <v>101</v>
      </c>
      <c r="D39" s="11" t="s">
        <v>106</v>
      </c>
      <c r="E39" s="11"/>
      <c r="F39" s="11" t="s">
        <v>98</v>
      </c>
      <c r="G39" s="11"/>
      <c r="H39" s="84"/>
      <c r="I39" s="118" t="str">
        <f>IF(_epmOfflineCondition_,"",_xll.EVPRO($B$1,$H39,"STYLE"))</f>
        <v/>
      </c>
      <c r="J39" s="118" t="str">
        <f>IF(_epmOfflineCondition_,"",_xll.EVPRO($B$1,$H39,"CALC"))</f>
        <v/>
      </c>
      <c r="K39" s="175" t="str">
        <f>IF(AND(I39&gt;="T3"),"&gt;","")</f>
        <v/>
      </c>
      <c r="L39" s="86" t="str">
        <f>IF(_epmOfflineCondition_,"",_xll.EVPRO($B$1,H39,"JDEID"))</f>
        <v/>
      </c>
      <c r="M39" s="86" t="str">
        <f>IF(_epmOfflineCondition_,"",IF(AND(I39="N",J39="N"),_xll.EVPRO($B$1,H39,"PSFTID"),""))</f>
        <v/>
      </c>
      <c r="N39" s="86" t="str">
        <f>IF(_epmOfflineCondition_,"",IF(_xll.EVDES(H39,$B$1)="#NODATA","",_xll.EVDES(H39,$B$1)))</f>
        <v/>
      </c>
      <c r="O39" s="248"/>
      <c r="P39" s="248"/>
      <c r="Q39" s="248"/>
      <c r="R39" s="248"/>
      <c r="S39" s="248"/>
      <c r="T39" s="248"/>
      <c r="U39" s="248"/>
      <c r="V39" s="248"/>
      <c r="W39" s="248"/>
      <c r="X39" s="248"/>
      <c r="Y39" s="248"/>
      <c r="Z39" s="248"/>
      <c r="AA39" s="228">
        <f>IF($I39="B1","",SUM(O39:Z39))</f>
        <v>0</v>
      </c>
      <c r="AB39" s="249" t="str">
        <f>IF(AA39=0,"",IFERROR(AA39/AA$19,""))</f>
        <v/>
      </c>
      <c r="AC39" s="136"/>
      <c r="AD39" s="228"/>
      <c r="AE39" s="230" t="str">
        <f>IF(AD39=0,"",IFERROR(AD39/AD$19,""))</f>
        <v/>
      </c>
      <c r="AF39" s="231">
        <f>IF(AND($AA39="",AD39=""),"",$AA39-AD39)</f>
        <v>0</v>
      </c>
      <c r="AG39" s="228"/>
      <c r="AH39" s="230" t="str">
        <f>IF(AG39=0,"",IFERROR(AG39/AG$19,""))</f>
        <v/>
      </c>
      <c r="AI39" s="231">
        <f>IF(AND($AA39="",AG39=""),"",$AA39-AG39)</f>
        <v>0</v>
      </c>
      <c r="AJ39" s="467">
        <f>IFERROR(AA39/AA$20,0)</f>
        <v>0</v>
      </c>
      <c r="AK39" s="468">
        <f>IFERROR(AD39/AD$20,0)</f>
        <v>0</v>
      </c>
      <c r="AL39" s="469">
        <f>IFERROR(AG39/AG$20,0)</f>
        <v>0</v>
      </c>
      <c r="AM39" s="470">
        <f>+IFERROR(ROUND(($AB39-AE39)*100,2)&amp;" pts.",0)</f>
        <v>0</v>
      </c>
      <c r="AN39" s="471">
        <f>+IFERROR(ROUND(($AB39-AH39)*100,2)&amp;" pts.",0)</f>
        <v>0</v>
      </c>
      <c r="AO39" s="11"/>
    </row>
    <row r="40" spans="1:41" x14ac:dyDescent="0.25">
      <c r="A40" s="11" t="s">
        <v>109</v>
      </c>
      <c r="B40" s="11"/>
      <c r="C40" s="192" t="s">
        <v>101</v>
      </c>
      <c r="D40" s="11" t="s">
        <v>107</v>
      </c>
      <c r="E40" s="11"/>
      <c r="F40" s="11" t="s">
        <v>99</v>
      </c>
      <c r="G40" s="11"/>
      <c r="H40" s="102"/>
      <c r="I40" s="102"/>
      <c r="J40" s="102"/>
      <c r="K40" s="102"/>
      <c r="L40" s="102"/>
      <c r="M40" s="102"/>
      <c r="N40" s="102"/>
      <c r="O40" s="125"/>
      <c r="P40" s="126"/>
      <c r="Q40" s="126"/>
      <c r="R40" s="126"/>
      <c r="S40" s="126"/>
      <c r="T40" s="126"/>
      <c r="U40" s="126"/>
      <c r="V40" s="126"/>
      <c r="W40" s="126"/>
      <c r="X40" s="126"/>
      <c r="Y40" s="126"/>
      <c r="Z40" s="126"/>
      <c r="AA40" s="126"/>
      <c r="AB40" s="127"/>
      <c r="AC40" s="11"/>
      <c r="AD40" s="125"/>
      <c r="AE40" s="126"/>
      <c r="AF40" s="127"/>
      <c r="AG40" s="125"/>
      <c r="AH40" s="126"/>
      <c r="AI40" s="127"/>
      <c r="AJ40" s="11"/>
      <c r="AK40" s="11"/>
      <c r="AL40" s="11"/>
      <c r="AM40" s="11"/>
      <c r="AN40" s="11"/>
      <c r="AO40" s="11"/>
    </row>
    <row r="41" spans="1:41" x14ac:dyDescent="0.25">
      <c r="A41" s="11" t="s">
        <v>110</v>
      </c>
      <c r="B41" s="11"/>
      <c r="C41" s="102" t="s">
        <v>101</v>
      </c>
      <c r="D41" s="11" t="s">
        <v>106</v>
      </c>
      <c r="E41" s="11"/>
      <c r="F41" s="11" t="s">
        <v>98</v>
      </c>
      <c r="G41" s="11"/>
      <c r="H41" s="11" t="s">
        <v>82</v>
      </c>
      <c r="I41" s="55" t="str">
        <f>IF(_epmOfflineCondition_,"B1",_xll.EVPRO($B$1,$H41,"STYLE"))</f>
        <v>B1</v>
      </c>
      <c r="J41" s="55" t="str">
        <f>IF(_epmOfflineCondition_,"Y",_xll.EVPRO($B$1,$H41,"CALC"))</f>
        <v>Y</v>
      </c>
      <c r="K41" s="11"/>
      <c r="L41" s="11"/>
      <c r="M41" s="11"/>
      <c r="N41" s="101" t="str">
        <f>IF(_epmOfflineCondition_,"Other Expenses",IF(_xll.EVDES(H41,$B$1)="#NODATA","",_xll.EVDES(H41,$B$1)))</f>
        <v>Other Expenses</v>
      </c>
      <c r="O41" s="115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116"/>
      <c r="AA41" s="116"/>
      <c r="AB41" s="117"/>
      <c r="AC41" s="11"/>
      <c r="AD41" s="115"/>
      <c r="AE41" s="116"/>
      <c r="AF41" s="117"/>
      <c r="AG41" s="115"/>
      <c r="AH41" s="116"/>
      <c r="AI41" s="117"/>
      <c r="AJ41" s="11"/>
      <c r="AK41" s="11"/>
      <c r="AL41" s="11"/>
      <c r="AM41" s="11"/>
      <c r="AN41" s="11"/>
      <c r="AO41" s="11"/>
    </row>
    <row r="42" spans="1:41" hidden="1" x14ac:dyDescent="0.25">
      <c r="A42" s="11" t="s">
        <v>110</v>
      </c>
      <c r="B42" s="11"/>
      <c r="C42" s="105" t="s">
        <v>101</v>
      </c>
      <c r="D42" s="11" t="s">
        <v>107</v>
      </c>
      <c r="E42" s="11"/>
      <c r="F42" s="11" t="s">
        <v>99</v>
      </c>
      <c r="G42" s="11"/>
      <c r="H42" s="84" t="s">
        <v>668</v>
      </c>
      <c r="I42" s="118" t="str">
        <f>IF(_epmOfflineCondition_,"",_xll.EVPRO($B$1,$H42,"STYLE"))</f>
        <v/>
      </c>
      <c r="J42" s="118" t="str">
        <f>IF(_epmOfflineCondition_,"",_xll.EVPRO($B$1,$H42,"CALC"))</f>
        <v/>
      </c>
      <c r="K42" s="175" t="str">
        <f>IF(AND(I42&gt;="T3"),"&gt;","")</f>
        <v/>
      </c>
      <c r="L42" s="86" t="str">
        <f>IF(_epmOfflineCondition_,"",_xll.EVPRO($B$1,H42,"JDEID"))</f>
        <v/>
      </c>
      <c r="M42" s="86" t="str">
        <f>IF(_epmOfflineCondition_,"",IF(AND(I42="N",J42="N"),_xll.EVPRO($B$1,H42,"PSFTID"),""))</f>
        <v/>
      </c>
      <c r="N42" s="86" t="str">
        <f>IF(_epmOfflineCondition_,"",IF(_xll.EVDES(H42,$B$1)="#NODATA","",_xll.EVDES(H42,$B$1)))</f>
        <v/>
      </c>
      <c r="O42" s="134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>
        <f>IF($I42="B1","",SUM(O42:Z42))</f>
        <v>0</v>
      </c>
      <c r="AB42" s="138" t="str">
        <f>IF(AA42=0,"",IFERROR(AA42/AA$19,""))</f>
        <v/>
      </c>
      <c r="AC42" s="136"/>
      <c r="AD42" s="134"/>
      <c r="AE42" s="138" t="str">
        <f>IF(AD42=0,"",IFERROR(AD42/AD$19,""))</f>
        <v/>
      </c>
      <c r="AF42" s="137">
        <f>IF(AND($AA42="",AD42=""),"",$AA42-AD42)</f>
        <v>0</v>
      </c>
      <c r="AG42" s="134"/>
      <c r="AH42" s="138" t="str">
        <f>IF(AG42=0,"",IFERROR(AG42/AG$19,""))</f>
        <v/>
      </c>
      <c r="AI42" s="137">
        <f>IF(AND($AA42="",AG42=""),"",$AA42-AG42)</f>
        <v>0</v>
      </c>
      <c r="AJ42" s="458">
        <f>IFERROR(AA42/AA$20,0)</f>
        <v>0</v>
      </c>
      <c r="AK42" s="459">
        <f>IFERROR(AD42/AD$20,0)</f>
        <v>0</v>
      </c>
      <c r="AL42" s="460">
        <f>IFERROR(AG42/AG$20,0)</f>
        <v>0</v>
      </c>
      <c r="AM42" s="461">
        <f>+IFERROR(ROUND(($AB42-AE42)*100,2)&amp;" pts.",0)</f>
        <v>0</v>
      </c>
      <c r="AN42" s="462">
        <f>+IFERROR(ROUND(($AB42-AH42)*100,2)&amp;" pts.",0)</f>
        <v>0</v>
      </c>
      <c r="AO42" s="11"/>
    </row>
    <row r="43" spans="1:41" hidden="1" x14ac:dyDescent="0.25">
      <c r="A43" s="11"/>
      <c r="B43" s="11"/>
      <c r="C43" s="204"/>
      <c r="D43" s="11"/>
      <c r="E43" s="11"/>
      <c r="F43" s="11"/>
      <c r="G43" s="11"/>
      <c r="H43" s="84"/>
      <c r="I43" s="118" t="str">
        <f>IF(_epmOfflineCondition_,"",_xll.EVPRO($B$1,$H43,"STYLE"))</f>
        <v/>
      </c>
      <c r="J43" s="118" t="str">
        <f>IF(_epmOfflineCondition_,"",_xll.EVPRO($B$1,$H43,"CALC"))</f>
        <v/>
      </c>
      <c r="K43" s="175" t="str">
        <f>IF(AND(I43&gt;="T3"),"&gt;","")</f>
        <v/>
      </c>
      <c r="L43" s="86" t="str">
        <f>IF(_epmOfflineCondition_,"",_xll.EVPRO($B$1,H43,"JDEID"))</f>
        <v/>
      </c>
      <c r="M43" s="86" t="str">
        <f>IF(_epmOfflineCondition_,"",IF(AND(I43="N",J43="N"),_xll.EVPRO($B$1,H43,"PSFTID"),""))</f>
        <v/>
      </c>
      <c r="N43" s="86" t="str">
        <f>IF(_epmOfflineCondition_,"",IF(_xll.EVDES(H43,$B$1)="#NODATA","",_xll.EVDES(H43,$B$1)))</f>
        <v/>
      </c>
      <c r="O43" s="134"/>
      <c r="P43" s="134"/>
      <c r="Q43" s="134"/>
      <c r="R43" s="134"/>
      <c r="S43" s="134"/>
      <c r="T43" s="134"/>
      <c r="U43" s="134"/>
      <c r="V43" s="134"/>
      <c r="W43" s="134"/>
      <c r="X43" s="134"/>
      <c r="Y43" s="134"/>
      <c r="Z43" s="134"/>
      <c r="AA43" s="134">
        <f>IF($I43="B1","",SUM(O43:Z43))</f>
        <v>0</v>
      </c>
      <c r="AB43" s="138" t="str">
        <f>IF(AA43=0,"",IFERROR(AA43/AA$19,""))</f>
        <v/>
      </c>
      <c r="AC43" s="136"/>
      <c r="AD43" s="134"/>
      <c r="AE43" s="138" t="str">
        <f>IF(AD43=0,"",IFERROR(AD43/AD$19,""))</f>
        <v/>
      </c>
      <c r="AF43" s="137">
        <f>IF(AND($AA43="",AD43=""),"",$AA43-AD43)</f>
        <v>0</v>
      </c>
      <c r="AG43" s="134"/>
      <c r="AH43" s="138" t="str">
        <f>IF(AG43=0,"",IFERROR(AG43/AG$19,""))</f>
        <v/>
      </c>
      <c r="AI43" s="137">
        <f>IF(AND($AA43="",AG43=""),"",$AA43-AG43)</f>
        <v>0</v>
      </c>
      <c r="AJ43" s="458">
        <f>IFERROR(AA43/AA$20,0)</f>
        <v>0</v>
      </c>
      <c r="AK43" s="459">
        <f>IFERROR(AD43/AD$20,0)</f>
        <v>0</v>
      </c>
      <c r="AL43" s="460">
        <f>IFERROR(AG43/AG$20,0)</f>
        <v>0</v>
      </c>
      <c r="AM43" s="461">
        <f>+IFERROR(ROUND(($AB43-AE43)*100,2)&amp;" pts.",0)</f>
        <v>0</v>
      </c>
      <c r="AN43" s="462">
        <f>+IFERROR(ROUND(($AB43-AH43)*100,2)&amp;" pts.",0)</f>
        <v>0</v>
      </c>
      <c r="AO43" s="11"/>
    </row>
    <row r="44" spans="1:41" x14ac:dyDescent="0.25">
      <c r="A44" s="11"/>
      <c r="B44" s="11"/>
      <c r="C44" s="204"/>
      <c r="D44" s="11"/>
      <c r="E44" s="11"/>
      <c r="F44" s="11"/>
      <c r="G44" s="11"/>
      <c r="H44" s="84" t="s">
        <v>79</v>
      </c>
      <c r="I44" s="132" t="str">
        <f>IF(_epmOfflineCondition_,"T3",_xll.EVPRO($B$1,$H44,"STYLE"))</f>
        <v>T3</v>
      </c>
      <c r="J44" s="132" t="str">
        <f>IF(_epmOfflineCondition_,"Y",_xll.EVPRO($B$1,$H44,"CALC"))</f>
        <v>Y</v>
      </c>
      <c r="K44" s="100"/>
      <c r="L44" s="55"/>
      <c r="M44" s="55"/>
      <c r="N44" s="102" t="str">
        <f>IF(_epmOfflineCondition_,"Total Operations Expense",IF(_xll.EVDES(H44,$B$1)="#NODATA","",_xll.EVDES(H44,$B$1)))</f>
        <v>Total Operations Expense</v>
      </c>
      <c r="O44" s="108">
        <f t="shared" ref="O44:Z44" si="0">SUM(O42:O43)</f>
        <v>0</v>
      </c>
      <c r="P44" s="108">
        <f t="shared" si="0"/>
        <v>0</v>
      </c>
      <c r="Q44" s="108">
        <f t="shared" si="0"/>
        <v>0</v>
      </c>
      <c r="R44" s="108">
        <f t="shared" si="0"/>
        <v>0</v>
      </c>
      <c r="S44" s="108">
        <f t="shared" si="0"/>
        <v>0</v>
      </c>
      <c r="T44" s="108">
        <f t="shared" si="0"/>
        <v>0</v>
      </c>
      <c r="U44" s="108">
        <f t="shared" si="0"/>
        <v>0</v>
      </c>
      <c r="V44" s="108">
        <f t="shared" si="0"/>
        <v>0</v>
      </c>
      <c r="W44" s="108">
        <f t="shared" si="0"/>
        <v>0</v>
      </c>
      <c r="X44" s="108">
        <f t="shared" si="0"/>
        <v>0</v>
      </c>
      <c r="Y44" s="108">
        <f t="shared" si="0"/>
        <v>0</v>
      </c>
      <c r="Z44" s="108">
        <f t="shared" si="0"/>
        <v>0</v>
      </c>
      <c r="AA44" s="108">
        <f>IF($I44="B1","",SUM(O44:Z44))</f>
        <v>0</v>
      </c>
      <c r="AB44" s="109" t="str">
        <f>IF(AA44=0,"",IFERROR(AA44/AA$19,""))</f>
        <v/>
      </c>
      <c r="AC44" s="11"/>
      <c r="AD44" s="108">
        <f>SUM(AD42:AD43)</f>
        <v>0</v>
      </c>
      <c r="AE44" s="109" t="str">
        <f>IF(AD44=0,"",IFERROR(AD44/AD$19,""))</f>
        <v/>
      </c>
      <c r="AF44" s="110">
        <f>IF(AND($AA44="",AD44=""),"",$AA44-AD44)</f>
        <v>0</v>
      </c>
      <c r="AG44" s="108">
        <f>SUM(AG42:AG43)</f>
        <v>0</v>
      </c>
      <c r="AH44" s="109" t="str">
        <f>IF(AG44=0,"",IFERROR(AG44/AG$19,""))</f>
        <v/>
      </c>
      <c r="AI44" s="110">
        <f>IF(AND($AA44="",AG44=""),"",$AA44-AG44)</f>
        <v>0</v>
      </c>
      <c r="AJ44" s="411">
        <f>IFERROR(AA44/AA$20,0)</f>
        <v>0</v>
      </c>
      <c r="AK44" s="412">
        <f>IFERROR(AD44/AD$20,0)</f>
        <v>0</v>
      </c>
      <c r="AL44" s="413">
        <f>IFERROR(AG44/AG$20,0)</f>
        <v>0</v>
      </c>
      <c r="AM44" s="414">
        <f>+IFERROR(ROUND(($AB44-AE44)*100,2)&amp;" pts.",0)</f>
        <v>0</v>
      </c>
      <c r="AN44" s="538">
        <f>+IFERROR(ROUND(($AB44-AH44)*100,2)&amp;" pts.",0)</f>
        <v>0</v>
      </c>
      <c r="AO44" s="11"/>
    </row>
    <row r="45" spans="1:41" x14ac:dyDescent="0.25">
      <c r="A45" s="56" t="str">
        <f>IF(_epmOfflineCondition_,"Evdre:Ok",_xll.EVDRE($B$1,A48:B55))</f>
        <v>Evdre:Ok</v>
      </c>
      <c r="B45" s="11" t="s">
        <v>741</v>
      </c>
      <c r="C45" s="204"/>
      <c r="D45" s="11"/>
      <c r="E45" s="11"/>
      <c r="F45" s="11"/>
      <c r="G45" s="11"/>
      <c r="H45" s="11"/>
      <c r="I45" s="55"/>
      <c r="J45" s="55"/>
      <c r="K45" s="11"/>
      <c r="L45" s="55"/>
      <c r="M45" s="55"/>
      <c r="N45" s="11"/>
      <c r="O45" s="199"/>
      <c r="P45" s="200"/>
      <c r="Q45" s="200"/>
      <c r="R45" s="200"/>
      <c r="S45" s="200"/>
      <c r="T45" s="200"/>
      <c r="U45" s="200"/>
      <c r="V45" s="200"/>
      <c r="W45" s="200"/>
      <c r="X45" s="200"/>
      <c r="Y45" s="200"/>
      <c r="Z45" s="200"/>
      <c r="AA45" s="200"/>
      <c r="AB45" s="114"/>
      <c r="AC45" s="11"/>
      <c r="AD45" s="199"/>
      <c r="AE45" s="200"/>
      <c r="AF45" s="114"/>
      <c r="AG45" s="199"/>
      <c r="AH45" s="200"/>
      <c r="AI45" s="114"/>
      <c r="AJ45" s="11"/>
      <c r="AK45" s="11"/>
      <c r="AL45" s="11"/>
      <c r="AM45" s="11"/>
      <c r="AN45" s="11"/>
      <c r="AO45" s="11"/>
    </row>
    <row r="46" spans="1:41" x14ac:dyDescent="0.25">
      <c r="A46" s="11"/>
      <c r="B46" s="11"/>
      <c r="C46" s="204"/>
      <c r="D46" s="11"/>
      <c r="E46" s="11"/>
      <c r="F46" s="11"/>
      <c r="G46" s="11"/>
      <c r="H46" s="84" t="s">
        <v>80</v>
      </c>
      <c r="I46" s="132" t="str">
        <f>IF(_epmOfflineCondition_,"T3",_xll.EVPRO($B$1,$H46,"STYLE"))</f>
        <v>T3</v>
      </c>
      <c r="J46" s="132" t="str">
        <f>IF(_epmOfflineCondition_,"Y",_xll.EVPRO($B$1,$H46,"CALC"))</f>
        <v>Y</v>
      </c>
      <c r="K46" s="102"/>
      <c r="L46" s="55"/>
      <c r="M46" s="55"/>
      <c r="N46" s="102" t="str">
        <f>IF(_epmOfflineCondition_,"Total Expenses",IF(_xll.EVDES(H46,$B$1)="#NODATA","",_xll.EVDES(H46,$B$1)))</f>
        <v>Total Expenses</v>
      </c>
      <c r="O46" s="119">
        <f t="shared" ref="O46:Z46" si="1">SUMIF($H$33:$H$45,"600000",O$33:O$45)+SUMIF($H$33:$H$45,"700000",O$33:O$45)</f>
        <v>0</v>
      </c>
      <c r="P46" s="119">
        <f t="shared" si="1"/>
        <v>0</v>
      </c>
      <c r="Q46" s="119">
        <f t="shared" si="1"/>
        <v>0</v>
      </c>
      <c r="R46" s="119">
        <f t="shared" si="1"/>
        <v>0</v>
      </c>
      <c r="S46" s="119">
        <f t="shared" si="1"/>
        <v>0</v>
      </c>
      <c r="T46" s="119">
        <f t="shared" si="1"/>
        <v>0</v>
      </c>
      <c r="U46" s="119">
        <f t="shared" si="1"/>
        <v>0</v>
      </c>
      <c r="V46" s="119">
        <f t="shared" si="1"/>
        <v>0</v>
      </c>
      <c r="W46" s="119">
        <f t="shared" si="1"/>
        <v>0</v>
      </c>
      <c r="X46" s="119">
        <f t="shared" si="1"/>
        <v>0</v>
      </c>
      <c r="Y46" s="119">
        <f t="shared" si="1"/>
        <v>0</v>
      </c>
      <c r="Z46" s="119">
        <f t="shared" si="1"/>
        <v>0</v>
      </c>
      <c r="AA46" s="119">
        <f>IF($I46="B1","",SUM(O46:Z46))</f>
        <v>0</v>
      </c>
      <c r="AB46" s="120" t="str">
        <f>IF(AA46=0,"",IFERROR(AA46/AA$19,""))</f>
        <v/>
      </c>
      <c r="AC46" s="11"/>
      <c r="AD46" s="119">
        <f>SUMIF($H$33:$H$45,"600000",AD$33:AD$45)+SUMIF($H$33:$H$45,"700000",AD$33:AD$45)</f>
        <v>0</v>
      </c>
      <c r="AE46" s="120" t="str">
        <f>IF(AD46=0,"",IFERROR(AD46/AD$19,""))</f>
        <v/>
      </c>
      <c r="AF46" s="121">
        <f>IF(AND($AA46="",AD46=""),"",$AA46-AD46)</f>
        <v>0</v>
      </c>
      <c r="AG46" s="119">
        <f>SUMIF($H$33:$H$45,"600000",AG$33:AG$45)+SUMIF($H$33:$H$45,"700000",AG$33:AG$45)</f>
        <v>0</v>
      </c>
      <c r="AH46" s="120" t="str">
        <f>IF(AG46=0,"",IFERROR(AG46/AG$19,""))</f>
        <v/>
      </c>
      <c r="AI46" s="121">
        <f>IF(AND($AA46="",AG46=""),"",$AA46-AG46)</f>
        <v>0</v>
      </c>
      <c r="AJ46" s="384">
        <f>IFERROR(AA46/AA$20,0)</f>
        <v>0</v>
      </c>
      <c r="AK46" s="385">
        <f>IFERROR(AD46/AD$20,0)</f>
        <v>0</v>
      </c>
      <c r="AL46" s="386">
        <f>IFERROR(AG46/AG$20,0)</f>
        <v>0</v>
      </c>
      <c r="AM46" s="387">
        <f>+IFERROR(ROUND(($AB46-AE46)*100,2)&amp;" pts.",0)</f>
        <v>0</v>
      </c>
      <c r="AN46" s="539">
        <f>+IFERROR(ROUND(($AB46-AH46)*100,2)&amp;" pts.",0)</f>
        <v>0</v>
      </c>
      <c r="AO46" s="11"/>
    </row>
    <row r="47" spans="1:41" x14ac:dyDescent="0.25">
      <c r="A47" s="57" t="s">
        <v>0</v>
      </c>
      <c r="B47" s="58" t="s">
        <v>1</v>
      </c>
      <c r="C47" s="204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99"/>
      <c r="P47" s="200"/>
      <c r="Q47" s="200"/>
      <c r="R47" s="200"/>
      <c r="S47" s="200"/>
      <c r="T47" s="200"/>
      <c r="U47" s="200"/>
      <c r="V47" s="200"/>
      <c r="W47" s="200"/>
      <c r="X47" s="200"/>
      <c r="Y47" s="200"/>
      <c r="Z47" s="200"/>
      <c r="AA47" s="200"/>
      <c r="AB47" s="114"/>
      <c r="AC47" s="11"/>
      <c r="AD47" s="199"/>
      <c r="AE47" s="200"/>
      <c r="AF47" s="114"/>
      <c r="AG47" s="199"/>
      <c r="AH47" s="200"/>
      <c r="AI47" s="114"/>
      <c r="AJ47" s="11"/>
      <c r="AK47" s="11"/>
      <c r="AL47" s="11"/>
      <c r="AM47" s="11"/>
      <c r="AN47" s="11"/>
      <c r="AO47" s="11"/>
    </row>
    <row r="48" spans="1:41" x14ac:dyDescent="0.25">
      <c r="A48" s="61" t="s">
        <v>2</v>
      </c>
      <c r="B48" s="62" t="str">
        <f>IF(_epmOfflineCondition_,"'Laundry'!$B$2:$B$10",_xll.EVRNG($B$2:$B$10))</f>
        <v>'Laundry'!$B$2:$B$10</v>
      </c>
      <c r="C48" s="204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01" t="s">
        <v>596</v>
      </c>
      <c r="O48" s="115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7"/>
      <c r="AC48" s="11"/>
      <c r="AD48" s="115"/>
      <c r="AE48" s="116"/>
      <c r="AF48" s="117"/>
      <c r="AG48" s="115"/>
      <c r="AH48" s="116"/>
      <c r="AI48" s="117"/>
      <c r="AJ48" s="11"/>
      <c r="AK48" s="11"/>
      <c r="AL48" s="11"/>
      <c r="AM48" s="11"/>
      <c r="AN48" s="11"/>
      <c r="AO48" s="11"/>
    </row>
    <row r="49" spans="1:41" x14ac:dyDescent="0.25">
      <c r="A49" s="61" t="s">
        <v>3</v>
      </c>
      <c r="B49" s="62" t="str">
        <f>IF(_epmOfflineCondition_,"'Laundry'!$O$16:$AN$18",_xll.EVRNG($O$16:$AN$18))</f>
        <v>'Laundry'!$O$16:$AN$18</v>
      </c>
      <c r="C49" s="204"/>
      <c r="D49" s="11"/>
      <c r="E49" s="11"/>
      <c r="F49" s="11"/>
      <c r="G49" s="11"/>
      <c r="H49" s="84" t="s">
        <v>592</v>
      </c>
      <c r="I49" s="118" t="str">
        <f>IF(_epmOfflineCondition_,"N",_xll.EVPRO($B$1,$H49,"STYLE"))</f>
        <v>N</v>
      </c>
      <c r="J49" s="118" t="str">
        <f>IF(_epmOfflineCondition_,"N",_xll.EVPRO($B$1,$H49,"CALC"))</f>
        <v>N</v>
      </c>
      <c r="K49" s="175" t="str">
        <f>IF(AND(I49&gt;="T3"),"&gt;","")</f>
        <v/>
      </c>
      <c r="L49" s="86" t="str">
        <f>IF(_epmOfflineCondition_,"789110",_xll.EVPRO($B$1,H49,"JDEID"))</f>
        <v>789110</v>
      </c>
      <c r="M49" s="86" t="str">
        <f>IF(_epmOfflineCondition_,"690940",IF(AND(I49="N",J49="N"),_xll.EVPRO($B$1,H49,"PSFTID"),""))</f>
        <v>690940</v>
      </c>
      <c r="N49" s="86" t="str">
        <f>IF(_epmOfflineCondition_,"Cost of Guest &amp; Outside Laundry",IF(_xll.EVDES(H49,$B$1)="#NODATA","",_xll.EVDES(H49,$B$1)))</f>
        <v>Cost of Guest &amp; Outside Laundry</v>
      </c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  <c r="AA49" s="134">
        <f>IF($I49="B1","",SUM(O49:Z49))</f>
        <v>0</v>
      </c>
      <c r="AB49" s="138" t="str">
        <f>IF(AA49=0,"",IFERROR(AA49/AA$19,""))</f>
        <v/>
      </c>
      <c r="AC49" s="136"/>
      <c r="AD49" s="134"/>
      <c r="AE49" s="138" t="str">
        <f>IF(AD49=0,"",IFERROR(AD49/AD$19,""))</f>
        <v/>
      </c>
      <c r="AF49" s="137">
        <f>IF(AND($AA49="",AD49=""),"",$AA49-AD49)</f>
        <v>0</v>
      </c>
      <c r="AG49" s="134"/>
      <c r="AH49" s="138" t="str">
        <f>IF(AG49=0,"",IFERROR(AG49/AG$19,""))</f>
        <v/>
      </c>
      <c r="AI49" s="137">
        <f>IF(AND($AA49="",AG49=""),"",$AA49-AG49)</f>
        <v>0</v>
      </c>
      <c r="AJ49" s="458">
        <f>IFERROR(AA49/AA$20,0)</f>
        <v>0</v>
      </c>
      <c r="AK49" s="459">
        <f>IFERROR(AD49/AD$20,0)</f>
        <v>0</v>
      </c>
      <c r="AL49" s="460">
        <f>IFERROR(AG49/AG$20,0)</f>
        <v>0</v>
      </c>
      <c r="AM49" s="461">
        <f>+IFERROR(ROUND(($AB49-AE49)*100,2)&amp;" pts.",0)</f>
        <v>0</v>
      </c>
      <c r="AN49" s="462">
        <f>+IFERROR(ROUND(($AB49-AH49)*100,2)&amp;" pts.",0)</f>
        <v>0</v>
      </c>
      <c r="AO49" s="11"/>
    </row>
    <row r="50" spans="1:41" x14ac:dyDescent="0.25">
      <c r="A50" s="61" t="s">
        <v>4</v>
      </c>
      <c r="B50" s="62" t="str">
        <f>IF(_epmOfflineCondition_,"'Laundry'!$H$49:$H$50",_xll.EVRNG(H49:H50))</f>
        <v>'Laundry'!$H$49:$H$50</v>
      </c>
      <c r="C50" s="204"/>
      <c r="D50" s="11"/>
      <c r="E50" s="11"/>
      <c r="F50" s="11"/>
      <c r="G50" s="11"/>
      <c r="H50" s="84" t="s">
        <v>593</v>
      </c>
      <c r="I50" s="118" t="str">
        <f>IF(_epmOfflineCondition_,"N",_xll.EVPRO($B$1,$H50,"STYLE"))</f>
        <v>N</v>
      </c>
      <c r="J50" s="118" t="str">
        <f>IF(_epmOfflineCondition_,"N",_xll.EVPRO($B$1,$H50,"CALC"))</f>
        <v>N</v>
      </c>
      <c r="K50" s="11"/>
      <c r="L50" s="86" t="str">
        <f>IF(_epmOfflineCondition_,"789115",_xll.EVPRO($B$1,H50,"JDEID"))</f>
        <v>789115</v>
      </c>
      <c r="M50" s="86" t="str">
        <f>IF(_epmOfflineCondition_,"690938",IF(AND(I50="N",J50="N"),_xll.EVPRO($B$1,H50,"PSFTID"),""))</f>
        <v>690938</v>
      </c>
      <c r="N50" s="86" t="str">
        <f>IF(_epmOfflineCondition_,"Concessionaires Laundry",IF(_xll.EVDES(H50,$B$1)="#NODATA","",_xll.EVDES(H50,$B$1)))</f>
        <v>Concessionaires Laundry</v>
      </c>
      <c r="O50" s="134"/>
      <c r="P50" s="134"/>
      <c r="Q50" s="134"/>
      <c r="R50" s="134"/>
      <c r="S50" s="134"/>
      <c r="T50" s="134"/>
      <c r="U50" s="134"/>
      <c r="V50" s="134"/>
      <c r="W50" s="134"/>
      <c r="X50" s="134"/>
      <c r="Y50" s="134"/>
      <c r="Z50" s="134"/>
      <c r="AA50" s="134">
        <f>IF($I50="B1","",SUM(O50:Z50))</f>
        <v>0</v>
      </c>
      <c r="AB50" s="138" t="str">
        <f>IF(AA50=0,"",IFERROR(AA50/AA$19,""))</f>
        <v/>
      </c>
      <c r="AC50" s="136"/>
      <c r="AD50" s="134"/>
      <c r="AE50" s="138" t="str">
        <f>IF(AD50=0,"",IFERROR(AD50/AD$19,""))</f>
        <v/>
      </c>
      <c r="AF50" s="137">
        <f>IF(AND($AA50="",AD50=""),"",$AA50-AD50)</f>
        <v>0</v>
      </c>
      <c r="AG50" s="134"/>
      <c r="AH50" s="138" t="str">
        <f>IF(AG50=0,"",IFERROR(AG50/AG$19,""))</f>
        <v/>
      </c>
      <c r="AI50" s="137">
        <f>IF(AND($AA50="",AG50=""),"",$AA50-AG50)</f>
        <v>0</v>
      </c>
      <c r="AJ50" s="467">
        <f>IFERROR(AA50/AA$20,0)</f>
        <v>0</v>
      </c>
      <c r="AK50" s="468">
        <f>IFERROR(AD50/AD$20,0)</f>
        <v>0</v>
      </c>
      <c r="AL50" s="469">
        <f>IFERROR(AG50/AG$20,0)</f>
        <v>0</v>
      </c>
      <c r="AM50" s="470">
        <f>+IFERROR(ROUND(($AB50-AE50)*100,2)&amp;" pts.",0)</f>
        <v>0</v>
      </c>
      <c r="AN50" s="471">
        <f>+IFERROR(ROUND(($AB50-AH50)*100,2)&amp;" pts.",0)</f>
        <v>0</v>
      </c>
      <c r="AO50" s="11"/>
    </row>
    <row r="51" spans="1:41" x14ac:dyDescent="0.25">
      <c r="A51" s="61" t="s">
        <v>5</v>
      </c>
      <c r="B51" s="62"/>
      <c r="C51" s="204"/>
      <c r="D51" s="11"/>
      <c r="E51" s="11"/>
      <c r="F51" s="11"/>
      <c r="G51" s="11"/>
      <c r="H51" s="11"/>
      <c r="I51" s="55"/>
      <c r="J51" s="55"/>
      <c r="K51" s="11"/>
      <c r="L51" s="55"/>
      <c r="M51" s="55"/>
      <c r="N51" s="102" t="s">
        <v>557</v>
      </c>
      <c r="O51" s="108">
        <f t="shared" ref="O51:Z51" si="2">SUM(O49:O50)</f>
        <v>0</v>
      </c>
      <c r="P51" s="108">
        <f t="shared" si="2"/>
        <v>0</v>
      </c>
      <c r="Q51" s="108">
        <f t="shared" si="2"/>
        <v>0</v>
      </c>
      <c r="R51" s="108">
        <f t="shared" si="2"/>
        <v>0</v>
      </c>
      <c r="S51" s="108">
        <f t="shared" si="2"/>
        <v>0</v>
      </c>
      <c r="T51" s="108">
        <f t="shared" si="2"/>
        <v>0</v>
      </c>
      <c r="U51" s="108">
        <f t="shared" si="2"/>
        <v>0</v>
      </c>
      <c r="V51" s="108">
        <f t="shared" si="2"/>
        <v>0</v>
      </c>
      <c r="W51" s="108">
        <f t="shared" si="2"/>
        <v>0</v>
      </c>
      <c r="X51" s="108">
        <f t="shared" si="2"/>
        <v>0</v>
      </c>
      <c r="Y51" s="108">
        <f t="shared" si="2"/>
        <v>0</v>
      </c>
      <c r="Z51" s="108">
        <f t="shared" si="2"/>
        <v>0</v>
      </c>
      <c r="AA51" s="108">
        <f>IF($I51="B1","",SUM(O51:Z51))</f>
        <v>0</v>
      </c>
      <c r="AB51" s="109" t="str">
        <f>IF(AA51=0,"",IFERROR(AA51/AA$19,""))</f>
        <v/>
      </c>
      <c r="AC51" s="11"/>
      <c r="AD51" s="108">
        <f>SUM(AD49:AD50)</f>
        <v>0</v>
      </c>
      <c r="AE51" s="109" t="str">
        <f>IF(AD51=0,"",IFERROR(AD51/AD$19,""))</f>
        <v/>
      </c>
      <c r="AF51" s="110">
        <f>IF(AND($AA51="",AD51=""),"",$AA51-AD51)</f>
        <v>0</v>
      </c>
      <c r="AG51" s="108">
        <f>SUM(AG49:AG50)</f>
        <v>0</v>
      </c>
      <c r="AH51" s="109" t="str">
        <f>IF(AG51=0,"",IFERROR(AG51/AG$19,""))</f>
        <v/>
      </c>
      <c r="AI51" s="110">
        <f>IF(AND($AA51="",AG51=""),"",$AA51-AG51)</f>
        <v>0</v>
      </c>
      <c r="AJ51" s="411">
        <f>IFERROR(AA51/AA$20,0)</f>
        <v>0</v>
      </c>
      <c r="AK51" s="412">
        <f>IFERROR(AD51/AD$20,0)</f>
        <v>0</v>
      </c>
      <c r="AL51" s="413">
        <f>IFERROR(AG51/AG$20,0)</f>
        <v>0</v>
      </c>
      <c r="AM51" s="414">
        <f>+IFERROR(ROUND(($AB51-AE51)*100,2)&amp;" pts.",0)</f>
        <v>0</v>
      </c>
      <c r="AN51" s="538">
        <f>+IFERROR(ROUND(($AB51-AH51)*100,2)&amp;" pts.",0)</f>
        <v>0</v>
      </c>
      <c r="AO51" s="11"/>
    </row>
    <row r="52" spans="1:41" x14ac:dyDescent="0.25">
      <c r="A52" s="61" t="s">
        <v>6</v>
      </c>
      <c r="B52" s="62"/>
      <c r="C52" s="204"/>
      <c r="D52" s="11"/>
      <c r="E52" s="11"/>
      <c r="F52" s="11"/>
      <c r="G52" s="11"/>
      <c r="H52" s="11"/>
      <c r="I52" s="55"/>
      <c r="J52" s="55"/>
      <c r="K52" s="11"/>
      <c r="L52" s="55"/>
      <c r="M52" s="55"/>
      <c r="N52" s="102"/>
      <c r="O52" s="115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7"/>
      <c r="AC52" s="11"/>
      <c r="AD52" s="115"/>
      <c r="AE52" s="116"/>
      <c r="AF52" s="117"/>
      <c r="AG52" s="115"/>
      <c r="AH52" s="116"/>
      <c r="AI52" s="117"/>
      <c r="AJ52" s="11"/>
      <c r="AK52" s="11"/>
      <c r="AL52" s="11"/>
      <c r="AM52" s="11"/>
      <c r="AN52" s="11"/>
      <c r="AO52" s="11"/>
    </row>
    <row r="53" spans="1:41" ht="15.75" thickBot="1" x14ac:dyDescent="0.3">
      <c r="A53" s="61" t="s">
        <v>7</v>
      </c>
      <c r="B53" s="62"/>
      <c r="C53" s="204"/>
      <c r="D53" s="11"/>
      <c r="E53" s="11"/>
      <c r="F53" s="11"/>
      <c r="G53" s="11"/>
      <c r="H53" s="11"/>
      <c r="I53" s="55"/>
      <c r="J53" s="55"/>
      <c r="K53" s="11"/>
      <c r="L53" s="55"/>
      <c r="M53" s="55"/>
      <c r="N53" s="102" t="s">
        <v>556</v>
      </c>
      <c r="O53" s="122">
        <f t="shared" ref="O53:Z53" si="3">O46+O51</f>
        <v>0</v>
      </c>
      <c r="P53" s="122">
        <f t="shared" si="3"/>
        <v>0</v>
      </c>
      <c r="Q53" s="122">
        <f t="shared" si="3"/>
        <v>0</v>
      </c>
      <c r="R53" s="122">
        <f t="shared" si="3"/>
        <v>0</v>
      </c>
      <c r="S53" s="122">
        <f t="shared" si="3"/>
        <v>0</v>
      </c>
      <c r="T53" s="122">
        <f t="shared" si="3"/>
        <v>0</v>
      </c>
      <c r="U53" s="122">
        <f t="shared" si="3"/>
        <v>0</v>
      </c>
      <c r="V53" s="122">
        <f t="shared" si="3"/>
        <v>0</v>
      </c>
      <c r="W53" s="122">
        <f t="shared" si="3"/>
        <v>0</v>
      </c>
      <c r="X53" s="122">
        <f t="shared" si="3"/>
        <v>0</v>
      </c>
      <c r="Y53" s="122">
        <f t="shared" si="3"/>
        <v>0</v>
      </c>
      <c r="Z53" s="122">
        <f t="shared" si="3"/>
        <v>0</v>
      </c>
      <c r="AA53" s="122">
        <f>IF($I53="B1","",SUM(O53:Z53))</f>
        <v>0</v>
      </c>
      <c r="AB53" s="123" t="str">
        <f>IF(AA53=0,"",IFERROR(AA53/AA$19,""))</f>
        <v/>
      </c>
      <c r="AC53" s="11"/>
      <c r="AD53" s="122">
        <f>AD46+AD51</f>
        <v>0</v>
      </c>
      <c r="AE53" s="123" t="str">
        <f>IF(AD53=0,"",IFERROR(AD53/AD$19,""))</f>
        <v/>
      </c>
      <c r="AF53" s="124">
        <f>IF(AND($AA53="",AD53=""),"",$AA53-AD53)</f>
        <v>0</v>
      </c>
      <c r="AG53" s="122">
        <f>AG46+AG51</f>
        <v>0</v>
      </c>
      <c r="AH53" s="123" t="str">
        <f>IF(AG53=0,"",IFERROR(AG53/AG$19,""))</f>
        <v/>
      </c>
      <c r="AI53" s="124">
        <f>IF(AND($AA53="",AG53=""),"",$AA53-AG53)</f>
        <v>0</v>
      </c>
      <c r="AJ53" s="415">
        <f>IFERROR(AA53/AA$20,0)</f>
        <v>0</v>
      </c>
      <c r="AK53" s="416">
        <f>IFERROR(AD53/AD$20,0)</f>
        <v>0</v>
      </c>
      <c r="AL53" s="417">
        <f>IFERROR(AG53/AG$20,0)</f>
        <v>0</v>
      </c>
      <c r="AM53" s="418">
        <f>+IFERROR(ROUND(($AB53-AE53)*100,2)&amp;" pts.",0)</f>
        <v>0</v>
      </c>
      <c r="AN53" s="540">
        <f>+IFERROR(ROUND(($AB53-AH53)*100,2)&amp;" pts.",0)</f>
        <v>0</v>
      </c>
      <c r="AO53" s="11"/>
    </row>
    <row r="54" spans="1:41" ht="15.75" thickTop="1" x14ac:dyDescent="0.25">
      <c r="A54" s="61" t="s">
        <v>47</v>
      </c>
      <c r="B54" s="62" t="str">
        <f>IF(_epmOfflineCondition_,"'Laundry'!$A$81:$B$102",_xll.EVRNG($A$81:$B$102))</f>
        <v>'Laundry'!$A$81:$B$102</v>
      </c>
      <c r="C54" s="204"/>
      <c r="D54" s="11"/>
      <c r="E54" s="11"/>
      <c r="F54" s="11"/>
      <c r="G54" s="11"/>
      <c r="H54" s="11"/>
      <c r="I54" s="55"/>
      <c r="J54" s="55"/>
      <c r="K54" s="11"/>
      <c r="L54" s="55"/>
      <c r="M54" s="55"/>
      <c r="N54" s="11"/>
      <c r="O54" s="125"/>
      <c r="P54" s="126"/>
      <c r="Q54" s="126"/>
      <c r="R54" s="126"/>
      <c r="S54" s="126"/>
      <c r="T54" s="126"/>
      <c r="U54" s="126"/>
      <c r="V54" s="126"/>
      <c r="W54" s="126"/>
      <c r="X54" s="126"/>
      <c r="Y54" s="126"/>
      <c r="Z54" s="126"/>
      <c r="AA54" s="126"/>
      <c r="AB54" s="127"/>
      <c r="AC54" s="11"/>
      <c r="AD54" s="125"/>
      <c r="AE54" s="126"/>
      <c r="AF54" s="127"/>
      <c r="AG54" s="125"/>
      <c r="AH54" s="126"/>
      <c r="AI54" s="127"/>
      <c r="AJ54" s="11"/>
      <c r="AK54" s="11"/>
      <c r="AL54" s="11"/>
      <c r="AM54" s="11"/>
      <c r="AN54" s="11"/>
      <c r="AO54" s="11"/>
    </row>
    <row r="55" spans="1:41" x14ac:dyDescent="0.25">
      <c r="A55" s="61" t="s">
        <v>8</v>
      </c>
      <c r="B55" s="62"/>
      <c r="C55" s="204"/>
      <c r="D55" s="11"/>
      <c r="E55" s="11"/>
      <c r="F55" s="11"/>
      <c r="G55" s="11"/>
      <c r="H55" s="11"/>
      <c r="I55" s="55"/>
      <c r="J55" s="55"/>
      <c r="K55" s="11"/>
      <c r="L55" s="55"/>
      <c r="M55" s="55"/>
      <c r="N55" s="101" t="s">
        <v>595</v>
      </c>
      <c r="O55" s="115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7"/>
      <c r="AC55" s="11"/>
      <c r="AD55" s="115"/>
      <c r="AE55" s="116"/>
      <c r="AF55" s="117"/>
      <c r="AG55" s="115"/>
      <c r="AH55" s="116"/>
      <c r="AI55" s="117"/>
      <c r="AJ55" s="11"/>
      <c r="AK55" s="11"/>
      <c r="AL55" s="11"/>
      <c r="AM55" s="11"/>
      <c r="AN55" s="11"/>
      <c r="AO55" s="11"/>
    </row>
    <row r="56" spans="1:41" hidden="1" x14ac:dyDescent="0.25">
      <c r="A56" s="11"/>
      <c r="B56" s="11"/>
      <c r="C56" s="204"/>
      <c r="D56" s="11"/>
      <c r="E56" s="11"/>
      <c r="F56" s="11"/>
      <c r="G56" s="11"/>
      <c r="H56" s="181" t="s">
        <v>668</v>
      </c>
      <c r="I56" s="118" t="str">
        <f>IF(_epmOfflineCondition_,"",_xll.EVPRO($B$1,$H56,"STYLE"))</f>
        <v/>
      </c>
      <c r="J56" s="118" t="str">
        <f>IF(_epmOfflineCondition_,"",_xll.EVPRO($B$1,$H56,"CALC"))</f>
        <v/>
      </c>
      <c r="K56" s="86"/>
      <c r="L56" s="86"/>
      <c r="M56" s="86"/>
      <c r="N56" s="86" t="str">
        <f>IF(_epmOfflineCondition_,"",IF(_xll.EVDES(H56,$B$1)="#NODATA","",_xll.EVDES(H56,$B$1)))</f>
        <v/>
      </c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/>
      <c r="Z56" s="134"/>
      <c r="AA56" s="134">
        <f>IF($I56="B1","",SUM(O56:Z56))</f>
        <v>0</v>
      </c>
      <c r="AB56" s="138" t="str">
        <f>IF(AA56=0,"",IFERROR(AA56/AA$19,""))</f>
        <v/>
      </c>
      <c r="AC56" s="136"/>
      <c r="AD56" s="134"/>
      <c r="AE56" s="138" t="str">
        <f>IF(AD56=0,"",IFERROR(AD56/AD$19,""))</f>
        <v/>
      </c>
      <c r="AF56" s="137">
        <f>IF(AND($AA56="",AD56=""),"",$AA56-AD56)</f>
        <v>0</v>
      </c>
      <c r="AG56" s="134"/>
      <c r="AH56" s="138" t="str">
        <f>IF(AG56=0,"",IFERROR(AG56/AG$19,""))</f>
        <v/>
      </c>
      <c r="AI56" s="137">
        <f>IF(AND($AA56="",AG56=""),"",$AA56-AG56)</f>
        <v>0</v>
      </c>
      <c r="AJ56" s="458">
        <f>IFERROR(AA56/AA$20,0)</f>
        <v>0</v>
      </c>
      <c r="AK56" s="459">
        <f>IFERROR(AD56/AD$20,0)</f>
        <v>0</v>
      </c>
      <c r="AL56" s="460">
        <f>IFERROR(AG56/AG$20,0)</f>
        <v>0</v>
      </c>
      <c r="AM56" s="461">
        <f>+IFERROR(ROUND(($AB56-AE56)*100,2)&amp;" pts.",0)</f>
        <v>0</v>
      </c>
      <c r="AN56" s="462">
        <f>+IFERROR(ROUND(($AB56-AH56)*100,2)&amp;" pts.",0)</f>
        <v>0</v>
      </c>
      <c r="AO56" s="11"/>
    </row>
    <row r="57" spans="1:41" hidden="1" x14ac:dyDescent="0.25">
      <c r="A57" s="11"/>
      <c r="B57" s="11"/>
      <c r="C57" s="204"/>
      <c r="D57" s="11"/>
      <c r="E57" s="11"/>
      <c r="F57" s="11"/>
      <c r="G57" s="11"/>
      <c r="H57" s="181"/>
      <c r="I57" s="118" t="str">
        <f>IF(_epmOfflineCondition_,"",_xll.EVPRO($B$1,$H57,"STYLE"))</f>
        <v/>
      </c>
      <c r="J57" s="118" t="str">
        <f>IF(_epmOfflineCondition_,"",_xll.EVPRO($B$1,$H57,"CALC"))</f>
        <v/>
      </c>
      <c r="K57" s="86"/>
      <c r="L57" s="86"/>
      <c r="M57" s="86"/>
      <c r="N57" s="86" t="str">
        <f>IF(_epmOfflineCondition_,"",IF(_xll.EVDES(H57,$B$1)="#NODATA","",_xll.EVDES(H57,$B$1)))</f>
        <v/>
      </c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>
        <f>IF($I57="B1","",SUM(O57:Z57))</f>
        <v>0</v>
      </c>
      <c r="AB57" s="138" t="str">
        <f>IF(AA57=0,"",IFERROR(AA57/AA$19,""))</f>
        <v/>
      </c>
      <c r="AC57" s="136"/>
      <c r="AD57" s="134"/>
      <c r="AE57" s="138" t="str">
        <f>IF(AD57=0,"",IFERROR(AD57/AD$19,""))</f>
        <v/>
      </c>
      <c r="AF57" s="137">
        <f>IF(AND($AA57="",AD57=""),"",$AA57-AD57)</f>
        <v>0</v>
      </c>
      <c r="AG57" s="134"/>
      <c r="AH57" s="138" t="str">
        <f>IF(AG57=0,"",IFERROR(AG57/AG$19,""))</f>
        <v/>
      </c>
      <c r="AI57" s="137">
        <f>IF(AND($AA57="",AG57=""),"",$AA57-AG57)</f>
        <v>0</v>
      </c>
      <c r="AJ57" s="458">
        <f>IFERROR(AA57/AA$20,0)</f>
        <v>0</v>
      </c>
      <c r="AK57" s="459">
        <f>IFERROR(AD57/AD$20,0)</f>
        <v>0</v>
      </c>
      <c r="AL57" s="460">
        <f>IFERROR(AG57/AG$20,0)</f>
        <v>0</v>
      </c>
      <c r="AM57" s="461">
        <f>+IFERROR(ROUND(($AB57-AE57)*100,2)&amp;" pts.",0)</f>
        <v>0</v>
      </c>
      <c r="AN57" s="462">
        <f>+IFERROR(ROUND(($AB57-AH57)*100,2)&amp;" pts.",0)</f>
        <v>0</v>
      </c>
      <c r="AO57" s="11"/>
    </row>
    <row r="58" spans="1:41" x14ac:dyDescent="0.25">
      <c r="A58" s="56" t="str">
        <f>IF(_epmOfflineCondition_,"Evdre:Ok",_xll.EVDRE($B$1,A61:B68,A71:B77))</f>
        <v>Evdre:Ok</v>
      </c>
      <c r="B58" s="11"/>
      <c r="C58" s="11"/>
      <c r="D58" s="11"/>
      <c r="E58" s="11"/>
      <c r="F58" s="11"/>
      <c r="G58" s="11"/>
      <c r="H58" s="55"/>
      <c r="I58" s="55"/>
      <c r="J58" s="11"/>
      <c r="K58" s="11"/>
      <c r="L58" s="55"/>
      <c r="M58" s="55"/>
      <c r="N58" s="102" t="s">
        <v>555</v>
      </c>
      <c r="O58" s="108">
        <f t="shared" ref="O58:Z58" si="4">SUM(O56:O57)</f>
        <v>0</v>
      </c>
      <c r="P58" s="108">
        <f t="shared" si="4"/>
        <v>0</v>
      </c>
      <c r="Q58" s="108">
        <f t="shared" si="4"/>
        <v>0</v>
      </c>
      <c r="R58" s="108">
        <f t="shared" si="4"/>
        <v>0</v>
      </c>
      <c r="S58" s="108">
        <f t="shared" si="4"/>
        <v>0</v>
      </c>
      <c r="T58" s="108">
        <f t="shared" si="4"/>
        <v>0</v>
      </c>
      <c r="U58" s="108">
        <f t="shared" si="4"/>
        <v>0</v>
      </c>
      <c r="V58" s="108">
        <f t="shared" si="4"/>
        <v>0</v>
      </c>
      <c r="W58" s="108">
        <f t="shared" si="4"/>
        <v>0</v>
      </c>
      <c r="X58" s="108">
        <f t="shared" si="4"/>
        <v>0</v>
      </c>
      <c r="Y58" s="108">
        <f t="shared" si="4"/>
        <v>0</v>
      </c>
      <c r="Z58" s="108">
        <f t="shared" si="4"/>
        <v>0</v>
      </c>
      <c r="AA58" s="108">
        <f>IF($I58="B1","",SUM(O58:Z58))</f>
        <v>0</v>
      </c>
      <c r="AB58" s="109" t="str">
        <f>IF(AA58=0,"",IFERROR(AA58/AA$19,""))</f>
        <v/>
      </c>
      <c r="AC58" s="11"/>
      <c r="AD58" s="108">
        <f>SUM(AD56:AD57)</f>
        <v>0</v>
      </c>
      <c r="AE58" s="109" t="str">
        <f>IF(AD58=0,"",IFERROR(AD58/AD$19,""))</f>
        <v/>
      </c>
      <c r="AF58" s="110">
        <f>IF(AND($AA58="",AD58=""),"",$AA58-AD58)</f>
        <v>0</v>
      </c>
      <c r="AG58" s="108">
        <f>SUM(AG56:AG57)</f>
        <v>0</v>
      </c>
      <c r="AH58" s="109" t="str">
        <f>IF(AG58=0,"",IFERROR(AG58/AG$19,""))</f>
        <v/>
      </c>
      <c r="AI58" s="110">
        <f>IF(AND($AA58="",AG58=""),"",$AA58-AG58)</f>
        <v>0</v>
      </c>
      <c r="AJ58" s="411">
        <f>IFERROR(AA58/AA$20,0)</f>
        <v>0</v>
      </c>
      <c r="AK58" s="412">
        <f>IFERROR(AD58/AD$20,0)</f>
        <v>0</v>
      </c>
      <c r="AL58" s="413">
        <f>IFERROR(AG58/AG$20,0)</f>
        <v>0</v>
      </c>
      <c r="AM58" s="414">
        <f>+IFERROR(ROUND(($AB58-AE58)*100,2)&amp;" pts.",0)</f>
        <v>0</v>
      </c>
      <c r="AN58" s="538">
        <f>+IFERROR(ROUND(($AB58-AH58)*100,2)&amp;" pts.",0)</f>
        <v>0</v>
      </c>
      <c r="AO58" s="11"/>
    </row>
    <row r="59" spans="1:41" x14ac:dyDescent="0.25">
      <c r="A59" s="11"/>
      <c r="B59" s="11"/>
      <c r="C59" s="11"/>
      <c r="D59" s="11"/>
      <c r="E59" s="11"/>
      <c r="F59" s="11"/>
      <c r="G59" s="11"/>
      <c r="H59" s="55"/>
      <c r="I59" s="55"/>
      <c r="J59" s="11"/>
      <c r="K59" s="11"/>
      <c r="L59" s="55"/>
      <c r="M59" s="55"/>
      <c r="N59" s="11"/>
      <c r="O59" s="115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7"/>
      <c r="AC59" s="11"/>
      <c r="AD59" s="115"/>
      <c r="AE59" s="116"/>
      <c r="AF59" s="117"/>
      <c r="AG59" s="115"/>
      <c r="AH59" s="116"/>
      <c r="AI59" s="117"/>
      <c r="AJ59" s="11"/>
      <c r="AK59" s="11"/>
      <c r="AL59" s="11"/>
      <c r="AM59" s="11"/>
      <c r="AN59" s="11"/>
      <c r="AO59" s="11"/>
    </row>
    <row r="60" spans="1:41" ht="15.75" thickBot="1" x14ac:dyDescent="0.3">
      <c r="A60" s="57" t="s">
        <v>0</v>
      </c>
      <c r="B60" s="58" t="s">
        <v>1</v>
      </c>
      <c r="C60" s="11"/>
      <c r="D60" s="11"/>
      <c r="E60" s="11"/>
      <c r="F60" s="11"/>
      <c r="G60" s="11"/>
      <c r="H60" s="55"/>
      <c r="I60" s="55"/>
      <c r="J60" s="11"/>
      <c r="K60" s="11"/>
      <c r="L60" s="55"/>
      <c r="M60" s="55"/>
      <c r="N60" s="102" t="s">
        <v>558</v>
      </c>
      <c r="O60" s="122">
        <f t="shared" ref="O60:Z60" si="5">O53+O58</f>
        <v>0</v>
      </c>
      <c r="P60" s="122">
        <f t="shared" si="5"/>
        <v>0</v>
      </c>
      <c r="Q60" s="122">
        <f t="shared" si="5"/>
        <v>0</v>
      </c>
      <c r="R60" s="122">
        <f t="shared" si="5"/>
        <v>0</v>
      </c>
      <c r="S60" s="122">
        <f t="shared" si="5"/>
        <v>0</v>
      </c>
      <c r="T60" s="122">
        <f t="shared" si="5"/>
        <v>0</v>
      </c>
      <c r="U60" s="122">
        <f t="shared" si="5"/>
        <v>0</v>
      </c>
      <c r="V60" s="122">
        <f t="shared" si="5"/>
        <v>0</v>
      </c>
      <c r="W60" s="122">
        <f t="shared" si="5"/>
        <v>0</v>
      </c>
      <c r="X60" s="122">
        <f t="shared" si="5"/>
        <v>0</v>
      </c>
      <c r="Y60" s="122">
        <f t="shared" si="5"/>
        <v>0</v>
      </c>
      <c r="Z60" s="122">
        <f t="shared" si="5"/>
        <v>0</v>
      </c>
      <c r="AA60" s="122">
        <f>IF($I60="B1","",SUM(O60:Z60))</f>
        <v>0</v>
      </c>
      <c r="AB60" s="123" t="str">
        <f>IF(AA60=0,"",IFERROR(AA60/AA$19,""))</f>
        <v/>
      </c>
      <c r="AC60" s="11"/>
      <c r="AD60" s="122">
        <f>AD53+AD58</f>
        <v>0</v>
      </c>
      <c r="AE60" s="123" t="str">
        <f>IF(AD60=0,"",IFERROR(AD60/AD$19,""))</f>
        <v/>
      </c>
      <c r="AF60" s="124">
        <f>IF(AND($AA60="",AD60=""),"",$AA60-AD60)</f>
        <v>0</v>
      </c>
      <c r="AG60" s="122">
        <f>AG53+AG58</f>
        <v>0</v>
      </c>
      <c r="AH60" s="123" t="str">
        <f>IF(AG60=0,"",IFERROR(AG60/AG$19,""))</f>
        <v/>
      </c>
      <c r="AI60" s="124">
        <f>IF(AND($AA60="",AG60=""),"",$AA60-AG60)</f>
        <v>0</v>
      </c>
      <c r="AJ60" s="11"/>
      <c r="AK60" s="11"/>
      <c r="AL60" s="11"/>
      <c r="AM60" s="11"/>
      <c r="AN60" s="11"/>
      <c r="AO60" s="11"/>
    </row>
    <row r="61" spans="1:41" ht="15.75" thickTop="1" x14ac:dyDescent="0.25">
      <c r="A61" s="61" t="s">
        <v>2</v>
      </c>
      <c r="B61" s="62" t="str">
        <f>IF(_epmOfflineCondition_,"'Laundry'!$B$2:$B$10",_xll.EVRNG($B$2:$B$10))</f>
        <v>'Laundry'!$B$2:$B$10</v>
      </c>
      <c r="C61" s="11"/>
      <c r="D61" s="11"/>
      <c r="E61" s="11"/>
      <c r="F61" s="11"/>
      <c r="G61" s="11"/>
      <c r="H61" s="55"/>
      <c r="I61" s="55"/>
      <c r="J61" s="11"/>
      <c r="K61" s="11"/>
      <c r="L61" s="55"/>
      <c r="M61" s="55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</row>
    <row r="62" spans="1:41" x14ac:dyDescent="0.25">
      <c r="A62" s="61" t="s">
        <v>3</v>
      </c>
      <c r="B62" s="62" t="str">
        <f>IF(_epmOfflineCondition_,"'Laundry'!$O$16:$AN$18",_xll.EVRNG($O$16:$AN$18))</f>
        <v>'Laundry'!$O$16:$AN$18</v>
      </c>
      <c r="C62" s="11"/>
      <c r="D62" s="11"/>
      <c r="E62" s="11"/>
      <c r="F62" s="11"/>
      <c r="G62" s="11"/>
      <c r="H62" s="55"/>
      <c r="I62" s="55"/>
      <c r="J62" s="11"/>
      <c r="K62" s="11"/>
      <c r="L62" s="55"/>
      <c r="M62" s="55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</row>
    <row r="63" spans="1:41" x14ac:dyDescent="0.25">
      <c r="A63" s="61" t="s">
        <v>4</v>
      </c>
      <c r="B63" s="62" t="str">
        <f>IF(_epmOfflineCondition_,"'Laundry'!$H$56:$H$57",_xll.EVRNG(H56:H57))</f>
        <v>'Laundry'!$H$56:$H$57</v>
      </c>
      <c r="C63" s="11"/>
      <c r="D63" s="11"/>
      <c r="E63" s="11"/>
      <c r="F63" s="11"/>
      <c r="G63" s="11"/>
      <c r="H63" s="84" t="s">
        <v>56</v>
      </c>
      <c r="I63" s="132" t="str">
        <f>IF(_epmOfflineCondition_,"T2",_xll.EVPRO($B$1,$H63,"STYLE"))</f>
        <v>T2</v>
      </c>
      <c r="J63" s="132" t="str">
        <f>IF(_epmOfflineCondition_,"Y",_xll.EVPRO($B$1,$H63,"CALC"))</f>
        <v>Y</v>
      </c>
      <c r="K63" s="102"/>
      <c r="L63" s="55"/>
      <c r="M63" s="55"/>
      <c r="N63" s="102" t="s">
        <v>667</v>
      </c>
      <c r="O63" s="205">
        <f>IF(_epmOfflineCondition_,0,_xll.EVGTS($B$1,1,$B$3,$B$5,$B$7,$B$9,O$16,O$17,O$18,$B$6,$H63))</f>
        <v>0</v>
      </c>
      <c r="P63" s="205">
        <f>IF(_epmOfflineCondition_,0,_xll.EVGTS($B$1,1,$B$3,$B$5,$B$7,$B$9,P$16,P$17,P$18,$B$6,$H63))</f>
        <v>0</v>
      </c>
      <c r="Q63" s="205">
        <f>IF(_epmOfflineCondition_,0,_xll.EVGTS($B$1,1,$B$3,$B$5,$B$7,$B$9,Q$16,Q$17,Q$18,$B$6,$H63))</f>
        <v>0</v>
      </c>
      <c r="R63" s="205">
        <f>IF(_epmOfflineCondition_,0,_xll.EVGTS($B$1,1,$B$3,$B$5,$B$7,$B$9,R$16,R$17,R$18,$B$6,$H63))</f>
        <v>0</v>
      </c>
      <c r="S63" s="205">
        <f>IF(_epmOfflineCondition_,0,_xll.EVGTS($B$1,1,$B$3,$B$5,$B$7,$B$9,S$16,S$17,S$18,$B$6,$H63))</f>
        <v>0</v>
      </c>
      <c r="T63" s="205">
        <f>IF(_epmOfflineCondition_,0,_xll.EVGTS($B$1,1,$B$3,$B$5,$B$7,$B$9,T$16,T$17,T$18,$B$6,$H63))</f>
        <v>0</v>
      </c>
      <c r="U63" s="205">
        <f>IF(_epmOfflineCondition_,0,_xll.EVGTS($B$1,1,$B$3,$B$5,$B$7,$B$9,U$16,U$17,U$18,$B$6,$H63))</f>
        <v>0</v>
      </c>
      <c r="V63" s="205">
        <f>IF(_epmOfflineCondition_,0,_xll.EVGTS($B$1,1,$B$3,$B$5,$B$7,$B$9,V$16,V$17,V$18,$B$6,$H63))</f>
        <v>0</v>
      </c>
      <c r="W63" s="205">
        <f>IF(_epmOfflineCondition_,0,_xll.EVGTS($B$1,1,$B$3,$B$5,$B$7,$B$9,W$16,W$17,W$18,$B$6,$H63))</f>
        <v>0</v>
      </c>
      <c r="X63" s="205">
        <f>IF(_epmOfflineCondition_,0,_xll.EVGTS($B$1,1,$B$3,$B$5,$B$7,$B$9,X$16,X$17,X$18,$B$6,$H63))</f>
        <v>0</v>
      </c>
      <c r="Y63" s="205">
        <f>IF(_epmOfflineCondition_,0,_xll.EVGTS($B$1,1,$B$3,$B$5,$B$7,$B$9,Y$16,Y$17,Y$18,$B$6,$H63))</f>
        <v>0</v>
      </c>
      <c r="Z63" s="205">
        <f>IF(_epmOfflineCondition_,0,_xll.EVGTS($B$1,1,$B$3,$B$5,$B$7,$B$9,Z$16,Z$17,Z$18,$B$6,$H63))</f>
        <v>0</v>
      </c>
      <c r="AA63" s="87">
        <f>IF($I63="B1","",SUM(O63:Z63))</f>
        <v>0</v>
      </c>
      <c r="AB63" s="205"/>
      <c r="AC63" s="11"/>
      <c r="AD63" s="205">
        <f>IF(_epmOfflineCondition_,0,_xll.EVGTS($B$1,1,$B$3,$B$5,$B$7,$B$9,AD$16,AD$17,AD$18,$B$6,$H63))</f>
        <v>0</v>
      </c>
      <c r="AE63" s="205"/>
      <c r="AF63" s="205"/>
      <c r="AG63" s="205">
        <f>IF(_epmOfflineCondition_,0,_xll.EVGTS($B$1,1,$B$3,$B$5,$B$7,$B$9,AG$16,AG$17,AG$18,$B$6,$H63))</f>
        <v>0</v>
      </c>
      <c r="AH63" s="205"/>
      <c r="AI63" s="205"/>
      <c r="AJ63" s="11"/>
      <c r="AK63" s="11"/>
      <c r="AL63" s="11"/>
      <c r="AM63" s="11"/>
      <c r="AN63" s="11"/>
      <c r="AO63" s="11"/>
    </row>
    <row r="64" spans="1:41" x14ac:dyDescent="0.25">
      <c r="A64" s="61" t="s">
        <v>5</v>
      </c>
      <c r="B64" s="62"/>
      <c r="C64" s="11"/>
      <c r="D64" s="11"/>
      <c r="E64" s="11"/>
      <c r="F64" s="11"/>
      <c r="G64" s="11"/>
      <c r="H64" s="55"/>
      <c r="I64" s="55"/>
      <c r="J64" s="11"/>
      <c r="K64" s="11"/>
      <c r="L64" s="55"/>
      <c r="M64" s="55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</row>
    <row r="65" spans="1:41" x14ac:dyDescent="0.25">
      <c r="A65" s="61" t="s">
        <v>6</v>
      </c>
      <c r="B65" s="62"/>
      <c r="C65" s="11"/>
      <c r="D65" s="11"/>
      <c r="E65" s="11"/>
      <c r="F65" s="11"/>
      <c r="G65" s="11"/>
      <c r="H65" s="55"/>
      <c r="I65" s="55"/>
      <c r="J65" s="11"/>
      <c r="K65" s="11"/>
      <c r="L65" s="55"/>
      <c r="M65" s="55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</row>
    <row r="66" spans="1:41" x14ac:dyDescent="0.25">
      <c r="A66" s="61" t="s">
        <v>7</v>
      </c>
      <c r="B66" s="62"/>
      <c r="C66" s="11"/>
      <c r="D66" s="11"/>
      <c r="E66" s="11"/>
      <c r="F66" s="11"/>
      <c r="G66" s="11"/>
      <c r="H66" s="55"/>
      <c r="I66" s="55"/>
      <c r="J66" s="11"/>
      <c r="K66" s="11"/>
      <c r="L66" s="55"/>
      <c r="M66" s="55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</row>
    <row r="67" spans="1:41" x14ac:dyDescent="0.25">
      <c r="A67" s="61" t="s">
        <v>47</v>
      </c>
      <c r="B67" s="62" t="str">
        <f>IF(_epmOfflineCondition_,"'Laundry'!$A$81:$B$102",_xll.EVRNG($A$81:$B$102))</f>
        <v>'Laundry'!$A$81:$B$102</v>
      </c>
      <c r="C67" s="11"/>
      <c r="D67" s="11"/>
      <c r="E67" s="11"/>
      <c r="F67" s="11"/>
      <c r="G67" s="11"/>
      <c r="H67" s="55"/>
      <c r="I67" s="55"/>
      <c r="J67" s="11"/>
      <c r="K67" s="11"/>
      <c r="L67" s="55"/>
      <c r="M67" s="55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</row>
    <row r="68" spans="1:41" x14ac:dyDescent="0.25">
      <c r="A68" s="61" t="s">
        <v>8</v>
      </c>
      <c r="B68" s="62"/>
      <c r="C68" s="11"/>
      <c r="D68" s="11"/>
      <c r="E68" s="11"/>
      <c r="F68" s="11"/>
      <c r="G68" s="11"/>
      <c r="H68" s="55"/>
      <c r="I68" s="55"/>
      <c r="J68" s="11"/>
      <c r="K68" s="11"/>
      <c r="L68" s="55"/>
      <c r="M68" s="55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</row>
    <row r="69" spans="1:41" x14ac:dyDescent="0.25">
      <c r="A69" s="11"/>
      <c r="B69" s="11"/>
      <c r="C69" s="11"/>
      <c r="D69" s="11"/>
      <c r="E69" s="11"/>
      <c r="F69" s="11"/>
      <c r="G69" s="11"/>
      <c r="H69" s="11"/>
      <c r="I69" s="55"/>
      <c r="J69" s="55"/>
      <c r="K69" s="11"/>
      <c r="L69" s="55"/>
      <c r="M69" s="55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</row>
    <row r="70" spans="1:41" x14ac:dyDescent="0.25">
      <c r="A70" s="57" t="s">
        <v>9</v>
      </c>
      <c r="B70" s="58" t="s">
        <v>10</v>
      </c>
      <c r="C70" s="11"/>
      <c r="D70" s="11"/>
      <c r="E70" s="11"/>
      <c r="F70" s="11"/>
      <c r="G70" s="11"/>
      <c r="H70" s="11"/>
      <c r="I70" s="55"/>
      <c r="J70" s="55"/>
      <c r="K70" s="11"/>
      <c r="L70" s="55"/>
      <c r="M70" s="55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</row>
    <row r="71" spans="1:41" x14ac:dyDescent="0.25">
      <c r="A71" s="61" t="s">
        <v>11</v>
      </c>
      <c r="B71" s="62" t="s">
        <v>21</v>
      </c>
      <c r="C71" s="11"/>
      <c r="D71" s="11"/>
      <c r="E71" s="11"/>
      <c r="F71" s="11"/>
      <c r="G71" s="11"/>
      <c r="H71" s="11"/>
      <c r="I71" s="55"/>
      <c r="J71" s="55"/>
      <c r="K71" s="11"/>
      <c r="L71" s="55"/>
      <c r="M71" s="55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</row>
    <row r="72" spans="1:41" x14ac:dyDescent="0.25">
      <c r="A72" s="61" t="s">
        <v>12</v>
      </c>
      <c r="B72" s="62" t="s">
        <v>22</v>
      </c>
      <c r="C72" s="11"/>
      <c r="D72" s="11"/>
      <c r="E72" s="11"/>
      <c r="F72" s="11"/>
      <c r="G72" s="11"/>
      <c r="H72" s="11"/>
      <c r="I72" s="55"/>
      <c r="J72" s="55"/>
      <c r="K72" s="11"/>
      <c r="L72" s="55"/>
      <c r="M72" s="55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</row>
    <row r="73" spans="1:41" x14ac:dyDescent="0.25">
      <c r="A73" s="61" t="s">
        <v>13</v>
      </c>
      <c r="B73" s="62" t="s">
        <v>594</v>
      </c>
      <c r="C73" s="11"/>
      <c r="D73" s="11"/>
      <c r="E73" s="11"/>
      <c r="F73" s="11"/>
      <c r="G73" s="11"/>
      <c r="H73" s="11"/>
      <c r="I73" s="55"/>
      <c r="J73" s="55"/>
      <c r="K73" s="11"/>
      <c r="L73" s="55"/>
      <c r="M73" s="55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</row>
    <row r="74" spans="1:41" x14ac:dyDescent="0.25">
      <c r="A74" s="61" t="s">
        <v>14</v>
      </c>
      <c r="B74" s="582"/>
      <c r="C74" s="11"/>
      <c r="D74" s="11"/>
      <c r="E74" s="11"/>
      <c r="F74" s="11"/>
      <c r="G74" s="11"/>
      <c r="H74" s="11"/>
      <c r="I74" s="55"/>
      <c r="J74" s="55"/>
      <c r="K74" s="11"/>
      <c r="L74" s="55"/>
      <c r="M74" s="55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</row>
    <row r="75" spans="1:41" x14ac:dyDescent="0.25">
      <c r="A75" s="61" t="s">
        <v>15</v>
      </c>
      <c r="B75" s="62"/>
      <c r="C75" s="11"/>
      <c r="D75" s="11"/>
      <c r="E75" s="11"/>
      <c r="F75" s="11"/>
      <c r="G75" s="11"/>
      <c r="H75" s="11"/>
      <c r="I75" s="55"/>
      <c r="J75" s="55"/>
      <c r="K75" s="11"/>
      <c r="L75" s="55"/>
      <c r="M75" s="55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</row>
    <row r="76" spans="1:41" x14ac:dyDescent="0.25">
      <c r="A76" s="61" t="s">
        <v>16</v>
      </c>
      <c r="B76" s="62" t="s">
        <v>78</v>
      </c>
      <c r="C76" s="11"/>
      <c r="D76" s="11"/>
      <c r="E76" s="11"/>
      <c r="F76" s="11"/>
      <c r="G76" s="11"/>
      <c r="H76" s="11"/>
      <c r="I76" s="55"/>
      <c r="J76" s="55"/>
      <c r="K76" s="11"/>
      <c r="L76" s="55"/>
      <c r="M76" s="55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</row>
    <row r="77" spans="1:41" x14ac:dyDescent="0.25">
      <c r="A77" s="61" t="s">
        <v>17</v>
      </c>
      <c r="B77" s="62"/>
      <c r="C77" s="11"/>
      <c r="D77" s="11"/>
      <c r="E77" s="11"/>
      <c r="F77" s="11"/>
      <c r="G77" s="11"/>
      <c r="H77" s="11"/>
      <c r="I77" s="55"/>
      <c r="J77" s="55"/>
      <c r="K77" s="11"/>
      <c r="L77" s="55"/>
      <c r="M77" s="55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</row>
    <row r="78" spans="1:41" x14ac:dyDescent="0.25">
      <c r="A78" s="11"/>
      <c r="B78" s="11"/>
      <c r="C78" s="11"/>
      <c r="D78" s="11"/>
      <c r="E78" s="11"/>
      <c r="F78" s="11"/>
      <c r="G78" s="11"/>
      <c r="H78" s="11"/>
      <c r="I78" s="55"/>
      <c r="J78" s="55"/>
      <c r="K78" s="11"/>
      <c r="L78" s="55"/>
      <c r="M78" s="55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  <row r="79" spans="1:41" x14ac:dyDescent="0.25">
      <c r="A79" s="11"/>
      <c r="B79" s="11"/>
      <c r="C79" s="11"/>
      <c r="D79" s="11"/>
      <c r="E79" s="11"/>
      <c r="F79" s="11"/>
      <c r="G79" s="11"/>
      <c r="H79" s="11"/>
      <c r="I79" s="55"/>
      <c r="J79" s="55"/>
      <c r="K79" s="11"/>
      <c r="L79" s="55"/>
      <c r="M79" s="55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</row>
    <row r="80" spans="1:41" x14ac:dyDescent="0.25">
      <c r="A80" s="57" t="s">
        <v>23</v>
      </c>
      <c r="B80" s="58" t="s">
        <v>24</v>
      </c>
      <c r="C80" s="11"/>
      <c r="D80" s="11"/>
      <c r="E80" s="11"/>
      <c r="F80" s="11"/>
      <c r="G80" s="11"/>
      <c r="H80" s="11"/>
      <c r="I80" s="55"/>
      <c r="J80" s="55"/>
      <c r="K80" s="11"/>
      <c r="L80" s="55"/>
      <c r="M80" s="55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x14ac:dyDescent="0.25">
      <c r="A81" s="61" t="s">
        <v>25</v>
      </c>
      <c r="B81" s="62"/>
      <c r="C81" s="11"/>
      <c r="D81" s="11"/>
      <c r="E81" s="11"/>
      <c r="F81" s="11"/>
      <c r="G81" s="11"/>
      <c r="H81" s="11"/>
      <c r="I81" s="55"/>
      <c r="J81" s="55"/>
      <c r="K81" s="11"/>
      <c r="L81" s="55"/>
      <c r="M81" s="55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</row>
    <row r="82" spans="1:41" x14ac:dyDescent="0.25">
      <c r="A82" s="61" t="s">
        <v>26</v>
      </c>
      <c r="B82" s="62"/>
      <c r="C82" s="11"/>
      <c r="D82" s="11"/>
      <c r="E82" s="11"/>
      <c r="F82" s="11"/>
      <c r="G82" s="11"/>
      <c r="H82" s="11"/>
      <c r="I82" s="55"/>
      <c r="J82" s="55"/>
      <c r="K82" s="11"/>
      <c r="L82" s="55"/>
      <c r="M82" s="55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x14ac:dyDescent="0.25">
      <c r="A83" s="61" t="s">
        <v>27</v>
      </c>
      <c r="B83" s="62"/>
      <c r="C83" s="11"/>
      <c r="D83" s="11"/>
      <c r="E83" s="11"/>
      <c r="F83" s="11"/>
      <c r="G83" s="11"/>
      <c r="H83" s="11"/>
      <c r="I83" s="55"/>
      <c r="J83" s="55"/>
      <c r="K83" s="11"/>
      <c r="L83" s="55"/>
      <c r="M83" s="55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x14ac:dyDescent="0.25">
      <c r="A84" s="61" t="s">
        <v>28</v>
      </c>
      <c r="B84" s="62"/>
      <c r="C84" s="11"/>
      <c r="D84" s="11"/>
      <c r="E84" s="11"/>
      <c r="F84" s="11"/>
      <c r="G84" s="11"/>
      <c r="H84" s="11"/>
      <c r="I84" s="55"/>
      <c r="J84" s="55"/>
      <c r="K84" s="11"/>
      <c r="L84" s="55"/>
      <c r="M84" s="55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x14ac:dyDescent="0.25">
      <c r="A85" s="61" t="s">
        <v>29</v>
      </c>
      <c r="B85" s="62"/>
      <c r="C85" s="11"/>
      <c r="D85" s="11"/>
      <c r="E85" s="11"/>
      <c r="F85" s="11"/>
      <c r="G85" s="11"/>
      <c r="H85" s="11"/>
      <c r="I85" s="55"/>
      <c r="J85" s="55"/>
      <c r="K85" s="11"/>
      <c r="L85" s="55"/>
      <c r="M85" s="55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x14ac:dyDescent="0.25">
      <c r="A86" s="61" t="s">
        <v>30</v>
      </c>
      <c r="B86" s="62" t="s">
        <v>78</v>
      </c>
      <c r="C86" s="11"/>
      <c r="D86" s="11"/>
      <c r="E86" s="11"/>
      <c r="F86" s="11"/>
      <c r="G86" s="11"/>
      <c r="H86" s="11"/>
      <c r="I86" s="55"/>
      <c r="J86" s="55"/>
      <c r="K86" s="11"/>
      <c r="L86" s="55"/>
      <c r="M86" s="55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x14ac:dyDescent="0.25">
      <c r="A87" s="61" t="s">
        <v>31</v>
      </c>
      <c r="B87" s="62" t="s">
        <v>78</v>
      </c>
      <c r="C87" s="11"/>
      <c r="D87" s="11"/>
      <c r="E87" s="11"/>
      <c r="F87" s="11"/>
      <c r="G87" s="11"/>
      <c r="H87" s="11"/>
      <c r="I87" s="55"/>
      <c r="J87" s="55"/>
      <c r="K87" s="11"/>
      <c r="L87" s="55"/>
      <c r="M87" s="55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x14ac:dyDescent="0.25">
      <c r="A88" s="61" t="s">
        <v>32</v>
      </c>
      <c r="B88" s="62"/>
      <c r="C88" s="11"/>
      <c r="D88" s="11"/>
      <c r="E88" s="11"/>
      <c r="F88" s="11"/>
      <c r="G88" s="11"/>
      <c r="H88" s="11"/>
      <c r="I88" s="55"/>
      <c r="J88" s="55"/>
      <c r="K88" s="11"/>
      <c r="L88" s="55"/>
      <c r="M88" s="55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x14ac:dyDescent="0.25">
      <c r="A89" s="61" t="s">
        <v>33</v>
      </c>
      <c r="B89" s="62"/>
      <c r="C89" s="11"/>
      <c r="D89" s="11"/>
      <c r="E89" s="11"/>
      <c r="F89" s="11"/>
      <c r="G89" s="11"/>
      <c r="H89" s="11"/>
      <c r="I89" s="55"/>
      <c r="J89" s="55"/>
      <c r="K89" s="11"/>
      <c r="L89" s="55"/>
      <c r="M89" s="55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x14ac:dyDescent="0.25">
      <c r="A90" s="61" t="s">
        <v>34</v>
      </c>
      <c r="B90" s="62"/>
      <c r="C90" s="11"/>
      <c r="D90" s="11"/>
      <c r="E90" s="11"/>
      <c r="F90" s="11"/>
      <c r="G90" s="11"/>
      <c r="H90" s="11"/>
      <c r="I90" s="55"/>
      <c r="J90" s="55"/>
      <c r="K90" s="11"/>
      <c r="L90" s="55"/>
      <c r="M90" s="55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x14ac:dyDescent="0.25">
      <c r="A91" s="61" t="s">
        <v>35</v>
      </c>
      <c r="B91" s="62"/>
      <c r="C91" s="11"/>
      <c r="D91" s="11"/>
      <c r="E91" s="11"/>
      <c r="F91" s="11"/>
      <c r="G91" s="11"/>
      <c r="H91" s="11"/>
      <c r="I91" s="55"/>
      <c r="J91" s="55"/>
      <c r="K91" s="11"/>
      <c r="L91" s="55"/>
      <c r="M91" s="55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x14ac:dyDescent="0.25">
      <c r="A92" s="61" t="s">
        <v>36</v>
      </c>
      <c r="B92" s="62"/>
      <c r="C92" s="11"/>
      <c r="D92" s="11"/>
      <c r="E92" s="11"/>
      <c r="F92" s="11"/>
      <c r="G92" s="11"/>
      <c r="H92" s="11"/>
      <c r="I92" s="55"/>
      <c r="J92" s="55"/>
      <c r="K92" s="11"/>
      <c r="L92" s="55"/>
      <c r="M92" s="55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x14ac:dyDescent="0.25">
      <c r="A93" s="61" t="s">
        <v>37</v>
      </c>
      <c r="B93" s="62"/>
      <c r="C93" s="11"/>
      <c r="D93" s="11"/>
      <c r="E93" s="11"/>
      <c r="F93" s="11"/>
      <c r="G93" s="11"/>
      <c r="H93" s="11"/>
      <c r="I93" s="55"/>
      <c r="J93" s="55"/>
      <c r="K93" s="11"/>
      <c r="L93" s="55"/>
      <c r="M93" s="55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x14ac:dyDescent="0.25">
      <c r="A94" s="61" t="s">
        <v>38</v>
      </c>
      <c r="B94" s="62"/>
      <c r="C94" s="11"/>
      <c r="D94" s="11"/>
      <c r="E94" s="11"/>
      <c r="F94" s="11"/>
      <c r="G94" s="11"/>
      <c r="H94" s="11"/>
      <c r="I94" s="55"/>
      <c r="J94" s="55"/>
      <c r="K94" s="11"/>
      <c r="L94" s="55"/>
      <c r="M94" s="55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x14ac:dyDescent="0.25">
      <c r="A95" s="61" t="s">
        <v>39</v>
      </c>
      <c r="B95" s="62"/>
      <c r="C95" s="11"/>
      <c r="D95" s="11"/>
      <c r="E95" s="11"/>
      <c r="F95" s="11"/>
      <c r="G95" s="11"/>
      <c r="H95" s="11"/>
      <c r="I95" s="55"/>
      <c r="J95" s="55"/>
      <c r="K95" s="11"/>
      <c r="L95" s="55"/>
      <c r="M95" s="55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x14ac:dyDescent="0.25">
      <c r="A96" s="61" t="s">
        <v>40</v>
      </c>
      <c r="B96" s="62"/>
      <c r="C96" s="11"/>
      <c r="D96" s="11"/>
      <c r="E96" s="11"/>
      <c r="F96" s="11"/>
      <c r="G96" s="11"/>
      <c r="H96" s="11"/>
      <c r="I96" s="55"/>
      <c r="J96" s="55"/>
      <c r="K96" s="11"/>
      <c r="L96" s="55"/>
      <c r="M96" s="55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x14ac:dyDescent="0.25">
      <c r="A97" s="61" t="s">
        <v>41</v>
      </c>
      <c r="B97" s="62"/>
      <c r="C97" s="11"/>
      <c r="D97" s="11"/>
      <c r="E97" s="11"/>
      <c r="F97" s="11"/>
      <c r="G97" s="11"/>
      <c r="H97" s="11"/>
      <c r="I97" s="55"/>
      <c r="J97" s="55"/>
      <c r="K97" s="11"/>
      <c r="L97" s="55"/>
      <c r="M97" s="55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x14ac:dyDescent="0.25">
      <c r="A98" s="61" t="s">
        <v>42</v>
      </c>
      <c r="B98" s="62"/>
      <c r="C98" s="11"/>
      <c r="D98" s="11"/>
      <c r="E98" s="11"/>
      <c r="F98" s="11"/>
      <c r="G98" s="11"/>
      <c r="H98" s="11"/>
      <c r="I98" s="55"/>
      <c r="J98" s="55"/>
      <c r="K98" s="11"/>
      <c r="L98" s="55"/>
      <c r="M98" s="55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x14ac:dyDescent="0.25">
      <c r="A99" s="61" t="s">
        <v>43</v>
      </c>
      <c r="B99" s="62"/>
      <c r="C99" s="11"/>
      <c r="D99" s="11"/>
      <c r="E99" s="11"/>
      <c r="F99" s="11"/>
      <c r="G99" s="11"/>
      <c r="H99" s="11"/>
      <c r="I99" s="55"/>
      <c r="J99" s="55"/>
      <c r="K99" s="11"/>
      <c r="L99" s="55"/>
      <c r="M99" s="55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x14ac:dyDescent="0.25">
      <c r="A100" s="61" t="s">
        <v>44</v>
      </c>
      <c r="B100" s="62"/>
      <c r="C100" s="11"/>
      <c r="D100" s="11"/>
      <c r="E100" s="11"/>
      <c r="F100" s="11"/>
      <c r="G100" s="11"/>
      <c r="H100" s="11"/>
      <c r="I100" s="55"/>
      <c r="J100" s="55"/>
      <c r="K100" s="11"/>
      <c r="L100" s="55"/>
      <c r="M100" s="55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x14ac:dyDescent="0.25">
      <c r="A101" s="61" t="s">
        <v>45</v>
      </c>
      <c r="B101" s="62"/>
      <c r="C101" s="11"/>
      <c r="D101" s="11"/>
      <c r="E101" s="11"/>
      <c r="F101" s="11"/>
      <c r="G101" s="11"/>
      <c r="H101" s="11"/>
      <c r="I101" s="55"/>
      <c r="J101" s="55"/>
      <c r="K101" s="11"/>
      <c r="L101" s="55"/>
      <c r="M101" s="55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x14ac:dyDescent="0.25">
      <c r="A102" s="61" t="s">
        <v>46</v>
      </c>
      <c r="B102" s="62"/>
      <c r="C102" s="11"/>
      <c r="D102" s="11"/>
      <c r="E102" s="11"/>
      <c r="F102" s="11"/>
      <c r="G102" s="11"/>
      <c r="H102" s="11"/>
      <c r="I102" s="55"/>
      <c r="J102" s="55"/>
      <c r="K102" s="11"/>
      <c r="L102" s="55"/>
      <c r="M102" s="55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</sheetData>
  <sheetProtection algorithmName="SHA-512" hashValue="rbzm+YJQSORvSctOGE2xgeBAk8R5f7IqgFaKvRv3ZGzxYVRL0pPjdf1N25QKm1tnRpy4twoJpe9enY4aet0T7A==" saltValue="tdlcuzb4dM5uOn4i94Emqw==" spinCount="100000" sheet="1" scenarios="1"/>
  <mergeCells count="2">
    <mergeCell ref="AD31:AE31"/>
    <mergeCell ref="AG31:AH31"/>
  </mergeCells>
  <dataValidations disablePrompts="1" count="2">
    <dataValidation type="list" allowBlank="1" sqref="B72 B28" xr:uid="{00000000-0002-0000-2600-000000000000}">
      <formula1>"ACCOUNT,BUSINESSUNIT,CATEGORY,DATASRC,DEPARTMENT,INTCO,MEASURES,RPTCURRENCY,TIME"</formula1>
    </dataValidation>
    <dataValidation type="list" allowBlank="1" sqref="B73 B29" xr:uid="{00000000-0002-0000-2600-000001000000}">
      <formula1>"SELF,ALL,BAS,DEP,BASMEMBERS,MEMBERS,NOEXPAND,GDEP"</formula1>
    </dataValidation>
  </dataValidations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customProperties>
    <customPr name="EpmWorksheetKeyString_GUID" r:id="rId2"/>
    <customPr name="FPMExcelClientCellBasedFunctionStatus" r:id="rId3"/>
    <customPr name="FPMExcelClientRefreshTime" r:id="rId4"/>
  </customProperties>
  <legacyDrawing r:id="rId5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1">
    <pageSetUpPr fitToPage="1"/>
  </sheetPr>
  <dimension ref="A1:AO89"/>
  <sheetViews>
    <sheetView topLeftCell="K25" zoomScale="85" zoomScaleNormal="85" workbookViewId="0">
      <pane xSplit="4" ySplit="8" topLeftCell="O33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2" width="9.7109375" style="2" hidden="1" customWidth="1" outlineLevel="1" collapsed="1"/>
    <col min="13" max="13" width="9.7109375" style="2" hidden="1" customWidth="1" outlineLevel="1"/>
    <col min="14" max="14" width="36.7109375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40" width="9.140625" style="1" hidden="1" customWidth="1" outlineLevel="1"/>
    <col min="41" max="41" width="9.140625" style="1" collapsed="1"/>
    <col min="42" max="16384" width="9.140625" style="1"/>
  </cols>
  <sheetData>
    <row r="1" spans="1:41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11"/>
      <c r="H1" s="11"/>
      <c r="I1" s="11"/>
      <c r="J1" s="11"/>
      <c r="K1" s="11"/>
      <c r="L1" s="51"/>
      <c r="M1" s="51"/>
      <c r="N1" s="5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</row>
    <row r="2" spans="1:41" hidden="1" outlineLevel="1" x14ac:dyDescent="0.25">
      <c r="A2" s="49" t="s">
        <v>22</v>
      </c>
      <c r="B2" s="52" t="s">
        <v>554</v>
      </c>
      <c r="C2" s="11" t="str">
        <f>IF(_epmOfflineCondition_,"POD Allocation Out Account",_xll.EVDES(B2,$B$1))</f>
        <v>POD Allocation Out Account</v>
      </c>
      <c r="D2" s="11"/>
      <c r="E2" s="11"/>
      <c r="F2" s="11"/>
      <c r="G2" s="11"/>
      <c r="H2" s="11"/>
      <c r="I2" s="11"/>
      <c r="J2" s="11"/>
      <c r="K2" s="11"/>
      <c r="L2" s="51"/>
      <c r="M2" s="5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</row>
    <row r="3" spans="1:41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11"/>
      <c r="H3" s="11"/>
      <c r="I3" s="11"/>
      <c r="J3" s="11"/>
      <c r="K3" s="11"/>
      <c r="L3" s="55"/>
      <c r="M3" s="55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11"/>
      <c r="H4" s="11"/>
      <c r="I4" s="55"/>
      <c r="J4" s="55"/>
      <c r="K4" s="11"/>
      <c r="L4" s="55"/>
      <c r="M4" s="55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11"/>
      <c r="H5" s="11"/>
      <c r="I5" s="55"/>
      <c r="J5" s="55"/>
      <c r="K5" s="11"/>
      <c r="L5" s="55"/>
      <c r="M5" s="55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idden="1" outlineLevel="1" x14ac:dyDescent="0.25">
      <c r="A6" s="49" t="s">
        <v>52</v>
      </c>
      <c r="B6" s="52" t="s">
        <v>559</v>
      </c>
      <c r="C6" s="11" t="str">
        <f>IF(_epmOfflineCondition_,"Staff Dining",_xll.EVDES(B6,$B$1))</f>
        <v>Staff Dining</v>
      </c>
      <c r="D6" s="11"/>
      <c r="E6" s="54" t="str">
        <f>IF(_epmOfflineCondition_,"D2259",_xll.EVPRO($B$1,$B$6,$F$6))</f>
        <v>D2259</v>
      </c>
      <c r="F6" s="11" t="s">
        <v>278</v>
      </c>
      <c r="G6" s="11"/>
      <c r="H6" s="11"/>
      <c r="I6" s="55"/>
      <c r="J6" s="55"/>
      <c r="K6" s="11"/>
      <c r="L6" s="55"/>
      <c r="M6" s="55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11"/>
      <c r="H7" s="11"/>
      <c r="I7" s="55"/>
      <c r="J7" s="55"/>
      <c r="K7" s="11"/>
      <c r="L7" s="55"/>
      <c r="M7" s="55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11"/>
      <c r="H8" s="11"/>
      <c r="I8" s="55"/>
      <c r="J8" s="55"/>
      <c r="K8" s="11"/>
      <c r="L8" s="55"/>
      <c r="M8" s="55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55"/>
      <c r="M9" s="55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55"/>
      <c r="M10" s="55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55"/>
      <c r="M11" s="55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55"/>
      <c r="M12" s="55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  <c r="AJ12" s="11"/>
      <c r="AK12" s="11"/>
      <c r="AL12" s="11"/>
      <c r="AM12" s="11"/>
      <c r="AN12" s="11"/>
      <c r="AO12" s="11"/>
    </row>
    <row r="13" spans="1:41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55"/>
      <c r="M13" s="55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  <c r="AJ13" s="11"/>
      <c r="AK13" s="11"/>
      <c r="AL13" s="11"/>
      <c r="AM13" s="11"/>
      <c r="AN13" s="11"/>
      <c r="AO13" s="11"/>
    </row>
    <row r="14" spans="1:41" hidden="1" outlineLevel="1" x14ac:dyDescent="0.25">
      <c r="A14" s="56" t="str">
        <f>IF(_epmOfflineCondition_,"Evdre:Ok",_xll.EVDRE($B$1,A17:B24,A27:B33))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55"/>
      <c r="M14" s="55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  <c r="AJ14" s="11"/>
      <c r="AK14" s="11"/>
      <c r="AL14" s="11"/>
      <c r="AM14" s="11"/>
      <c r="AN14" s="11"/>
      <c r="AO14" s="11"/>
    </row>
    <row r="15" spans="1:41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55"/>
      <c r="M15" s="55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  <c r="AJ15" s="11"/>
      <c r="AK15" s="11"/>
      <c r="AL15" s="11"/>
      <c r="AM15" s="11"/>
      <c r="AN15" s="11"/>
      <c r="AO15" s="11"/>
    </row>
    <row r="16" spans="1:41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55"/>
      <c r="M16" s="55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  <c r="AJ16" s="11"/>
      <c r="AK16" s="11"/>
      <c r="AL16" s="11"/>
      <c r="AM16" s="11"/>
      <c r="AN16" s="11"/>
      <c r="AO16" s="11"/>
    </row>
    <row r="17" spans="1:41" hidden="1" outlineLevel="1" x14ac:dyDescent="0.25">
      <c r="A17" s="61" t="s">
        <v>2</v>
      </c>
      <c r="B17" s="62" t="str">
        <f>IF(_epmOfflineCondition_,"'Dining'!$B$2:$B$10",_xll.EVRNG($B$2:$B$10))</f>
        <v>'Dining'!$B$2:$B$10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55"/>
      <c r="M17" s="55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/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  <c r="AJ17" s="11"/>
      <c r="AK17" s="11"/>
      <c r="AL17" s="11"/>
      <c r="AM17" s="11"/>
      <c r="AN17" s="11"/>
      <c r="AO17" s="11"/>
    </row>
    <row r="18" spans="1:41" hidden="1" outlineLevel="1" x14ac:dyDescent="0.25">
      <c r="A18" s="61" t="s">
        <v>3</v>
      </c>
      <c r="B18" s="62" t="str">
        <f>IF(_epmOfflineCondition_,"'Dining'!$O$16:$AN$18",_xll.EVRNG($O$16:$AN$18))</f>
        <v>'Dining'!$O$16:$AN$18</v>
      </c>
      <c r="C18" s="11"/>
      <c r="D18" s="11"/>
      <c r="E18" s="11"/>
      <c r="F18" s="11"/>
      <c r="G18" s="11"/>
      <c r="H18" s="11"/>
      <c r="I18" s="55"/>
      <c r="J18" s="55"/>
      <c r="K18" s="11"/>
      <c r="L18" s="55"/>
      <c r="M18" s="55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60"/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  <c r="AJ18" s="11"/>
      <c r="AK18" s="11"/>
      <c r="AL18" s="11"/>
      <c r="AM18" s="11"/>
      <c r="AN18" s="11"/>
      <c r="AO18" s="11"/>
    </row>
    <row r="19" spans="1:41" hidden="1" outlineLevel="1" x14ac:dyDescent="0.25">
      <c r="A19" s="61" t="s">
        <v>4</v>
      </c>
      <c r="B19" s="62" t="str">
        <f>IF(_epmOfflineCondition_,"'Dining'!$H$34:$H$35,'Dining'!$H$38:$H$39,'Dining'!$H$40:$H$41,'Dining'!$H$44:$H$45",_xll.EVRNG(H34:H35,H38:H39,H40:H41,H44:H45))</f>
        <v>'Dining'!$H$34:$H$35,'Dining'!$H$38:$H$39,'Dining'!$H$40:$H$41,'Dining'!$H$44:$H$45</v>
      </c>
      <c r="C19" s="11"/>
      <c r="D19" s="11"/>
      <c r="E19" s="11"/>
      <c r="F19" s="11"/>
      <c r="G19" s="63" t="s">
        <v>499</v>
      </c>
      <c r="H19" s="63">
        <v>400000</v>
      </c>
      <c r="I19" s="64"/>
      <c r="J19" s="64"/>
      <c r="K19" s="63"/>
      <c r="L19" s="64"/>
      <c r="M19" s="64"/>
      <c r="N19" s="63" t="str">
        <f>IF(_epmOfflineCondition_,"Total Revenue",_xll.EVDES(H19))</f>
        <v>Total Revenue</v>
      </c>
      <c r="O19" s="65">
        <f>IF(_epmOfflineCondition_,816981.25,_xll.EVGTS($B$1,1,$B$3,$B$5,$B$7,$B$9,O$16,O$17,O$18,$G$19,$H$19))</f>
        <v>816981.25</v>
      </c>
      <c r="P19" s="65">
        <f>IF(_epmOfflineCondition_,866773.26,_xll.EVGTS($B$1,1,$B$3,$B$5,$B$7,$B$9,P$16,P$17,P$18,$G$19,$H$19))</f>
        <v>866773.26</v>
      </c>
      <c r="Q19" s="65">
        <f>IF(_epmOfflineCondition_,969793.68,_xll.EVGTS($B$1,1,$B$3,$B$5,$B$7,$B$9,Q$16,Q$17,Q$18,$G$19,$H$19))</f>
        <v>969793.68</v>
      </c>
      <c r="R19" s="65">
        <f>IF(_epmOfflineCondition_,760228.83,_xll.EVGTS($B$1,1,$B$3,$B$5,$B$7,$B$9,R$16,R$17,R$18,$G$19,$H$19))</f>
        <v>760228.83</v>
      </c>
      <c r="S19" s="65">
        <f>IF(_epmOfflineCondition_,618655.29,_xll.EVGTS($B$1,1,$B$3,$B$5,$B$7,$B$9,S$16,S$17,S$18,$G$19,$H$19))</f>
        <v>618655.29</v>
      </c>
      <c r="T19" s="65">
        <f>IF(_epmOfflineCondition_,453678.77,_xll.EVGTS($B$1,1,$B$3,$B$5,$B$7,$B$9,T$16,T$17,T$18,$G$19,$H$19))</f>
        <v>453678.77</v>
      </c>
      <c r="U19" s="65">
        <f>IF(_epmOfflineCondition_,542439.38,_xll.EVGTS($B$1,1,$B$3,$B$5,$B$7,$B$9,U$16,U$17,U$18,$G$19,$H$19))</f>
        <v>542439.38</v>
      </c>
      <c r="V19" s="65">
        <f>IF(_epmOfflineCondition_,530393.92,_xll.EVGTS($B$1,1,$B$3,$B$5,$B$7,$B$9,V$16,V$17,V$18,$G$19,$H$19))</f>
        <v>530393.92000000004</v>
      </c>
      <c r="W19" s="65">
        <f>IF(_epmOfflineCondition_,366989.98,_xll.EVGTS($B$1,1,$B$3,$B$5,$B$7,$B$9,W$16,W$17,W$18,$G$19,$H$19))</f>
        <v>366989.98</v>
      </c>
      <c r="X19" s="65">
        <f>IF(_epmOfflineCondition_,549087,_xll.EVGTS($B$1,1,$B$3,$B$5,$B$7,$B$9,X$16,X$17,X$18,$G$19,$H$19))</f>
        <v>549087</v>
      </c>
      <c r="Y19" s="65">
        <f>IF(_epmOfflineCondition_,756850.37,_xll.EVGTS($B$1,1,$B$3,$B$5,$B$7,$B$9,Y$16,Y$17,Y$18,$G$19,$H$19))</f>
        <v>756850.37</v>
      </c>
      <c r="Z19" s="65">
        <f>IF(_epmOfflineCondition_,1154118.08,_xll.EVGTS($B$1,1,$B$3,$B$5,$B$7,$B$9,Z$16,Z$17,Z$18,$G$19,$H$19))</f>
        <v>1154118.08</v>
      </c>
      <c r="AA19" s="65">
        <f>SUM(O19:Z19)</f>
        <v>8385989.8099999996</v>
      </c>
      <c r="AB19" s="63"/>
      <c r="AC19" s="63"/>
      <c r="AD19" s="65">
        <f>IF(_epmOfflineCondition_,13047408.7892219,_xll.EVGTS($B$1,1,$B$3,$B$5,$B$7,$B$9,AD$16,AD$17,AD$18,$G$19,$H$19))</f>
        <v>13047408.7892219</v>
      </c>
      <c r="AE19" s="63"/>
      <c r="AF19" s="63"/>
      <c r="AG19" s="65">
        <f>IF(_epmOfflineCondition_,3258668.97,_xll.EVGTS($B$1,1,$B$3,$B$5,$B$7,$B$9,AG$16,AG$17,AG$18,$G$19,$H$19))</f>
        <v>3258668.97</v>
      </c>
      <c r="AH19" s="63"/>
      <c r="AI19" s="63"/>
      <c r="AJ19" s="11"/>
      <c r="AK19" s="11"/>
      <c r="AL19" s="11"/>
      <c r="AM19" s="11"/>
      <c r="AN19" s="11"/>
      <c r="AO19" s="11"/>
    </row>
    <row r="20" spans="1:41" hidden="1" outlineLevel="1" x14ac:dyDescent="0.25">
      <c r="A20" s="61" t="s">
        <v>5</v>
      </c>
      <c r="B20" s="62"/>
      <c r="C20" s="11"/>
      <c r="D20" s="11"/>
      <c r="E20" s="11"/>
      <c r="F20" s="11"/>
      <c r="G20" s="63" t="s">
        <v>750</v>
      </c>
      <c r="H20" s="63">
        <v>904100</v>
      </c>
      <c r="I20" s="64"/>
      <c r="J20" s="64"/>
      <c r="K20" s="63"/>
      <c r="L20" s="64"/>
      <c r="M20" s="64"/>
      <c r="N20" s="63" t="str">
        <f>IF(_epmOfflineCondition_,"Available rooms",_xll.EVDES(H20))</f>
        <v>Available rooms</v>
      </c>
      <c r="O20" s="65">
        <f>IF(_epmOfflineCondition_,4092,_xll.EVGTS($B$1,1,$B$3,$B$5,$B$7,$B$9,O$16,O$17,O$18,$G$20,$H$20))</f>
        <v>4092</v>
      </c>
      <c r="P20" s="65">
        <f>IF(_epmOfflineCondition_,3696,_xll.EVGTS($B$1,1,$B$3,$B$5,$B$7,$B$9,P$16,P$17,P$18,$G$20,$H$20))</f>
        <v>3696</v>
      </c>
      <c r="Q20" s="65">
        <f>IF(_epmOfflineCondition_,4092,_xll.EVGTS($B$1,1,$B$3,$B$5,$B$7,$B$9,Q$16,Q$17,Q$18,$G$20,$H$20))</f>
        <v>4092</v>
      </c>
      <c r="R20" s="65">
        <f>IF(_epmOfflineCondition_,3960,_xll.EVGTS($B$1,1,$B$3,$B$5,$B$7,$B$9,R$16,R$17,R$18,$G$20,$H$20))</f>
        <v>3960</v>
      </c>
      <c r="S20" s="65">
        <f>IF(_epmOfflineCondition_,4092,_xll.EVGTS($B$1,1,$B$3,$B$5,$B$7,$B$9,S$16,S$17,S$18,$G$20,$H$20))</f>
        <v>4092</v>
      </c>
      <c r="T20" s="65">
        <f>IF(_epmOfflineCondition_,3960,_xll.EVGTS($B$1,1,$B$3,$B$5,$B$7,$B$9,T$16,T$17,T$18,$G$20,$H$20))</f>
        <v>3960</v>
      </c>
      <c r="U20" s="65">
        <f>IF(_epmOfflineCondition_,4092,_xll.EVGTS($B$1,1,$B$3,$B$5,$B$7,$B$9,U$16,U$17,U$18,$G$20,$H$20))</f>
        <v>4092</v>
      </c>
      <c r="V20" s="65">
        <f>IF(_epmOfflineCondition_,4092,_xll.EVGTS($B$1,1,$B$3,$B$5,$B$7,$B$9,V$16,V$17,V$18,$G$20,$H$20))</f>
        <v>4092</v>
      </c>
      <c r="W20" s="65">
        <f>IF(_epmOfflineCondition_,3960,_xll.EVGTS($B$1,1,$B$3,$B$5,$B$7,$B$9,W$16,W$17,W$18,$G$20,$H$20))</f>
        <v>3960</v>
      </c>
      <c r="X20" s="65">
        <f>IF(_epmOfflineCondition_,4092,_xll.EVGTS($B$1,1,$B$3,$B$5,$B$7,$B$9,X$16,X$17,X$18,$G$20,$H$20))</f>
        <v>4092</v>
      </c>
      <c r="Y20" s="65">
        <f>IF(_epmOfflineCondition_,3960,_xll.EVGTS($B$1,1,$B$3,$B$5,$B$7,$B$9,Y$16,Y$17,Y$18,$G$20,$H$20))</f>
        <v>3960</v>
      </c>
      <c r="Z20" s="65">
        <f>IF(_epmOfflineCondition_,4092,_xll.EVGTS($B$1,1,$B$3,$B$5,$B$7,$B$9,Z$16,Z$17,Z$18,$G$20,$H$20))</f>
        <v>4092</v>
      </c>
      <c r="AA20" s="65">
        <f>SUM(O20:Z20)</f>
        <v>48180</v>
      </c>
      <c r="AB20" s="63"/>
      <c r="AC20" s="63"/>
      <c r="AD20" s="65">
        <f>IF(_epmOfflineCondition_,48180,_xll.EVGTS($B$1,1,$B$3,$B$5,$B$7,$B$9,AD$16,AD$17,AD$18,$G$20,$H$20))</f>
        <v>48180</v>
      </c>
      <c r="AE20" s="63"/>
      <c r="AF20" s="63"/>
      <c r="AG20" s="65">
        <f>IF(_epmOfflineCondition_,37251,_xll.EVGTS($B$1,1,$B$3,$B$5,$B$7,$B$9,AG$16,AG$17,AG$18,$G$20,$H$20))</f>
        <v>37251</v>
      </c>
      <c r="AH20" s="63"/>
      <c r="AI20" s="63"/>
      <c r="AJ20" s="11"/>
      <c r="AK20" s="11"/>
      <c r="AL20" s="11"/>
      <c r="AM20" s="11"/>
      <c r="AN20" s="11"/>
      <c r="AO20" s="11"/>
    </row>
    <row r="21" spans="1:41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55"/>
      <c r="J21" s="55"/>
      <c r="K21" s="11"/>
      <c r="L21" s="55"/>
      <c r="M21" s="55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idden="1" outlineLevel="1" x14ac:dyDescent="0.25">
      <c r="A22" s="61" t="s">
        <v>7</v>
      </c>
      <c r="B22" s="62" t="str">
        <f>IF(_epmOfflineCondition_,"'Dining'!$A$36:$F$42",_xll.EVRNG(A36:F42))</f>
        <v>'Dining'!$A$36:$F$42</v>
      </c>
      <c r="C22" s="11"/>
      <c r="D22" s="11"/>
      <c r="E22" s="11"/>
      <c r="F22" s="11"/>
      <c r="G22" s="11"/>
      <c r="H22" s="11"/>
      <c r="I22" s="55"/>
      <c r="J22" s="55"/>
      <c r="K22" s="11"/>
      <c r="L22" s="55"/>
      <c r="M22" s="55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idden="1" outlineLevel="1" x14ac:dyDescent="0.25">
      <c r="A23" s="61" t="s">
        <v>47</v>
      </c>
      <c r="B23" s="62" t="str">
        <f>IF(_epmOfflineCondition_,"'Dining'!$A$68:$B$89",_xll.EVRNG($A$68:$B$89))</f>
        <v>'Dining'!$A$68:$B$89</v>
      </c>
      <c r="C23" s="11"/>
      <c r="D23" s="11"/>
      <c r="E23" s="11"/>
      <c r="F23" s="11"/>
      <c r="G23" s="11"/>
      <c r="H23" s="11"/>
      <c r="I23" s="55"/>
      <c r="J23" s="55"/>
      <c r="K23" s="6"/>
      <c r="L23" s="55"/>
      <c r="M23" s="55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55"/>
      <c r="M24" s="55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55"/>
      <c r="M25" s="55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22.5" x14ac:dyDescent="0.3">
      <c r="A26" s="57" t="s">
        <v>9</v>
      </c>
      <c r="B26" s="58" t="s">
        <v>10</v>
      </c>
      <c r="C26" s="11"/>
      <c r="D26" s="11"/>
      <c r="E26" s="11"/>
      <c r="F26" s="11"/>
      <c r="G26" s="11"/>
      <c r="H26" s="11"/>
      <c r="I26" s="55"/>
      <c r="J26" s="55"/>
      <c r="K26" s="11"/>
      <c r="L26" s="55"/>
      <c r="M26" s="55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8" x14ac:dyDescent="0.25">
      <c r="A27" s="61" t="s">
        <v>11</v>
      </c>
      <c r="B27" s="62" t="s">
        <v>21</v>
      </c>
      <c r="C27" s="11"/>
      <c r="D27" s="11"/>
      <c r="E27" s="11"/>
      <c r="F27" s="11"/>
      <c r="G27" s="11"/>
      <c r="H27" s="11"/>
      <c r="I27" s="55"/>
      <c r="J27" s="55"/>
      <c r="K27" s="11"/>
      <c r="L27" s="55"/>
      <c r="M27" s="55"/>
      <c r="N27" s="67" t="str">
        <f>IF(_epmOfflineCondition_,"Staff Dining Department",IF(_xll.EVDES(B6,$B$1)="#NODATA","",_xll.EVDES(B6,$B$1)&amp;" Department"))</f>
        <v>Staff Dining Department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x14ac:dyDescent="0.25">
      <c r="A28" s="61" t="s">
        <v>12</v>
      </c>
      <c r="B28" s="62" t="s">
        <v>22</v>
      </c>
      <c r="C28" s="11"/>
      <c r="D28" s="11"/>
      <c r="E28" s="11"/>
      <c r="F28" s="11"/>
      <c r="G28" s="11"/>
      <c r="H28" s="11"/>
      <c r="I28" s="55"/>
      <c r="J28" s="55"/>
      <c r="K28" s="11"/>
      <c r="L28" s="55"/>
      <c r="M28" s="55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" customHeight="1" x14ac:dyDescent="0.25">
      <c r="A29" s="61" t="s">
        <v>13</v>
      </c>
      <c r="B29" s="582" t="s">
        <v>746</v>
      </c>
      <c r="C29" s="11"/>
      <c r="D29" s="11"/>
      <c r="E29" s="11"/>
      <c r="F29" s="11"/>
      <c r="G29" s="11"/>
      <c r="H29" s="11"/>
      <c r="I29" s="55"/>
      <c r="J29" s="55"/>
      <c r="K29" s="11"/>
      <c r="L29" s="55"/>
      <c r="M29" s="55"/>
      <c r="N29" s="68" t="str">
        <f>IF(_epmOfflineCondition_,"Local Currency",_xll.EVDES(B9,B1))</f>
        <v>Local Currency</v>
      </c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x14ac:dyDescent="0.25">
      <c r="A30" s="61" t="s">
        <v>14</v>
      </c>
      <c r="B30" s="62"/>
      <c r="C30" s="11"/>
      <c r="D30" s="11"/>
      <c r="E30" s="11"/>
      <c r="F30" s="11"/>
      <c r="G30" s="11"/>
      <c r="H30" s="11"/>
      <c r="I30" s="55"/>
      <c r="J30" s="55"/>
      <c r="K30" s="11"/>
      <c r="L30" s="55"/>
      <c r="M30" s="55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  <c r="AJ30" s="69" t="s">
        <v>753</v>
      </c>
      <c r="AK30" s="70"/>
      <c r="AL30" s="71"/>
      <c r="AM30" s="70" t="s">
        <v>751</v>
      </c>
      <c r="AN30" s="70"/>
      <c r="AO30" s="11"/>
    </row>
    <row r="31" spans="1:41" x14ac:dyDescent="0.25">
      <c r="A31" s="61" t="s">
        <v>15</v>
      </c>
      <c r="B31" s="62"/>
      <c r="C31" s="11"/>
      <c r="D31" s="11"/>
      <c r="E31" s="11"/>
      <c r="F31" s="11"/>
      <c r="G31" s="72"/>
      <c r="H31" s="11"/>
      <c r="I31" s="55"/>
      <c r="J31" s="55"/>
      <c r="K31" s="173"/>
      <c r="L31" s="55"/>
      <c r="M31" s="55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  <c r="AJ31" s="73" t="str">
        <f>IF(_epmOfflineCondition_,"2019",_xll.EVPRO($B$1,AA$16,"YEAR"))</f>
        <v>2019</v>
      </c>
      <c r="AK31" s="76" t="str">
        <f>IF(_epmOfflineCondition_,"2019",_xll.EVPRO($B$1,AD$16,"YEAR"))</f>
        <v>2019</v>
      </c>
      <c r="AL31" s="76" t="str">
        <f>IF(_epmOfflineCondition_,"2018",_xll.EVPRO($B$1,AG$16,"YEAR"))</f>
        <v>2018</v>
      </c>
      <c r="AM31" s="73" t="str">
        <f>"vs "&amp;AK31</f>
        <v>vs 2019</v>
      </c>
      <c r="AN31" s="73" t="str">
        <f>"vs "&amp;AL31</f>
        <v>vs 2018</v>
      </c>
      <c r="AO31" s="11"/>
    </row>
    <row r="32" spans="1:41" s="8" customFormat="1" ht="30" customHeight="1" x14ac:dyDescent="0.25">
      <c r="A32" s="77" t="s">
        <v>16</v>
      </c>
      <c r="B32" s="78" t="s">
        <v>78</v>
      </c>
      <c r="C32" s="79"/>
      <c r="D32" s="79"/>
      <c r="E32" s="79"/>
      <c r="F32" s="79"/>
      <c r="G32" s="79"/>
      <c r="H32" s="80"/>
      <c r="I32" s="81"/>
      <c r="J32" s="81"/>
      <c r="K32" s="174" t="s">
        <v>117</v>
      </c>
      <c r="L32" s="81"/>
      <c r="M32" s="81"/>
      <c r="N32" s="82" t="s">
        <v>120</v>
      </c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76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76" t="s">
        <v>58</v>
      </c>
      <c r="AI32" s="83" t="s">
        <v>57</v>
      </c>
      <c r="AJ32" s="83" t="str">
        <f>Z32</f>
        <v>Actual</v>
      </c>
      <c r="AK32" s="76" t="str">
        <f>AD32</f>
        <v>Budget</v>
      </c>
      <c r="AL32" s="83" t="str">
        <f>AG32</f>
        <v>Actual</v>
      </c>
      <c r="AM32" s="73" t="s">
        <v>748</v>
      </c>
      <c r="AN32" s="73" t="s">
        <v>748</v>
      </c>
      <c r="AO32" s="79"/>
    </row>
    <row r="33" spans="1:41" x14ac:dyDescent="0.25">
      <c r="A33" s="61" t="s">
        <v>17</v>
      </c>
      <c r="B33" s="62"/>
      <c r="C33" s="11"/>
      <c r="D33" s="11"/>
      <c r="E33" s="11"/>
      <c r="F33" s="11"/>
      <c r="G33" s="11"/>
      <c r="H33" s="592"/>
      <c r="I33" s="55"/>
      <c r="J33" s="55"/>
      <c r="K33" s="593"/>
      <c r="L33" s="55"/>
      <c r="M33" s="55"/>
      <c r="N33" s="484"/>
      <c r="O33" s="199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114"/>
      <c r="AC33" s="11"/>
      <c r="AD33" s="199"/>
      <c r="AE33" s="200"/>
      <c r="AF33" s="114"/>
      <c r="AG33" s="199"/>
      <c r="AH33" s="200"/>
      <c r="AI33" s="114"/>
      <c r="AJ33" s="11"/>
      <c r="AK33" s="11"/>
      <c r="AL33" s="11"/>
      <c r="AM33" s="11"/>
      <c r="AN33" s="11"/>
      <c r="AO33" s="11"/>
    </row>
    <row r="34" spans="1:41" hidden="1" x14ac:dyDescent="0.25">
      <c r="A34" s="11"/>
      <c r="B34" s="11"/>
      <c r="C34" s="11"/>
      <c r="D34" s="11"/>
      <c r="E34" s="11"/>
      <c r="F34" s="11"/>
      <c r="G34" s="11"/>
      <c r="H34" s="84" t="s">
        <v>668</v>
      </c>
      <c r="I34" s="118" t="str">
        <f>IF(_epmOfflineCondition_,"",_xll.EVPRO($B$1,$H34,"STYLE"))</f>
        <v/>
      </c>
      <c r="J34" s="118" t="str">
        <f>IF(_epmOfflineCondition_,"",_xll.EVPRO($B$1,$H34,"CALC"))</f>
        <v/>
      </c>
      <c r="K34" s="175" t="str">
        <f>IF(AND(I34&gt;="T3"),"&gt;","")</f>
        <v/>
      </c>
      <c r="L34" s="86" t="str">
        <f>IF(_epmOfflineCondition_,"",_xll.EVPRO($B$1,H34,"JDEID"))</f>
        <v/>
      </c>
      <c r="M34" s="86" t="str">
        <f>IF(_epmOfflineCondition_,"",IF(AND(I34="N",J34="N"),_xll.EVPRO($B$1,H34,"PSFTID"),""))</f>
        <v/>
      </c>
      <c r="N34" s="86" t="str">
        <f>IF(_epmOfflineCondition_,"",IF(_xll.EVDES(H34,$B$1)="#NODATA","",_xll.EVDES(H34,$B$1)))</f>
        <v/>
      </c>
      <c r="O34" s="134"/>
      <c r="P34" s="134"/>
      <c r="Q34" s="134"/>
      <c r="R34" s="134"/>
      <c r="S34" s="134"/>
      <c r="T34" s="134"/>
      <c r="U34" s="134"/>
      <c r="V34" s="134"/>
      <c r="W34" s="134"/>
      <c r="X34" s="134"/>
      <c r="Y34" s="134"/>
      <c r="Z34" s="134"/>
      <c r="AA34" s="134">
        <f>IF($I34="B1","",SUM(O34:Z34))</f>
        <v>0</v>
      </c>
      <c r="AB34" s="138" t="str">
        <f>IF(AA34=0,"",IFERROR(AA34/AA$19,""))</f>
        <v/>
      </c>
      <c r="AC34" s="136"/>
      <c r="AD34" s="134"/>
      <c r="AE34" s="138" t="str">
        <f>IF(AD34=0,"",IFERROR(AD34/AD$19,""))</f>
        <v/>
      </c>
      <c r="AF34" s="137">
        <f>IF(AND($AA34="",AD34=""),"",$AA34-AD34)</f>
        <v>0</v>
      </c>
      <c r="AG34" s="134"/>
      <c r="AH34" s="138" t="str">
        <f>IF(AG34=0,"",IFERROR(AG34/AG$19,""))</f>
        <v/>
      </c>
      <c r="AI34" s="137">
        <f>IF(AND($AA34="",AG34=""),"",$AA34-AG34)</f>
        <v>0</v>
      </c>
      <c r="AJ34" s="458">
        <f>IFERROR(AA34/AA$20,0)</f>
        <v>0</v>
      </c>
      <c r="AK34" s="459">
        <f>IFERROR(AD34/AD$20,0)</f>
        <v>0</v>
      </c>
      <c r="AL34" s="460">
        <f>IFERROR(AG34/AG$20,0)</f>
        <v>0</v>
      </c>
      <c r="AM34" s="461">
        <f>+IFERROR(ROUND(($AB34-AE34)*100,2)&amp;" pts.",0)</f>
        <v>0</v>
      </c>
      <c r="AN34" s="462">
        <f>+IFERROR(ROUND(($AB34-AH34)*100,2)&amp;" pts.",0)</f>
        <v>0</v>
      </c>
      <c r="AO34" s="11"/>
    </row>
    <row r="35" spans="1:41" hidden="1" x14ac:dyDescent="0.25">
      <c r="A35" s="93" t="s">
        <v>92</v>
      </c>
      <c r="B35" s="94" t="s">
        <v>93</v>
      </c>
      <c r="C35" s="94" t="s">
        <v>94</v>
      </c>
      <c r="D35" s="94" t="s">
        <v>95</v>
      </c>
      <c r="E35" s="94" t="s">
        <v>96</v>
      </c>
      <c r="F35" s="95" t="s">
        <v>97</v>
      </c>
      <c r="G35" s="11"/>
      <c r="H35" s="84"/>
      <c r="I35" s="118" t="str">
        <f>IF(_epmOfflineCondition_,"",_xll.EVPRO($B$1,$H35,"STYLE"))</f>
        <v/>
      </c>
      <c r="J35" s="118" t="str">
        <f>IF(_epmOfflineCondition_,"",_xll.EVPRO($B$1,$H35,"CALC"))</f>
        <v/>
      </c>
      <c r="K35" s="175" t="str">
        <f>IF(AND(I35&gt;="T3"),"&gt;","")</f>
        <v/>
      </c>
      <c r="L35" s="86" t="str">
        <f>IF(_epmOfflineCondition_,"",_xll.EVPRO($B$1,H35,"JDEID"))</f>
        <v/>
      </c>
      <c r="M35" s="86" t="str">
        <f>IF(_epmOfflineCondition_,"",IF(AND(I35="N",J35="N"),_xll.EVPRO($B$1,H35,"PSFTID"),""))</f>
        <v/>
      </c>
      <c r="N35" s="86" t="str">
        <f>IF(_epmOfflineCondition_,"",IF(_xll.EVDES(H35,$B$1)="#NODATA","",_xll.EVDES(H35,$B$1)))</f>
        <v/>
      </c>
      <c r="O35" s="134"/>
      <c r="P35" s="134"/>
      <c r="Q35" s="134"/>
      <c r="R35" s="134"/>
      <c r="S35" s="134"/>
      <c r="T35" s="134"/>
      <c r="U35" s="134"/>
      <c r="V35" s="134"/>
      <c r="W35" s="134"/>
      <c r="X35" s="134"/>
      <c r="Y35" s="134"/>
      <c r="Z35" s="134"/>
      <c r="AA35" s="134">
        <f>IF($I35="B1","",SUM(O35:Z35))</f>
        <v>0</v>
      </c>
      <c r="AB35" s="138" t="str">
        <f>IF(AA35=0,"",IFERROR(AA35/AA$19,""))</f>
        <v/>
      </c>
      <c r="AC35" s="136"/>
      <c r="AD35" s="134"/>
      <c r="AE35" s="138" t="str">
        <f>IF(AD35=0,"",IFERROR(AD35/AD$19,""))</f>
        <v/>
      </c>
      <c r="AF35" s="137">
        <f>IF(AND($AA35="",AD35=""),"",$AA35-AD35)</f>
        <v>0</v>
      </c>
      <c r="AG35" s="134"/>
      <c r="AH35" s="138" t="str">
        <f>IF(AG35=0,"",IFERROR(AG35/AG$19,""))</f>
        <v/>
      </c>
      <c r="AI35" s="137">
        <f>IF(AND($AA35="",AG35=""),"",$AA35-AG35)</f>
        <v>0</v>
      </c>
      <c r="AJ35" s="458">
        <f>IFERROR(AA35/AA$20,0)</f>
        <v>0</v>
      </c>
      <c r="AK35" s="459">
        <f>IFERROR(AD35/AD$20,0)</f>
        <v>0</v>
      </c>
      <c r="AL35" s="460">
        <f>IFERROR(AG35/AG$20,0)</f>
        <v>0</v>
      </c>
      <c r="AM35" s="461">
        <f>+IFERROR(ROUND(($AB35-AE35)*100,2)&amp;" pts.",0)</f>
        <v>0</v>
      </c>
      <c r="AN35" s="462">
        <f>+IFERROR(ROUND(($AB35-AH35)*100,2)&amp;" pts.",0)</f>
        <v>0</v>
      </c>
      <c r="AO35" s="11"/>
    </row>
    <row r="36" spans="1:41" x14ac:dyDescent="0.25">
      <c r="A36" s="11"/>
      <c r="B36" s="11"/>
      <c r="C36" s="11"/>
      <c r="D36" s="11"/>
      <c r="E36" s="11"/>
      <c r="F36" s="11"/>
      <c r="G36" s="11"/>
      <c r="H36" s="11" t="s">
        <v>73</v>
      </c>
      <c r="I36" s="55" t="str">
        <f>IF(_epmOfflineCondition_,"B1",_xll.EVPRO($B$1,$H36,"STYLE"))</f>
        <v>B1</v>
      </c>
      <c r="J36" s="55" t="str">
        <f>IF(_epmOfflineCondition_,"Y",_xll.EVPRO($B$1,$H36,"CALC"))</f>
        <v>Y</v>
      </c>
      <c r="K36" s="11"/>
      <c r="L36" s="55"/>
      <c r="M36" s="55"/>
      <c r="N36" s="101" t="str">
        <f>IF(_epmOfflineCondition_,"Labor &amp; Related Expenses",IF(_xll.EVDES(H36,$B$1)="#NODATA","",_xll.EVDES(H36,$B$1)))</f>
        <v>Labor &amp; Related Expenses</v>
      </c>
      <c r="O36" s="199"/>
      <c r="P36" s="200"/>
      <c r="Q36" s="200"/>
      <c r="R36" s="200"/>
      <c r="S36" s="200"/>
      <c r="T36" s="200"/>
      <c r="U36" s="200"/>
      <c r="V36" s="200"/>
      <c r="W36" s="200"/>
      <c r="X36" s="200"/>
      <c r="Y36" s="200"/>
      <c r="Z36" s="200"/>
      <c r="AA36" s="200"/>
      <c r="AB36" s="114"/>
      <c r="AC36" s="11"/>
      <c r="AD36" s="199"/>
      <c r="AE36" s="200"/>
      <c r="AF36" s="114"/>
      <c r="AG36" s="199"/>
      <c r="AH36" s="200"/>
      <c r="AI36" s="114"/>
      <c r="AJ36" s="11"/>
      <c r="AK36" s="11"/>
      <c r="AL36" s="11"/>
      <c r="AM36" s="11"/>
      <c r="AN36" s="11"/>
      <c r="AO36" s="11"/>
    </row>
    <row r="37" spans="1:41" x14ac:dyDescent="0.25">
      <c r="A37" s="11" t="s">
        <v>108</v>
      </c>
      <c r="B37" s="11"/>
      <c r="C37" s="100" t="s">
        <v>101</v>
      </c>
      <c r="D37" s="11" t="s">
        <v>106</v>
      </c>
      <c r="E37" s="11"/>
      <c r="F37" s="11" t="s">
        <v>98</v>
      </c>
      <c r="G37" s="11"/>
      <c r="H37" s="11" t="s">
        <v>74</v>
      </c>
      <c r="I37" s="55" t="str">
        <f>IF(_epmOfflineCondition_,"B1",_xll.EVPRO($B$1,$H37,"STYLE"))</f>
        <v>B1</v>
      </c>
      <c r="J37" s="55" t="str">
        <f>IF(_epmOfflineCondition_,"Y",_xll.EVPRO($B$1,$H37,"CALC"))</f>
        <v>Y</v>
      </c>
      <c r="K37" s="11"/>
      <c r="L37" s="55"/>
      <c r="M37" s="55"/>
      <c r="N37" s="49" t="str">
        <f>IF(_epmOfflineCondition_,"Salaries &amp; Wages",IF(_xll.EVDES(H37,$B$1)="#NODATA","",_xll.EVDES(H37,$B$1)))</f>
        <v>Salaries &amp; Wages</v>
      </c>
      <c r="O37" s="115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7"/>
      <c r="AC37" s="11"/>
      <c r="AD37" s="115"/>
      <c r="AE37" s="116"/>
      <c r="AF37" s="117"/>
      <c r="AG37" s="115"/>
      <c r="AH37" s="116"/>
      <c r="AI37" s="117"/>
      <c r="AJ37" s="11"/>
      <c r="AK37" s="11"/>
      <c r="AL37" s="11"/>
      <c r="AM37" s="11"/>
      <c r="AN37" s="11"/>
      <c r="AO37" s="11"/>
    </row>
    <row r="38" spans="1:41" hidden="1" x14ac:dyDescent="0.25">
      <c r="A38" s="11" t="s">
        <v>100</v>
      </c>
      <c r="B38" s="11"/>
      <c r="C38" s="49" t="s">
        <v>101</v>
      </c>
      <c r="D38" s="11" t="s">
        <v>106</v>
      </c>
      <c r="E38" s="11"/>
      <c r="F38" s="11" t="s">
        <v>98</v>
      </c>
      <c r="G38" s="11"/>
      <c r="H38" s="84" t="s">
        <v>668</v>
      </c>
      <c r="I38" s="118" t="str">
        <f>IF(_epmOfflineCondition_,"",_xll.EVPRO($B$1,$H38,"STYLE"))</f>
        <v/>
      </c>
      <c r="J38" s="118" t="str">
        <f>IF(_epmOfflineCondition_,"",_xll.EVPRO($B$1,$H38,"CALC"))</f>
        <v/>
      </c>
      <c r="K38" s="175" t="str">
        <f>IF(AND(I38&gt;="T3"),"&gt;","")</f>
        <v/>
      </c>
      <c r="L38" s="86" t="str">
        <f>IF(_epmOfflineCondition_,"",_xll.EVPRO($B$1,H38,"JDEID"))</f>
        <v/>
      </c>
      <c r="M38" s="86" t="str">
        <f>IF(_epmOfflineCondition_,"",IF(AND(I38="N",J38="N"),_xll.EVPRO($B$1,H38,"PSFTID"),""))</f>
        <v/>
      </c>
      <c r="N38" s="86" t="str">
        <f>IF(_epmOfflineCondition_,"",IF(_xll.EVDES(H38,$B$1)="#NODATA","",_xll.EVDES(H38,$B$1)))</f>
        <v/>
      </c>
      <c r="O38" s="248"/>
      <c r="P38" s="248"/>
      <c r="Q38" s="248"/>
      <c r="R38" s="248"/>
      <c r="S38" s="248"/>
      <c r="T38" s="248"/>
      <c r="U38" s="248"/>
      <c r="V38" s="248"/>
      <c r="W38" s="248"/>
      <c r="X38" s="248"/>
      <c r="Y38" s="248"/>
      <c r="Z38" s="248"/>
      <c r="AA38" s="248">
        <f>IF($I38="B1","",SUM(O38:Z38))</f>
        <v>0</v>
      </c>
      <c r="AB38" s="249" t="str">
        <f>IF(AA38=0,"",IFERROR(AA38/AA$19,""))</f>
        <v/>
      </c>
      <c r="AC38" s="136"/>
      <c r="AD38" s="228"/>
      <c r="AE38" s="230" t="str">
        <f>IF(AD38=0,"",IFERROR(AD38/AD$19,""))</f>
        <v/>
      </c>
      <c r="AF38" s="231">
        <f>IF(AND($AA38="",AD38=""),"",$AA38-AD38)</f>
        <v>0</v>
      </c>
      <c r="AG38" s="228"/>
      <c r="AH38" s="230" t="str">
        <f>IF(AG38=0,"",IFERROR(AG38/AG$19,""))</f>
        <v/>
      </c>
      <c r="AI38" s="231">
        <f>IF(AND($AA38="",AG38=""),"",$AA38-AG38)</f>
        <v>0</v>
      </c>
      <c r="AJ38" s="458">
        <f>IFERROR(AA38/AA$20,0)</f>
        <v>0</v>
      </c>
      <c r="AK38" s="459">
        <f>IFERROR(AD38/AD$20,0)</f>
        <v>0</v>
      </c>
      <c r="AL38" s="460">
        <f>IFERROR(AG38/AG$20,0)</f>
        <v>0</v>
      </c>
      <c r="AM38" s="461">
        <f>+IFERROR(ROUND(($AB38-AE38)*100,2)&amp;" pts.",0)</f>
        <v>0</v>
      </c>
      <c r="AN38" s="462">
        <f>+IFERROR(ROUND(($AB38-AH38)*100,2)&amp;" pts.",0)</f>
        <v>0</v>
      </c>
      <c r="AO38" s="11"/>
    </row>
    <row r="39" spans="1:41" hidden="1" x14ac:dyDescent="0.25">
      <c r="A39" s="11" t="s">
        <v>109</v>
      </c>
      <c r="B39" s="11"/>
      <c r="C39" s="102" t="s">
        <v>101</v>
      </c>
      <c r="D39" s="11" t="s">
        <v>106</v>
      </c>
      <c r="E39" s="11"/>
      <c r="F39" s="11" t="s">
        <v>98</v>
      </c>
      <c r="G39" s="11"/>
      <c r="H39" s="84"/>
      <c r="I39" s="118" t="str">
        <f>IF(_epmOfflineCondition_,"",_xll.EVPRO($B$1,$H39,"STYLE"))</f>
        <v/>
      </c>
      <c r="J39" s="118" t="str">
        <f>IF(_epmOfflineCondition_,"",_xll.EVPRO($B$1,$H39,"CALC"))</f>
        <v/>
      </c>
      <c r="K39" s="175" t="str">
        <f>IF(AND(I39&gt;="T3"),"&gt;","")</f>
        <v/>
      </c>
      <c r="L39" s="86" t="str">
        <f>IF(_epmOfflineCondition_,"",_xll.EVPRO($B$1,H39,"JDEID"))</f>
        <v/>
      </c>
      <c r="M39" s="86" t="str">
        <f>IF(_epmOfflineCondition_,"",IF(AND(I39="N",J39="N"),_xll.EVPRO($B$1,H39,"PSFTID"),""))</f>
        <v/>
      </c>
      <c r="N39" s="86" t="str">
        <f>IF(_epmOfflineCondition_,"",IF(_xll.EVDES(H39,$B$1)="#NODATA","",_xll.EVDES(H39,$B$1)))</f>
        <v/>
      </c>
      <c r="O39" s="248"/>
      <c r="P39" s="248"/>
      <c r="Q39" s="248"/>
      <c r="R39" s="248"/>
      <c r="S39" s="248"/>
      <c r="T39" s="248"/>
      <c r="U39" s="248"/>
      <c r="V39" s="248"/>
      <c r="W39" s="248"/>
      <c r="X39" s="248"/>
      <c r="Y39" s="248"/>
      <c r="Z39" s="248"/>
      <c r="AA39" s="248">
        <f>IF($I39="B1","",SUM(O39:Z39))</f>
        <v>0</v>
      </c>
      <c r="AB39" s="249" t="str">
        <f>IF(AA39=0,"",IFERROR(AA39/AA$19,""))</f>
        <v/>
      </c>
      <c r="AC39" s="136"/>
      <c r="AD39" s="228"/>
      <c r="AE39" s="230" t="str">
        <f>IF(AD39=0,"",IFERROR(AD39/AD$19,""))</f>
        <v/>
      </c>
      <c r="AF39" s="231">
        <f>IF(AND($AA39="",AD39=""),"",$AA39-AD39)</f>
        <v>0</v>
      </c>
      <c r="AG39" s="228"/>
      <c r="AH39" s="230" t="str">
        <f>IF(AG39=0,"",IFERROR(AG39/AG$19,""))</f>
        <v/>
      </c>
      <c r="AI39" s="231">
        <f>IF(AND($AA39="",AG39=""),"",$AA39-AG39)</f>
        <v>0</v>
      </c>
      <c r="AJ39" s="458">
        <f>IFERROR(AA39/AA$20,0)</f>
        <v>0</v>
      </c>
      <c r="AK39" s="459">
        <f>IFERROR(AD39/AD$20,0)</f>
        <v>0</v>
      </c>
      <c r="AL39" s="460">
        <f>IFERROR(AG39/AG$20,0)</f>
        <v>0</v>
      </c>
      <c r="AM39" s="461">
        <f>+IFERROR(ROUND(($AB39-AE39)*100,2)&amp;" pts.",0)</f>
        <v>0</v>
      </c>
      <c r="AN39" s="462">
        <f>+IFERROR(ROUND(($AB39-AH39)*100,2)&amp;" pts.",0)</f>
        <v>0</v>
      </c>
      <c r="AO39" s="11"/>
    </row>
    <row r="40" spans="1:41" hidden="1" x14ac:dyDescent="0.25">
      <c r="A40" s="11" t="s">
        <v>109</v>
      </c>
      <c r="B40" s="11"/>
      <c r="C40" s="192" t="s">
        <v>101</v>
      </c>
      <c r="D40" s="11" t="s">
        <v>107</v>
      </c>
      <c r="E40" s="11"/>
      <c r="F40" s="11" t="s">
        <v>99</v>
      </c>
      <c r="G40" s="11"/>
      <c r="H40" s="84" t="s">
        <v>668</v>
      </c>
      <c r="I40" s="118" t="str">
        <f>IF(_epmOfflineCondition_,"",_xll.EVPRO($B$1,$H40,"STYLE"))</f>
        <v/>
      </c>
      <c r="J40" s="118" t="str">
        <f>IF(_epmOfflineCondition_,"",_xll.EVPRO($B$1,$H40,"CALC"))</f>
        <v/>
      </c>
      <c r="K40" s="175" t="str">
        <f>IF(AND(I40&gt;="T3"),"&gt;","")</f>
        <v/>
      </c>
      <c r="L40" s="86" t="str">
        <f>IF(_epmOfflineCondition_,"",_xll.EVPRO($B$1,H40,"JDEID"))</f>
        <v/>
      </c>
      <c r="M40" s="86" t="str">
        <f>IF(_epmOfflineCondition_,"",IF(AND(I40="N",J40="N"),_xll.EVPRO($B$1,H40,"PSFTID"),""))</f>
        <v/>
      </c>
      <c r="N40" s="86" t="str">
        <f>IF(_epmOfflineCondition_,"",IF(_xll.EVDES(H40,$B$1)="#NODATA","",_xll.EVDES(H40,$B$1)))</f>
        <v/>
      </c>
      <c r="O40" s="228"/>
      <c r="P40" s="228"/>
      <c r="Q40" s="228"/>
      <c r="R40" s="228"/>
      <c r="S40" s="228"/>
      <c r="T40" s="228"/>
      <c r="U40" s="228"/>
      <c r="V40" s="228"/>
      <c r="W40" s="228"/>
      <c r="X40" s="228"/>
      <c r="Y40" s="228"/>
      <c r="Z40" s="228"/>
      <c r="AA40" s="228">
        <f>IF($I40="B1","",SUM(O40:Z40))</f>
        <v>0</v>
      </c>
      <c r="AB40" s="230" t="str">
        <f>IF(AA40=0,"",IFERROR(AA40/AA$19,""))</f>
        <v/>
      </c>
      <c r="AC40" s="136"/>
      <c r="AD40" s="228"/>
      <c r="AE40" s="230" t="str">
        <f>IF(AD40=0,"",IFERROR(AD40/AD$19,""))</f>
        <v/>
      </c>
      <c r="AF40" s="231">
        <f>IF(AND($AA40="",AD40=""),"",$AA40-AD40)</f>
        <v>0</v>
      </c>
      <c r="AG40" s="228"/>
      <c r="AH40" s="230" t="str">
        <f>IF(AG40=0,"",IFERROR(AG40/AG$19,""))</f>
        <v/>
      </c>
      <c r="AI40" s="231">
        <f>IF(AND($AA40="",AG40=""),"",$AA40-AG40)</f>
        <v>0</v>
      </c>
      <c r="AJ40" s="467">
        <f>IFERROR(AA40/AA$20,0)</f>
        <v>0</v>
      </c>
      <c r="AK40" s="468">
        <f>IFERROR(AD40/AD$20,0)</f>
        <v>0</v>
      </c>
      <c r="AL40" s="469">
        <f>IFERROR(AG40/AG$20,0)</f>
        <v>0</v>
      </c>
      <c r="AM40" s="470">
        <f>+IFERROR(ROUND(($AB40-AE40)*100,2)&amp;" pts.",0)</f>
        <v>0</v>
      </c>
      <c r="AN40" s="471">
        <f>+IFERROR(ROUND(($AB40-AH40)*100,2)&amp;" pts.",0)</f>
        <v>0</v>
      </c>
      <c r="AO40" s="11"/>
    </row>
    <row r="41" spans="1:41" hidden="1" x14ac:dyDescent="0.25">
      <c r="A41" s="11" t="s">
        <v>110</v>
      </c>
      <c r="B41" s="11"/>
      <c r="C41" s="102" t="s">
        <v>101</v>
      </c>
      <c r="D41" s="11" t="s">
        <v>106</v>
      </c>
      <c r="E41" s="11"/>
      <c r="F41" s="11" t="s">
        <v>98</v>
      </c>
      <c r="G41" s="11"/>
      <c r="H41" s="84"/>
      <c r="I41" s="118" t="str">
        <f>IF(_epmOfflineCondition_,"",_xll.EVPRO($B$1,$H41,"STYLE"))</f>
        <v/>
      </c>
      <c r="J41" s="118" t="str">
        <f>IF(_epmOfflineCondition_,"",_xll.EVPRO($B$1,$H41,"CALC"))</f>
        <v/>
      </c>
      <c r="K41" s="175" t="str">
        <f>IF(AND(I41&gt;="T3"),"&gt;","")</f>
        <v/>
      </c>
      <c r="L41" s="86" t="str">
        <f>IF(_epmOfflineCondition_,"",_xll.EVPRO($B$1,H41,"JDEID"))</f>
        <v/>
      </c>
      <c r="M41" s="86" t="str">
        <f>IF(_epmOfflineCondition_,"",IF(AND(I41="N",J41="N"),_xll.EVPRO($B$1,H41,"PSFTID"),""))</f>
        <v/>
      </c>
      <c r="N41" s="86" t="str">
        <f>IF(_epmOfflineCondition_,"",IF(_xll.EVDES(H41,$B$1)="#NODATA","",_xll.EVDES(H41,$B$1)))</f>
        <v/>
      </c>
      <c r="O41" s="228"/>
      <c r="P41" s="228"/>
      <c r="Q41" s="228"/>
      <c r="R41" s="228"/>
      <c r="S41" s="228"/>
      <c r="T41" s="228"/>
      <c r="U41" s="228"/>
      <c r="V41" s="228"/>
      <c r="W41" s="228"/>
      <c r="X41" s="228"/>
      <c r="Y41" s="228"/>
      <c r="Z41" s="228"/>
      <c r="AA41" s="228">
        <f>IF($I41="B1","",SUM(O41:Z41))</f>
        <v>0</v>
      </c>
      <c r="AB41" s="230" t="str">
        <f>IF(AA41=0,"",IFERROR(AA41/AA$19,""))</f>
        <v/>
      </c>
      <c r="AC41" s="136"/>
      <c r="AD41" s="228"/>
      <c r="AE41" s="230" t="str">
        <f>IF(AD41=0,"",IFERROR(AD41/AD$19,""))</f>
        <v/>
      </c>
      <c r="AF41" s="231">
        <f>IF(AND($AA41="",AD41=""),"",$AA41-AD41)</f>
        <v>0</v>
      </c>
      <c r="AG41" s="228"/>
      <c r="AH41" s="230" t="str">
        <f>IF(AG41=0,"",IFERROR(AG41/AG$19,""))</f>
        <v/>
      </c>
      <c r="AI41" s="231">
        <f>IF(AND($AA41="",AG41=""),"",$AA41-AG41)</f>
        <v>0</v>
      </c>
      <c r="AJ41" s="467">
        <f>IFERROR(AA41/AA$20,0)</f>
        <v>0</v>
      </c>
      <c r="AK41" s="468">
        <f>IFERROR(AD41/AD$20,0)</f>
        <v>0</v>
      </c>
      <c r="AL41" s="469">
        <f>IFERROR(AG41/AG$20,0)</f>
        <v>0</v>
      </c>
      <c r="AM41" s="470">
        <f>+IFERROR(ROUND(($AB41-AE41)*100,2)&amp;" pts.",0)</f>
        <v>0</v>
      </c>
      <c r="AN41" s="471">
        <f>+IFERROR(ROUND(($AB41-AH41)*100,2)&amp;" pts.",0)</f>
        <v>0</v>
      </c>
      <c r="AO41" s="11"/>
    </row>
    <row r="42" spans="1:41" x14ac:dyDescent="0.25">
      <c r="A42" s="11" t="s">
        <v>110</v>
      </c>
      <c r="B42" s="11"/>
      <c r="C42" s="105" t="s">
        <v>101</v>
      </c>
      <c r="D42" s="11" t="s">
        <v>107</v>
      </c>
      <c r="E42" s="11"/>
      <c r="F42" s="11" t="s">
        <v>99</v>
      </c>
      <c r="G42" s="11"/>
      <c r="H42" s="102"/>
      <c r="I42" s="102"/>
      <c r="J42" s="102"/>
      <c r="K42" s="102"/>
      <c r="L42" s="102"/>
      <c r="M42" s="102"/>
      <c r="N42" s="102"/>
      <c r="O42" s="125"/>
      <c r="P42" s="126"/>
      <c r="Q42" s="126"/>
      <c r="R42" s="126"/>
      <c r="S42" s="126"/>
      <c r="T42" s="126"/>
      <c r="U42" s="126"/>
      <c r="V42" s="126"/>
      <c r="W42" s="126"/>
      <c r="X42" s="126"/>
      <c r="Y42" s="126"/>
      <c r="Z42" s="126"/>
      <c r="AA42" s="126"/>
      <c r="AB42" s="127"/>
      <c r="AC42" s="11"/>
      <c r="AD42" s="125"/>
      <c r="AE42" s="126"/>
      <c r="AF42" s="127"/>
      <c r="AG42" s="125"/>
      <c r="AH42" s="126"/>
      <c r="AI42" s="127"/>
      <c r="AJ42" s="11"/>
      <c r="AK42" s="11"/>
      <c r="AL42" s="11"/>
      <c r="AM42" s="11"/>
      <c r="AN42" s="11"/>
      <c r="AO42" s="11"/>
    </row>
    <row r="43" spans="1:41" x14ac:dyDescent="0.25">
      <c r="A43" s="11"/>
      <c r="B43" s="11"/>
      <c r="C43" s="204"/>
      <c r="D43" s="11"/>
      <c r="E43" s="11"/>
      <c r="F43" s="11"/>
      <c r="G43" s="11"/>
      <c r="H43" s="11" t="s">
        <v>82</v>
      </c>
      <c r="I43" s="55" t="str">
        <f>IF(_epmOfflineCondition_,"B1",_xll.EVPRO($B$1,$H43,"STYLE"))</f>
        <v>B1</v>
      </c>
      <c r="J43" s="55" t="str">
        <f>IF(_epmOfflineCondition_,"Y",_xll.EVPRO($B$1,$H43,"CALC"))</f>
        <v>Y</v>
      </c>
      <c r="K43" s="11"/>
      <c r="L43" s="11"/>
      <c r="M43" s="11"/>
      <c r="N43" s="101" t="str">
        <f>IF(_epmOfflineCondition_,"Other Expenses",IF(_xll.EVDES(H43,$B$1)="#NODATA","",_xll.EVDES(H43,$B$1)))</f>
        <v>Other Expenses</v>
      </c>
      <c r="O43" s="115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116"/>
      <c r="AA43" s="116"/>
      <c r="AB43" s="117"/>
      <c r="AC43" s="11"/>
      <c r="AD43" s="115"/>
      <c r="AE43" s="116"/>
      <c r="AF43" s="117"/>
      <c r="AG43" s="115"/>
      <c r="AH43" s="116"/>
      <c r="AI43" s="117"/>
      <c r="AJ43" s="11"/>
      <c r="AK43" s="11"/>
      <c r="AL43" s="11"/>
      <c r="AM43" s="11"/>
      <c r="AN43" s="11"/>
      <c r="AO43" s="11"/>
    </row>
    <row r="44" spans="1:41" hidden="1" x14ac:dyDescent="0.25">
      <c r="A44" s="11"/>
      <c r="B44" s="11"/>
      <c r="C44" s="204"/>
      <c r="D44" s="11"/>
      <c r="E44" s="11"/>
      <c r="F44" s="11"/>
      <c r="G44" s="11"/>
      <c r="H44" s="84" t="s">
        <v>668</v>
      </c>
      <c r="I44" s="118" t="str">
        <f>IF(_epmOfflineCondition_,"",_xll.EVPRO($B$1,$H44,"STYLE"))</f>
        <v/>
      </c>
      <c r="J44" s="118" t="str">
        <f>IF(_epmOfflineCondition_,"",_xll.EVPRO($B$1,$H44,"CALC"))</f>
        <v/>
      </c>
      <c r="K44" s="175" t="str">
        <f>IF(AND(I44&gt;="T3"),"&gt;","")</f>
        <v/>
      </c>
      <c r="L44" s="86" t="str">
        <f>IF(_epmOfflineCondition_,"",_xll.EVPRO($B$1,H44,"JDEID"))</f>
        <v/>
      </c>
      <c r="M44" s="86" t="str">
        <f>IF(_epmOfflineCondition_,"",IF(AND(I44="N",J44="N"),_xll.EVPRO($B$1,H44,"PSFTID"),""))</f>
        <v/>
      </c>
      <c r="N44" s="86" t="str">
        <f>IF(_epmOfflineCondition_,"",IF(_xll.EVDES(H44,$B$1)="#NODATA","",_xll.EVDES(H44,$B$1)))</f>
        <v/>
      </c>
      <c r="O44" s="134"/>
      <c r="P44" s="134"/>
      <c r="Q44" s="134"/>
      <c r="R44" s="134"/>
      <c r="S44" s="134"/>
      <c r="T44" s="134"/>
      <c r="U44" s="134"/>
      <c r="V44" s="134"/>
      <c r="W44" s="134"/>
      <c r="X44" s="134"/>
      <c r="Y44" s="134"/>
      <c r="Z44" s="134"/>
      <c r="AA44" s="134">
        <f>IF($I44="B1","",SUM(O44:Z44))</f>
        <v>0</v>
      </c>
      <c r="AB44" s="138" t="str">
        <f>IF(AA44=0,"",IFERROR(AA44/AA$19,""))</f>
        <v/>
      </c>
      <c r="AC44" s="136"/>
      <c r="AD44" s="134"/>
      <c r="AE44" s="138" t="str">
        <f>IF(AD44=0,"",IFERROR(AD44/AD$19,""))</f>
        <v/>
      </c>
      <c r="AF44" s="137">
        <f>IF(AND($AA44="",AD44=""),"",$AA44-AD44)</f>
        <v>0</v>
      </c>
      <c r="AG44" s="134"/>
      <c r="AH44" s="138" t="str">
        <f>IF(AG44=0,"",IFERROR(AG44/AG$19,""))</f>
        <v/>
      </c>
      <c r="AI44" s="137">
        <f>IF(AND($AA44="",AG44=""),"",$AA44-AG44)</f>
        <v>0</v>
      </c>
      <c r="AJ44" s="458">
        <f>IFERROR(AA44/AA$20,0)</f>
        <v>0</v>
      </c>
      <c r="AK44" s="459">
        <f>IFERROR(AD44/AD$20,0)</f>
        <v>0</v>
      </c>
      <c r="AL44" s="460">
        <f>IFERROR(AG44/AG$20,0)</f>
        <v>0</v>
      </c>
      <c r="AM44" s="461">
        <f>+IFERROR(ROUND(($AB44-AE44)*100,2)&amp;" pts.",0)</f>
        <v>0</v>
      </c>
      <c r="AN44" s="462">
        <f>+IFERROR(ROUND(($AB44-AH44)*100,2)&amp;" pts.",0)</f>
        <v>0</v>
      </c>
      <c r="AO44" s="11"/>
    </row>
    <row r="45" spans="1:41" hidden="1" x14ac:dyDescent="0.25">
      <c r="A45" s="56" t="str">
        <f>IF(_epmOfflineCondition_,"Evdre:Ok",_xll.EVDRE($B$1,A48:B55,A58:B64))</f>
        <v>Evdre:Ok</v>
      </c>
      <c r="B45" s="11"/>
      <c r="C45" s="204"/>
      <c r="D45" s="11"/>
      <c r="E45" s="11"/>
      <c r="F45" s="11"/>
      <c r="G45" s="11"/>
      <c r="H45" s="84"/>
      <c r="I45" s="118" t="str">
        <f>IF(_epmOfflineCondition_,"",_xll.EVPRO($B$1,$H45,"STYLE"))</f>
        <v/>
      </c>
      <c r="J45" s="118" t="str">
        <f>IF(_epmOfflineCondition_,"",_xll.EVPRO($B$1,$H45,"CALC"))</f>
        <v/>
      </c>
      <c r="K45" s="175" t="str">
        <f>IF(AND(I45&gt;="T3"),"&gt;","")</f>
        <v/>
      </c>
      <c r="L45" s="86" t="str">
        <f>IF(_epmOfflineCondition_,"",_xll.EVPRO($B$1,H45,"JDEID"))</f>
        <v/>
      </c>
      <c r="M45" s="86" t="str">
        <f>IF(_epmOfflineCondition_,"",IF(AND(I45="N",J45="N"),_xll.EVPRO($B$1,H45,"PSFTID"),""))</f>
        <v/>
      </c>
      <c r="N45" s="86" t="str">
        <f>IF(_epmOfflineCondition_,"",IF(_xll.EVDES(H45,$B$1)="#NODATA","",_xll.EVDES(H45,$B$1)))</f>
        <v/>
      </c>
      <c r="O45" s="134"/>
      <c r="P45" s="134"/>
      <c r="Q45" s="134"/>
      <c r="R45" s="134"/>
      <c r="S45" s="134"/>
      <c r="T45" s="134"/>
      <c r="U45" s="134"/>
      <c r="V45" s="134"/>
      <c r="W45" s="134"/>
      <c r="X45" s="134"/>
      <c r="Y45" s="134"/>
      <c r="Z45" s="134"/>
      <c r="AA45" s="134">
        <f>IF($I45="B1","",SUM(O45:Z45))</f>
        <v>0</v>
      </c>
      <c r="AB45" s="138" t="str">
        <f>IF(AA45=0,"",IFERROR(AA45/AA$19,""))</f>
        <v/>
      </c>
      <c r="AC45" s="136"/>
      <c r="AD45" s="134"/>
      <c r="AE45" s="138" t="str">
        <f>IF(AD45=0,"",IFERROR(AD45/AD$19,""))</f>
        <v/>
      </c>
      <c r="AF45" s="137">
        <f>IF(AND($AA45="",AD45=""),"",$AA45-AD45)</f>
        <v>0</v>
      </c>
      <c r="AG45" s="134"/>
      <c r="AH45" s="138" t="str">
        <f>IF(AG45=0,"",IFERROR(AG45/AG$19,""))</f>
        <v/>
      </c>
      <c r="AI45" s="137">
        <f>IF(AND($AA45="",AG45=""),"",$AA45-AG45)</f>
        <v>0</v>
      </c>
      <c r="AJ45" s="458">
        <f>IFERROR(AA45/AA$20,0)</f>
        <v>0</v>
      </c>
      <c r="AK45" s="459">
        <f>IFERROR(AD45/AD$20,0)</f>
        <v>0</v>
      </c>
      <c r="AL45" s="460">
        <f>IFERROR(AG45/AG$20,0)</f>
        <v>0</v>
      </c>
      <c r="AM45" s="461">
        <f>+IFERROR(ROUND(($AB45-AE45)*100,2)&amp;" pts.",0)</f>
        <v>0</v>
      </c>
      <c r="AN45" s="462">
        <f>+IFERROR(ROUND(($AB45-AH45)*100,2)&amp;" pts.",0)</f>
        <v>0</v>
      </c>
      <c r="AO45" s="11"/>
    </row>
    <row r="46" spans="1:41" x14ac:dyDescent="0.25">
      <c r="A46" s="11"/>
      <c r="B46" s="11"/>
      <c r="C46" s="204"/>
      <c r="D46" s="11"/>
      <c r="E46" s="11"/>
      <c r="F46" s="11"/>
      <c r="G46" s="11"/>
      <c r="H46" s="84" t="s">
        <v>79</v>
      </c>
      <c r="I46" s="132" t="str">
        <f>IF(_epmOfflineCondition_,"T3",_xll.EVPRO($B$1,$H46,"STYLE"))</f>
        <v>T3</v>
      </c>
      <c r="J46" s="132" t="str">
        <f>IF(_epmOfflineCondition_,"Y",_xll.EVPRO($B$1,$H46,"CALC"))</f>
        <v>Y</v>
      </c>
      <c r="K46" s="100"/>
      <c r="L46" s="55"/>
      <c r="M46" s="55"/>
      <c r="N46" s="102" t="str">
        <f>IF(_epmOfflineCondition_,"Total Operations Expense",IF(_xll.EVDES(H46,$B$1)="#NODATA","",_xll.EVDES(H46,$B$1)))</f>
        <v>Total Operations Expense</v>
      </c>
      <c r="O46" s="108">
        <f t="shared" ref="O46:Z46" si="0">SUM(O44:O45)</f>
        <v>0</v>
      </c>
      <c r="P46" s="108">
        <f t="shared" si="0"/>
        <v>0</v>
      </c>
      <c r="Q46" s="108">
        <f t="shared" si="0"/>
        <v>0</v>
      </c>
      <c r="R46" s="108">
        <f t="shared" si="0"/>
        <v>0</v>
      </c>
      <c r="S46" s="108">
        <f t="shared" si="0"/>
        <v>0</v>
      </c>
      <c r="T46" s="108">
        <f t="shared" si="0"/>
        <v>0</v>
      </c>
      <c r="U46" s="108">
        <f t="shared" si="0"/>
        <v>0</v>
      </c>
      <c r="V46" s="108">
        <f t="shared" si="0"/>
        <v>0</v>
      </c>
      <c r="W46" s="108">
        <f t="shared" si="0"/>
        <v>0</v>
      </c>
      <c r="X46" s="108">
        <f t="shared" si="0"/>
        <v>0</v>
      </c>
      <c r="Y46" s="108">
        <f t="shared" si="0"/>
        <v>0</v>
      </c>
      <c r="Z46" s="108">
        <f t="shared" si="0"/>
        <v>0</v>
      </c>
      <c r="AA46" s="108">
        <f>IF($I46="B1","",SUM(O46:Z46))</f>
        <v>0</v>
      </c>
      <c r="AB46" s="109" t="str">
        <f>IF(AA46=0,"",IFERROR(AA46/AA$19,""))</f>
        <v/>
      </c>
      <c r="AC46" s="11"/>
      <c r="AD46" s="108">
        <f>SUM(AD44:AD45)</f>
        <v>0</v>
      </c>
      <c r="AE46" s="109" t="str">
        <f>IF(AD46=0,"",IFERROR(AD46/AD$19,""))</f>
        <v/>
      </c>
      <c r="AF46" s="110">
        <f>IF(AND($AA46="",AD46=""),"",$AA46-AD46)</f>
        <v>0</v>
      </c>
      <c r="AG46" s="108">
        <f>SUM(AG44:AG45)</f>
        <v>0</v>
      </c>
      <c r="AH46" s="109" t="str">
        <f>IF(AG46=0,"",IFERROR(AG46/AG$19,""))</f>
        <v/>
      </c>
      <c r="AI46" s="110">
        <f>IF(AND($AA46="",AG46=""),"",$AA46-AG46)</f>
        <v>0</v>
      </c>
      <c r="AJ46" s="411">
        <f>IFERROR(AA46/AA$20,0)</f>
        <v>0</v>
      </c>
      <c r="AK46" s="412">
        <f>IFERROR(AD46/AD$20,0)</f>
        <v>0</v>
      </c>
      <c r="AL46" s="413">
        <f>IFERROR(AG46/AG$20,0)</f>
        <v>0</v>
      </c>
      <c r="AM46" s="414">
        <f>+IFERROR(ROUND(($AB46-AE46)*100,2)&amp;" pts.",0)</f>
        <v>0</v>
      </c>
      <c r="AN46" s="538">
        <f>+IFERROR(ROUND(($AB46-AH46)*100,2)&amp;" pts.",0)</f>
        <v>0</v>
      </c>
      <c r="AO46" s="11"/>
    </row>
    <row r="47" spans="1:41" x14ac:dyDescent="0.25">
      <c r="A47" s="57" t="s">
        <v>0</v>
      </c>
      <c r="B47" s="58" t="s">
        <v>1</v>
      </c>
      <c r="C47" s="204"/>
      <c r="D47" s="11"/>
      <c r="E47" s="11"/>
      <c r="F47" s="11"/>
      <c r="G47" s="11"/>
      <c r="H47" s="11"/>
      <c r="I47" s="55"/>
      <c r="J47" s="55"/>
      <c r="K47" s="11"/>
      <c r="L47" s="55"/>
      <c r="M47" s="55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</row>
    <row r="48" spans="1:41" x14ac:dyDescent="0.25">
      <c r="A48" s="61" t="s">
        <v>2</v>
      </c>
      <c r="B48" s="62" t="str">
        <f>IF(_epmOfflineCondition_,"'Dining'!$B$2:$B$10",_xll.EVRNG($B$2:$B$10))</f>
        <v>'Dining'!$B$2:$B$10</v>
      </c>
      <c r="C48" s="204"/>
      <c r="D48" s="11"/>
      <c r="E48" s="11"/>
      <c r="F48" s="11"/>
      <c r="G48" s="11"/>
      <c r="H48" s="84" t="s">
        <v>80</v>
      </c>
      <c r="I48" s="132" t="str">
        <f>IF(_epmOfflineCondition_,"T3",_xll.EVPRO($B$1,$H48,"STYLE"))</f>
        <v>T3</v>
      </c>
      <c r="J48" s="132" t="str">
        <f>IF(_epmOfflineCondition_,"Y",_xll.EVPRO($B$1,$H48,"CALC"))</f>
        <v>Y</v>
      </c>
      <c r="K48" s="102"/>
      <c r="L48" s="55"/>
      <c r="M48" s="55"/>
      <c r="N48" s="102" t="str">
        <f>IF(_epmOfflineCondition_,"Total Expenses",IF(_xll.EVDES(H48,$B$1)="#NODATA","",_xll.EVDES(H48,$B$1)))</f>
        <v>Total Expenses</v>
      </c>
      <c r="O48" s="119">
        <f t="shared" ref="O48:Z48" si="1">SUMIF($H$34:$H$47,"561100",O$34:O$47)+SUMIF($H$34:$H$47,"600000",O$34:O$47)+SUMIF($H$34:$H$47,"700000",O$34:O$47)</f>
        <v>0</v>
      </c>
      <c r="P48" s="119">
        <f t="shared" si="1"/>
        <v>0</v>
      </c>
      <c r="Q48" s="119">
        <f t="shared" si="1"/>
        <v>0</v>
      </c>
      <c r="R48" s="119">
        <f t="shared" si="1"/>
        <v>0</v>
      </c>
      <c r="S48" s="119">
        <f t="shared" si="1"/>
        <v>0</v>
      </c>
      <c r="T48" s="119">
        <f t="shared" si="1"/>
        <v>0</v>
      </c>
      <c r="U48" s="119">
        <f t="shared" si="1"/>
        <v>0</v>
      </c>
      <c r="V48" s="119">
        <f t="shared" si="1"/>
        <v>0</v>
      </c>
      <c r="W48" s="119">
        <f t="shared" si="1"/>
        <v>0</v>
      </c>
      <c r="X48" s="119">
        <f t="shared" si="1"/>
        <v>0</v>
      </c>
      <c r="Y48" s="119">
        <f t="shared" si="1"/>
        <v>0</v>
      </c>
      <c r="Z48" s="119">
        <f t="shared" si="1"/>
        <v>0</v>
      </c>
      <c r="AA48" s="119">
        <f>IF($I48="B1","",SUM(O48:Z48))</f>
        <v>0</v>
      </c>
      <c r="AB48" s="120" t="str">
        <f>IF(AA48=0,"",IFERROR(AA48/AA$19,""))</f>
        <v/>
      </c>
      <c r="AC48" s="11"/>
      <c r="AD48" s="119">
        <f>SUMIF($H$34:$H$47,"561100",AD$34:AD$47)+SUMIF($H$34:$H$47,"600000",AD$34:AD$47)+SUMIF($H$34:$H$47,"700000",AD$34:AD$47)</f>
        <v>0</v>
      </c>
      <c r="AE48" s="120" t="str">
        <f>IF(AD48=0,"",IFERROR(AD48/AD$19,""))</f>
        <v/>
      </c>
      <c r="AF48" s="121">
        <f>IF(AND($AA48="",AD48=""),"",$AA48-AD48)</f>
        <v>0</v>
      </c>
      <c r="AG48" s="119">
        <f>SUMIF($H$34:$H$47,"561100",AG$34:AG$47)+SUMIF($H$34:$H$47,"600000",AG$34:AG$47)+SUMIF($H$34:$H$47,"700000",AG$34:AG$47)</f>
        <v>0</v>
      </c>
      <c r="AH48" s="120" t="str">
        <f>IF(AG48=0,"",IFERROR(AG48/AG$19,""))</f>
        <v/>
      </c>
      <c r="AI48" s="121">
        <f>IF(AND($AA48="",AG48=""),"",$AA48-AG48)</f>
        <v>0</v>
      </c>
      <c r="AJ48" s="384">
        <f>IFERROR(AA48/AA$20,0)</f>
        <v>0</v>
      </c>
      <c r="AK48" s="385">
        <f>IFERROR(AD48/AD$20,0)</f>
        <v>0</v>
      </c>
      <c r="AL48" s="386">
        <f>IFERROR(AG48/AG$20,0)</f>
        <v>0</v>
      </c>
      <c r="AM48" s="387">
        <f>+IFERROR(ROUND(($AB48-AE48)*100,2)&amp;" pts.",0)</f>
        <v>0</v>
      </c>
      <c r="AN48" s="539">
        <f>+IFERROR(ROUND(($AB48-AH48)*100,2)&amp;" pts.",0)</f>
        <v>0</v>
      </c>
      <c r="AO48" s="11"/>
    </row>
    <row r="49" spans="1:41" x14ac:dyDescent="0.25">
      <c r="A49" s="61" t="s">
        <v>3</v>
      </c>
      <c r="B49" s="62" t="str">
        <f>IF(_epmOfflineCondition_,"'Dining'!$O$16:$AN$18",_xll.EVRNG($O$16:$AN$18))</f>
        <v>'Dining'!$O$16:$AN$18</v>
      </c>
      <c r="C49" s="204"/>
      <c r="D49" s="11"/>
      <c r="E49" s="11"/>
      <c r="F49" s="11"/>
      <c r="G49" s="11"/>
      <c r="H49" s="11"/>
      <c r="I49" s="55"/>
      <c r="J49" s="55"/>
      <c r="K49" s="11"/>
      <c r="L49" s="55"/>
      <c r="M49" s="55"/>
      <c r="N49" s="102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</row>
    <row r="50" spans="1:41" x14ac:dyDescent="0.25">
      <c r="A50" s="61" t="s">
        <v>4</v>
      </c>
      <c r="B50" s="62" t="str">
        <f>IF(_epmOfflineCondition_,"'Dining'!$H$55:$H$56",_xll.EVRNG(H55:H56))</f>
        <v>'Dining'!$H$55:$H$56</v>
      </c>
      <c r="C50" s="204"/>
      <c r="D50" s="11"/>
      <c r="E50" s="11"/>
      <c r="F50" s="11"/>
      <c r="G50" s="11"/>
      <c r="H50" s="84" t="s">
        <v>280</v>
      </c>
      <c r="I50" s="118" t="str">
        <f>IF(_epmOfflineCondition_,"T3",_xll.EVPRO($B$1,$H50,"STYLE"))</f>
        <v>T3</v>
      </c>
      <c r="J50" s="118" t="str">
        <f>IF(_epmOfflineCondition_,"Y",_xll.EVPRO($B$1,$H50,"CALC"))</f>
        <v>Y</v>
      </c>
      <c r="K50" s="175" t="str">
        <f>IF(AND(I50&gt;="T3"),"&gt;","")</f>
        <v>&gt;</v>
      </c>
      <c r="L50" s="86" t="str">
        <f>IF(_epmOfflineCondition_,"400000",_xll.EVPRO($B$1,H50,"JDEID"))</f>
        <v>400000</v>
      </c>
      <c r="M50" s="86" t="str">
        <f>IF(_epmOfflineCondition_,"",IF(AND(I50="N",J50="N"),_xll.EVPRO($B$1,H50,"PSFTID"),""))</f>
        <v/>
      </c>
      <c r="N50" s="186" t="str">
        <f>IF(_epmOfflineCondition_,"Total Revenue",IF(_xll.EVDES(H50,$B$1)="#NODATA","",_xll.EVDES(H50,$B$1)))</f>
        <v>Total Revenue</v>
      </c>
      <c r="O50" s="119">
        <f>IF(_epmOfflineCondition_,0,_xll.EVGTS($B$1,1,$B$3,$B$5,$B$7,$B$9,O$16,O$17,O$18,$B$6,$H$50))</f>
        <v>0</v>
      </c>
      <c r="P50" s="119">
        <f>IF(_epmOfflineCondition_,0,_xll.EVGTS($B$1,1,$B$3,$B$5,$B$7,$B$9,P$16,P$17,P$18,$B$6,$H$50))</f>
        <v>0</v>
      </c>
      <c r="Q50" s="119">
        <f>IF(_epmOfflineCondition_,0,_xll.EVGTS($B$1,1,$B$3,$B$5,$B$7,$B$9,Q$16,Q$17,Q$18,$B$6,$H$50))</f>
        <v>0</v>
      </c>
      <c r="R50" s="119">
        <f>IF(_epmOfflineCondition_,0,_xll.EVGTS($B$1,1,$B$3,$B$5,$B$7,$B$9,R$16,R$17,R$18,$B$6,$H$50))</f>
        <v>0</v>
      </c>
      <c r="S50" s="119">
        <f>IF(_epmOfflineCondition_,0,_xll.EVGTS($B$1,1,$B$3,$B$5,$B$7,$B$9,S$16,S$17,S$18,$B$6,$H$50))</f>
        <v>0</v>
      </c>
      <c r="T50" s="119">
        <f>IF(_epmOfflineCondition_,0,_xll.EVGTS($B$1,1,$B$3,$B$5,$B$7,$B$9,T$16,T$17,T$18,$B$6,$H$50))</f>
        <v>0</v>
      </c>
      <c r="U50" s="119">
        <f>IF(_epmOfflineCondition_,0,_xll.EVGTS($B$1,1,$B$3,$B$5,$B$7,$B$9,U$16,U$17,U$18,$B$6,$H$50))</f>
        <v>0</v>
      </c>
      <c r="V50" s="119">
        <f>IF(_epmOfflineCondition_,0,_xll.EVGTS($B$1,1,$B$3,$B$5,$B$7,$B$9,V$16,V$17,V$18,$B$6,$H$50))</f>
        <v>0</v>
      </c>
      <c r="W50" s="119">
        <f>IF(_epmOfflineCondition_,0,_xll.EVGTS($B$1,1,$B$3,$B$5,$B$7,$B$9,W$16,W$17,W$18,$B$6,$H$50))</f>
        <v>0</v>
      </c>
      <c r="X50" s="119">
        <f>IF(_epmOfflineCondition_,0,_xll.EVGTS($B$1,1,$B$3,$B$5,$B$7,$B$9,X$16,X$17,X$18,$B$6,$H$50))</f>
        <v>0</v>
      </c>
      <c r="Y50" s="119">
        <f>IF(_epmOfflineCondition_,0,_xll.EVGTS($B$1,1,$B$3,$B$5,$B$7,$B$9,Y$16,Y$17,Y$18,$B$6,$H$50))</f>
        <v>0</v>
      </c>
      <c r="Z50" s="119">
        <f>IF(_epmOfflineCondition_,0,_xll.EVGTS($B$1,1,$B$3,$B$5,$B$7,$B$9,Z$16,Z$17,Z$18,$B$6,$H$50))</f>
        <v>0</v>
      </c>
      <c r="AA50" s="119">
        <f>IF($I50="B1","",SUM(O50:Z50))</f>
        <v>0</v>
      </c>
      <c r="AB50" s="120" t="str">
        <f>IF(AA50=0,"",IFERROR(AA50/AA$19,""))</f>
        <v/>
      </c>
      <c r="AC50" s="11"/>
      <c r="AD50" s="119">
        <f>IF(_epmOfflineCondition_,0,_xll.EVGTS($B$1,1,$B$3,$B$5,$B$7,$B$9,AD$16,AD$17,AD$18,$B$6,$H$50))</f>
        <v>0</v>
      </c>
      <c r="AE50" s="120" t="str">
        <f>IF(AD50=0,"",IFERROR(AD50/AD$19,""))</f>
        <v/>
      </c>
      <c r="AF50" s="121">
        <f>IF(AND($AA50="",AD50=""),"",$AA50-AD50)</f>
        <v>0</v>
      </c>
      <c r="AG50" s="119">
        <f>IF(_epmOfflineCondition_,0,_xll.EVGTS($B$1,1,$B$3,$B$5,$B$7,$B$9,AG$16,AG$17,AG$18,$B$6,$H$50))</f>
        <v>0</v>
      </c>
      <c r="AH50" s="120" t="str">
        <f>IF(AG50=0,"",IFERROR(AG50/AG$19,""))</f>
        <v/>
      </c>
      <c r="AI50" s="121">
        <f>IF(AND($AA50="",AG50=""),"",$AA50-AG50)</f>
        <v>0</v>
      </c>
      <c r="AJ50" s="384">
        <f>IFERROR(AA50/AA$20,0)</f>
        <v>0</v>
      </c>
      <c r="AK50" s="385">
        <f>IFERROR(AD50/AD$20,0)</f>
        <v>0</v>
      </c>
      <c r="AL50" s="386">
        <f>IFERROR(AG50/AG$20,0)</f>
        <v>0</v>
      </c>
      <c r="AM50" s="387">
        <f>+IFERROR(ROUND(($AB50-AE50)*100,2)&amp;" pts.",0)</f>
        <v>0</v>
      </c>
      <c r="AN50" s="539">
        <f>+IFERROR(ROUND(($AB50-AH50)*100,2)&amp;" pts.",0)</f>
        <v>0</v>
      </c>
      <c r="AO50" s="11"/>
    </row>
    <row r="51" spans="1:41" x14ac:dyDescent="0.25">
      <c r="A51" s="61" t="s">
        <v>5</v>
      </c>
      <c r="B51" s="62"/>
      <c r="C51" s="204"/>
      <c r="D51" s="11"/>
      <c r="E51" s="11"/>
      <c r="F51" s="11"/>
      <c r="G51" s="11"/>
      <c r="H51" s="364"/>
      <c r="I51" s="364"/>
      <c r="J51" s="364"/>
      <c r="K51" s="364"/>
      <c r="L51" s="364"/>
      <c r="M51" s="364"/>
      <c r="N51" s="364"/>
      <c r="O51" s="364"/>
      <c r="P51" s="364"/>
      <c r="Q51" s="364"/>
      <c r="R51" s="364"/>
      <c r="S51" s="364"/>
      <c r="T51" s="364"/>
      <c r="U51" s="364"/>
      <c r="V51" s="364"/>
      <c r="W51" s="364"/>
      <c r="X51" s="364"/>
      <c r="Y51" s="364"/>
      <c r="Z51" s="364"/>
      <c r="AA51" s="364"/>
      <c r="AB51" s="364"/>
      <c r="AC51" s="364"/>
      <c r="AD51" s="364"/>
      <c r="AE51" s="364"/>
      <c r="AF51" s="364"/>
      <c r="AG51" s="364"/>
      <c r="AH51" s="364"/>
      <c r="AI51" s="364"/>
      <c r="AJ51" s="11"/>
      <c r="AK51" s="11"/>
      <c r="AL51" s="11"/>
      <c r="AM51" s="11"/>
      <c r="AN51" s="11"/>
      <c r="AO51" s="11"/>
    </row>
    <row r="52" spans="1:41" ht="15.75" thickBot="1" x14ac:dyDescent="0.3">
      <c r="A52" s="61" t="s">
        <v>6</v>
      </c>
      <c r="B52" s="62"/>
      <c r="C52" s="204"/>
      <c r="D52" s="11"/>
      <c r="E52" s="11"/>
      <c r="F52" s="11"/>
      <c r="G52" s="11"/>
      <c r="H52" s="11"/>
      <c r="I52" s="55"/>
      <c r="J52" s="55"/>
      <c r="K52" s="11"/>
      <c r="L52" s="55"/>
      <c r="M52" s="55"/>
      <c r="N52" s="102" t="s">
        <v>666</v>
      </c>
      <c r="O52" s="122">
        <f t="shared" ref="O52:Z52" si="2">O48-O50</f>
        <v>0</v>
      </c>
      <c r="P52" s="122">
        <f t="shared" si="2"/>
        <v>0</v>
      </c>
      <c r="Q52" s="122">
        <f t="shared" si="2"/>
        <v>0</v>
      </c>
      <c r="R52" s="122">
        <f t="shared" si="2"/>
        <v>0</v>
      </c>
      <c r="S52" s="122">
        <f t="shared" si="2"/>
        <v>0</v>
      </c>
      <c r="T52" s="122">
        <f t="shared" si="2"/>
        <v>0</v>
      </c>
      <c r="U52" s="122">
        <f t="shared" si="2"/>
        <v>0</v>
      </c>
      <c r="V52" s="122">
        <f t="shared" si="2"/>
        <v>0</v>
      </c>
      <c r="W52" s="122">
        <f t="shared" si="2"/>
        <v>0</v>
      </c>
      <c r="X52" s="122">
        <f t="shared" si="2"/>
        <v>0</v>
      </c>
      <c r="Y52" s="122">
        <f t="shared" si="2"/>
        <v>0</v>
      </c>
      <c r="Z52" s="122">
        <f t="shared" si="2"/>
        <v>0</v>
      </c>
      <c r="AA52" s="122">
        <f>IF($I52="B1","",SUM(O52:Z52))</f>
        <v>0</v>
      </c>
      <c r="AB52" s="123" t="str">
        <f>IF(AA52=0,"",IFERROR(AA52/AA$19,""))</f>
        <v/>
      </c>
      <c r="AC52" s="11"/>
      <c r="AD52" s="122">
        <f>AD48-AD50</f>
        <v>0</v>
      </c>
      <c r="AE52" s="123" t="str">
        <f>IF(AD52=0,"",IFERROR(AD52/AD$19,""))</f>
        <v/>
      </c>
      <c r="AF52" s="124">
        <f>IF(AND($AA52="",AD52=""),"",$AA52-AD52)</f>
        <v>0</v>
      </c>
      <c r="AG52" s="122">
        <f>AG48-AG50</f>
        <v>0</v>
      </c>
      <c r="AH52" s="123" t="str">
        <f>IF(AG52=0,"",IFERROR(AG52/AG$19,""))</f>
        <v/>
      </c>
      <c r="AI52" s="124">
        <f>IF(AND($AA52="",AG52=""),"",$AA52-AG52)</f>
        <v>0</v>
      </c>
      <c r="AJ52" s="415">
        <f>IFERROR(AA52/AA$20,0)</f>
        <v>0</v>
      </c>
      <c r="AK52" s="416">
        <f>IFERROR(AD52/AD$20,0)</f>
        <v>0</v>
      </c>
      <c r="AL52" s="417">
        <f>IFERROR(AG52/AG$20,0)</f>
        <v>0</v>
      </c>
      <c r="AM52" s="418">
        <f>+IFERROR(ROUND(($AB52-AE52)*100,2)&amp;" pts.",0)</f>
        <v>0</v>
      </c>
      <c r="AN52" s="540">
        <f>+IFERROR(ROUND(($AB52-AH52)*100,2)&amp;" pts.",0)</f>
        <v>0</v>
      </c>
      <c r="AO52" s="11"/>
    </row>
    <row r="53" spans="1:41" ht="15.75" thickTop="1" x14ac:dyDescent="0.25">
      <c r="A53" s="61" t="s">
        <v>7</v>
      </c>
      <c r="B53" s="62"/>
      <c r="C53" s="204"/>
      <c r="D53" s="11"/>
      <c r="E53" s="11"/>
      <c r="F53" s="11"/>
      <c r="G53" s="11"/>
      <c r="H53" s="11"/>
      <c r="I53" s="55"/>
      <c r="J53" s="55"/>
      <c r="K53" s="11"/>
      <c r="L53" s="55"/>
      <c r="M53" s="55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</row>
    <row r="54" spans="1:41" x14ac:dyDescent="0.25">
      <c r="A54" s="61" t="s">
        <v>47</v>
      </c>
      <c r="B54" s="62" t="str">
        <f>IF(_epmOfflineCondition_,"'Dining'!$A$68:$B$89",_xll.EVRNG($A$68:$B$89))</f>
        <v>'Dining'!$A$68:$B$89</v>
      </c>
      <c r="C54" s="204"/>
      <c r="D54" s="11"/>
      <c r="E54" s="11"/>
      <c r="F54" s="11"/>
      <c r="G54" s="11"/>
      <c r="H54" s="11"/>
      <c r="I54" s="55"/>
      <c r="J54" s="55"/>
      <c r="K54" s="11"/>
      <c r="L54" s="55"/>
      <c r="M54" s="55"/>
      <c r="N54" s="101" t="s">
        <v>595</v>
      </c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</row>
    <row r="55" spans="1:41" hidden="1" x14ac:dyDescent="0.25">
      <c r="A55" s="61" t="s">
        <v>8</v>
      </c>
      <c r="B55" s="62"/>
      <c r="C55" s="204"/>
      <c r="D55" s="11"/>
      <c r="E55" s="11"/>
      <c r="F55" s="11"/>
      <c r="G55" s="11"/>
      <c r="H55" s="181" t="s">
        <v>668</v>
      </c>
      <c r="I55" s="118" t="str">
        <f>IF(_epmOfflineCondition_,"",_xll.EVPRO($B$1,$H55,"STYLE"))</f>
        <v/>
      </c>
      <c r="J55" s="118" t="str">
        <f>IF(_epmOfflineCondition_,"",_xll.EVPRO($B$1,$H55,"CALC"))</f>
        <v/>
      </c>
      <c r="K55" s="86"/>
      <c r="L55" s="86"/>
      <c r="M55" s="86"/>
      <c r="N55" s="86" t="str">
        <f>IF(_epmOfflineCondition_,"",IF(_xll.EVDES(H55,$B$1)="#NODATA","",_xll.EVDES(H55,$B$1)))</f>
        <v/>
      </c>
      <c r="O55" s="134"/>
      <c r="P55" s="134"/>
      <c r="Q55" s="134"/>
      <c r="R55" s="134"/>
      <c r="S55" s="134"/>
      <c r="T55" s="134"/>
      <c r="U55" s="134"/>
      <c r="V55" s="134"/>
      <c r="W55" s="134"/>
      <c r="X55" s="134"/>
      <c r="Y55" s="134"/>
      <c r="Z55" s="134"/>
      <c r="AA55" s="134">
        <f>IF($I55="B1","",SUM(O55:Z55))</f>
        <v>0</v>
      </c>
      <c r="AB55" s="138" t="str">
        <f>IF(AA55=0,"",IFERROR(AA55/AA$19,""))</f>
        <v/>
      </c>
      <c r="AC55" s="136"/>
      <c r="AD55" s="134"/>
      <c r="AE55" s="138" t="str">
        <f>IF(AD55=0,"",IFERROR(AD55/AD$19,""))</f>
        <v/>
      </c>
      <c r="AF55" s="137">
        <f>IF(AND($AA55="",AD55=""),"",$AA55-AD55)</f>
        <v>0</v>
      </c>
      <c r="AG55" s="134"/>
      <c r="AH55" s="138" t="str">
        <f>IF(AG55=0,"",IFERROR(AG55/AG$19,""))</f>
        <v/>
      </c>
      <c r="AI55" s="137">
        <f>IF(AND($AA55="",AG55=""),"",$AA55-AG55)</f>
        <v>0</v>
      </c>
      <c r="AJ55" s="458">
        <f>IFERROR(AA55/AA$20,0)</f>
        <v>0</v>
      </c>
      <c r="AK55" s="459">
        <f>IFERROR(AD55/AD$20,0)</f>
        <v>0</v>
      </c>
      <c r="AL55" s="460">
        <f>IFERROR(AG55/AG$20,0)</f>
        <v>0</v>
      </c>
      <c r="AM55" s="461">
        <f>+IFERROR(ROUND(($AB55-AE55)*100,2)&amp;" pts.",0)</f>
        <v>0</v>
      </c>
      <c r="AN55" s="462">
        <f>+IFERROR(ROUND(($AB55-AH55)*100,2)&amp;" pts.",0)</f>
        <v>0</v>
      </c>
      <c r="AO55" s="11"/>
    </row>
    <row r="56" spans="1:41" hidden="1" x14ac:dyDescent="0.25">
      <c r="A56" s="11"/>
      <c r="B56" s="11"/>
      <c r="C56" s="204"/>
      <c r="D56" s="11"/>
      <c r="E56" s="11"/>
      <c r="F56" s="11"/>
      <c r="G56" s="11"/>
      <c r="H56" s="181"/>
      <c r="I56" s="118" t="str">
        <f>IF(_epmOfflineCondition_,"",_xll.EVPRO($B$1,$H56,"STYLE"))</f>
        <v/>
      </c>
      <c r="J56" s="118" t="str">
        <f>IF(_epmOfflineCondition_,"",_xll.EVPRO($B$1,$H56,"CALC"))</f>
        <v/>
      </c>
      <c r="K56" s="86"/>
      <c r="L56" s="86"/>
      <c r="M56" s="86"/>
      <c r="N56" s="86" t="str">
        <f>IF(_epmOfflineCondition_,"",IF(_xll.EVDES(H56,$B$1)="#NODATA","",_xll.EVDES(H56,$B$1)))</f>
        <v/>
      </c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/>
      <c r="Z56" s="134"/>
      <c r="AA56" s="134">
        <f>IF($I56="B1","",SUM(O56:Z56))</f>
        <v>0</v>
      </c>
      <c r="AB56" s="138" t="str">
        <f>IF(AA56=0,"",IFERROR(AA56/AA$19,""))</f>
        <v/>
      </c>
      <c r="AC56" s="136"/>
      <c r="AD56" s="134"/>
      <c r="AE56" s="138" t="str">
        <f>IF(AD56=0,"",IFERROR(AD56/AD$19,""))</f>
        <v/>
      </c>
      <c r="AF56" s="137">
        <f>IF(AND($AA56="",AD56=""),"",$AA56-AD56)</f>
        <v>0</v>
      </c>
      <c r="AG56" s="134"/>
      <c r="AH56" s="138" t="str">
        <f>IF(AG56=0,"",IFERROR(AG56/AG$19,""))</f>
        <v/>
      </c>
      <c r="AI56" s="137">
        <f>IF(AND($AA56="",AG56=""),"",$AA56-AG56)</f>
        <v>0</v>
      </c>
      <c r="AJ56" s="458">
        <f>IFERROR(AA56/AA$20,0)</f>
        <v>0</v>
      </c>
      <c r="AK56" s="459">
        <f>IFERROR(AD56/AD$20,0)</f>
        <v>0</v>
      </c>
      <c r="AL56" s="460">
        <f>IFERROR(AG56/AG$20,0)</f>
        <v>0</v>
      </c>
      <c r="AM56" s="461">
        <f>+IFERROR(ROUND(($AB56-AE56)*100,2)&amp;" pts.",0)</f>
        <v>0</v>
      </c>
      <c r="AN56" s="462">
        <f>+IFERROR(ROUND(($AB56-AH56)*100,2)&amp;" pts.",0)</f>
        <v>0</v>
      </c>
      <c r="AO56" s="11"/>
    </row>
    <row r="57" spans="1:41" x14ac:dyDescent="0.25">
      <c r="A57" s="57" t="s">
        <v>9</v>
      </c>
      <c r="B57" s="58" t="s">
        <v>10</v>
      </c>
      <c r="C57" s="204"/>
      <c r="D57" s="11"/>
      <c r="E57" s="11"/>
      <c r="F57" s="11"/>
      <c r="G57" s="11"/>
      <c r="H57" s="55"/>
      <c r="I57" s="55"/>
      <c r="J57" s="11"/>
      <c r="K57" s="11"/>
      <c r="L57" s="55"/>
      <c r="M57" s="55"/>
      <c r="N57" s="102" t="s">
        <v>555</v>
      </c>
      <c r="O57" s="108">
        <f t="shared" ref="O57:Z57" si="3">SUM(O55:O56)</f>
        <v>0</v>
      </c>
      <c r="P57" s="108">
        <f t="shared" si="3"/>
        <v>0</v>
      </c>
      <c r="Q57" s="108">
        <f t="shared" si="3"/>
        <v>0</v>
      </c>
      <c r="R57" s="108">
        <f t="shared" si="3"/>
        <v>0</v>
      </c>
      <c r="S57" s="108">
        <f t="shared" si="3"/>
        <v>0</v>
      </c>
      <c r="T57" s="108">
        <f t="shared" si="3"/>
        <v>0</v>
      </c>
      <c r="U57" s="108">
        <f t="shared" si="3"/>
        <v>0</v>
      </c>
      <c r="V57" s="108">
        <f t="shared" si="3"/>
        <v>0</v>
      </c>
      <c r="W57" s="108">
        <f t="shared" si="3"/>
        <v>0</v>
      </c>
      <c r="X57" s="108">
        <f t="shared" si="3"/>
        <v>0</v>
      </c>
      <c r="Y57" s="108">
        <f t="shared" si="3"/>
        <v>0</v>
      </c>
      <c r="Z57" s="108">
        <f t="shared" si="3"/>
        <v>0</v>
      </c>
      <c r="AA57" s="108">
        <f>IF($I57="B1","",SUM(O57:Z57))</f>
        <v>0</v>
      </c>
      <c r="AB57" s="109" t="str">
        <f>IF(AA57=0,"",IFERROR(AA57/AA$19,""))</f>
        <v/>
      </c>
      <c r="AC57" s="11"/>
      <c r="AD57" s="108">
        <f>SUM(AD55:AD56)</f>
        <v>0</v>
      </c>
      <c r="AE57" s="109" t="str">
        <f>IF(AD57=0,"",IFERROR(AD57/AD$19,""))</f>
        <v/>
      </c>
      <c r="AF57" s="110">
        <f>IF(AND($AA57="",AD57=""),"",$AA57-AD57)</f>
        <v>0</v>
      </c>
      <c r="AG57" s="108">
        <f>SUM(AG55:AG56)</f>
        <v>0</v>
      </c>
      <c r="AH57" s="109" t="str">
        <f>IF(AG57=0,"",IFERROR(AG57/AG$19,""))</f>
        <v/>
      </c>
      <c r="AI57" s="110">
        <f>IF(AND($AA57="",AG57=""),"",$AA57-AG57)</f>
        <v>0</v>
      </c>
      <c r="AJ57" s="411">
        <f>IFERROR(AA57/AA$20,0)</f>
        <v>0</v>
      </c>
      <c r="AK57" s="412">
        <f>IFERROR(AD57/AD$20,0)</f>
        <v>0</v>
      </c>
      <c r="AL57" s="413">
        <f>IFERROR(AG57/AG$20,0)</f>
        <v>0</v>
      </c>
      <c r="AM57" s="414">
        <f>+IFERROR(ROUND(($AB57-AE57)*100,2)&amp;" pts.",0)</f>
        <v>0</v>
      </c>
      <c r="AN57" s="538">
        <f>+IFERROR(ROUND(($AB57-AH57)*100,2)&amp;" pts.",0)</f>
        <v>0</v>
      </c>
      <c r="AO57" s="11"/>
    </row>
    <row r="58" spans="1:41" x14ac:dyDescent="0.25">
      <c r="A58" s="61" t="s">
        <v>11</v>
      </c>
      <c r="B58" s="62" t="s">
        <v>21</v>
      </c>
      <c r="C58" s="204"/>
      <c r="D58" s="11"/>
      <c r="E58" s="11"/>
      <c r="F58" s="11"/>
      <c r="G58" s="11"/>
      <c r="H58" s="55"/>
      <c r="I58" s="55"/>
      <c r="J58" s="11"/>
      <c r="K58" s="11"/>
      <c r="L58" s="55"/>
      <c r="M58" s="55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</row>
    <row r="59" spans="1:41" ht="15.75" thickBot="1" x14ac:dyDescent="0.3">
      <c r="A59" s="61" t="s">
        <v>12</v>
      </c>
      <c r="B59" s="62" t="s">
        <v>22</v>
      </c>
      <c r="C59" s="11"/>
      <c r="D59" s="11"/>
      <c r="E59" s="11"/>
      <c r="F59" s="11"/>
      <c r="G59" s="11"/>
      <c r="H59" s="55"/>
      <c r="I59" s="55"/>
      <c r="J59" s="11"/>
      <c r="K59" s="11"/>
      <c r="L59" s="55"/>
      <c r="M59" s="55"/>
      <c r="N59" s="102" t="s">
        <v>558</v>
      </c>
      <c r="O59" s="122">
        <f t="shared" ref="O59:Z59" si="4">O52+O57</f>
        <v>0</v>
      </c>
      <c r="P59" s="122">
        <f t="shared" si="4"/>
        <v>0</v>
      </c>
      <c r="Q59" s="122">
        <f t="shared" si="4"/>
        <v>0</v>
      </c>
      <c r="R59" s="122">
        <f t="shared" si="4"/>
        <v>0</v>
      </c>
      <c r="S59" s="122">
        <f t="shared" si="4"/>
        <v>0</v>
      </c>
      <c r="T59" s="122">
        <f t="shared" si="4"/>
        <v>0</v>
      </c>
      <c r="U59" s="122">
        <f t="shared" si="4"/>
        <v>0</v>
      </c>
      <c r="V59" s="122">
        <f t="shared" si="4"/>
        <v>0</v>
      </c>
      <c r="W59" s="122">
        <f t="shared" si="4"/>
        <v>0</v>
      </c>
      <c r="X59" s="122">
        <f t="shared" si="4"/>
        <v>0</v>
      </c>
      <c r="Y59" s="122">
        <f t="shared" si="4"/>
        <v>0</v>
      </c>
      <c r="Z59" s="122">
        <f t="shared" si="4"/>
        <v>0</v>
      </c>
      <c r="AA59" s="122">
        <f>IF($I59="B1","",SUM(O59:Z59))</f>
        <v>0</v>
      </c>
      <c r="AB59" s="123" t="str">
        <f>IF(AA59=0,"",IFERROR(AA59/AA$19,""))</f>
        <v/>
      </c>
      <c r="AC59" s="11"/>
      <c r="AD59" s="122">
        <f>AD52+AD57</f>
        <v>0</v>
      </c>
      <c r="AE59" s="123" t="str">
        <f>IF(AD59=0,"",IFERROR(AD59/AD$19,""))</f>
        <v/>
      </c>
      <c r="AF59" s="124">
        <f>IF(AND($AA59="",AD59=""),"",$AA59-AD59)</f>
        <v>0</v>
      </c>
      <c r="AG59" s="122">
        <f>AG52+AG57</f>
        <v>0</v>
      </c>
      <c r="AH59" s="123" t="str">
        <f>IF(AG59=0,"",IFERROR(AG59/AG$19,""))</f>
        <v/>
      </c>
      <c r="AI59" s="124">
        <f>IF(AND($AA59="",AG59=""),"",$AA59-AG59)</f>
        <v>0</v>
      </c>
      <c r="AJ59" s="11"/>
      <c r="AK59" s="11"/>
      <c r="AL59" s="11"/>
      <c r="AM59" s="11"/>
      <c r="AN59" s="11"/>
      <c r="AO59" s="11"/>
    </row>
    <row r="60" spans="1:41" ht="15.75" thickTop="1" x14ac:dyDescent="0.25">
      <c r="A60" s="61" t="s">
        <v>13</v>
      </c>
      <c r="B60" s="62" t="s">
        <v>594</v>
      </c>
      <c r="C60" s="11"/>
      <c r="D60" s="11"/>
      <c r="E60" s="11"/>
      <c r="F60" s="11"/>
      <c r="G60" s="11"/>
      <c r="H60" s="55"/>
      <c r="I60" s="55"/>
      <c r="J60" s="11"/>
      <c r="K60" s="11"/>
      <c r="L60" s="55"/>
      <c r="M60" s="55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</row>
    <row r="61" spans="1:41" x14ac:dyDescent="0.25">
      <c r="A61" s="61" t="s">
        <v>14</v>
      </c>
      <c r="B61" s="582"/>
      <c r="C61" s="11"/>
      <c r="D61" s="11"/>
      <c r="E61" s="11"/>
      <c r="F61" s="11"/>
      <c r="G61" s="11"/>
      <c r="H61" s="55"/>
      <c r="I61" s="55"/>
      <c r="J61" s="11"/>
      <c r="K61" s="11"/>
      <c r="L61" s="55"/>
      <c r="M61" s="55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</row>
    <row r="62" spans="1:41" x14ac:dyDescent="0.25">
      <c r="A62" s="61" t="s">
        <v>15</v>
      </c>
      <c r="B62" s="62"/>
      <c r="C62" s="11"/>
      <c r="D62" s="11"/>
      <c r="E62" s="11"/>
      <c r="F62" s="11"/>
      <c r="G62" s="11"/>
      <c r="H62" s="84" t="s">
        <v>56</v>
      </c>
      <c r="I62" s="132" t="str">
        <f>IF(_epmOfflineCondition_,"T2",_xll.EVPRO($B$1,$H62,"STYLE"))</f>
        <v>T2</v>
      </c>
      <c r="J62" s="132" t="str">
        <f>IF(_epmOfflineCondition_,"Y",_xll.EVPRO($B$1,$H62,"CALC"))</f>
        <v>Y</v>
      </c>
      <c r="K62" s="102"/>
      <c r="L62" s="55"/>
      <c r="M62" s="55"/>
      <c r="N62" s="102" t="s">
        <v>667</v>
      </c>
      <c r="O62" s="205">
        <f>IF(_epmOfflineCondition_,0,_xll.EVGTS($B$1,1,$B$3,$B$5,$B$7,$B$9,O$16,O$17,O$18,$B$6,$H62))</f>
        <v>0</v>
      </c>
      <c r="P62" s="205">
        <f>IF(_epmOfflineCondition_,0,_xll.EVGTS($B$1,1,$B$3,$B$5,$B$7,$B$9,P$16,P$17,P$18,$B$6,$H62))</f>
        <v>0</v>
      </c>
      <c r="Q62" s="205">
        <f>IF(_epmOfflineCondition_,0,_xll.EVGTS($B$1,1,$B$3,$B$5,$B$7,$B$9,Q$16,Q$17,Q$18,$B$6,$H62))</f>
        <v>0</v>
      </c>
      <c r="R62" s="205">
        <f>IF(_epmOfflineCondition_,0,_xll.EVGTS($B$1,1,$B$3,$B$5,$B$7,$B$9,R$16,R$17,R$18,$B$6,$H62))</f>
        <v>0</v>
      </c>
      <c r="S62" s="205">
        <f>IF(_epmOfflineCondition_,0,_xll.EVGTS($B$1,1,$B$3,$B$5,$B$7,$B$9,S$16,S$17,S$18,$B$6,$H62))</f>
        <v>0</v>
      </c>
      <c r="T62" s="205">
        <f>IF(_epmOfflineCondition_,0,_xll.EVGTS($B$1,1,$B$3,$B$5,$B$7,$B$9,T$16,T$17,T$18,$B$6,$H62))</f>
        <v>0</v>
      </c>
      <c r="U62" s="205">
        <f>IF(_epmOfflineCondition_,0,_xll.EVGTS($B$1,1,$B$3,$B$5,$B$7,$B$9,U$16,U$17,U$18,$B$6,$H62))</f>
        <v>0</v>
      </c>
      <c r="V62" s="205">
        <f>IF(_epmOfflineCondition_,0,_xll.EVGTS($B$1,1,$B$3,$B$5,$B$7,$B$9,V$16,V$17,V$18,$B$6,$H62))</f>
        <v>0</v>
      </c>
      <c r="W62" s="205">
        <f>IF(_epmOfflineCondition_,0,_xll.EVGTS($B$1,1,$B$3,$B$5,$B$7,$B$9,W$16,W$17,W$18,$B$6,$H62))</f>
        <v>0</v>
      </c>
      <c r="X62" s="205">
        <f>IF(_epmOfflineCondition_,0,_xll.EVGTS($B$1,1,$B$3,$B$5,$B$7,$B$9,X$16,X$17,X$18,$B$6,$H62))</f>
        <v>0</v>
      </c>
      <c r="Y62" s="205">
        <f>IF(_epmOfflineCondition_,0,_xll.EVGTS($B$1,1,$B$3,$B$5,$B$7,$B$9,Y$16,Y$17,Y$18,$B$6,$H62))</f>
        <v>0</v>
      </c>
      <c r="Z62" s="205">
        <f>IF(_epmOfflineCondition_,0,_xll.EVGTS($B$1,1,$B$3,$B$5,$B$7,$B$9,Z$16,Z$17,Z$18,$B$6,$H62))</f>
        <v>0</v>
      </c>
      <c r="AA62" s="87">
        <f>IF($I62="B1","",SUM(O62:Z62))</f>
        <v>0</v>
      </c>
      <c r="AB62" s="205"/>
      <c r="AC62" s="11"/>
      <c r="AD62" s="205">
        <f>IF(_epmOfflineCondition_,0,_xll.EVGTS($B$1,1,$B$3,$B$5,$B$7,$B$9,AD$16,AD$17,AD$18,$B$6,$H62))</f>
        <v>0</v>
      </c>
      <c r="AE62" s="205"/>
      <c r="AF62" s="205"/>
      <c r="AG62" s="205">
        <f>IF(_epmOfflineCondition_,0,_xll.EVGTS($B$1,1,$B$3,$B$5,$B$7,$B$9,AG$16,AG$17,AG$18,$B$6,$H62))</f>
        <v>0</v>
      </c>
      <c r="AH62" s="205"/>
      <c r="AI62" s="205"/>
      <c r="AJ62" s="11"/>
      <c r="AK62" s="11"/>
      <c r="AL62" s="11"/>
      <c r="AM62" s="11"/>
      <c r="AN62" s="11"/>
      <c r="AO62" s="11"/>
    </row>
    <row r="63" spans="1:41" x14ac:dyDescent="0.25">
      <c r="A63" s="61" t="s">
        <v>16</v>
      </c>
      <c r="B63" s="62" t="s">
        <v>78</v>
      </c>
      <c r="C63" s="11"/>
      <c r="D63" s="11"/>
      <c r="E63" s="11"/>
      <c r="F63" s="11"/>
      <c r="G63" s="11"/>
      <c r="H63" s="55"/>
      <c r="I63" s="55"/>
      <c r="J63" s="11"/>
      <c r="K63" s="11"/>
      <c r="L63" s="55"/>
      <c r="M63" s="55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</row>
    <row r="64" spans="1:41" x14ac:dyDescent="0.25">
      <c r="A64" s="61" t="s">
        <v>17</v>
      </c>
      <c r="B64" s="62"/>
      <c r="C64" s="11"/>
      <c r="D64" s="11"/>
      <c r="E64" s="11"/>
      <c r="F64" s="11"/>
      <c r="G64" s="11"/>
      <c r="H64" s="55"/>
      <c r="I64" s="55"/>
      <c r="J64" s="11"/>
      <c r="K64" s="11"/>
      <c r="L64" s="55"/>
      <c r="M64" s="55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</row>
    <row r="65" spans="1:41" x14ac:dyDescent="0.25">
      <c r="A65" s="11"/>
      <c r="B65" s="11"/>
      <c r="C65" s="11"/>
      <c r="D65" s="11"/>
      <c r="E65" s="11"/>
      <c r="F65" s="11"/>
      <c r="G65" s="11"/>
      <c r="H65" s="55"/>
      <c r="I65" s="55"/>
      <c r="J65" s="11"/>
      <c r="K65" s="11"/>
      <c r="L65" s="55"/>
      <c r="M65" s="55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</row>
    <row r="66" spans="1:41" x14ac:dyDescent="0.25">
      <c r="A66" s="11"/>
      <c r="B66" s="11"/>
      <c r="C66" s="11"/>
      <c r="D66" s="11"/>
      <c r="E66" s="11"/>
      <c r="F66" s="11"/>
      <c r="G66" s="11"/>
      <c r="H66" s="55"/>
      <c r="I66" s="55"/>
      <c r="J66" s="11"/>
      <c r="K66" s="11"/>
      <c r="L66" s="55"/>
      <c r="M66" s="55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</row>
    <row r="67" spans="1:41" x14ac:dyDescent="0.25">
      <c r="A67" s="57" t="s">
        <v>23</v>
      </c>
      <c r="B67" s="58" t="s">
        <v>24</v>
      </c>
      <c r="C67" s="11"/>
      <c r="D67" s="11"/>
      <c r="E67" s="11"/>
      <c r="F67" s="11"/>
      <c r="G67" s="11"/>
      <c r="H67" s="55"/>
      <c r="I67" s="55"/>
      <c r="J67" s="11"/>
      <c r="K67" s="11"/>
      <c r="L67" s="55"/>
      <c r="M67" s="55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</row>
    <row r="68" spans="1:41" x14ac:dyDescent="0.25">
      <c r="A68" s="61" t="s">
        <v>25</v>
      </c>
      <c r="B68" s="62"/>
      <c r="C68" s="11"/>
      <c r="D68" s="11"/>
      <c r="E68" s="11"/>
      <c r="F68" s="11"/>
      <c r="G68" s="11"/>
      <c r="H68" s="11"/>
      <c r="I68" s="55"/>
      <c r="J68" s="55"/>
      <c r="K68" s="11"/>
      <c r="L68" s="55"/>
      <c r="M68" s="55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</row>
    <row r="69" spans="1:41" x14ac:dyDescent="0.25">
      <c r="A69" s="61" t="s">
        <v>26</v>
      </c>
      <c r="B69" s="62"/>
      <c r="C69" s="11"/>
      <c r="D69" s="11"/>
      <c r="E69" s="11"/>
      <c r="F69" s="11"/>
      <c r="G69" s="11"/>
      <c r="H69" s="11"/>
      <c r="I69" s="55"/>
      <c r="J69" s="55"/>
      <c r="K69" s="11"/>
      <c r="L69" s="55"/>
      <c r="M69" s="55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</row>
    <row r="70" spans="1:41" x14ac:dyDescent="0.25">
      <c r="A70" s="61" t="s">
        <v>27</v>
      </c>
      <c r="B70" s="62"/>
      <c r="C70" s="11"/>
      <c r="D70" s="11"/>
      <c r="E70" s="11"/>
      <c r="F70" s="11"/>
      <c r="G70" s="11"/>
      <c r="H70" s="11"/>
      <c r="I70" s="55"/>
      <c r="J70" s="55"/>
      <c r="K70" s="11"/>
      <c r="L70" s="55"/>
      <c r="M70" s="55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</row>
    <row r="71" spans="1:41" x14ac:dyDescent="0.25">
      <c r="A71" s="61" t="s">
        <v>28</v>
      </c>
      <c r="B71" s="62"/>
      <c r="C71" s="11"/>
      <c r="D71" s="11"/>
      <c r="E71" s="11"/>
      <c r="F71" s="11"/>
      <c r="G71" s="11"/>
      <c r="H71" s="11"/>
      <c r="I71" s="55"/>
      <c r="J71" s="55"/>
      <c r="K71" s="11"/>
      <c r="L71" s="55"/>
      <c r="M71" s="55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</row>
    <row r="72" spans="1:41" x14ac:dyDescent="0.25">
      <c r="A72" s="61" t="s">
        <v>29</v>
      </c>
      <c r="B72" s="62"/>
      <c r="C72" s="11"/>
      <c r="D72" s="11"/>
      <c r="E72" s="11"/>
      <c r="F72" s="11"/>
      <c r="G72" s="11"/>
      <c r="H72" s="11"/>
      <c r="I72" s="55"/>
      <c r="J72" s="55"/>
      <c r="K72" s="11"/>
      <c r="L72" s="55"/>
      <c r="M72" s="55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</row>
    <row r="73" spans="1:41" x14ac:dyDescent="0.25">
      <c r="A73" s="61" t="s">
        <v>30</v>
      </c>
      <c r="B73" s="62" t="s">
        <v>78</v>
      </c>
      <c r="C73" s="11"/>
      <c r="D73" s="11"/>
      <c r="E73" s="11"/>
      <c r="F73" s="11"/>
      <c r="G73" s="11"/>
      <c r="H73" s="11"/>
      <c r="I73" s="55"/>
      <c r="J73" s="55"/>
      <c r="K73" s="11"/>
      <c r="L73" s="55"/>
      <c r="M73" s="55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</row>
    <row r="74" spans="1:41" x14ac:dyDescent="0.25">
      <c r="A74" s="61" t="s">
        <v>31</v>
      </c>
      <c r="B74" s="62" t="s">
        <v>78</v>
      </c>
      <c r="C74" s="11"/>
      <c r="D74" s="11"/>
      <c r="E74" s="11"/>
      <c r="F74" s="11"/>
      <c r="G74" s="11"/>
      <c r="H74" s="11"/>
      <c r="I74" s="55"/>
      <c r="J74" s="55"/>
      <c r="K74" s="11"/>
      <c r="L74" s="55"/>
      <c r="M74" s="55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</row>
    <row r="75" spans="1:41" x14ac:dyDescent="0.25">
      <c r="A75" s="61" t="s">
        <v>32</v>
      </c>
      <c r="B75" s="62"/>
      <c r="C75" s="11"/>
      <c r="D75" s="11"/>
      <c r="E75" s="11"/>
      <c r="F75" s="11"/>
      <c r="G75" s="11"/>
      <c r="H75" s="11"/>
      <c r="I75" s="55"/>
      <c r="J75" s="55"/>
      <c r="K75" s="11"/>
      <c r="L75" s="55"/>
      <c r="M75" s="55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</row>
    <row r="76" spans="1:41" x14ac:dyDescent="0.25">
      <c r="A76" s="61" t="s">
        <v>33</v>
      </c>
      <c r="B76" s="62"/>
      <c r="C76" s="11"/>
      <c r="D76" s="11"/>
      <c r="E76" s="11"/>
      <c r="F76" s="11"/>
      <c r="G76" s="11"/>
      <c r="H76" s="11"/>
      <c r="I76" s="55"/>
      <c r="J76" s="55"/>
      <c r="K76" s="11"/>
      <c r="L76" s="55"/>
      <c r="M76" s="55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</row>
    <row r="77" spans="1:41" x14ac:dyDescent="0.25">
      <c r="A77" s="61" t="s">
        <v>34</v>
      </c>
      <c r="B77" s="62"/>
      <c r="C77" s="11"/>
      <c r="D77" s="11"/>
      <c r="E77" s="11"/>
      <c r="F77" s="11"/>
      <c r="G77" s="11"/>
      <c r="H77" s="11"/>
      <c r="I77" s="55"/>
      <c r="J77" s="55"/>
      <c r="K77" s="11"/>
      <c r="L77" s="55"/>
      <c r="M77" s="55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</row>
    <row r="78" spans="1:41" x14ac:dyDescent="0.25">
      <c r="A78" s="61" t="s">
        <v>35</v>
      </c>
      <c r="B78" s="62"/>
      <c r="C78" s="11"/>
      <c r="D78" s="11"/>
      <c r="E78" s="11"/>
      <c r="F78" s="11"/>
      <c r="G78" s="11"/>
      <c r="H78" s="11"/>
      <c r="I78" s="55"/>
      <c r="J78" s="55"/>
      <c r="K78" s="11"/>
      <c r="L78" s="55"/>
      <c r="M78" s="55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  <row r="79" spans="1:41" x14ac:dyDescent="0.25">
      <c r="A79" s="61" t="s">
        <v>36</v>
      </c>
      <c r="B79" s="62"/>
      <c r="C79" s="204"/>
      <c r="D79" s="11"/>
      <c r="E79" s="11"/>
      <c r="F79" s="11"/>
      <c r="G79" s="11"/>
      <c r="H79" s="11"/>
      <c r="I79" s="55"/>
      <c r="J79" s="55"/>
      <c r="K79" s="11"/>
      <c r="L79" s="55"/>
      <c r="M79" s="55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</row>
    <row r="80" spans="1:41" x14ac:dyDescent="0.25">
      <c r="A80" s="61" t="s">
        <v>37</v>
      </c>
      <c r="B80" s="62"/>
      <c r="C80" s="11"/>
      <c r="D80" s="11"/>
      <c r="E80" s="11"/>
      <c r="F80" s="11"/>
      <c r="G80" s="11"/>
      <c r="H80" s="11"/>
      <c r="I80" s="55"/>
      <c r="J80" s="55"/>
      <c r="K80" s="11"/>
      <c r="L80" s="55"/>
      <c r="M80" s="55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x14ac:dyDescent="0.25">
      <c r="A81" s="61" t="s">
        <v>38</v>
      </c>
      <c r="B81" s="62"/>
      <c r="C81" s="11"/>
      <c r="D81" s="11"/>
      <c r="E81" s="11"/>
      <c r="F81" s="11"/>
      <c r="G81" s="11"/>
      <c r="H81" s="11"/>
      <c r="I81" s="55"/>
      <c r="J81" s="55"/>
      <c r="K81" s="11"/>
      <c r="L81" s="55"/>
      <c r="M81" s="55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</row>
    <row r="82" spans="1:41" x14ac:dyDescent="0.25">
      <c r="A82" s="61" t="s">
        <v>39</v>
      </c>
      <c r="B82" s="62"/>
      <c r="C82" s="11"/>
      <c r="D82" s="11"/>
      <c r="E82" s="11"/>
      <c r="F82" s="11"/>
      <c r="G82" s="11"/>
      <c r="H82" s="11"/>
      <c r="I82" s="55"/>
      <c r="J82" s="55"/>
      <c r="K82" s="11"/>
      <c r="L82" s="55"/>
      <c r="M82" s="55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x14ac:dyDescent="0.25">
      <c r="A83" s="61" t="s">
        <v>40</v>
      </c>
      <c r="B83" s="62"/>
      <c r="C83" s="11"/>
      <c r="D83" s="11"/>
      <c r="E83" s="11"/>
      <c r="F83" s="11"/>
      <c r="G83" s="11"/>
      <c r="H83" s="11"/>
      <c r="I83" s="55"/>
      <c r="J83" s="55"/>
      <c r="K83" s="11"/>
      <c r="L83" s="55"/>
      <c r="M83" s="55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x14ac:dyDescent="0.25">
      <c r="A84" s="61" t="s">
        <v>41</v>
      </c>
      <c r="B84" s="62"/>
      <c r="C84" s="11"/>
      <c r="D84" s="11"/>
      <c r="E84" s="11"/>
      <c r="F84" s="11"/>
      <c r="G84" s="11"/>
      <c r="H84" s="11"/>
      <c r="I84" s="55"/>
      <c r="J84" s="55"/>
      <c r="K84" s="11"/>
      <c r="L84" s="55"/>
      <c r="M84" s="55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x14ac:dyDescent="0.25">
      <c r="A85" s="61" t="s">
        <v>42</v>
      </c>
      <c r="B85" s="62"/>
      <c r="C85" s="11"/>
      <c r="D85" s="11"/>
      <c r="E85" s="11"/>
      <c r="F85" s="11"/>
      <c r="G85" s="11"/>
      <c r="H85" s="11"/>
      <c r="I85" s="55"/>
      <c r="J85" s="55"/>
      <c r="K85" s="11"/>
      <c r="L85" s="55"/>
      <c r="M85" s="55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x14ac:dyDescent="0.25">
      <c r="A86" s="61" t="s">
        <v>43</v>
      </c>
      <c r="B86" s="62"/>
      <c r="C86" s="11"/>
      <c r="D86" s="11"/>
      <c r="E86" s="11"/>
      <c r="F86" s="11"/>
      <c r="G86" s="11"/>
      <c r="H86" s="11"/>
      <c r="I86" s="55"/>
      <c r="J86" s="55"/>
      <c r="K86" s="11"/>
      <c r="L86" s="55"/>
      <c r="M86" s="55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x14ac:dyDescent="0.25">
      <c r="A87" s="61" t="s">
        <v>44</v>
      </c>
      <c r="B87" s="62"/>
      <c r="C87" s="11"/>
      <c r="D87" s="11"/>
      <c r="E87" s="11"/>
      <c r="F87" s="11"/>
      <c r="G87" s="11"/>
      <c r="H87" s="11"/>
      <c r="I87" s="55"/>
      <c r="J87" s="55"/>
      <c r="K87" s="11"/>
      <c r="L87" s="55"/>
      <c r="M87" s="55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x14ac:dyDescent="0.25">
      <c r="A88" s="61" t="s">
        <v>45</v>
      </c>
      <c r="B88" s="62"/>
      <c r="C88" s="11"/>
      <c r="D88" s="11"/>
      <c r="E88" s="11"/>
      <c r="F88" s="11"/>
      <c r="G88" s="11"/>
      <c r="H88" s="11"/>
      <c r="I88" s="55"/>
      <c r="J88" s="55"/>
      <c r="K88" s="11"/>
      <c r="L88" s="55"/>
      <c r="M88" s="55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x14ac:dyDescent="0.25">
      <c r="A89" s="61" t="s">
        <v>46</v>
      </c>
      <c r="B89" s="62"/>
      <c r="C89" s="11"/>
      <c r="D89" s="11"/>
      <c r="E89" s="11"/>
      <c r="F89" s="11"/>
      <c r="G89" s="11"/>
      <c r="H89" s="11"/>
      <c r="I89" s="55"/>
      <c r="J89" s="55"/>
      <c r="K89" s="11"/>
      <c r="L89" s="55"/>
      <c r="M89" s="55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</sheetData>
  <sheetProtection algorithmName="SHA-512" hashValue="ZiYDIThACw88OvkA7iFJvERCzcYZFpURw6cygUJ4DdbqeM9cWX9iBjOLPxn1Cu3HCTo/vKN9vYynXskRZ9TiUQ==" saltValue="Q1fsMsgal7tPIgBGNp0orw==" spinCount="100000" sheet="1" scenarios="1"/>
  <mergeCells count="2">
    <mergeCell ref="AD31:AE31"/>
    <mergeCell ref="AG31:AH31"/>
  </mergeCells>
  <dataValidations disablePrompts="1" count="2">
    <dataValidation type="list" allowBlank="1" sqref="B60 B29" xr:uid="{00000000-0002-0000-2700-000000000000}">
      <formula1>"SELF,ALL,BAS,DEP,BASMEMBERS,MEMBERS,NOEXPAND,GDEP"</formula1>
    </dataValidation>
    <dataValidation type="list" allowBlank="1" sqref="B59 B28" xr:uid="{00000000-0002-0000-2700-000001000000}">
      <formula1>"ACCOUNT,BUSINESSUNIT,CATEGORY,DATASRC,DEPARTMENT,INTCO,MEASURES,RPTCURRENCY,TIME"</formula1>
    </dataValidation>
  </dataValidations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customProperties>
    <customPr name="EpmWorksheetKeyString_GUID" r:id="rId2"/>
    <customPr name="FPMExcelClientCellBasedFunctionStatus" r:id="rId3"/>
    <customPr name="FPMExcelClientRefreshTime" r:id="rId4"/>
  </customProperties>
  <drawing r:id="rId5"/>
  <legacyDrawing r:id="rId6"/>
  <controls>
    <mc:AlternateContent xmlns:mc="http://schemas.openxmlformats.org/markup-compatibility/2006">
      <mc:Choice Requires="x14">
        <control shapeId="65543" r:id="rId7" name="FPMExcelClientSheetOptionstb1">
          <controlPr defaultSize="0" autoLine="0" r:id="rId8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13</xdr:col>
                <xdr:colOff>666750</xdr:colOff>
                <xdr:row>0</xdr:row>
                <xdr:rowOff>0</xdr:rowOff>
              </to>
            </anchor>
          </controlPr>
        </control>
      </mc:Choice>
      <mc:Fallback>
        <control shapeId="65543" r:id="rId7" name="FPMExcelClientSheetOptionstb1"/>
      </mc:Fallback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2">
    <pageSetUpPr fitToPage="1"/>
  </sheetPr>
  <dimension ref="A1:AO97"/>
  <sheetViews>
    <sheetView topLeftCell="K25" zoomScale="85" zoomScaleNormal="85" workbookViewId="0">
      <pane xSplit="4" ySplit="8" topLeftCell="O33" activePane="bottomRight" state="frozen"/>
      <selection activeCell="K25" sqref="K25"/>
      <selection pane="topRight" activeCell="K25" sqref="K25"/>
      <selection pane="bottomLeft" activeCell="K25" sqref="K25"/>
      <selection pane="bottomRight" activeCell="K25" sqref="K25"/>
    </sheetView>
  </sheetViews>
  <sheetFormatPr defaultRowHeight="15" outlineLevelRow="1" outlineLevelCol="1" x14ac:dyDescent="0.25"/>
  <cols>
    <col min="1" max="1" width="17" style="1" hidden="1" customWidth="1" outlineLevel="1"/>
    <col min="2" max="2" width="20.28515625" style="1" hidden="1" customWidth="1" outlineLevel="1"/>
    <col min="3" max="6" width="12.85546875" style="1" hidden="1" customWidth="1" outlineLevel="1"/>
    <col min="7" max="7" width="17.85546875" style="1" hidden="1" customWidth="1" outlineLevel="1"/>
    <col min="8" max="8" width="13.140625" style="1" hidden="1" customWidth="1" outlineLevel="1"/>
    <col min="9" max="10" width="4.7109375" style="2" hidden="1" customWidth="1" outlineLevel="1"/>
    <col min="11" max="11" width="3.7109375" style="1" customWidth="1" collapsed="1"/>
    <col min="12" max="12" width="9.7109375" style="2" hidden="1" customWidth="1" outlineLevel="1" collapsed="1"/>
    <col min="13" max="13" width="9.7109375" style="2" hidden="1" customWidth="1" outlineLevel="1"/>
    <col min="14" max="14" width="36.7109375" style="1" customWidth="1" collapsed="1"/>
    <col min="15" max="26" width="11.7109375" style="1" customWidth="1" outlineLevel="1"/>
    <col min="27" max="27" width="12.7109375" style="1" customWidth="1"/>
    <col min="28" max="28" width="7.7109375" style="1" customWidth="1"/>
    <col min="29" max="29" width="1.7109375" style="1" customWidth="1"/>
    <col min="30" max="30" width="12.7109375" style="1" customWidth="1"/>
    <col min="31" max="31" width="7.7109375" style="1" customWidth="1"/>
    <col min="32" max="32" width="11.7109375" style="1" customWidth="1"/>
    <col min="33" max="33" width="12.7109375" style="1" customWidth="1"/>
    <col min="34" max="34" width="7.7109375" style="1" customWidth="1"/>
    <col min="35" max="35" width="11.7109375" style="1" customWidth="1"/>
    <col min="36" max="40" width="0" style="1" hidden="1" customWidth="1" outlineLevel="1"/>
    <col min="41" max="41" width="9.140625" style="1" collapsed="1"/>
    <col min="42" max="16384" width="9.140625" style="1"/>
  </cols>
  <sheetData>
    <row r="1" spans="1:41" hidden="1" outlineLevel="1" x14ac:dyDescent="0.25">
      <c r="A1" s="49" t="s">
        <v>48</v>
      </c>
      <c r="B1" s="50" t="s">
        <v>49</v>
      </c>
      <c r="C1" s="49" t="str">
        <f>IF(_epmOfflineCondition_,"Financial Application",_xll.EVAPD($B$1))</f>
        <v>Financial Application</v>
      </c>
      <c r="D1" s="11"/>
      <c r="E1" s="11"/>
      <c r="F1" s="11"/>
      <c r="G1" s="11"/>
      <c r="H1" s="11"/>
      <c r="I1" s="11"/>
      <c r="J1" s="11"/>
      <c r="K1" s="11"/>
      <c r="L1" s="51"/>
      <c r="M1" s="51"/>
      <c r="N1" s="5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</row>
    <row r="2" spans="1:41" hidden="1" outlineLevel="1" x14ac:dyDescent="0.25">
      <c r="A2" s="49" t="s">
        <v>22</v>
      </c>
      <c r="B2" s="52" t="s">
        <v>56</v>
      </c>
      <c r="C2" s="11" t="str">
        <f>IF(_epmOfflineCondition_,"Gross Operating Income",_xll.EVDES(B2,$B$1))</f>
        <v>Gross Operating Income</v>
      </c>
      <c r="D2" s="11"/>
      <c r="E2" s="11"/>
      <c r="F2" s="11"/>
      <c r="G2" s="11"/>
      <c r="H2" s="11"/>
      <c r="I2" s="11"/>
      <c r="J2" s="11"/>
      <c r="K2" s="11"/>
      <c r="L2" s="51"/>
      <c r="M2" s="5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</row>
    <row r="3" spans="1:41" hidden="1" outlineLevel="1" x14ac:dyDescent="0.25">
      <c r="A3" s="49" t="s">
        <v>50</v>
      </c>
      <c r="B3" s="53" t="str">
        <f>IF(_epmOfflineCondition_,"BU1334",_xll.EVCVW($B$1,A3))</f>
        <v>BU1334</v>
      </c>
      <c r="C3" s="11" t="str">
        <f>IF(_epmOfflineCondition_,"Anglers Boutique Resorts LLC",_xll.EVDES(B3,$B$1))</f>
        <v>Anglers Boutique Resorts LLC</v>
      </c>
      <c r="D3" s="11"/>
      <c r="E3" s="11"/>
      <c r="F3" s="11"/>
      <c r="G3" s="11"/>
      <c r="H3" s="11"/>
      <c r="I3" s="11"/>
      <c r="J3" s="11"/>
      <c r="K3" s="11"/>
      <c r="L3" s="55"/>
      <c r="M3" s="55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</row>
    <row r="4" spans="1:41" hidden="1" outlineLevel="1" x14ac:dyDescent="0.25">
      <c r="A4" s="49" t="s">
        <v>19</v>
      </c>
      <c r="B4" s="53" t="str">
        <f>SetUp!$D$6</f>
        <v>CURRENT</v>
      </c>
      <c r="C4" s="11" t="str">
        <f>IF(_epmOfflineCondition_,"Forecast",_xll.EVDES(B4,$B$1))</f>
        <v>Forecast</v>
      </c>
      <c r="D4" s="11"/>
      <c r="E4" s="54" t="str">
        <f>IF(_epmOfflineCondition_,"20200100",_xll.EVPRO($B$1,$B$4,"STARTMTH"))</f>
        <v>20200100</v>
      </c>
      <c r="F4" s="11" t="s">
        <v>603</v>
      </c>
      <c r="G4" s="11"/>
      <c r="H4" s="11"/>
      <c r="I4" s="55"/>
      <c r="J4" s="55"/>
      <c r="K4" s="11"/>
      <c r="L4" s="55"/>
      <c r="M4" s="55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</row>
    <row r="5" spans="1:41" hidden="1" outlineLevel="1" x14ac:dyDescent="0.25">
      <c r="A5" s="49" t="s">
        <v>51</v>
      </c>
      <c r="B5" s="52" t="s">
        <v>59</v>
      </c>
      <c r="C5" s="11" t="str">
        <f>IF(_epmOfflineCondition_,"TOTALADJ",_xll.EVDES(B5,$B$1))</f>
        <v>TOTALADJ</v>
      </c>
      <c r="D5" s="11"/>
      <c r="E5" s="11"/>
      <c r="F5" s="11"/>
      <c r="G5" s="11"/>
      <c r="H5" s="11"/>
      <c r="I5" s="55"/>
      <c r="J5" s="55"/>
      <c r="K5" s="11"/>
      <c r="L5" s="55"/>
      <c r="M5" s="55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hidden="1" outlineLevel="1" x14ac:dyDescent="0.25">
      <c r="A6" s="49" t="s">
        <v>52</v>
      </c>
      <c r="B6" s="52" t="s">
        <v>499</v>
      </c>
      <c r="C6" s="11" t="str">
        <f>IF(_epmOfflineCondition_,"Consolidated Hotel &amp; F&amp;B Departments",_xll.EVDES(B6,$B$1))</f>
        <v>Consolidated Hotel &amp; F&amp;B Departments</v>
      </c>
      <c r="D6" s="11"/>
      <c r="E6" s="54" t="str">
        <f>IF(_epmOfflineCondition_,"",_xll.EVPRO($B$1,$B$6,$F$6))</f>
        <v/>
      </c>
      <c r="F6" s="11" t="s">
        <v>278</v>
      </c>
      <c r="G6" s="11"/>
      <c r="H6" s="11"/>
      <c r="I6" s="55"/>
      <c r="J6" s="55"/>
      <c r="K6" s="11"/>
      <c r="L6" s="55"/>
      <c r="M6" s="55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hidden="1" outlineLevel="1" x14ac:dyDescent="0.25">
      <c r="A7" s="49" t="s">
        <v>53</v>
      </c>
      <c r="B7" s="52" t="s">
        <v>61</v>
      </c>
      <c r="C7" s="11" t="str">
        <f>IF(_epmOfflineCondition_,"All Inter-company",_xll.EVDES(B7,$B$1))</f>
        <v>All Inter-company</v>
      </c>
      <c r="D7" s="11"/>
      <c r="E7" s="11"/>
      <c r="F7" s="11"/>
      <c r="G7" s="11"/>
      <c r="H7" s="11"/>
      <c r="I7" s="55"/>
      <c r="J7" s="55"/>
      <c r="K7" s="11"/>
      <c r="L7" s="55"/>
      <c r="M7" s="55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hidden="1" outlineLevel="1" x14ac:dyDescent="0.25">
      <c r="A8" s="49" t="s">
        <v>20</v>
      </c>
      <c r="B8" s="52" t="s">
        <v>63</v>
      </c>
      <c r="C8" s="11" t="str">
        <f>IF(_epmOfflineCondition_,"Year to Date",_xll.EVDES(B8,$B$1))</f>
        <v>Year to Date</v>
      </c>
      <c r="D8" s="11"/>
      <c r="E8" s="11"/>
      <c r="F8" s="11"/>
      <c r="G8" s="11"/>
      <c r="H8" s="11"/>
      <c r="I8" s="55"/>
      <c r="J8" s="55"/>
      <c r="K8" s="11"/>
      <c r="L8" s="55"/>
      <c r="M8" s="55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</row>
    <row r="9" spans="1:41" hidden="1" outlineLevel="1" x14ac:dyDescent="0.25">
      <c r="A9" s="49" t="s">
        <v>54</v>
      </c>
      <c r="B9" s="53" t="str">
        <f>SetUp!$D$9</f>
        <v>LC</v>
      </c>
      <c r="C9" s="11" t="str">
        <f>IF(_epmOfflineCondition_,"Local Currency",_xll.EVDES(B9,$B$1))</f>
        <v>Local Currency</v>
      </c>
      <c r="D9" s="11"/>
      <c r="E9" s="11"/>
      <c r="F9" s="11"/>
      <c r="G9" s="11"/>
      <c r="H9" s="11"/>
      <c r="I9" s="55"/>
      <c r="J9" s="55"/>
      <c r="K9" s="11"/>
      <c r="L9" s="55"/>
      <c r="M9" s="55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idden="1" outlineLevel="1" x14ac:dyDescent="0.25">
      <c r="A10" s="49" t="s">
        <v>18</v>
      </c>
      <c r="B10" s="53" t="str">
        <f>SetUp!$D$7</f>
        <v>2019.TOTAL</v>
      </c>
      <c r="C10" s="11" t="str">
        <f>IF(_epmOfflineCondition_,"2019 TOTAL",_xll.EVDES(B10,$B$1))</f>
        <v>2019 TOTAL</v>
      </c>
      <c r="D10" s="10" t="str">
        <f>IF(_epmOfflineCondition_,"CY",_xll.EVPRO($B$1,$B$10,"Group"))</f>
        <v>CY</v>
      </c>
      <c r="E10" s="11"/>
      <c r="F10" s="11"/>
      <c r="G10" s="11"/>
      <c r="H10" s="11"/>
      <c r="I10" s="55"/>
      <c r="J10" s="55"/>
      <c r="K10" s="11"/>
      <c r="L10" s="55"/>
      <c r="M10" s="55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</row>
    <row r="11" spans="1:41" hidden="1" outlineLevel="1" x14ac:dyDescent="0.25">
      <c r="A11" s="11"/>
      <c r="B11" s="49"/>
      <c r="C11" s="11"/>
      <c r="D11" s="11"/>
      <c r="E11" s="11"/>
      <c r="F11" s="11"/>
      <c r="G11" s="11"/>
      <c r="H11" s="11"/>
      <c r="I11" s="55"/>
      <c r="J11" s="55"/>
      <c r="K11" s="11"/>
      <c r="L11" s="55"/>
      <c r="M11" s="55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</row>
    <row r="12" spans="1:41" hidden="1" outlineLevel="1" x14ac:dyDescent="0.25">
      <c r="A12" s="11" t="s">
        <v>115</v>
      </c>
      <c r="B12" s="54" t="str">
        <f>IF(_epmOfflineCondition_,"2019",_xll.EVPRO($B$1,$B$10,"YEAR"))</f>
        <v>2019</v>
      </c>
      <c r="C12" s="11"/>
      <c r="D12" s="11"/>
      <c r="E12" s="11"/>
      <c r="F12" s="11"/>
      <c r="G12" s="11"/>
      <c r="H12" s="11"/>
      <c r="I12" s="55"/>
      <c r="J12" s="55"/>
      <c r="K12" s="11"/>
      <c r="L12" s="55"/>
      <c r="M12" s="55"/>
      <c r="N12" s="11" t="s">
        <v>597</v>
      </c>
      <c r="O12" s="4" t="str">
        <f>IF(_epmOfflineCondition_,"Y",_xll.EVPRO($B$1,O$16,$N$12))</f>
        <v>Y</v>
      </c>
      <c r="P12" s="4" t="str">
        <f>IF(_epmOfflineCondition_,"Y",_xll.EVPRO($B$1,P$16,$N$12))</f>
        <v>Y</v>
      </c>
      <c r="Q12" s="4" t="str">
        <f>IF(_epmOfflineCondition_,"Y",_xll.EVPRO($B$1,Q$16,$N$12))</f>
        <v>Y</v>
      </c>
      <c r="R12" s="4" t="str">
        <f>IF(_epmOfflineCondition_,"Y",_xll.EVPRO($B$1,R$16,$N$12))</f>
        <v>Y</v>
      </c>
      <c r="S12" s="4" t="str">
        <f>IF(_epmOfflineCondition_,"Y",_xll.EVPRO($B$1,S$16,$N$12))</f>
        <v>Y</v>
      </c>
      <c r="T12" s="4" t="str">
        <f>IF(_epmOfflineCondition_,"Y",_xll.EVPRO($B$1,T$16,$N$12))</f>
        <v>Y</v>
      </c>
      <c r="U12" s="4" t="str">
        <f>IF(_epmOfflineCondition_,"Y",_xll.EVPRO($B$1,U$16,$N$12))</f>
        <v>Y</v>
      </c>
      <c r="V12" s="4" t="str">
        <f>IF(_epmOfflineCondition_,"Y",_xll.EVPRO($B$1,V$16,$N$12))</f>
        <v>Y</v>
      </c>
      <c r="W12" s="4" t="str">
        <f>IF(_epmOfflineCondition_,"Y",_xll.EVPRO($B$1,W$16,$N$12))</f>
        <v>Y</v>
      </c>
      <c r="X12" s="4" t="str">
        <f>IF(_epmOfflineCondition_,"Y",_xll.EVPRO($B$1,X$16,$N$12))</f>
        <v>Y</v>
      </c>
      <c r="Y12" s="4" t="str">
        <f>IF(_epmOfflineCondition_,"Y",_xll.EVPRO($B$1,Y$16,$N$12))</f>
        <v>Y</v>
      </c>
      <c r="Z12" s="4" t="str">
        <f>IF(_epmOfflineCondition_,"Y",_xll.EVPRO($B$1,Z$16,$N$12))</f>
        <v>Y</v>
      </c>
      <c r="AA12" s="4" t="str">
        <f>IF(_epmOfflineCondition_,"",_xll.EVPRO($B$1,AA$16,$N$12))</f>
        <v/>
      </c>
      <c r="AB12" s="11"/>
      <c r="AC12" s="11"/>
      <c r="AD12" s="4" t="str">
        <f>IF(_epmOfflineCondition_,"",_xll.EVPRO($B$1,AD$16,$N$12))</f>
        <v/>
      </c>
      <c r="AE12" s="11"/>
      <c r="AF12" s="11"/>
      <c r="AG12" s="4" t="str">
        <f>IF(_epmOfflineCondition_,"",_xll.EVPRO($B$1,AG$16,$N$12))</f>
        <v/>
      </c>
      <c r="AH12" s="11"/>
      <c r="AI12" s="11"/>
      <c r="AJ12" s="11"/>
      <c r="AK12" s="11"/>
      <c r="AL12" s="11"/>
      <c r="AM12" s="11"/>
      <c r="AN12" s="11"/>
      <c r="AO12" s="11"/>
    </row>
    <row r="13" spans="1:41" hidden="1" outlineLevel="1" x14ac:dyDescent="0.25">
      <c r="A13" s="11" t="s">
        <v>602</v>
      </c>
      <c r="B13" s="54" t="str">
        <f>IF(_epmOfflineCondition_,"2019",IF($D$10="FY",_xll.EVPRO($B$1,$D$10&amp;$B$12&amp;".TOTAL","Current"),_xll.EVPRO($B$1,$B$12&amp;".TOTAL","Current")))</f>
        <v>2019</v>
      </c>
      <c r="C13" s="11"/>
      <c r="D13" s="11"/>
      <c r="E13" s="11"/>
      <c r="F13" s="11"/>
      <c r="G13" s="11"/>
      <c r="H13" s="11"/>
      <c r="I13" s="55"/>
      <c r="J13" s="55"/>
      <c r="K13" s="11"/>
      <c r="L13" s="55"/>
      <c r="M13" s="55"/>
      <c r="N13" s="11" t="s">
        <v>598</v>
      </c>
      <c r="O13" s="5" t="str">
        <f>IF(_epmOfflineCondition_,"20190100",_xll.EVPRO($B$1,O16,"TIMEID"))</f>
        <v>20190100</v>
      </c>
      <c r="P13" s="5" t="str">
        <f>IF(_epmOfflineCondition_,"20190200",_xll.EVPRO($B$1,P16,"TIMEID"))</f>
        <v>20190200</v>
      </c>
      <c r="Q13" s="5" t="str">
        <f>IF(_epmOfflineCondition_,"20190300",_xll.EVPRO($B$1,Q16,"TIMEID"))</f>
        <v>20190300</v>
      </c>
      <c r="R13" s="5" t="str">
        <f>IF(_epmOfflineCondition_,"20190400",_xll.EVPRO($B$1,R16,"TIMEID"))</f>
        <v>20190400</v>
      </c>
      <c r="S13" s="5" t="str">
        <f>IF(_epmOfflineCondition_,"20190500",_xll.EVPRO($B$1,S16,"TIMEID"))</f>
        <v>20190500</v>
      </c>
      <c r="T13" s="5" t="str">
        <f>IF(_epmOfflineCondition_,"20190600",_xll.EVPRO($B$1,T16,"TIMEID"))</f>
        <v>20190600</v>
      </c>
      <c r="U13" s="5" t="str">
        <f>IF(_epmOfflineCondition_,"20190700",_xll.EVPRO($B$1,U16,"TIMEID"))</f>
        <v>20190700</v>
      </c>
      <c r="V13" s="5" t="str">
        <f>IF(_epmOfflineCondition_,"20190800",_xll.EVPRO($B$1,V16,"TIMEID"))</f>
        <v>20190800</v>
      </c>
      <c r="W13" s="5" t="str">
        <f>IF(_epmOfflineCondition_,"20190900",_xll.EVPRO($B$1,W16,"TIMEID"))</f>
        <v>20190900</v>
      </c>
      <c r="X13" s="5" t="str">
        <f>IF(_epmOfflineCondition_,"20191000",_xll.EVPRO($B$1,X16,"TIMEID"))</f>
        <v>20191000</v>
      </c>
      <c r="Y13" s="5" t="str">
        <f>IF(_epmOfflineCondition_,"20191100",_xll.EVPRO($B$1,Y16,"TIMEID"))</f>
        <v>20191100</v>
      </c>
      <c r="Z13" s="5" t="str">
        <f>IF(_epmOfflineCondition_,"20191200",_xll.EVPRO($B$1,Z16,"TIMEID"))</f>
        <v>20191200</v>
      </c>
      <c r="AA13" s="5" t="str">
        <f>IF(_epmOfflineCondition_,"10000149",_xll.EVPRO($B$1,AA16,"TIMEID"))</f>
        <v>10000149</v>
      </c>
      <c r="AB13" s="11"/>
      <c r="AC13" s="11"/>
      <c r="AD13" s="5" t="str">
        <f>IF(_epmOfflineCondition_,"10000149",_xll.EVPRO($B$1,AD16,"TIMEID"))</f>
        <v>10000149</v>
      </c>
      <c r="AE13" s="11"/>
      <c r="AF13" s="11"/>
      <c r="AG13" s="5" t="str">
        <f>IF(_epmOfflineCondition_,"10000139",_xll.EVPRO($B$1,AG16,"TIMEID"))</f>
        <v>10000139</v>
      </c>
      <c r="AH13" s="11"/>
      <c r="AI13" s="11"/>
      <c r="AJ13" s="11"/>
      <c r="AK13" s="11"/>
      <c r="AL13" s="11"/>
      <c r="AM13" s="11"/>
      <c r="AN13" s="11"/>
      <c r="AO13" s="11"/>
    </row>
    <row r="14" spans="1:41" hidden="1" outlineLevel="1" x14ac:dyDescent="0.25">
      <c r="A14" s="56" t="str">
        <f>IF(_epmOfflineCondition_,"Evdre:Ok",_xll.EVDRE($B$1,A17:B24,A27:B33))</f>
        <v>Evdre:Ok</v>
      </c>
      <c r="B14" s="11"/>
      <c r="C14" s="11"/>
      <c r="D14" s="11"/>
      <c r="E14" s="11"/>
      <c r="F14" s="11"/>
      <c r="G14" s="11"/>
      <c r="H14" s="11"/>
      <c r="I14" s="55"/>
      <c r="J14" s="55"/>
      <c r="K14" s="11"/>
      <c r="L14" s="55"/>
      <c r="M14" s="55"/>
      <c r="N14" s="11" t="s">
        <v>599</v>
      </c>
      <c r="O14" s="5" t="s">
        <v>604</v>
      </c>
      <c r="P14" s="5" t="s">
        <v>605</v>
      </c>
      <c r="Q14" s="5" t="s">
        <v>606</v>
      </c>
      <c r="R14" s="5" t="s">
        <v>607</v>
      </c>
      <c r="S14" s="5" t="s">
        <v>608</v>
      </c>
      <c r="T14" s="5" t="s">
        <v>609</v>
      </c>
      <c r="U14" s="5" t="s">
        <v>610</v>
      </c>
      <c r="V14" s="5" t="s">
        <v>611</v>
      </c>
      <c r="W14" s="5" t="s">
        <v>612</v>
      </c>
      <c r="X14" s="5" t="s">
        <v>613</v>
      </c>
      <c r="Y14" s="5" t="s">
        <v>614</v>
      </c>
      <c r="Z14" s="5" t="s">
        <v>615</v>
      </c>
      <c r="AA14" s="5" t="s">
        <v>116</v>
      </c>
      <c r="AB14" s="11"/>
      <c r="AC14" s="11"/>
      <c r="AD14" s="5" t="s">
        <v>116</v>
      </c>
      <c r="AE14" s="11"/>
      <c r="AF14" s="11"/>
      <c r="AG14" s="5" t="s">
        <v>116</v>
      </c>
      <c r="AH14" s="11"/>
      <c r="AI14" s="11"/>
      <c r="AJ14" s="11"/>
      <c r="AK14" s="11"/>
      <c r="AL14" s="11"/>
      <c r="AM14" s="11"/>
      <c r="AN14" s="11"/>
      <c r="AO14" s="11"/>
    </row>
    <row r="15" spans="1:41" hidden="1" outlineLevel="1" x14ac:dyDescent="0.25">
      <c r="A15" s="11"/>
      <c r="B15" s="11"/>
      <c r="C15" s="11"/>
      <c r="D15" s="11"/>
      <c r="E15" s="11"/>
      <c r="F15" s="11"/>
      <c r="G15" s="11"/>
      <c r="H15" s="11"/>
      <c r="I15" s="55"/>
      <c r="J15" s="55"/>
      <c r="K15" s="11"/>
      <c r="L15" s="55"/>
      <c r="M15" s="55"/>
      <c r="N15" s="11" t="s">
        <v>600</v>
      </c>
      <c r="O15" s="6" t="s">
        <v>616</v>
      </c>
      <c r="P15" s="6" t="s">
        <v>617</v>
      </c>
      <c r="Q15" s="7" t="s">
        <v>618</v>
      </c>
      <c r="R15" s="7" t="s">
        <v>619</v>
      </c>
      <c r="S15" s="7" t="s">
        <v>620</v>
      </c>
      <c r="T15" s="7" t="s">
        <v>621</v>
      </c>
      <c r="U15" s="7" t="s">
        <v>622</v>
      </c>
      <c r="V15" s="7" t="s">
        <v>623</v>
      </c>
      <c r="W15" s="7" t="s">
        <v>624</v>
      </c>
      <c r="X15" s="7" t="s">
        <v>625</v>
      </c>
      <c r="Y15" s="7" t="s">
        <v>626</v>
      </c>
      <c r="Z15" s="7" t="s">
        <v>627</v>
      </c>
      <c r="AA15" s="5" t="s">
        <v>116</v>
      </c>
      <c r="AB15" s="11"/>
      <c r="AC15" s="11"/>
      <c r="AD15" s="5" t="s">
        <v>116</v>
      </c>
      <c r="AE15" s="11"/>
      <c r="AF15" s="11"/>
      <c r="AG15" s="5" t="s">
        <v>116</v>
      </c>
      <c r="AH15" s="11"/>
      <c r="AI15" s="11"/>
      <c r="AJ15" s="11"/>
      <c r="AK15" s="11"/>
      <c r="AL15" s="11"/>
      <c r="AM15" s="11"/>
      <c r="AN15" s="11"/>
      <c r="AO15" s="11"/>
    </row>
    <row r="16" spans="1:41" hidden="1" outlineLevel="1" x14ac:dyDescent="0.25">
      <c r="A16" s="57" t="s">
        <v>0</v>
      </c>
      <c r="B16" s="58" t="s">
        <v>1</v>
      </c>
      <c r="C16" s="11"/>
      <c r="D16" s="11"/>
      <c r="E16" s="11"/>
      <c r="F16" s="11"/>
      <c r="G16" s="11"/>
      <c r="H16" s="11"/>
      <c r="I16" s="55"/>
      <c r="J16" s="55"/>
      <c r="K16" s="11"/>
      <c r="L16" s="55"/>
      <c r="M16" s="55"/>
      <c r="N16" s="11" t="s">
        <v>18</v>
      </c>
      <c r="O16" s="59" t="str">
        <f>IF(_epmOfflineCondition_,"2019.JAN",IF(SetUp!$O$1=TRUE,_xll.EVTIM($B$1,P16,-1),IF($D$10="FY",LEFT($B$10,6)&amp;"."&amp;O15,$B$12&amp;"."&amp;O14)))</f>
        <v>2019.JAN</v>
      </c>
      <c r="P16" s="59" t="str">
        <f>IF(_epmOfflineCondition_,"2019.FEB",IF(SetUp!$O$1=TRUE,_xll.EVTIM($B$1,Q16,-1),IF($D$10="FY",LEFT($B$10,6)&amp;"."&amp;P15,$B$12&amp;"."&amp;P14)))</f>
        <v>2019.FEB</v>
      </c>
      <c r="Q16" s="59" t="str">
        <f>IF(_epmOfflineCondition_,"2019.MAR",IF(SetUp!$O$1=TRUE,_xll.EVTIM($B$1,R16,-1),IF($D$10="FY",LEFT($B$10,6)&amp;"."&amp;Q15,$B$12&amp;"."&amp;Q14)))</f>
        <v>2019.MAR</v>
      </c>
      <c r="R16" s="59" t="str">
        <f>IF(_epmOfflineCondition_,"2019.APR",IF(SetUp!$O$1=TRUE,_xll.EVTIM($B$1,S16,-1),IF($D$10="FY",LEFT($B$10,6)&amp;"."&amp;R15,$B$12&amp;"."&amp;R14)))</f>
        <v>2019.APR</v>
      </c>
      <c r="S16" s="59" t="str">
        <f>IF(_epmOfflineCondition_,"2019.MAY",IF(SetUp!$O$1=TRUE,_xll.EVTIM($B$1,T16,-1),IF($D$10="FY",LEFT($B$10,6)&amp;"."&amp;S15,$B$12&amp;"."&amp;S14)))</f>
        <v>2019.MAY</v>
      </c>
      <c r="T16" s="59" t="str">
        <f>IF(_epmOfflineCondition_,"2019.JUN",IF(SetUp!$O$1=TRUE,_xll.EVTIM($B$1,U16,-1),IF($D$10="FY",LEFT($B$10,6)&amp;"."&amp;T15,$B$12&amp;"."&amp;T14)))</f>
        <v>2019.JUN</v>
      </c>
      <c r="U16" s="59" t="str">
        <f>IF(_epmOfflineCondition_,"2019.JUL",IF(SetUp!$O$1=TRUE,_xll.EVTIM($B$1,V16,-1),IF($D$10="FY",LEFT($B$10,6)&amp;"."&amp;U15,$B$12&amp;"."&amp;U14)))</f>
        <v>2019.JUL</v>
      </c>
      <c r="V16" s="59" t="str">
        <f>IF(_epmOfflineCondition_,"2019.AUG",IF(SetUp!$O$1=TRUE,_xll.EVTIM($B$1,W16,-1),IF($D$10="FY",LEFT($B$10,6)&amp;"."&amp;V15,$B$12&amp;"."&amp;V14)))</f>
        <v>2019.AUG</v>
      </c>
      <c r="W16" s="59" t="str">
        <f>IF(_epmOfflineCondition_,"2019.SEP",IF(SetUp!$O$1=TRUE,_xll.EVTIM($B$1,X16,-1),IF($D$10="FY",LEFT($B$10,6)&amp;"."&amp;W15,$B$12&amp;"."&amp;W14)))</f>
        <v>2019.SEP</v>
      </c>
      <c r="X16" s="59" t="str">
        <f>IF(_epmOfflineCondition_,"2019.OCT",IF(SetUp!$O$1=TRUE,_xll.EVTIM($B$1,Y16,-1),IF($D$10="FY",LEFT($B$10,6)&amp;"."&amp;X15,$B$12&amp;"."&amp;X14)))</f>
        <v>2019.OCT</v>
      </c>
      <c r="Y16" s="59" t="str">
        <f>IF(_epmOfflineCondition_,"2019.NOV",IF(SetUp!$O$1=TRUE,_xll.EVTIM($B$1,Z16,-1),IF($D$10="FY",LEFT($B$10,6)&amp;"."&amp;Y15,$B$12&amp;"."&amp;Y14)))</f>
        <v>2019.NOV</v>
      </c>
      <c r="Z16" s="59" t="str">
        <f>IF(SetUp!$O$1=TRUE,SetUp!$Q$6,IF($D$10="FY",LEFT($B$10,6)&amp;"."&amp;Z15,$B$12&amp;"."&amp;Z14))</f>
        <v>2019.DEC</v>
      </c>
      <c r="AA16" s="59" t="str">
        <f>IF($D$10="FY",LEFT($B$10,6)&amp;"."&amp;AA15,$B$12&amp;"."&amp;AA14)</f>
        <v>2019.TOTAL</v>
      </c>
      <c r="AB16" s="60"/>
      <c r="AC16" s="60"/>
      <c r="AD16" s="59" t="str">
        <f>IF(SetUp!$O$1=TRUE,SetUp!$Q$6,SetUp!$G$7)</f>
        <v>2019.TOTAL</v>
      </c>
      <c r="AE16" s="60"/>
      <c r="AF16" s="60"/>
      <c r="AG16" s="59" t="str">
        <f>IF(_epmOfflineCondition_,"2018.TOTAL",IF(SetUp!$O$1=TRUE,_xll.EVTIM($B$1,AD16,-1,"YEAR"),SetUp!$J$7))</f>
        <v>2018.TOTAL</v>
      </c>
      <c r="AH16" s="60"/>
      <c r="AI16" s="60"/>
      <c r="AJ16" s="11"/>
      <c r="AK16" s="11"/>
      <c r="AL16" s="11"/>
      <c r="AM16" s="11"/>
      <c r="AN16" s="11"/>
      <c r="AO16" s="11"/>
    </row>
    <row r="17" spans="1:41" hidden="1" outlineLevel="1" x14ac:dyDescent="0.25">
      <c r="A17" s="61" t="s">
        <v>2</v>
      </c>
      <c r="B17" s="62" t="str">
        <f>IF(_epmOfflineCondition_,"'PR_Related'!$B$2:$B$10",_xll.EVRNG($B$2:$B$10))</f>
        <v>'PR_Related'!$B$2:$B$10</v>
      </c>
      <c r="C17" s="11"/>
      <c r="D17" s="11"/>
      <c r="E17" s="11"/>
      <c r="F17" s="11"/>
      <c r="G17" s="11"/>
      <c r="H17" s="11"/>
      <c r="I17" s="55"/>
      <c r="J17" s="55"/>
      <c r="K17" s="11"/>
      <c r="L17" s="55"/>
      <c r="M17" s="55"/>
      <c r="N17" s="11" t="s">
        <v>19</v>
      </c>
      <c r="O17" s="59" t="str">
        <f>IF(_epmOfflineCondition_,"ACTUAL_CON",IF(O13&lt;$E$4,_xll.EVPRO($B$1,$B$4,"COMPARISON"),$B$4))</f>
        <v>ACTUAL_CON</v>
      </c>
      <c r="P17" s="59" t="str">
        <f>IF(_epmOfflineCondition_,"ACTUAL_CON",IF(P13&lt;$E$4,_xll.EVPRO($B$1,$B$4,"COMPARISON"),$B$4))</f>
        <v>ACTUAL_CON</v>
      </c>
      <c r="Q17" s="59" t="str">
        <f>IF(_epmOfflineCondition_,"ACTUAL_CON",IF(Q13&lt;$E$4,_xll.EVPRO($B$1,$B$4,"COMPARISON"),$B$4))</f>
        <v>ACTUAL_CON</v>
      </c>
      <c r="R17" s="59" t="str">
        <f>IF(_epmOfflineCondition_,"ACTUAL_CON",IF(R13&lt;$E$4,_xll.EVPRO($B$1,$B$4,"COMPARISON"),$B$4))</f>
        <v>ACTUAL_CON</v>
      </c>
      <c r="S17" s="59" t="str">
        <f>IF(_epmOfflineCondition_,"ACTUAL_CON",IF(S13&lt;$E$4,_xll.EVPRO($B$1,$B$4,"COMPARISON"),$B$4))</f>
        <v>ACTUAL_CON</v>
      </c>
      <c r="T17" s="59" t="str">
        <f>IF(_epmOfflineCondition_,"ACTUAL_CON",IF(T13&lt;$E$4,_xll.EVPRO($B$1,$B$4,"COMPARISON"),$B$4))</f>
        <v>ACTUAL_CON</v>
      </c>
      <c r="U17" s="59" t="str">
        <f>IF(_epmOfflineCondition_,"ACTUAL_CON",IF(U13&lt;$E$4,_xll.EVPRO($B$1,$B$4,"COMPARISON"),$B$4))</f>
        <v>ACTUAL_CON</v>
      </c>
      <c r="V17" s="59" t="str">
        <f>IF(_epmOfflineCondition_,"ACTUAL_CON",IF(V13&lt;$E$4,_xll.EVPRO($B$1,$B$4,"COMPARISON"),$B$4))</f>
        <v>ACTUAL_CON</v>
      </c>
      <c r="W17" s="59" t="str">
        <f>IF(_epmOfflineCondition_,"ACTUAL_CON",IF(W13&lt;$E$4,_xll.EVPRO($B$1,$B$4,"COMPARISON"),$B$4))</f>
        <v>ACTUAL_CON</v>
      </c>
      <c r="X17" s="59" t="str">
        <f>IF(_epmOfflineCondition_,"ACTUAL_CON",IF(X13&lt;$E$4,_xll.EVPRO($B$1,$B$4,"COMPARISON"),$B$4))</f>
        <v>ACTUAL_CON</v>
      </c>
      <c r="Y17" s="59" t="str">
        <f>IF(_epmOfflineCondition_,"ACTUAL_CON",IF(Y13&lt;$E$4,_xll.EVPRO($B$1,$B$4,"COMPARISON"),$B$4))</f>
        <v>ACTUAL_CON</v>
      </c>
      <c r="Z17" s="59" t="str">
        <f>IF(_epmOfflineCondition_,"ACTUAL_CON",IF(Z13&lt;$E$4,_xll.EVPRO($B$1,$B$4,"COMPARISON"),$B$4))</f>
        <v>ACTUAL_CON</v>
      </c>
      <c r="AA17" s="59"/>
      <c r="AB17" s="60"/>
      <c r="AC17" s="60"/>
      <c r="AD17" s="59" t="str">
        <f>SetUp!$G$6</f>
        <v>BUDGET</v>
      </c>
      <c r="AE17" s="60"/>
      <c r="AF17" s="60"/>
      <c r="AG17" s="59" t="str">
        <f>SetUp!$J$6</f>
        <v>ACTUAL</v>
      </c>
      <c r="AH17" s="60"/>
      <c r="AI17" s="60"/>
      <c r="AJ17" s="11"/>
      <c r="AK17" s="11"/>
      <c r="AL17" s="11"/>
      <c r="AM17" s="11"/>
      <c r="AN17" s="11"/>
      <c r="AO17" s="11"/>
    </row>
    <row r="18" spans="1:41" hidden="1" outlineLevel="1" x14ac:dyDescent="0.25">
      <c r="A18" s="61" t="s">
        <v>3</v>
      </c>
      <c r="B18" s="62" t="str">
        <f>IF(_epmOfflineCondition_,"'PR_Related'!$O$16:$AN$18",_xll.EVRNG($O$16:$AN$18))</f>
        <v>'PR_Related'!$O$16:$AN$18</v>
      </c>
      <c r="C18" s="11"/>
      <c r="D18" s="11"/>
      <c r="E18" s="11"/>
      <c r="F18" s="11"/>
      <c r="G18" s="11"/>
      <c r="H18" s="11"/>
      <c r="I18" s="55"/>
      <c r="J18" s="55"/>
      <c r="K18" s="11"/>
      <c r="L18" s="55"/>
      <c r="M18" s="55"/>
      <c r="N18" s="11" t="s">
        <v>601</v>
      </c>
      <c r="O18" s="60" t="s">
        <v>55</v>
      </c>
      <c r="P18" s="60" t="s">
        <v>55</v>
      </c>
      <c r="Q18" s="60" t="s">
        <v>55</v>
      </c>
      <c r="R18" s="60" t="s">
        <v>55</v>
      </c>
      <c r="S18" s="60" t="s">
        <v>55</v>
      </c>
      <c r="T18" s="60" t="s">
        <v>55</v>
      </c>
      <c r="U18" s="60" t="s">
        <v>55</v>
      </c>
      <c r="V18" s="60" t="s">
        <v>55</v>
      </c>
      <c r="W18" s="60" t="s">
        <v>55</v>
      </c>
      <c r="X18" s="60" t="s">
        <v>55</v>
      </c>
      <c r="Y18" s="60" t="s">
        <v>55</v>
      </c>
      <c r="Z18" s="60" t="s">
        <v>55</v>
      </c>
      <c r="AA18" s="60"/>
      <c r="AB18" s="60"/>
      <c r="AC18" s="60"/>
      <c r="AD18" s="59" t="str">
        <f>IF(SetUp!$O$1=TRUE,"TRAILING12",IF(AD17="CURRENT","ROLLINGFORECAST","PERIODIC"))</f>
        <v>PERIODIC</v>
      </c>
      <c r="AE18" s="60"/>
      <c r="AF18" s="60"/>
      <c r="AG18" s="59" t="str">
        <f>IF(SetUp!$O$1=TRUE,"TRAILING12",IF(AG17="CURRENT","ROLLINGFORECAST","PERIODIC"))</f>
        <v>PERIODIC</v>
      </c>
      <c r="AH18" s="60"/>
      <c r="AI18" s="60"/>
      <c r="AJ18" s="11"/>
      <c r="AK18" s="11"/>
      <c r="AL18" s="11"/>
      <c r="AM18" s="11"/>
      <c r="AN18" s="11"/>
      <c r="AO18" s="11"/>
    </row>
    <row r="19" spans="1:41" hidden="1" outlineLevel="1" x14ac:dyDescent="0.25">
      <c r="A19" s="61" t="s">
        <v>4</v>
      </c>
      <c r="B19" s="62" t="str">
        <f>IF(_epmOfflineCondition_,"'PR_Related'!$H$35:$H$41,'PR_Related'!$H$44:$H$49,'PR_Related'!$H$52:$H$62,'PR_Related'!$H$64:$H$65",_xll.EVRNG(H35:H41,H44:H49,H52:H62,H64:H65))</f>
        <v>'PR_Related'!$H$35:$H$41,'PR_Related'!$H$44:$H$49,'PR_Related'!$H$52:$H$62,'PR_Related'!$H$64:$H$65</v>
      </c>
      <c r="C19" s="11"/>
      <c r="D19" s="11"/>
      <c r="E19" s="11"/>
      <c r="F19" s="11"/>
      <c r="G19" s="63" t="s">
        <v>499</v>
      </c>
      <c r="H19" s="63">
        <v>400000</v>
      </c>
      <c r="I19" s="64"/>
      <c r="J19" s="64"/>
      <c r="K19" s="63"/>
      <c r="L19" s="64"/>
      <c r="M19" s="64"/>
      <c r="N19" s="63" t="str">
        <f>IF(_epmOfflineCondition_,"Total Revenue",_xll.EVDES(H19))</f>
        <v>Total Revenue</v>
      </c>
      <c r="O19" s="65">
        <f>IF(_epmOfflineCondition_,816981.25,_xll.EVGTS($B$1,1,$B$3,$B$5,$B$7,$B$9,O$16,O$17,O$18,$G$19,$H$19))</f>
        <v>816981.25</v>
      </c>
      <c r="P19" s="65">
        <f>IF(_epmOfflineCondition_,866773.26,_xll.EVGTS($B$1,1,$B$3,$B$5,$B$7,$B$9,P$16,P$17,P$18,$G$19,$H$19))</f>
        <v>866773.26</v>
      </c>
      <c r="Q19" s="65">
        <f>IF(_epmOfflineCondition_,969793.68,_xll.EVGTS($B$1,1,$B$3,$B$5,$B$7,$B$9,Q$16,Q$17,Q$18,$G$19,$H$19))</f>
        <v>969793.68</v>
      </c>
      <c r="R19" s="65">
        <f>IF(_epmOfflineCondition_,760228.83,_xll.EVGTS($B$1,1,$B$3,$B$5,$B$7,$B$9,R$16,R$17,R$18,$G$19,$H$19))</f>
        <v>760228.83</v>
      </c>
      <c r="S19" s="65">
        <f>IF(_epmOfflineCondition_,618655.29,_xll.EVGTS($B$1,1,$B$3,$B$5,$B$7,$B$9,S$16,S$17,S$18,$G$19,$H$19))</f>
        <v>618655.29</v>
      </c>
      <c r="T19" s="65">
        <f>IF(_epmOfflineCondition_,453678.77,_xll.EVGTS($B$1,1,$B$3,$B$5,$B$7,$B$9,T$16,T$17,T$18,$G$19,$H$19))</f>
        <v>453678.77</v>
      </c>
      <c r="U19" s="65">
        <f>IF(_epmOfflineCondition_,542439.38,_xll.EVGTS($B$1,1,$B$3,$B$5,$B$7,$B$9,U$16,U$17,U$18,$G$19,$H$19))</f>
        <v>542439.38</v>
      </c>
      <c r="V19" s="65">
        <f>IF(_epmOfflineCondition_,530393.92,_xll.EVGTS($B$1,1,$B$3,$B$5,$B$7,$B$9,V$16,V$17,V$18,$G$19,$H$19))</f>
        <v>530393.92000000004</v>
      </c>
      <c r="W19" s="65">
        <f>IF(_epmOfflineCondition_,366989.98,_xll.EVGTS($B$1,1,$B$3,$B$5,$B$7,$B$9,W$16,W$17,W$18,$G$19,$H$19))</f>
        <v>366989.98</v>
      </c>
      <c r="X19" s="65">
        <f>IF(_epmOfflineCondition_,549087,_xll.EVGTS($B$1,1,$B$3,$B$5,$B$7,$B$9,X$16,X$17,X$18,$G$19,$H$19))</f>
        <v>549087</v>
      </c>
      <c r="Y19" s="65">
        <f>IF(_epmOfflineCondition_,756850.37,_xll.EVGTS($B$1,1,$B$3,$B$5,$B$7,$B$9,Y$16,Y$17,Y$18,$G$19,$H$19))</f>
        <v>756850.37</v>
      </c>
      <c r="Z19" s="65">
        <f>IF(_epmOfflineCondition_,1154118.08,_xll.EVGTS($B$1,1,$B$3,$B$5,$B$7,$B$9,Z$16,Z$17,Z$18,$G$19,$H$19))</f>
        <v>1154118.08</v>
      </c>
      <c r="AA19" s="65">
        <f>SUM(O19:Z19)</f>
        <v>8385989.8099999996</v>
      </c>
      <c r="AB19" s="63"/>
      <c r="AC19" s="63"/>
      <c r="AD19" s="65">
        <f>IF(_epmOfflineCondition_,13047408.7892219,_xll.EVGTS($B$1,1,$B$3,$B$5,$B$7,$B$9,AD$16,AD$17,AD$18,$G$19,$H$19))</f>
        <v>13047408.7892219</v>
      </c>
      <c r="AE19" s="63"/>
      <c r="AF19" s="63"/>
      <c r="AG19" s="65">
        <f>IF(_epmOfflineCondition_,3258668.97,_xll.EVGTS($B$1,1,$B$3,$B$5,$B$7,$B$9,AG$16,AG$17,AG$18,$G$19,$H$19))</f>
        <v>3258668.97</v>
      </c>
      <c r="AH19" s="63"/>
      <c r="AI19" s="63"/>
      <c r="AJ19" s="11"/>
      <c r="AK19" s="11"/>
      <c r="AL19" s="11"/>
      <c r="AM19" s="11"/>
      <c r="AN19" s="11"/>
      <c r="AO19" s="11"/>
    </row>
    <row r="20" spans="1:41" hidden="1" outlineLevel="1" x14ac:dyDescent="0.25">
      <c r="A20" s="61" t="s">
        <v>5</v>
      </c>
      <c r="B20" s="62"/>
      <c r="C20" s="11"/>
      <c r="D20" s="11"/>
      <c r="E20" s="11"/>
      <c r="F20" s="11"/>
      <c r="G20" s="63" t="s">
        <v>750</v>
      </c>
      <c r="H20" s="63">
        <v>904100</v>
      </c>
      <c r="I20" s="64"/>
      <c r="J20" s="64"/>
      <c r="K20" s="63"/>
      <c r="L20" s="64"/>
      <c r="M20" s="64"/>
      <c r="N20" s="63" t="str">
        <f>IF(_epmOfflineCondition_,"Available rooms",_xll.EVDES(H20))</f>
        <v>Available rooms</v>
      </c>
      <c r="O20" s="65">
        <f>IF(_epmOfflineCondition_,4092,_xll.EVGTS($B$1,1,$B$3,$B$5,$B$7,$B$9,O$16,O$17,O$18,$G$20,$H$20))</f>
        <v>4092</v>
      </c>
      <c r="P20" s="65">
        <f>IF(_epmOfflineCondition_,3696,_xll.EVGTS($B$1,1,$B$3,$B$5,$B$7,$B$9,P$16,P$17,P$18,$G$20,$H$20))</f>
        <v>3696</v>
      </c>
      <c r="Q20" s="65">
        <f>IF(_epmOfflineCondition_,4092,_xll.EVGTS($B$1,1,$B$3,$B$5,$B$7,$B$9,Q$16,Q$17,Q$18,$G$20,$H$20))</f>
        <v>4092</v>
      </c>
      <c r="R20" s="65">
        <f>IF(_epmOfflineCondition_,3960,_xll.EVGTS($B$1,1,$B$3,$B$5,$B$7,$B$9,R$16,R$17,R$18,$G$20,$H$20))</f>
        <v>3960</v>
      </c>
      <c r="S20" s="65">
        <f>IF(_epmOfflineCondition_,4092,_xll.EVGTS($B$1,1,$B$3,$B$5,$B$7,$B$9,S$16,S$17,S$18,$G$20,$H$20))</f>
        <v>4092</v>
      </c>
      <c r="T20" s="65">
        <f>IF(_epmOfflineCondition_,3960,_xll.EVGTS($B$1,1,$B$3,$B$5,$B$7,$B$9,T$16,T$17,T$18,$G$20,$H$20))</f>
        <v>3960</v>
      </c>
      <c r="U20" s="65">
        <f>IF(_epmOfflineCondition_,4092,_xll.EVGTS($B$1,1,$B$3,$B$5,$B$7,$B$9,U$16,U$17,U$18,$G$20,$H$20))</f>
        <v>4092</v>
      </c>
      <c r="V20" s="65">
        <f>IF(_epmOfflineCondition_,4092,_xll.EVGTS($B$1,1,$B$3,$B$5,$B$7,$B$9,V$16,V$17,V$18,$G$20,$H$20))</f>
        <v>4092</v>
      </c>
      <c r="W20" s="65">
        <f>IF(_epmOfflineCondition_,3960,_xll.EVGTS($B$1,1,$B$3,$B$5,$B$7,$B$9,W$16,W$17,W$18,$G$20,$H$20))</f>
        <v>3960</v>
      </c>
      <c r="X20" s="65">
        <f>IF(_epmOfflineCondition_,4092,_xll.EVGTS($B$1,1,$B$3,$B$5,$B$7,$B$9,X$16,X$17,X$18,$G$20,$H$20))</f>
        <v>4092</v>
      </c>
      <c r="Y20" s="65">
        <f>IF(_epmOfflineCondition_,3960,_xll.EVGTS($B$1,1,$B$3,$B$5,$B$7,$B$9,Y$16,Y$17,Y$18,$G$20,$H$20))</f>
        <v>3960</v>
      </c>
      <c r="Z20" s="65">
        <f>IF(_epmOfflineCondition_,4092,_xll.EVGTS($B$1,1,$B$3,$B$5,$B$7,$B$9,Z$16,Z$17,Z$18,$G$20,$H$20))</f>
        <v>4092</v>
      </c>
      <c r="AA20" s="65">
        <f>SUM(O20:Z20)</f>
        <v>48180</v>
      </c>
      <c r="AB20" s="63"/>
      <c r="AC20" s="63"/>
      <c r="AD20" s="65">
        <f>IF(_epmOfflineCondition_,48180,_xll.EVGTS($B$1,1,$B$3,$B$5,$B$7,$B$9,AD$16,AD$17,AD$18,$G$20,$H$20))</f>
        <v>48180</v>
      </c>
      <c r="AE20" s="63"/>
      <c r="AF20" s="63"/>
      <c r="AG20" s="65">
        <f>IF(_epmOfflineCondition_,37251,_xll.EVGTS($B$1,1,$B$3,$B$5,$B$7,$B$9,AG$16,AG$17,AG$18,$G$20,$H$20))</f>
        <v>37251</v>
      </c>
      <c r="AH20" s="63"/>
      <c r="AI20" s="63"/>
      <c r="AJ20" s="11"/>
      <c r="AK20" s="11"/>
      <c r="AL20" s="11"/>
      <c r="AM20" s="11"/>
      <c r="AN20" s="11"/>
      <c r="AO20" s="11"/>
    </row>
    <row r="21" spans="1:41" hidden="1" outlineLevel="1" x14ac:dyDescent="0.25">
      <c r="A21" s="61" t="s">
        <v>6</v>
      </c>
      <c r="B21" s="62"/>
      <c r="C21" s="11"/>
      <c r="D21" s="11"/>
      <c r="E21" s="11"/>
      <c r="F21" s="11"/>
      <c r="G21" s="11"/>
      <c r="H21" s="11"/>
      <c r="I21" s="55"/>
      <c r="J21" s="55"/>
      <c r="K21" s="11"/>
      <c r="L21" s="55"/>
      <c r="M21" s="55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</row>
    <row r="22" spans="1:41" hidden="1" outlineLevel="1" x14ac:dyDescent="0.25">
      <c r="A22" s="61" t="s">
        <v>7</v>
      </c>
      <c r="B22" s="62" t="str">
        <f>IF(_epmOfflineCondition_,"'PR_Related'!$A$36:$F$40",_xll.EVRNG(A36:F40))</f>
        <v>'PR_Related'!$A$36:$F$40</v>
      </c>
      <c r="C22" s="11"/>
      <c r="D22" s="11"/>
      <c r="E22" s="11"/>
      <c r="F22" s="11"/>
      <c r="G22" s="11"/>
      <c r="H22" s="11"/>
      <c r="I22" s="55"/>
      <c r="J22" s="55"/>
      <c r="K22" s="11"/>
      <c r="L22" s="55"/>
      <c r="M22" s="55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</row>
    <row r="23" spans="1:41" hidden="1" outlineLevel="1" x14ac:dyDescent="0.25">
      <c r="A23" s="61" t="s">
        <v>47</v>
      </c>
      <c r="B23" s="62" t="str">
        <f>IF(_epmOfflineCondition_,"'PR_Related'!$A$44:$B$65",_xll.EVRNG($A$44:$B$65))</f>
        <v>'PR_Related'!$A$44:$B$65</v>
      </c>
      <c r="C23" s="11"/>
      <c r="D23" s="11"/>
      <c r="E23" s="11"/>
      <c r="F23" s="11"/>
      <c r="G23" s="11"/>
      <c r="H23" s="11"/>
      <c r="I23" s="55"/>
      <c r="J23" s="55"/>
      <c r="K23" s="6"/>
      <c r="L23" s="55"/>
      <c r="M23" s="55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</row>
    <row r="24" spans="1:41" hidden="1" outlineLevel="1" x14ac:dyDescent="0.25">
      <c r="A24" s="61" t="s">
        <v>8</v>
      </c>
      <c r="B24" s="62"/>
      <c r="C24" s="11"/>
      <c r="D24" s="11"/>
      <c r="E24" s="11"/>
      <c r="F24" s="11"/>
      <c r="G24" s="11"/>
      <c r="H24" s="11"/>
      <c r="I24" s="55"/>
      <c r="J24" s="55"/>
      <c r="K24" s="11"/>
      <c r="L24" s="55"/>
      <c r="M24" s="55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</row>
    <row r="25" spans="1:41" collapsed="1" x14ac:dyDescent="0.25">
      <c r="A25" s="11"/>
      <c r="B25" s="11"/>
      <c r="C25" s="11"/>
      <c r="D25" s="11"/>
      <c r="E25" s="11"/>
      <c r="F25" s="11"/>
      <c r="G25" s="11"/>
      <c r="H25" s="11"/>
      <c r="I25" s="55"/>
      <c r="J25" s="55"/>
      <c r="K25" s="11"/>
      <c r="L25" s="55"/>
      <c r="M25" s="55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</row>
    <row r="26" spans="1:41" ht="22.5" x14ac:dyDescent="0.3">
      <c r="A26" s="57" t="s">
        <v>9</v>
      </c>
      <c r="B26" s="58" t="s">
        <v>10</v>
      </c>
      <c r="C26" s="11"/>
      <c r="D26" s="11"/>
      <c r="E26" s="11"/>
      <c r="F26" s="11"/>
      <c r="G26" s="11"/>
      <c r="H26" s="11"/>
      <c r="I26" s="55"/>
      <c r="J26" s="55"/>
      <c r="K26" s="11"/>
      <c r="L26" s="55"/>
      <c r="M26" s="55"/>
      <c r="N26" s="66" t="str">
        <f>IF(_epmOfflineCondition_,"Anglers Boutique Resorts LLC",IF(_xll.EVDES(B3,$B$1)="#NODATA","",_xll.EVDES(B3,$B$1)))</f>
        <v>Anglers Boutique Resorts LLC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</row>
    <row r="27" spans="1:41" ht="18" x14ac:dyDescent="0.25">
      <c r="A27" s="61" t="s">
        <v>11</v>
      </c>
      <c r="B27" s="62" t="s">
        <v>21</v>
      </c>
      <c r="C27" s="11"/>
      <c r="D27" s="11"/>
      <c r="E27" s="11"/>
      <c r="F27" s="11"/>
      <c r="G27" s="11"/>
      <c r="H27" s="11"/>
      <c r="I27" s="55"/>
      <c r="J27" s="55"/>
      <c r="K27" s="11"/>
      <c r="L27" s="55"/>
      <c r="M27" s="55"/>
      <c r="N27" s="67" t="str">
        <f>IF(_epmOfflineCondition_,"Consolidated Hotel &amp; F&amp;B Departments",IF(_xll.EVDES(B6,$B$1)="#NODATA","",_xll.EVDES(B6,$B$1)))</f>
        <v>Consolidated Hotel &amp; F&amp;B Departments</v>
      </c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</row>
    <row r="28" spans="1:41" ht="15.75" x14ac:dyDescent="0.25">
      <c r="A28" s="61" t="s">
        <v>12</v>
      </c>
      <c r="B28" s="62" t="s">
        <v>22</v>
      </c>
      <c r="C28" s="11"/>
      <c r="D28" s="11"/>
      <c r="E28" s="11"/>
      <c r="F28" s="11"/>
      <c r="G28" s="11"/>
      <c r="H28" s="11"/>
      <c r="I28" s="55"/>
      <c r="J28" s="55"/>
      <c r="K28" s="11"/>
      <c r="L28" s="55"/>
      <c r="M28" s="55"/>
      <c r="N28" s="68" t="str">
        <f>IF(_epmOfflineCondition_,"For the Period ended 2019 TOTAL","For the Period ended"&amp;" "&amp;IF(_xll.EVDES($B$10,$B$1)="#NODATA","",_xll.EVDES($B$10,$B$1)))</f>
        <v>For the Period ended 2019 TOTAL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</row>
    <row r="29" spans="1:41" ht="15" customHeight="1" x14ac:dyDescent="0.25">
      <c r="A29" s="61" t="s">
        <v>13</v>
      </c>
      <c r="B29" s="62" t="s">
        <v>742</v>
      </c>
      <c r="C29" s="11"/>
      <c r="D29" s="11"/>
      <c r="E29" s="11"/>
      <c r="F29" s="11"/>
      <c r="G29" s="11"/>
      <c r="H29" s="11"/>
      <c r="I29" s="55"/>
      <c r="J29" s="55"/>
      <c r="K29" s="11"/>
      <c r="L29" s="55"/>
      <c r="M29" s="55"/>
      <c r="N29" s="68" t="str">
        <f>IF(_epmOfflineCondition_,"Local Currency",_xll.EVDES(B9,B1))</f>
        <v>Local Currency</v>
      </c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</row>
    <row r="30" spans="1:41" x14ac:dyDescent="0.25">
      <c r="A30" s="61" t="s">
        <v>14</v>
      </c>
      <c r="B30" s="62"/>
      <c r="C30" s="11"/>
      <c r="D30" s="11"/>
      <c r="E30" s="11"/>
      <c r="F30" s="11"/>
      <c r="G30" s="11"/>
      <c r="H30" s="11"/>
      <c r="I30" s="55"/>
      <c r="J30" s="55"/>
      <c r="K30" s="11"/>
      <c r="L30" s="55"/>
      <c r="M30" s="55"/>
      <c r="N30" s="11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11"/>
      <c r="AD30" s="70"/>
      <c r="AE30" s="70"/>
      <c r="AF30" s="70"/>
      <c r="AG30" s="70"/>
      <c r="AH30" s="70"/>
      <c r="AI30" s="70"/>
      <c r="AJ30" s="69" t="s">
        <v>753</v>
      </c>
      <c r="AK30" s="70"/>
      <c r="AL30" s="71"/>
      <c r="AM30" s="70" t="s">
        <v>751</v>
      </c>
      <c r="AN30" s="70"/>
      <c r="AO30" s="11"/>
    </row>
    <row r="31" spans="1:41" x14ac:dyDescent="0.25">
      <c r="A31" s="61" t="s">
        <v>15</v>
      </c>
      <c r="B31" s="62"/>
      <c r="C31" s="11"/>
      <c r="D31" s="11"/>
      <c r="E31" s="11"/>
      <c r="F31" s="11"/>
      <c r="G31" s="72"/>
      <c r="H31" s="11"/>
      <c r="I31" s="55"/>
      <c r="J31" s="55"/>
      <c r="K31" s="173"/>
      <c r="L31" s="55"/>
      <c r="M31" s="55"/>
      <c r="N31" s="11"/>
      <c r="O31" s="73" t="str">
        <f>IF(_epmOfflineCondition_,"JAN",IF($D$10="FY",_xll.EVPRO($B$1,O$16,"PERIOD")&amp;" "&amp;LEFT(O$13,4),_xll.EVPRO($B$1,O$16,"PERIOD")))</f>
        <v>JAN</v>
      </c>
      <c r="P31" s="73" t="str">
        <f>IF(_epmOfflineCondition_,"FEB",IF($D$10="FY",_xll.EVPRO($B$1,P$16,"PERIOD")&amp;" "&amp;LEFT(P$13,4),_xll.EVPRO($B$1,P$16,"PERIOD")))</f>
        <v>FEB</v>
      </c>
      <c r="Q31" s="73" t="str">
        <f>IF(_epmOfflineCondition_,"MAR",IF($D$10="FY",_xll.EVPRO($B$1,Q$16,"PERIOD")&amp;" "&amp;LEFT(Q$13,4),_xll.EVPRO($B$1,Q$16,"PERIOD")))</f>
        <v>MAR</v>
      </c>
      <c r="R31" s="73" t="str">
        <f>IF(_epmOfflineCondition_,"APR",IF($D$10="FY",_xll.EVPRO($B$1,R$16,"PERIOD")&amp;" "&amp;LEFT(R$13,4),_xll.EVPRO($B$1,R$16,"PERIOD")))</f>
        <v>APR</v>
      </c>
      <c r="S31" s="73" t="str">
        <f>IF(_epmOfflineCondition_,"MAY",IF($D$10="FY",_xll.EVPRO($B$1,S$16,"PERIOD")&amp;" "&amp;LEFT(S$13,4),_xll.EVPRO($B$1,S$16,"PERIOD")))</f>
        <v>MAY</v>
      </c>
      <c r="T31" s="73" t="str">
        <f>IF(_epmOfflineCondition_,"JUN",IF($D$10="FY",_xll.EVPRO($B$1,T$16,"PERIOD")&amp;" "&amp;LEFT(T$13,4),_xll.EVPRO($B$1,T$16,"PERIOD")))</f>
        <v>JUN</v>
      </c>
      <c r="U31" s="73" t="str">
        <f>IF(_epmOfflineCondition_,"JUL",IF($D$10="FY",_xll.EVPRO($B$1,U$16,"PERIOD")&amp;" "&amp;LEFT(U$13,4),_xll.EVPRO($B$1,U$16,"PERIOD")))</f>
        <v>JUL</v>
      </c>
      <c r="V31" s="73" t="str">
        <f>IF(_epmOfflineCondition_,"AUG",IF($D$10="FY",_xll.EVPRO($B$1,V$16,"PERIOD")&amp;" "&amp;LEFT(V$13,4),_xll.EVPRO($B$1,V$16,"PERIOD")))</f>
        <v>AUG</v>
      </c>
      <c r="W31" s="73" t="str">
        <f>IF(_epmOfflineCondition_,"SEP",IF($D$10="FY",_xll.EVPRO($B$1,W$16,"PERIOD")&amp;" "&amp;LEFT(W$13,4),_xll.EVPRO($B$1,W$16,"PERIOD")))</f>
        <v>SEP</v>
      </c>
      <c r="X31" s="73" t="str">
        <f>IF(_epmOfflineCondition_,"OCT",IF($D$10="FY",_xll.EVPRO($B$1,X$16,"PERIOD")&amp;" "&amp;LEFT(X$13,4),_xll.EVPRO($B$1,X$16,"PERIOD")))</f>
        <v>OCT</v>
      </c>
      <c r="Y31" s="73" t="str">
        <f>IF(_epmOfflineCondition_,"NOV",IF($D$10="FY",_xll.EVPRO($B$1,Y$16,"PERIOD")&amp;" "&amp;LEFT(Y$13,4),_xll.EVPRO($B$1,Y$16,"PERIOD")))</f>
        <v>NOV</v>
      </c>
      <c r="Z31" s="73" t="str">
        <f>IF(_epmOfflineCondition_,"DEC",IF($D$10="FY",_xll.EVPRO($B$1,Z$16,"PERIOD")&amp;" "&amp;LEFT(Z$13,4),_xll.EVPRO($B$1,Z$16,"PERIOD")))</f>
        <v>DEC</v>
      </c>
      <c r="AA31" s="73" t="str">
        <f>AA14</f>
        <v>TOTAL</v>
      </c>
      <c r="AB31" s="74"/>
      <c r="AC31" s="11"/>
      <c r="AD31" s="598" t="str">
        <f>IF(_epmOfflineCondition_,"2019 TOTAL",IF(_xll.EVDES(AD16,$B$1)="#NODATA","",_xll.EVDES(AD16,$B$1)))</f>
        <v>2019 TOTAL</v>
      </c>
      <c r="AE31" s="599"/>
      <c r="AF31" s="73" t="s">
        <v>632</v>
      </c>
      <c r="AG31" s="598" t="str">
        <f>IF(_epmOfflineCondition_,"2018 TOTAL",IF(_xll.EVDES(AG16,$B$1)="#NODATA","",_xll.EVDES(AG16,$B$1)))</f>
        <v>2018 TOTAL</v>
      </c>
      <c r="AH31" s="599"/>
      <c r="AI31" s="73" t="s">
        <v>632</v>
      </c>
      <c r="AJ31" s="73" t="str">
        <f>IF(_epmOfflineCondition_,"2019",_xll.EVPRO($B$1,AA$16,"YEAR"))</f>
        <v>2019</v>
      </c>
      <c r="AK31" s="83" t="str">
        <f>IF(_epmOfflineCondition_,"2019",_xll.EVPRO($B$1,AD$16,"YEAR"))</f>
        <v>2019</v>
      </c>
      <c r="AL31" s="83" t="str">
        <f>IF(_epmOfflineCondition_,"2018",_xll.EVPRO($B$1,AG$16,"YEAR"))</f>
        <v>2018</v>
      </c>
      <c r="AM31" s="73" t="str">
        <f>"vs "&amp;AK31</f>
        <v>vs 2019</v>
      </c>
      <c r="AN31" s="73" t="str">
        <f>"vs "&amp;AL31</f>
        <v>vs 2018</v>
      </c>
      <c r="AO31" s="11"/>
    </row>
    <row r="32" spans="1:41" s="8" customFormat="1" ht="30" customHeight="1" x14ac:dyDescent="0.25">
      <c r="A32" s="77" t="s">
        <v>16</v>
      </c>
      <c r="B32" s="78" t="s">
        <v>78</v>
      </c>
      <c r="C32" s="79"/>
      <c r="D32" s="79"/>
      <c r="E32" s="79"/>
      <c r="F32" s="79"/>
      <c r="G32" s="79"/>
      <c r="H32" s="80"/>
      <c r="I32" s="81"/>
      <c r="J32" s="81"/>
      <c r="K32" s="174" t="s">
        <v>117</v>
      </c>
      <c r="L32" s="81"/>
      <c r="M32" s="81"/>
      <c r="N32" s="82" t="s">
        <v>120</v>
      </c>
      <c r="O32" s="83" t="str">
        <f>IF(_epmOfflineCondition_,"Actual",IF(_xll.EVDES(O17,$B$1)="#NODATA","",_xll.EVDES(O17,$B$1)))</f>
        <v>Actual</v>
      </c>
      <c r="P32" s="83" t="str">
        <f>IF(_epmOfflineCondition_,"Actual",IF(_xll.EVDES(P17,$B$1)="#NODATA","",_xll.EVDES(P17,$B$1)))</f>
        <v>Actual</v>
      </c>
      <c r="Q32" s="83" t="str">
        <f>IF(_epmOfflineCondition_,"Actual",IF(_xll.EVDES(Q17,$B$1)="#NODATA","",_xll.EVDES(Q17,$B$1)))</f>
        <v>Actual</v>
      </c>
      <c r="R32" s="83" t="str">
        <f>IF(_epmOfflineCondition_,"Actual",IF(_xll.EVDES(R17,$B$1)="#NODATA","",_xll.EVDES(R17,$B$1)))</f>
        <v>Actual</v>
      </c>
      <c r="S32" s="83" t="str">
        <f>IF(_epmOfflineCondition_,"Actual",IF(_xll.EVDES(S17,$B$1)="#NODATA","",_xll.EVDES(S17,$B$1)))</f>
        <v>Actual</v>
      </c>
      <c r="T32" s="83" t="str">
        <f>IF(_epmOfflineCondition_,"Actual",IF(_xll.EVDES(T17,$B$1)="#NODATA","",_xll.EVDES(T17,$B$1)))</f>
        <v>Actual</v>
      </c>
      <c r="U32" s="83" t="str">
        <f>IF(_epmOfflineCondition_,"Actual",IF(_xll.EVDES(U17,$B$1)="#NODATA","",_xll.EVDES(U17,$B$1)))</f>
        <v>Actual</v>
      </c>
      <c r="V32" s="83" t="str">
        <f>IF(_epmOfflineCondition_,"Actual",IF(_xll.EVDES(V17,$B$1)="#NODATA","",_xll.EVDES(V17,$B$1)))</f>
        <v>Actual</v>
      </c>
      <c r="W32" s="83" t="str">
        <f>IF(_epmOfflineCondition_,"Actual",IF(_xll.EVDES(W17,$B$1)="#NODATA","",_xll.EVDES(W17,$B$1)))</f>
        <v>Actual</v>
      </c>
      <c r="X32" s="83" t="str">
        <f>IF(_epmOfflineCondition_,"Actual",IF(_xll.EVDES(X17,$B$1)="#NODATA","",_xll.EVDES(X17,$B$1)))</f>
        <v>Actual</v>
      </c>
      <c r="Y32" s="83" t="str">
        <f>IF(_epmOfflineCondition_,"Actual",IF(_xll.EVDES(Y17,$B$1)="#NODATA","",_xll.EVDES(Y17,$B$1)))</f>
        <v>Actual</v>
      </c>
      <c r="Z32" s="83" t="str">
        <f>IF(_epmOfflineCondition_,"Actual",IF(_xll.EVDES(Z17,$B$1)="#NODATA","",_xll.EVDES(Z17,$B$1)))</f>
        <v>Actual</v>
      </c>
      <c r="AA32" s="76"/>
      <c r="AB32" s="76" t="s">
        <v>58</v>
      </c>
      <c r="AC32" s="79"/>
      <c r="AD32" s="83" t="str">
        <f>IF(_epmOfflineCondition_,"Budget",IF(_xll.EVDES(AD17,$B$1)="#NODATA","",_xll.EVDES(AD17,$B$1)))</f>
        <v>Budget</v>
      </c>
      <c r="AE32" s="83" t="s">
        <v>58</v>
      </c>
      <c r="AF32" s="83" t="s">
        <v>57</v>
      </c>
      <c r="AG32" s="83" t="str">
        <f>IF(_epmOfflineCondition_,"Actual",IF(_xll.EVDES(AG17,$B$1)="#NODATA","",_xll.EVDES(AG17,$B$1)))</f>
        <v>Actual</v>
      </c>
      <c r="AH32" s="83" t="s">
        <v>58</v>
      </c>
      <c r="AI32" s="83" t="s">
        <v>57</v>
      </c>
      <c r="AJ32" s="83" t="str">
        <f>Z32</f>
        <v>Actual</v>
      </c>
      <c r="AK32" s="83" t="str">
        <f>AD32</f>
        <v>Budget</v>
      </c>
      <c r="AL32" s="83" t="str">
        <f>AG32</f>
        <v>Actual</v>
      </c>
      <c r="AM32" s="73" t="s">
        <v>748</v>
      </c>
      <c r="AN32" s="73" t="s">
        <v>748</v>
      </c>
      <c r="AO32" s="79"/>
    </row>
    <row r="33" spans="1:41" x14ac:dyDescent="0.25">
      <c r="A33" s="61" t="s">
        <v>17</v>
      </c>
      <c r="B33" s="62"/>
      <c r="C33" s="11"/>
      <c r="D33" s="11"/>
      <c r="E33" s="11"/>
      <c r="F33" s="11"/>
      <c r="G33" s="11"/>
      <c r="H33" s="11" t="s">
        <v>553</v>
      </c>
      <c r="I33" s="55" t="str">
        <f>IF(_epmOfflineCondition_,"B1",_xll.EVPRO($B$1,$H33,"STYLE"))</f>
        <v>B1</v>
      </c>
      <c r="J33" s="55" t="str">
        <f>IF(_epmOfflineCondition_,"Y",_xll.EVPRO($B$1,$H33,"CALC"))</f>
        <v>Y</v>
      </c>
      <c r="K33" s="11"/>
      <c r="L33" s="55"/>
      <c r="M33" s="55"/>
      <c r="N33" s="101" t="str">
        <f>IF(_epmOfflineCondition_,"Payroll Related Expenses",IF(_xll.EVDES(H33,$B$1)="#NODATA","",_xll.EVDES(H33,$B$1)))</f>
        <v>Payroll Related Expenses</v>
      </c>
      <c r="O33" s="199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114"/>
      <c r="AC33" s="11"/>
      <c r="AD33" s="199"/>
      <c r="AE33" s="200"/>
      <c r="AF33" s="114"/>
      <c r="AG33" s="199"/>
      <c r="AH33" s="200"/>
      <c r="AI33" s="114"/>
      <c r="AJ33" s="11"/>
      <c r="AK33" s="11"/>
      <c r="AL33" s="11"/>
      <c r="AM33" s="11"/>
      <c r="AN33" s="11"/>
      <c r="AO33" s="11"/>
    </row>
    <row r="34" spans="1:41" x14ac:dyDescent="0.25">
      <c r="A34" s="11"/>
      <c r="B34" s="11"/>
      <c r="C34" s="11"/>
      <c r="D34" s="11"/>
      <c r="E34" s="11"/>
      <c r="F34" s="11"/>
      <c r="G34" s="11"/>
      <c r="H34" s="11"/>
      <c r="I34" s="55"/>
      <c r="J34" s="55"/>
      <c r="K34" s="11"/>
      <c r="L34" s="55"/>
      <c r="M34" s="55"/>
      <c r="N34" s="49" t="s">
        <v>561</v>
      </c>
      <c r="O34" s="115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7"/>
      <c r="AC34" s="11"/>
      <c r="AD34" s="115"/>
      <c r="AE34" s="116"/>
      <c r="AF34" s="117"/>
      <c r="AG34" s="115"/>
      <c r="AH34" s="116"/>
      <c r="AI34" s="117"/>
      <c r="AJ34" s="11"/>
      <c r="AK34" s="11"/>
      <c r="AL34" s="11"/>
      <c r="AM34" s="11"/>
      <c r="AN34" s="11"/>
      <c r="AO34" s="11"/>
    </row>
    <row r="35" spans="1:41" x14ac:dyDescent="0.25">
      <c r="A35" s="93" t="s">
        <v>92</v>
      </c>
      <c r="B35" s="94" t="s">
        <v>93</v>
      </c>
      <c r="C35" s="94" t="s">
        <v>94</v>
      </c>
      <c r="D35" s="94" t="s">
        <v>95</v>
      </c>
      <c r="E35" s="94" t="s">
        <v>96</v>
      </c>
      <c r="F35" s="95" t="s">
        <v>97</v>
      </c>
      <c r="G35" s="11"/>
      <c r="H35" s="84" t="s">
        <v>923</v>
      </c>
      <c r="I35" s="118" t="str">
        <f>IF(_epmOfflineCondition_,"N",_xll.EVPRO($B$1,$H35,"STYLE"))</f>
        <v>N</v>
      </c>
      <c r="J35" s="118" t="str">
        <f>IF(_epmOfflineCondition_,"N",_xll.EVPRO($B$1,$H35,"CALC"))</f>
        <v>N</v>
      </c>
      <c r="K35" s="175" t="str">
        <f t="shared" ref="K35:K41" si="0">IF(AND(I35&gt;="T4"),"&gt;","")</f>
        <v/>
      </c>
      <c r="L35" s="86" t="str">
        <f>IF(_epmOfflineCondition_,"691100",_xll.EVPRO($B$1,H35,"JDEID"))</f>
        <v>691100</v>
      </c>
      <c r="M35" s="86" t="str">
        <f>IF(_epmOfflineCondition_,"490250",IF(AND(I35="N",J35="N"),_xll.EVPRO($B$1,H35,"PSFTID"),""))</f>
        <v>490250</v>
      </c>
      <c r="N35" s="86" t="str">
        <f>IF(_epmOfflineCondition_,"National Disability Insurance",IF(_xll.EVDES(H35,$B$1)="#NODATA","",_xll.EVDES(H35,$B$1)))</f>
        <v>National Disability Insurance</v>
      </c>
      <c r="O35" s="134"/>
      <c r="P35" s="134"/>
      <c r="Q35" s="134"/>
      <c r="R35" s="134"/>
      <c r="S35" s="134"/>
      <c r="T35" s="134"/>
      <c r="U35" s="134"/>
      <c r="V35" s="134"/>
      <c r="W35" s="134"/>
      <c r="X35" s="134"/>
      <c r="Y35" s="134"/>
      <c r="Z35" s="134"/>
      <c r="AA35" s="240">
        <f t="shared" ref="AA35:AA41" si="1">IF($I35="B1","",SUM(O35:Z35))</f>
        <v>0</v>
      </c>
      <c r="AB35" s="138" t="str">
        <f t="shared" ref="AB35:AB41" si="2">IF(AA35=0,"",IFERROR(AA35/AA$19,""))</f>
        <v/>
      </c>
      <c r="AC35" s="136"/>
      <c r="AD35" s="134"/>
      <c r="AE35" s="138" t="str">
        <f t="shared" ref="AE35:AE41" si="3">IF(AD35=0,"",IFERROR(AD35/AD$19,""))</f>
        <v/>
      </c>
      <c r="AF35" s="137">
        <f t="shared" ref="AF35:AF41" si="4">IF(AND($AA35="",AD35=""),"",$AA35-AD35)</f>
        <v>0</v>
      </c>
      <c r="AG35" s="134">
        <v>21.96</v>
      </c>
      <c r="AH35" s="138">
        <f t="shared" ref="AH35:AH41" si="5">IF(AG35=0,"",IFERROR(AG35/AG$19,""))</f>
        <v>6.738947773513797E-6</v>
      </c>
      <c r="AI35" s="137">
        <f t="shared" ref="AI35:AI41" si="6">IF(AND($AA35="",AG35=""),"",$AA35-AG35)</f>
        <v>-21.96</v>
      </c>
      <c r="AJ35" s="458">
        <f t="shared" ref="AJ35:AJ41" si="7">IFERROR(AA35/AA$20,0)</f>
        <v>0</v>
      </c>
      <c r="AK35" s="459">
        <f t="shared" ref="AK35:AK41" si="8">IFERROR(AD35/AD$20,0)</f>
        <v>0</v>
      </c>
      <c r="AL35" s="460">
        <f t="shared" ref="AL35:AL41" si="9">IFERROR(AG35/AG$20,0)</f>
        <v>5.8951437545300795E-4</v>
      </c>
      <c r="AM35" s="461">
        <f t="shared" ref="AM35:AM41" si="10">+IFERROR(ROUND(($AB35-AE35)*100,2)&amp;" pts.",0)</f>
        <v>0</v>
      </c>
      <c r="AN35" s="462">
        <f t="shared" ref="AN35:AN41" si="11">+IFERROR(ROUND(($AB35-AH35)*100,2)&amp;" pts.",0)</f>
        <v>0</v>
      </c>
      <c r="AO35" s="11"/>
    </row>
    <row r="36" spans="1:41" x14ac:dyDescent="0.25">
      <c r="A36" s="11"/>
      <c r="B36" s="11"/>
      <c r="C36" s="11"/>
      <c r="D36" s="11"/>
      <c r="E36" s="11"/>
      <c r="F36" s="11"/>
      <c r="G36" s="11"/>
      <c r="H36" s="84" t="s">
        <v>887</v>
      </c>
      <c r="I36" s="118" t="str">
        <f>IF(_epmOfflineCondition_,"T4",_xll.EVPRO($B$1,$H36,"STYLE"))</f>
        <v>T4</v>
      </c>
      <c r="J36" s="118" t="str">
        <f>IF(_epmOfflineCondition_,"Y",_xll.EVPRO($B$1,$H36,"CALC"))</f>
        <v>Y</v>
      </c>
      <c r="K36" s="175" t="str">
        <f t="shared" si="0"/>
        <v>&gt;</v>
      </c>
      <c r="L36" s="86" t="str">
        <f>IF(_epmOfflineCondition_,"",_xll.EVPRO($B$1,H36,"JDEID"))</f>
        <v/>
      </c>
      <c r="M36" s="86" t="str">
        <f>IF(_epmOfflineCondition_,"",IF(AND(I36="N",J36="N"),_xll.EVPRO($B$1,H36,"PSFTID"),""))</f>
        <v/>
      </c>
      <c r="N36" s="86" t="str">
        <f>IF(_epmOfflineCondition_,"National Medical Insurance",IF(_xll.EVDES(H36,$B$1)="#NODATA","",_xll.EVDES(H36,$B$1)))</f>
        <v>National Medical Insurance</v>
      </c>
      <c r="O36" s="134">
        <v>3024.04</v>
      </c>
      <c r="P36" s="134">
        <v>4381.47</v>
      </c>
      <c r="Q36" s="134">
        <v>2992.78</v>
      </c>
      <c r="R36" s="134">
        <v>2845.17</v>
      </c>
      <c r="S36" s="134">
        <v>3215.63</v>
      </c>
      <c r="T36" s="134">
        <v>2745.08</v>
      </c>
      <c r="U36" s="134">
        <v>2751.73</v>
      </c>
      <c r="V36" s="134">
        <v>3236.12</v>
      </c>
      <c r="W36" s="134">
        <v>2600.31</v>
      </c>
      <c r="X36" s="134">
        <v>2866.84</v>
      </c>
      <c r="Y36" s="134">
        <v>4038.15</v>
      </c>
      <c r="Z36" s="134">
        <v>3450.83</v>
      </c>
      <c r="AA36" s="240">
        <f t="shared" si="1"/>
        <v>38148.15</v>
      </c>
      <c r="AB36" s="138">
        <f t="shared" si="2"/>
        <v>4.5490336697654541E-3</v>
      </c>
      <c r="AC36" s="136"/>
      <c r="AD36" s="134">
        <v>54437.159817610103</v>
      </c>
      <c r="AE36" s="138">
        <f t="shared" si="3"/>
        <v>4.1722583155805711E-3</v>
      </c>
      <c r="AF36" s="137">
        <f t="shared" si="4"/>
        <v>-16289.009817610102</v>
      </c>
      <c r="AG36" s="134">
        <v>30481.5</v>
      </c>
      <c r="AH36" s="138">
        <f t="shared" si="5"/>
        <v>9.3539725208725329E-3</v>
      </c>
      <c r="AI36" s="137">
        <f t="shared" si="6"/>
        <v>7666.6500000000015</v>
      </c>
      <c r="AJ36" s="458">
        <f t="shared" si="7"/>
        <v>0.79178393524283941</v>
      </c>
      <c r="AK36" s="459">
        <f t="shared" si="8"/>
        <v>1.1298704818931113</v>
      </c>
      <c r="AL36" s="460">
        <f t="shared" si="9"/>
        <v>0.81827333494402832</v>
      </c>
      <c r="AM36" s="461" t="str">
        <f t="shared" si="10"/>
        <v>0.04 pts.</v>
      </c>
      <c r="AN36" s="462" t="str">
        <f t="shared" si="11"/>
        <v>-0.48 pts.</v>
      </c>
      <c r="AO36" s="11"/>
    </row>
    <row r="37" spans="1:41" x14ac:dyDescent="0.25">
      <c r="A37" s="11" t="s">
        <v>105</v>
      </c>
      <c r="B37" s="11"/>
      <c r="C37" s="100" t="s">
        <v>101</v>
      </c>
      <c r="D37" s="11" t="s">
        <v>106</v>
      </c>
      <c r="E37" s="11"/>
      <c r="F37" s="11" t="s">
        <v>98</v>
      </c>
      <c r="G37" s="11"/>
      <c r="H37" s="84" t="s">
        <v>888</v>
      </c>
      <c r="I37" s="118" t="str">
        <f>IF(_epmOfflineCondition_,"T4",_xll.EVPRO($B$1,$H37,"STYLE"))</f>
        <v>T4</v>
      </c>
      <c r="J37" s="118" t="str">
        <f>IF(_epmOfflineCondition_,"Y",_xll.EVPRO($B$1,$H37,"CALC"))</f>
        <v>Y</v>
      </c>
      <c r="K37" s="175" t="str">
        <f t="shared" si="0"/>
        <v>&gt;</v>
      </c>
      <c r="L37" s="86" t="str">
        <f>IF(_epmOfflineCondition_,"",_xll.EVPRO($B$1,H37,"JDEID"))</f>
        <v/>
      </c>
      <c r="M37" s="86" t="str">
        <f>IF(_epmOfflineCondition_,"",IF(AND(I37="N",J37="N"),_xll.EVPRO($B$1,H37,"PSFTID"),""))</f>
        <v/>
      </c>
      <c r="N37" s="86" t="str">
        <f>IF(_epmOfflineCondition_,"National Retirement Insurance",IF(_xll.EVDES(H37,$B$1)="#NODATA","",_xll.EVDES(H37,$B$1)))</f>
        <v>National Retirement Insurance</v>
      </c>
      <c r="O37" s="134">
        <v>13788.31</v>
      </c>
      <c r="P37" s="134">
        <v>15345.98</v>
      </c>
      <c r="Q37" s="134">
        <v>13618.91</v>
      </c>
      <c r="R37" s="134">
        <v>12938.41</v>
      </c>
      <c r="S37" s="134">
        <v>12365.58</v>
      </c>
      <c r="T37" s="134">
        <v>12385.39</v>
      </c>
      <c r="U37" s="134">
        <v>12130.45</v>
      </c>
      <c r="V37" s="134">
        <v>11649.79</v>
      </c>
      <c r="W37" s="134">
        <v>11549.9</v>
      </c>
      <c r="X37" s="134">
        <v>9593.9500000000007</v>
      </c>
      <c r="Y37" s="134">
        <v>15122.9</v>
      </c>
      <c r="Z37" s="134">
        <v>15434.55</v>
      </c>
      <c r="AA37" s="240">
        <f t="shared" si="1"/>
        <v>155924.12</v>
      </c>
      <c r="AB37" s="138">
        <f t="shared" si="2"/>
        <v>1.8593406805010176E-2</v>
      </c>
      <c r="AC37" s="136"/>
      <c r="AD37" s="134">
        <v>214815.76196498499</v>
      </c>
      <c r="AE37" s="138">
        <f t="shared" si="3"/>
        <v>1.6464247072755036E-2</v>
      </c>
      <c r="AF37" s="137">
        <f t="shared" si="4"/>
        <v>-58891.641964985</v>
      </c>
      <c r="AG37" s="134">
        <v>112929.49</v>
      </c>
      <c r="AH37" s="138">
        <f t="shared" si="5"/>
        <v>3.4655097231309134E-2</v>
      </c>
      <c r="AI37" s="137">
        <f t="shared" si="6"/>
        <v>42994.62999999999</v>
      </c>
      <c r="AJ37" s="458">
        <f t="shared" si="7"/>
        <v>3.2362831050228311</v>
      </c>
      <c r="AK37" s="459">
        <f t="shared" si="8"/>
        <v>4.4586085920503322</v>
      </c>
      <c r="AL37" s="460">
        <f t="shared" si="9"/>
        <v>3.0315827763013075</v>
      </c>
      <c r="AM37" s="461" t="str">
        <f t="shared" si="10"/>
        <v>0.21 pts.</v>
      </c>
      <c r="AN37" s="462" t="str">
        <f t="shared" si="11"/>
        <v>-1.61 pts.</v>
      </c>
      <c r="AO37" s="11"/>
    </row>
    <row r="38" spans="1:41" x14ac:dyDescent="0.25">
      <c r="A38" s="11" t="s">
        <v>102</v>
      </c>
      <c r="B38" s="11"/>
      <c r="C38" s="100" t="s">
        <v>101</v>
      </c>
      <c r="D38" s="11" t="s">
        <v>106</v>
      </c>
      <c r="E38" s="11"/>
      <c r="F38" s="11" t="s">
        <v>98</v>
      </c>
      <c r="G38" s="11"/>
      <c r="H38" s="84" t="s">
        <v>889</v>
      </c>
      <c r="I38" s="118" t="str">
        <f>IF(_epmOfflineCondition_,"T4",_xll.EVPRO($B$1,$H38,"STYLE"))</f>
        <v>T4</v>
      </c>
      <c r="J38" s="118" t="str">
        <f>IF(_epmOfflineCondition_,"Y",_xll.EVPRO($B$1,$H38,"CALC"))</f>
        <v>Y</v>
      </c>
      <c r="K38" s="175" t="str">
        <f t="shared" si="0"/>
        <v>&gt;</v>
      </c>
      <c r="L38" s="86" t="str">
        <f>IF(_epmOfflineCondition_,"",_xll.EVPRO($B$1,H38,"JDEID"))</f>
        <v/>
      </c>
      <c r="M38" s="86" t="str">
        <f>IF(_epmOfflineCondition_,"",IF(AND(I38="N",J38="N"),_xll.EVPRO($B$1,H38,"PSFTID"),""))</f>
        <v/>
      </c>
      <c r="N38" s="86" t="str">
        <f>IF(_epmOfflineCondition_,"National Unemployment Insurance",IF(_xll.EVDES(H38,$B$1)="#NODATA","",_xll.EVDES(H38,$B$1)))</f>
        <v>National Unemployment Insurance</v>
      </c>
      <c r="O38" s="134">
        <v>1029.47</v>
      </c>
      <c r="P38" s="134">
        <v>487.97</v>
      </c>
      <c r="Q38" s="134">
        <v>304.51</v>
      </c>
      <c r="R38" s="134">
        <v>88.23</v>
      </c>
      <c r="S38" s="134">
        <v>101.05</v>
      </c>
      <c r="T38" s="134">
        <v>143.72</v>
      </c>
      <c r="U38" s="134">
        <v>93.25</v>
      </c>
      <c r="V38" s="134">
        <v>109.5</v>
      </c>
      <c r="W38" s="134">
        <v>128.81</v>
      </c>
      <c r="X38" s="134">
        <v>271.19</v>
      </c>
      <c r="Y38" s="134">
        <v>354.34</v>
      </c>
      <c r="Z38" s="134">
        <v>842.53</v>
      </c>
      <c r="AA38" s="240">
        <f t="shared" si="1"/>
        <v>3954.5699999999997</v>
      </c>
      <c r="AB38" s="138">
        <f t="shared" si="2"/>
        <v>4.7156866268598531E-4</v>
      </c>
      <c r="AC38" s="136"/>
      <c r="AD38" s="134">
        <v>10328.3093404518</v>
      </c>
      <c r="AE38" s="138">
        <f t="shared" si="3"/>
        <v>7.915985087386645E-4</v>
      </c>
      <c r="AF38" s="137">
        <f t="shared" si="4"/>
        <v>-6373.7393404518007</v>
      </c>
      <c r="AG38" s="134">
        <v>3069.65</v>
      </c>
      <c r="AH38" s="138">
        <f t="shared" si="5"/>
        <v>9.4199503793108508E-4</v>
      </c>
      <c r="AI38" s="137">
        <f t="shared" si="6"/>
        <v>884.91999999999962</v>
      </c>
      <c r="AJ38" s="458">
        <f t="shared" si="7"/>
        <v>8.207907845579078E-2</v>
      </c>
      <c r="AK38" s="459">
        <f t="shared" si="8"/>
        <v>0.21436922665943961</v>
      </c>
      <c r="AL38" s="460">
        <f t="shared" si="9"/>
        <v>8.2404499208074952E-2</v>
      </c>
      <c r="AM38" s="461" t="str">
        <f t="shared" si="10"/>
        <v>-0.03 pts.</v>
      </c>
      <c r="AN38" s="462" t="str">
        <f t="shared" si="11"/>
        <v>-0.05 pts.</v>
      </c>
      <c r="AO38" s="11"/>
    </row>
    <row r="39" spans="1:41" x14ac:dyDescent="0.25">
      <c r="A39" s="11" t="s">
        <v>108</v>
      </c>
      <c r="B39" s="11"/>
      <c r="C39" s="102" t="s">
        <v>101</v>
      </c>
      <c r="D39" s="11" t="s">
        <v>106</v>
      </c>
      <c r="E39" s="11"/>
      <c r="F39" s="11" t="s">
        <v>98</v>
      </c>
      <c r="G39" s="11"/>
      <c r="H39" s="84" t="s">
        <v>890</v>
      </c>
      <c r="I39" s="118" t="str">
        <f>IF(_epmOfflineCondition_,"T4",_xll.EVPRO($B$1,$H39,"STYLE"))</f>
        <v>T4</v>
      </c>
      <c r="J39" s="118" t="str">
        <f>IF(_epmOfflineCondition_,"Y",_xll.EVPRO($B$1,$H39,"CALC"))</f>
        <v>Y</v>
      </c>
      <c r="K39" s="175" t="str">
        <f t="shared" si="0"/>
        <v>&gt;</v>
      </c>
      <c r="L39" s="86" t="str">
        <f>IF(_epmOfflineCondition_,"",_xll.EVPRO($B$1,H39,"JDEID"))</f>
        <v/>
      </c>
      <c r="M39" s="86" t="str">
        <f>IF(_epmOfflineCondition_,"",IF(AND(I39="N",J39="N"),_xll.EVPRO($B$1,H39,"PSFTID"),""))</f>
        <v/>
      </c>
      <c r="N39" s="86" t="str">
        <f>IF(_epmOfflineCondition_,"State Unemployment Insurance",IF(_xll.EVDES(H39,$B$1)="#NODATA","",_xll.EVDES(H39,$B$1)))</f>
        <v>State Unemployment Insurance</v>
      </c>
      <c r="O39" s="134">
        <v>1126.76</v>
      </c>
      <c r="P39" s="134">
        <v>571.62</v>
      </c>
      <c r="Q39" s="134">
        <v>348.89</v>
      </c>
      <c r="R39" s="134">
        <v>101.26</v>
      </c>
      <c r="S39" s="134">
        <v>117.53</v>
      </c>
      <c r="T39" s="134">
        <v>164.45</v>
      </c>
      <c r="U39" s="134">
        <v>105.88</v>
      </c>
      <c r="V39" s="134">
        <v>126.17</v>
      </c>
      <c r="W39" s="134">
        <v>148.37</v>
      </c>
      <c r="X39" s="134">
        <v>319.36</v>
      </c>
      <c r="Y39" s="134">
        <v>407.9</v>
      </c>
      <c r="Z39" s="134">
        <v>967.4</v>
      </c>
      <c r="AA39" s="240">
        <f t="shared" si="1"/>
        <v>4505.59</v>
      </c>
      <c r="AB39" s="138">
        <f t="shared" si="2"/>
        <v>5.3727587346066668E-4</v>
      </c>
      <c r="AC39" s="136"/>
      <c r="AD39" s="134">
        <v>45368.467887654697</v>
      </c>
      <c r="AE39" s="138">
        <f t="shared" si="3"/>
        <v>3.4772013830924285E-3</v>
      </c>
      <c r="AF39" s="137">
        <f t="shared" si="4"/>
        <v>-40862.8778876547</v>
      </c>
      <c r="AG39" s="134">
        <v>3156.28</v>
      </c>
      <c r="AH39" s="138">
        <f t="shared" si="5"/>
        <v>9.685795117753246E-4</v>
      </c>
      <c r="AI39" s="137">
        <f t="shared" si="6"/>
        <v>1349.31</v>
      </c>
      <c r="AJ39" s="458">
        <f t="shared" si="7"/>
        <v>9.3515774180157746E-2</v>
      </c>
      <c r="AK39" s="459">
        <f t="shared" si="8"/>
        <v>0.9416452446586695</v>
      </c>
      <c r="AL39" s="460">
        <f t="shared" si="9"/>
        <v>8.4730074360419863E-2</v>
      </c>
      <c r="AM39" s="461" t="str">
        <f t="shared" si="10"/>
        <v>-0.29 pts.</v>
      </c>
      <c r="AN39" s="462" t="str">
        <f t="shared" si="11"/>
        <v>-0.04 pts.</v>
      </c>
      <c r="AO39" s="11"/>
    </row>
    <row r="40" spans="1:41" x14ac:dyDescent="0.25">
      <c r="A40" s="11" t="s">
        <v>108</v>
      </c>
      <c r="B40" s="11"/>
      <c r="C40" s="105" t="s">
        <v>101</v>
      </c>
      <c r="D40" s="11" t="s">
        <v>107</v>
      </c>
      <c r="E40" s="11"/>
      <c r="F40" s="11" t="s">
        <v>99</v>
      </c>
      <c r="G40" s="11"/>
      <c r="H40" s="84" t="s">
        <v>891</v>
      </c>
      <c r="I40" s="118" t="str">
        <f>IF(_epmOfflineCondition_,"T4",_xll.EVPRO($B$1,$H40,"STYLE"))</f>
        <v>T4</v>
      </c>
      <c r="J40" s="118" t="str">
        <f>IF(_epmOfflineCondition_,"Y",_xll.EVPRO($B$1,$H40,"CALC"))</f>
        <v>Y</v>
      </c>
      <c r="K40" s="175" t="str">
        <f t="shared" si="0"/>
        <v>&gt;</v>
      </c>
      <c r="L40" s="86" t="str">
        <f>IF(_epmOfflineCondition_,"",_xll.EVPRO($B$1,H40,"JDEID"))</f>
        <v/>
      </c>
      <c r="M40" s="86" t="str">
        <f>IF(_epmOfflineCondition_,"",IF(AND(I40="N",J40="N"),_xll.EVPRO($B$1,H40,"PSFTID"),""))</f>
        <v/>
      </c>
      <c r="N40" s="86" t="str">
        <f>IF(_epmOfflineCondition_,"Other/ Local Payroll Tax",IF(_xll.EVDES(H40,$B$1)="#NODATA","",_xll.EVDES(H40,$B$1)))</f>
        <v>Other/ Local Payroll Tax</v>
      </c>
      <c r="O40" s="228">
        <v>2835.62</v>
      </c>
      <c r="P40" s="228">
        <v>1528.71</v>
      </c>
      <c r="Q40" s="228">
        <v>7553.67</v>
      </c>
      <c r="R40" s="228">
        <v>3731.83</v>
      </c>
      <c r="S40" s="228">
        <v>4489.5600000000004</v>
      </c>
      <c r="T40" s="228">
        <v>4099.3</v>
      </c>
      <c r="U40" s="228">
        <v>3986.78</v>
      </c>
      <c r="V40" s="228">
        <v>5378.24</v>
      </c>
      <c r="W40" s="228">
        <v>3065.19</v>
      </c>
      <c r="X40" s="228">
        <v>2652.93</v>
      </c>
      <c r="Y40" s="228">
        <v>1931.69</v>
      </c>
      <c r="Z40" s="228">
        <v>6355.55</v>
      </c>
      <c r="AA40" s="248">
        <f t="shared" si="1"/>
        <v>47609.070000000007</v>
      </c>
      <c r="AB40" s="230">
        <f t="shared" si="2"/>
        <v>5.6772153411428971E-3</v>
      </c>
      <c r="AC40" s="136"/>
      <c r="AD40" s="228">
        <v>33036.9999999996</v>
      </c>
      <c r="AE40" s="230">
        <f t="shared" si="3"/>
        <v>2.5320736503090593E-3</v>
      </c>
      <c r="AF40" s="231">
        <f t="shared" si="4"/>
        <v>14572.070000000407</v>
      </c>
      <c r="AG40" s="228">
        <v>25174.95</v>
      </c>
      <c r="AH40" s="230">
        <f t="shared" si="5"/>
        <v>7.7255315687987779E-3</v>
      </c>
      <c r="AI40" s="231">
        <f t="shared" si="6"/>
        <v>22434.120000000006</v>
      </c>
      <c r="AJ40" s="467">
        <f t="shared" si="7"/>
        <v>0.98815006226650082</v>
      </c>
      <c r="AK40" s="468">
        <f t="shared" si="8"/>
        <v>0.68569946035698626</v>
      </c>
      <c r="AL40" s="469">
        <f t="shared" si="9"/>
        <v>0.67581944108882985</v>
      </c>
      <c r="AM40" s="470" t="str">
        <f t="shared" si="10"/>
        <v>0.31 pts.</v>
      </c>
      <c r="AN40" s="471" t="str">
        <f t="shared" si="11"/>
        <v>-0.2 pts.</v>
      </c>
      <c r="AO40" s="11"/>
    </row>
    <row r="41" spans="1:41" x14ac:dyDescent="0.25">
      <c r="A41" s="11"/>
      <c r="B41" s="11"/>
      <c r="C41" s="11"/>
      <c r="D41" s="11"/>
      <c r="E41" s="11"/>
      <c r="F41" s="11"/>
      <c r="G41" s="11"/>
      <c r="H41" s="84" t="s">
        <v>815</v>
      </c>
      <c r="I41" s="184" t="str">
        <f>IF(_epmOfflineCondition_,"T3",_xll.EVPRO($B$1,$H41,"STYLE"))</f>
        <v>T3</v>
      </c>
      <c r="J41" s="184" t="str">
        <f>IF(_epmOfflineCondition_,"Y",_xll.EVPRO($B$1,$H41,"CALC"))</f>
        <v>Y</v>
      </c>
      <c r="K41" s="185" t="str">
        <f t="shared" si="0"/>
        <v/>
      </c>
      <c r="L41" s="186" t="str">
        <f>IF(_epmOfflineCondition_,"",_xll.EVPRO($B$1,H41,"JDEID"))</f>
        <v/>
      </c>
      <c r="M41" s="186" t="str">
        <f>IF(_epmOfflineCondition_,"",IF(AND(I41="N",J41="N"),_xll.EVPRO($B$1,H41,"PSFTID"),""))</f>
        <v/>
      </c>
      <c r="N41" s="186" t="str">
        <f>IF(_epmOfflineCondition_,"Payroll Taxes",IF(_xll.EVDES(H41,$B$1)="#NODATA","",_xll.EVDES(H41,$B$1)))</f>
        <v>Payroll Taxes</v>
      </c>
      <c r="O41" s="146">
        <v>21804.2</v>
      </c>
      <c r="P41" s="146">
        <v>22315.75</v>
      </c>
      <c r="Q41" s="146">
        <v>24818.76</v>
      </c>
      <c r="R41" s="146">
        <v>19704.900000000001</v>
      </c>
      <c r="S41" s="146">
        <v>20289.349999999999</v>
      </c>
      <c r="T41" s="146">
        <v>19537.939999999999</v>
      </c>
      <c r="U41" s="146">
        <v>19068.09</v>
      </c>
      <c r="V41" s="146">
        <v>20499.82</v>
      </c>
      <c r="W41" s="146">
        <v>17492.580000000002</v>
      </c>
      <c r="X41" s="146">
        <v>15704.27</v>
      </c>
      <c r="Y41" s="146">
        <v>21854.98</v>
      </c>
      <c r="Z41" s="146">
        <v>27050.86</v>
      </c>
      <c r="AA41" s="146">
        <f t="shared" si="1"/>
        <v>250141.5</v>
      </c>
      <c r="AB41" s="147">
        <f t="shared" si="2"/>
        <v>2.982850035206518E-2</v>
      </c>
      <c r="AC41" s="251"/>
      <c r="AD41" s="146">
        <v>357986.69901070098</v>
      </c>
      <c r="AE41" s="147">
        <f t="shared" si="3"/>
        <v>2.7437378930475743E-2</v>
      </c>
      <c r="AF41" s="148">
        <f t="shared" si="4"/>
        <v>-107845.19901070098</v>
      </c>
      <c r="AG41" s="146">
        <v>174833.83</v>
      </c>
      <c r="AH41" s="147">
        <f t="shared" si="5"/>
        <v>5.3651914818460364E-2</v>
      </c>
      <c r="AI41" s="148">
        <f t="shared" si="6"/>
        <v>75307.670000000013</v>
      </c>
      <c r="AJ41" s="206">
        <f t="shared" si="7"/>
        <v>5.1918119551681192</v>
      </c>
      <c r="AK41" s="207">
        <f t="shared" si="8"/>
        <v>7.4301930056185341</v>
      </c>
      <c r="AL41" s="209">
        <f t="shared" si="9"/>
        <v>4.6933996402781126</v>
      </c>
      <c r="AM41" s="429" t="str">
        <f t="shared" si="10"/>
        <v>0.24 pts.</v>
      </c>
      <c r="AN41" s="591" t="str">
        <f t="shared" si="11"/>
        <v>-2.38 pts.</v>
      </c>
      <c r="AO41" s="11"/>
    </row>
    <row r="42" spans="1:41" x14ac:dyDescent="0.2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86"/>
      <c r="M42" s="86"/>
      <c r="N42" s="86"/>
      <c r="O42" s="125"/>
      <c r="P42" s="126"/>
      <c r="Q42" s="126"/>
      <c r="R42" s="126"/>
      <c r="S42" s="126"/>
      <c r="T42" s="126"/>
      <c r="U42" s="126"/>
      <c r="V42" s="126"/>
      <c r="W42" s="126"/>
      <c r="X42" s="126"/>
      <c r="Y42" s="126"/>
      <c r="Z42" s="126"/>
      <c r="AA42" s="126"/>
      <c r="AB42" s="127"/>
      <c r="AC42" s="11"/>
      <c r="AD42" s="125"/>
      <c r="AE42" s="126"/>
      <c r="AF42" s="127"/>
      <c r="AG42" s="125"/>
      <c r="AH42" s="126"/>
      <c r="AI42" s="127"/>
      <c r="AJ42" s="11"/>
      <c r="AK42" s="11"/>
      <c r="AL42" s="11"/>
      <c r="AM42" s="11"/>
      <c r="AN42" s="11"/>
      <c r="AO42" s="11"/>
    </row>
    <row r="43" spans="1:41" x14ac:dyDescent="0.25">
      <c r="A43" s="57" t="s">
        <v>23</v>
      </c>
      <c r="B43" s="58" t="s">
        <v>24</v>
      </c>
      <c r="C43" s="11"/>
      <c r="D43" s="11"/>
      <c r="E43" s="11"/>
      <c r="F43" s="11"/>
      <c r="G43" s="11"/>
      <c r="H43" s="11"/>
      <c r="I43" s="55"/>
      <c r="J43" s="55"/>
      <c r="K43" s="11"/>
      <c r="L43" s="55"/>
      <c r="M43" s="55"/>
      <c r="N43" s="49" t="s">
        <v>560</v>
      </c>
      <c r="O43" s="115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116"/>
      <c r="AA43" s="116"/>
      <c r="AB43" s="117"/>
      <c r="AC43" s="11"/>
      <c r="AD43" s="115"/>
      <c r="AE43" s="116"/>
      <c r="AF43" s="117"/>
      <c r="AG43" s="115"/>
      <c r="AH43" s="116"/>
      <c r="AI43" s="117"/>
      <c r="AJ43" s="11"/>
      <c r="AK43" s="11"/>
      <c r="AL43" s="11"/>
      <c r="AM43" s="11"/>
      <c r="AN43" s="11"/>
      <c r="AO43" s="11"/>
    </row>
    <row r="44" spans="1:41" x14ac:dyDescent="0.25">
      <c r="A44" s="61" t="s">
        <v>25</v>
      </c>
      <c r="B44" s="62"/>
      <c r="C44" s="11"/>
      <c r="D44" s="11"/>
      <c r="E44" s="11"/>
      <c r="F44" s="11"/>
      <c r="G44" s="11"/>
      <c r="H44" s="84" t="s">
        <v>882</v>
      </c>
      <c r="I44" s="118" t="str">
        <f>IF(_epmOfflineCondition_,"N",_xll.EVPRO($B$1,$H44,"STYLE"))</f>
        <v>N</v>
      </c>
      <c r="J44" s="118" t="str">
        <f>IF(_epmOfflineCondition_,"N",_xll.EVPRO($B$1,$H44,"CALC"))</f>
        <v>N</v>
      </c>
      <c r="K44" s="175" t="str">
        <f t="shared" ref="K44:K49" si="12">IF(AND(I44&gt;="T4"),"&gt;","")</f>
        <v/>
      </c>
      <c r="L44" s="86" t="str">
        <f>IF(_epmOfflineCondition_,"692100",_xll.EVPRO($B$1,H44,"JDEID"))</f>
        <v>692100</v>
      </c>
      <c r="M44" s="86" t="str">
        <f>IF(_epmOfflineCondition_,"490400",IF(AND(I44="N",J44="N"),_xll.EVPRO($B$1,H44,"PSFTID"),""))</f>
        <v>490400</v>
      </c>
      <c r="N44" s="86" t="str">
        <f>IF(_epmOfflineCondition_,"Other Pay",IF(_xll.EVDES(H44,$B$1)="#NODATA","",_xll.EVDES(H44,$B$1)))</f>
        <v>Other Pay</v>
      </c>
      <c r="O44" s="134"/>
      <c r="P44" s="134">
        <v>135</v>
      </c>
      <c r="Q44" s="134">
        <v>-14.15</v>
      </c>
      <c r="R44" s="134"/>
      <c r="S44" s="134"/>
      <c r="T44" s="134"/>
      <c r="U44" s="134"/>
      <c r="V44" s="134"/>
      <c r="W44" s="134"/>
      <c r="X44" s="134"/>
      <c r="Y44" s="134"/>
      <c r="Z44" s="134"/>
      <c r="AA44" s="134">
        <f t="shared" ref="AA44:AA49" si="13">IF($I44="B1","",SUM(O44:Z44))</f>
        <v>120.85</v>
      </c>
      <c r="AB44" s="138">
        <f t="shared" ref="AB44:AB49" si="14">IF(AA44=0,"",IFERROR(AA44/AA$19,""))</f>
        <v>1.4410940477877829E-5</v>
      </c>
      <c r="AC44" s="136"/>
      <c r="AD44" s="134"/>
      <c r="AE44" s="138" t="str">
        <f t="shared" ref="AE44:AE49" si="15">IF(AD44=0,"",IFERROR(AD44/AD$19,""))</f>
        <v/>
      </c>
      <c r="AF44" s="137">
        <f t="shared" ref="AF44:AF49" si="16">IF(AND($AA44="",AD44=""),"",$AA44-AD44)</f>
        <v>120.85</v>
      </c>
      <c r="AG44" s="134">
        <v>5226.6000000000004</v>
      </c>
      <c r="AH44" s="138">
        <f t="shared" ref="AH44:AH49" si="17">IF(AG44=0,"",IFERROR(AG44/AG$19,""))</f>
        <v>1.6039063949475053E-3</v>
      </c>
      <c r="AI44" s="137">
        <f t="shared" ref="AI44:AI49" si="18">IF(AND($AA44="",AG44=""),"",$AA44-AG44)</f>
        <v>-5105.75</v>
      </c>
      <c r="AJ44" s="458">
        <f t="shared" ref="AJ44:AJ49" si="19">IFERROR(AA44/AA$20,0)</f>
        <v>2.5083022000830218E-3</v>
      </c>
      <c r="AK44" s="459">
        <f t="shared" ref="AK44:AK49" si="20">IFERROR(AD44/AD$20,0)</f>
        <v>0</v>
      </c>
      <c r="AL44" s="460">
        <f t="shared" ref="AL44:AL49" si="21">IFERROR(AG44/AG$20,0)</f>
        <v>0.14030764274784571</v>
      </c>
      <c r="AM44" s="461">
        <f t="shared" ref="AM44:AM49" si="22">+IFERROR(ROUND(($AB44-AE44)*100,2)&amp;" pts.",0)</f>
        <v>0</v>
      </c>
      <c r="AN44" s="462" t="str">
        <f t="shared" ref="AN44:AN49" si="23">+IFERROR(ROUND(($AB44-AH44)*100,2)&amp;" pts.",0)</f>
        <v>-0.16 pts.</v>
      </c>
      <c r="AO44" s="11"/>
    </row>
    <row r="45" spans="1:41" x14ac:dyDescent="0.25">
      <c r="A45" s="61" t="s">
        <v>26</v>
      </c>
      <c r="B45" s="62"/>
      <c r="C45" s="11"/>
      <c r="D45" s="11"/>
      <c r="E45" s="11"/>
      <c r="F45" s="11"/>
      <c r="G45" s="11"/>
      <c r="H45" s="84" t="s">
        <v>883</v>
      </c>
      <c r="I45" s="118" t="str">
        <f>IF(_epmOfflineCondition_,"N",_xll.EVPRO($B$1,$H45,"STYLE"))</f>
        <v>N</v>
      </c>
      <c r="J45" s="118" t="str">
        <f>IF(_epmOfflineCondition_,"N",_xll.EVPRO($B$1,$H45,"CALC"))</f>
        <v>N</v>
      </c>
      <c r="K45" s="175" t="str">
        <f t="shared" si="12"/>
        <v/>
      </c>
      <c r="L45" s="86" t="str">
        <f>IF(_epmOfflineCondition_,"692200",_xll.EVPRO($B$1,H45,"JDEID"))</f>
        <v>692200</v>
      </c>
      <c r="M45" s="86" t="str">
        <f>IF(_epmOfflineCondition_,"490116",IF(AND(I45="N",J45="N"),_xll.EVPRO($B$1,H45,"PSFTID"),""))</f>
        <v>490116</v>
      </c>
      <c r="N45" s="86" t="str">
        <f>IF(_epmOfflineCondition_,"Personal Days",IF(_xll.EVDES(H45,$B$1)="#NODATA","",_xll.EVDES(H45,$B$1)))</f>
        <v>Personal Days</v>
      </c>
      <c r="O45" s="134"/>
      <c r="P45" s="134"/>
      <c r="Q45" s="134"/>
      <c r="R45" s="134"/>
      <c r="S45" s="134"/>
      <c r="T45" s="134">
        <v>8.84</v>
      </c>
      <c r="U45" s="134">
        <v>563.57000000000005</v>
      </c>
      <c r="V45" s="134"/>
      <c r="W45" s="134">
        <v>346.15</v>
      </c>
      <c r="X45" s="134">
        <v>50.75</v>
      </c>
      <c r="Y45" s="134">
        <v>21.35</v>
      </c>
      <c r="Z45" s="134"/>
      <c r="AA45" s="134">
        <f t="shared" si="13"/>
        <v>990.66000000000008</v>
      </c>
      <c r="AB45" s="138">
        <f t="shared" si="14"/>
        <v>1.1813274550115392E-4</v>
      </c>
      <c r="AC45" s="136"/>
      <c r="AD45" s="134"/>
      <c r="AE45" s="138" t="str">
        <f t="shared" si="15"/>
        <v/>
      </c>
      <c r="AF45" s="137">
        <f t="shared" si="16"/>
        <v>990.66000000000008</v>
      </c>
      <c r="AG45" s="134">
        <v>1187.0899999999999</v>
      </c>
      <c r="AH45" s="138">
        <f t="shared" si="17"/>
        <v>3.6428677196996778E-4</v>
      </c>
      <c r="AI45" s="137">
        <f t="shared" si="18"/>
        <v>-196.42999999999984</v>
      </c>
      <c r="AJ45" s="458">
        <f t="shared" si="19"/>
        <v>2.0561643835616442E-2</v>
      </c>
      <c r="AK45" s="459">
        <f t="shared" si="20"/>
        <v>0</v>
      </c>
      <c r="AL45" s="460">
        <f t="shared" si="21"/>
        <v>3.1867332420606159E-2</v>
      </c>
      <c r="AM45" s="461">
        <f t="shared" si="22"/>
        <v>0</v>
      </c>
      <c r="AN45" s="462" t="str">
        <f t="shared" si="23"/>
        <v>-0.02 pts.</v>
      </c>
      <c r="AO45" s="11"/>
    </row>
    <row r="46" spans="1:41" x14ac:dyDescent="0.25">
      <c r="A46" s="61" t="s">
        <v>27</v>
      </c>
      <c r="B46" s="62"/>
      <c r="C46" s="11"/>
      <c r="D46" s="11"/>
      <c r="E46" s="11"/>
      <c r="F46" s="11"/>
      <c r="G46" s="11"/>
      <c r="H46" s="84" t="s">
        <v>884</v>
      </c>
      <c r="I46" s="118" t="str">
        <f>IF(_epmOfflineCondition_,"T4",_xll.EVPRO($B$1,$H46,"STYLE"))</f>
        <v>T4</v>
      </c>
      <c r="J46" s="118" t="str">
        <f>IF(_epmOfflineCondition_,"Y",_xll.EVPRO($B$1,$H46,"CALC"))</f>
        <v>Y</v>
      </c>
      <c r="K46" s="175" t="str">
        <f t="shared" si="12"/>
        <v>&gt;</v>
      </c>
      <c r="L46" s="86" t="str">
        <f>IF(_epmOfflineCondition_,"",_xll.EVPRO($B$1,H46,"JDEID"))</f>
        <v/>
      </c>
      <c r="M46" s="86" t="str">
        <f>IF(_epmOfflineCondition_,"",IF(AND(I46="N",J46="N"),_xll.EVPRO($B$1,H46,"PSFTID"),""))</f>
        <v/>
      </c>
      <c r="N46" s="86" t="str">
        <f>IF(_epmOfflineCondition_,"Wellness Pay",IF(_xll.EVDES(H46,$B$1)="#NODATA","",_xll.EVDES(H46,$B$1)))</f>
        <v>Wellness Pay</v>
      </c>
      <c r="O46" s="134">
        <v>1542.42</v>
      </c>
      <c r="P46" s="134">
        <v>839.44</v>
      </c>
      <c r="Q46" s="134">
        <v>3039.19</v>
      </c>
      <c r="R46" s="134">
        <v>2538.16</v>
      </c>
      <c r="S46" s="134">
        <v>1384.97</v>
      </c>
      <c r="T46" s="134">
        <v>3403.69</v>
      </c>
      <c r="U46" s="134">
        <v>1499.16</v>
      </c>
      <c r="V46" s="134">
        <v>1745.93</v>
      </c>
      <c r="W46" s="134">
        <v>2254.54</v>
      </c>
      <c r="X46" s="134">
        <v>425.71</v>
      </c>
      <c r="Y46" s="134">
        <v>2770.79</v>
      </c>
      <c r="Z46" s="134">
        <v>1246.81</v>
      </c>
      <c r="AA46" s="134">
        <f t="shared" si="13"/>
        <v>22690.81</v>
      </c>
      <c r="AB46" s="138">
        <f t="shared" si="14"/>
        <v>2.7057998535774518E-3</v>
      </c>
      <c r="AC46" s="136"/>
      <c r="AD46" s="134">
        <v>32070.7853056188</v>
      </c>
      <c r="AE46" s="138">
        <f t="shared" si="15"/>
        <v>2.458019505919948E-3</v>
      </c>
      <c r="AF46" s="137">
        <f t="shared" si="16"/>
        <v>-9379.9753056187983</v>
      </c>
      <c r="AG46" s="134">
        <v>20675.97</v>
      </c>
      <c r="AH46" s="138">
        <f t="shared" si="17"/>
        <v>6.3449126592321527E-3</v>
      </c>
      <c r="AI46" s="137">
        <f t="shared" si="18"/>
        <v>2014.8400000000001</v>
      </c>
      <c r="AJ46" s="458">
        <f t="shared" si="19"/>
        <v>0.47095911166459115</v>
      </c>
      <c r="AK46" s="459">
        <f t="shared" si="20"/>
        <v>0.66564519106722286</v>
      </c>
      <c r="AL46" s="460">
        <f t="shared" si="21"/>
        <v>0.55504469678666346</v>
      </c>
      <c r="AM46" s="461" t="str">
        <f t="shared" si="22"/>
        <v>0.02 pts.</v>
      </c>
      <c r="AN46" s="462" t="str">
        <f t="shared" si="23"/>
        <v>-0.36 pts.</v>
      </c>
      <c r="AO46" s="11"/>
    </row>
    <row r="47" spans="1:41" x14ac:dyDescent="0.25">
      <c r="A47" s="61" t="s">
        <v>28</v>
      </c>
      <c r="B47" s="62"/>
      <c r="C47" s="11"/>
      <c r="D47" s="11"/>
      <c r="E47" s="11"/>
      <c r="F47" s="11"/>
      <c r="G47" s="11"/>
      <c r="H47" s="84" t="s">
        <v>885</v>
      </c>
      <c r="I47" s="118" t="str">
        <f>IF(_epmOfflineCondition_,"N",_xll.EVPRO($B$1,$H47,"STYLE"))</f>
        <v>N</v>
      </c>
      <c r="J47" s="118" t="str">
        <f>IF(_epmOfflineCondition_,"N",_xll.EVPRO($B$1,$H47,"CALC"))</f>
        <v>N</v>
      </c>
      <c r="K47" s="175" t="str">
        <f t="shared" si="12"/>
        <v/>
      </c>
      <c r="L47" s="86" t="str">
        <f>IF(_epmOfflineCondition_,"692500",_xll.EVPRO($B$1,H47,"JDEID"))</f>
        <v>692500</v>
      </c>
      <c r="M47" s="86" t="str">
        <f>IF(_epmOfflineCondition_,"490500",IF(AND(I47="N",J47="N"),_xll.EVPRO($B$1,H47,"PSFTID"),""))</f>
        <v>490500</v>
      </c>
      <c r="N47" s="86" t="str">
        <f>IF(_epmOfflineCondition_,"Holiday Pay",IF(_xll.EVDES(H47,$B$1)="#NODATA","",_xll.EVDES(H47,$B$1)))</f>
        <v>Holiday Pay</v>
      </c>
      <c r="O47" s="134">
        <v>11314.82</v>
      </c>
      <c r="P47" s="134">
        <v>684.59</v>
      </c>
      <c r="Q47" s="134">
        <v>88</v>
      </c>
      <c r="R47" s="134">
        <v>659.55</v>
      </c>
      <c r="S47" s="134">
        <v>5737.71</v>
      </c>
      <c r="T47" s="134">
        <v>460.4</v>
      </c>
      <c r="U47" s="134">
        <v>6345.72</v>
      </c>
      <c r="V47" s="134">
        <v>269.23</v>
      </c>
      <c r="W47" s="134">
        <v>5785</v>
      </c>
      <c r="X47" s="134">
        <v>495.24</v>
      </c>
      <c r="Y47" s="134">
        <v>6159.3</v>
      </c>
      <c r="Z47" s="134">
        <v>5872.35</v>
      </c>
      <c r="AA47" s="134">
        <f t="shared" si="13"/>
        <v>43871.91</v>
      </c>
      <c r="AB47" s="138">
        <f t="shared" si="14"/>
        <v>5.2315720617361451E-3</v>
      </c>
      <c r="AC47" s="136"/>
      <c r="AD47" s="134">
        <v>78282.004526409903</v>
      </c>
      <c r="AE47" s="138">
        <f t="shared" si="15"/>
        <v>5.9998123605260597E-3</v>
      </c>
      <c r="AF47" s="137">
        <f t="shared" si="16"/>
        <v>-34410.094526409899</v>
      </c>
      <c r="AG47" s="134">
        <v>36282.25</v>
      </c>
      <c r="AH47" s="138">
        <f t="shared" si="17"/>
        <v>1.1134070485226365E-2</v>
      </c>
      <c r="AI47" s="137">
        <f t="shared" si="18"/>
        <v>7589.6600000000035</v>
      </c>
      <c r="AJ47" s="458">
        <f t="shared" si="19"/>
        <v>0.91058343711083445</v>
      </c>
      <c r="AK47" s="459">
        <f t="shared" si="20"/>
        <v>1.6247821611957223</v>
      </c>
      <c r="AL47" s="460">
        <f t="shared" si="21"/>
        <v>0.97399398673861104</v>
      </c>
      <c r="AM47" s="461" t="str">
        <f t="shared" si="22"/>
        <v>-0.08 pts.</v>
      </c>
      <c r="AN47" s="462" t="str">
        <f t="shared" si="23"/>
        <v>-0.59 pts.</v>
      </c>
      <c r="AO47" s="11"/>
    </row>
    <row r="48" spans="1:41" x14ac:dyDescent="0.25">
      <c r="A48" s="61" t="s">
        <v>29</v>
      </c>
      <c r="B48" s="62"/>
      <c r="C48" s="11"/>
      <c r="D48" s="11"/>
      <c r="E48" s="11"/>
      <c r="F48" s="11"/>
      <c r="G48" s="11"/>
      <c r="H48" s="84" t="s">
        <v>886</v>
      </c>
      <c r="I48" s="118" t="str">
        <f>IF(_epmOfflineCondition_,"T4",_xll.EVPRO($B$1,$H48,"STYLE"))</f>
        <v>T4</v>
      </c>
      <c r="J48" s="118" t="str">
        <f>IF(_epmOfflineCondition_,"Y",_xll.EVPRO($B$1,$H48,"CALC"))</f>
        <v>Y</v>
      </c>
      <c r="K48" s="175" t="str">
        <f t="shared" si="12"/>
        <v>&gt;</v>
      </c>
      <c r="L48" s="86" t="str">
        <f>IF(_epmOfflineCondition_,"",_xll.EVPRO($B$1,H48,"JDEID"))</f>
        <v/>
      </c>
      <c r="M48" s="86" t="str">
        <f>IF(_epmOfflineCondition_,"",IF(AND(I48="N",J48="N"),_xll.EVPRO($B$1,H48,"PSFTID"),""))</f>
        <v/>
      </c>
      <c r="N48" s="86" t="str">
        <f>IF(_epmOfflineCondition_,"Vacation Pay",IF(_xll.EVDES(H48,$B$1)="#NODATA","",_xll.EVDES(H48,$B$1)))</f>
        <v>Vacation Pay</v>
      </c>
      <c r="O48" s="228">
        <v>7756.95</v>
      </c>
      <c r="P48" s="228">
        <v>8287.5400000000009</v>
      </c>
      <c r="Q48" s="228">
        <v>7707.97</v>
      </c>
      <c r="R48" s="228">
        <v>9742.64</v>
      </c>
      <c r="S48" s="228">
        <v>5992.19</v>
      </c>
      <c r="T48" s="228">
        <v>5607.78</v>
      </c>
      <c r="U48" s="228">
        <v>9188.27</v>
      </c>
      <c r="V48" s="228">
        <v>8124.48</v>
      </c>
      <c r="W48" s="228">
        <v>8571.4500000000007</v>
      </c>
      <c r="X48" s="228">
        <v>8532.48</v>
      </c>
      <c r="Y48" s="228">
        <v>8808.74</v>
      </c>
      <c r="Z48" s="228">
        <v>34.21</v>
      </c>
      <c r="AA48" s="228">
        <f t="shared" si="13"/>
        <v>88354.700000000012</v>
      </c>
      <c r="AB48" s="230">
        <f t="shared" si="14"/>
        <v>1.0535989430208956E-2</v>
      </c>
      <c r="AC48" s="136"/>
      <c r="AD48" s="228">
        <v>70444.991915683393</v>
      </c>
      <c r="AE48" s="230">
        <f t="shared" si="15"/>
        <v>5.3991557292108481E-3</v>
      </c>
      <c r="AF48" s="231">
        <f t="shared" si="16"/>
        <v>17909.708084316619</v>
      </c>
      <c r="AG48" s="228">
        <v>79895.97</v>
      </c>
      <c r="AH48" s="230">
        <f t="shared" si="17"/>
        <v>2.4517976736986573E-2</v>
      </c>
      <c r="AI48" s="231">
        <f t="shared" si="18"/>
        <v>8458.7300000000105</v>
      </c>
      <c r="AJ48" s="467">
        <f t="shared" si="19"/>
        <v>1.8338459941884602</v>
      </c>
      <c r="AK48" s="468">
        <f t="shared" si="20"/>
        <v>1.462121044327177</v>
      </c>
      <c r="AL48" s="469">
        <f t="shared" si="21"/>
        <v>2.1448006764919061</v>
      </c>
      <c r="AM48" s="470" t="str">
        <f t="shared" si="22"/>
        <v>0.51 pts.</v>
      </c>
      <c r="AN48" s="471" t="str">
        <f t="shared" si="23"/>
        <v>-1.4 pts.</v>
      </c>
      <c r="AO48" s="11"/>
    </row>
    <row r="49" spans="1:41" x14ac:dyDescent="0.25">
      <c r="A49" s="61" t="s">
        <v>30</v>
      </c>
      <c r="B49" s="62" t="s">
        <v>78</v>
      </c>
      <c r="C49" s="11"/>
      <c r="D49" s="11"/>
      <c r="E49" s="11"/>
      <c r="F49" s="11"/>
      <c r="G49" s="11"/>
      <c r="H49" s="84" t="s">
        <v>816</v>
      </c>
      <c r="I49" s="184" t="str">
        <f>IF(_epmOfflineCondition_,"T3",_xll.EVPRO($B$1,$H49,"STYLE"))</f>
        <v>T3</v>
      </c>
      <c r="J49" s="184" t="str">
        <f>IF(_epmOfflineCondition_,"Y",_xll.EVPRO($B$1,$H49,"CALC"))</f>
        <v>Y</v>
      </c>
      <c r="K49" s="185" t="str">
        <f t="shared" si="12"/>
        <v/>
      </c>
      <c r="L49" s="186" t="str">
        <f>IF(_epmOfflineCondition_,"",_xll.EVPRO($B$1,H49,"JDEID"))</f>
        <v/>
      </c>
      <c r="M49" s="186" t="str">
        <f>IF(_epmOfflineCondition_,"",IF(AND(I49="N",J49="N"),_xll.EVPRO($B$1,H49,"PSFTID"),""))</f>
        <v/>
      </c>
      <c r="N49" s="186" t="str">
        <f>IF(_epmOfflineCondition_,"Supplemental Pay",IF(_xll.EVDES(H49,$B$1)="#NODATA","",_xll.EVDES(H49,$B$1)))</f>
        <v>Supplemental Pay</v>
      </c>
      <c r="O49" s="146">
        <v>20614.189999999999</v>
      </c>
      <c r="P49" s="146">
        <v>9946.57</v>
      </c>
      <c r="Q49" s="146">
        <v>10821.01</v>
      </c>
      <c r="R49" s="146">
        <v>12940.35</v>
      </c>
      <c r="S49" s="146">
        <v>13114.87</v>
      </c>
      <c r="T49" s="146">
        <v>9480.7099999999991</v>
      </c>
      <c r="U49" s="146">
        <v>17596.72</v>
      </c>
      <c r="V49" s="146">
        <v>10139.64</v>
      </c>
      <c r="W49" s="146">
        <v>16957.14</v>
      </c>
      <c r="X49" s="146">
        <v>9504.18</v>
      </c>
      <c r="Y49" s="146">
        <v>17760.18</v>
      </c>
      <c r="Z49" s="146">
        <v>7153.37</v>
      </c>
      <c r="AA49" s="146">
        <f t="shared" si="13"/>
        <v>156028.92999999996</v>
      </c>
      <c r="AB49" s="147">
        <f t="shared" si="14"/>
        <v>1.8605905031501578E-2</v>
      </c>
      <c r="AC49" s="251"/>
      <c r="AD49" s="146">
        <v>180797.781747712</v>
      </c>
      <c r="AE49" s="147">
        <f t="shared" si="15"/>
        <v>1.3856987595656848E-2</v>
      </c>
      <c r="AF49" s="148">
        <f t="shared" si="16"/>
        <v>-24768.851747712033</v>
      </c>
      <c r="AG49" s="146">
        <v>143267.88</v>
      </c>
      <c r="AH49" s="147">
        <f t="shared" si="17"/>
        <v>4.3965153048362564E-2</v>
      </c>
      <c r="AI49" s="148">
        <f t="shared" si="18"/>
        <v>12761.049999999959</v>
      </c>
      <c r="AJ49" s="206">
        <f t="shared" si="19"/>
        <v>3.238458488999584</v>
      </c>
      <c r="AK49" s="207">
        <f t="shared" si="20"/>
        <v>3.7525483965901203</v>
      </c>
      <c r="AL49" s="209">
        <f t="shared" si="21"/>
        <v>3.8460143351856328</v>
      </c>
      <c r="AM49" s="429" t="str">
        <f t="shared" si="22"/>
        <v>0.47 pts.</v>
      </c>
      <c r="AN49" s="591" t="str">
        <f t="shared" si="23"/>
        <v>-2.54 pts.</v>
      </c>
      <c r="AO49" s="11"/>
    </row>
    <row r="50" spans="1:41" x14ac:dyDescent="0.25">
      <c r="A50" s="61" t="s">
        <v>31</v>
      </c>
      <c r="B50" s="62" t="s">
        <v>78</v>
      </c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86"/>
      <c r="O50" s="125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  <c r="AA50" s="126"/>
      <c r="AB50" s="127"/>
      <c r="AC50" s="11"/>
      <c r="AD50" s="125"/>
      <c r="AE50" s="126"/>
      <c r="AF50" s="127"/>
      <c r="AG50" s="125"/>
      <c r="AH50" s="126"/>
      <c r="AI50" s="127"/>
      <c r="AJ50" s="11"/>
      <c r="AK50" s="11"/>
      <c r="AL50" s="11"/>
      <c r="AM50" s="11"/>
      <c r="AN50" s="11"/>
      <c r="AO50" s="11"/>
    </row>
    <row r="51" spans="1:41" x14ac:dyDescent="0.25">
      <c r="A51" s="61" t="s">
        <v>32</v>
      </c>
      <c r="B51" s="62"/>
      <c r="C51" s="11"/>
      <c r="D51" s="11"/>
      <c r="E51" s="11"/>
      <c r="F51" s="11"/>
      <c r="G51" s="11"/>
      <c r="H51" s="11"/>
      <c r="I51" s="55"/>
      <c r="J51" s="55"/>
      <c r="K51" s="11"/>
      <c r="L51" s="55"/>
      <c r="M51" s="55"/>
      <c r="N51" s="49" t="s">
        <v>562</v>
      </c>
      <c r="O51" s="115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7"/>
      <c r="AC51" s="11"/>
      <c r="AD51" s="115"/>
      <c r="AE51" s="116"/>
      <c r="AF51" s="117"/>
      <c r="AG51" s="115"/>
      <c r="AH51" s="116"/>
      <c r="AI51" s="117"/>
      <c r="AJ51" s="11"/>
      <c r="AK51" s="11"/>
      <c r="AL51" s="11"/>
      <c r="AM51" s="11"/>
      <c r="AN51" s="11"/>
      <c r="AO51" s="11"/>
    </row>
    <row r="52" spans="1:41" x14ac:dyDescent="0.25">
      <c r="A52" s="61" t="s">
        <v>33</v>
      </c>
      <c r="B52" s="62"/>
      <c r="C52" s="11"/>
      <c r="D52" s="11"/>
      <c r="E52" s="11"/>
      <c r="F52" s="11"/>
      <c r="G52" s="11"/>
      <c r="H52" s="84" t="s">
        <v>873</v>
      </c>
      <c r="I52" s="118" t="str">
        <f>IF(_epmOfflineCondition_,"N",_xll.EVPRO($B$1,$H52,"STYLE"))</f>
        <v>N</v>
      </c>
      <c r="J52" s="118" t="str">
        <f>IF(_epmOfflineCondition_,"N",_xll.EVPRO($B$1,$H52,"CALC"))</f>
        <v>N</v>
      </c>
      <c r="K52" s="175" t="str">
        <f t="shared" ref="K52:K62" si="24">IF(AND(I52&gt;="T4"),"&gt;","")</f>
        <v/>
      </c>
      <c r="L52" s="86" t="str">
        <f>IF(_epmOfflineCondition_,"693040",_xll.EVPRO($B$1,H52,"JDEID"))</f>
        <v>693040</v>
      </c>
      <c r="M52" s="86" t="str">
        <f>IF(_epmOfflineCondition_,"490120",IF(AND(I52="N",J52="N"),_xll.EVPRO($B$1,H52,"PSFTID"),""))</f>
        <v>490120</v>
      </c>
      <c r="N52" s="86" t="str">
        <f>IF(_epmOfflineCondition_,"Automobile Allowance",IF(_xll.EVDES(H52,$B$1)="#NODATA","",_xll.EVDES(H52,$B$1)))</f>
        <v>Automobile Allowance</v>
      </c>
      <c r="O52" s="134">
        <v>521.86</v>
      </c>
      <c r="P52" s="134">
        <v>327.95</v>
      </c>
      <c r="Q52" s="134">
        <v>230.02</v>
      </c>
      <c r="R52" s="134">
        <v>210.02</v>
      </c>
      <c r="S52" s="134">
        <v>265</v>
      </c>
      <c r="T52" s="134">
        <v>396.36</v>
      </c>
      <c r="U52" s="134">
        <v>240</v>
      </c>
      <c r="V52" s="134">
        <v>-12.5</v>
      </c>
      <c r="W52" s="134">
        <v>872.56</v>
      </c>
      <c r="X52" s="134">
        <v>187.56</v>
      </c>
      <c r="Y52" s="134">
        <v>1240.46</v>
      </c>
      <c r="Z52" s="134">
        <v>312.7</v>
      </c>
      <c r="AA52" s="134">
        <f t="shared" ref="AA52:AA62" si="25">IF($I52="B1","",SUM(O52:Z52))</f>
        <v>4791.99</v>
      </c>
      <c r="AB52" s="138">
        <f t="shared" ref="AB52:AB62" si="26">IF(AA52=0,"",IFERROR(AA52/AA$19,""))</f>
        <v>5.714280733188728E-4</v>
      </c>
      <c r="AC52" s="136"/>
      <c r="AD52" s="134"/>
      <c r="AE52" s="138" t="str">
        <f t="shared" ref="AE52:AE62" si="27">IF(AD52=0,"",IFERROR(AD52/AD$19,""))</f>
        <v/>
      </c>
      <c r="AF52" s="137">
        <f t="shared" ref="AF52:AF62" si="28">IF(AND($AA52="",AD52=""),"",$AA52-AD52)</f>
        <v>4791.99</v>
      </c>
      <c r="AG52" s="134">
        <v>405.06</v>
      </c>
      <c r="AH52" s="138">
        <f t="shared" ref="AH52:AH62" si="29">IF(AG52=0,"",IFERROR(AG52/AG$19,""))</f>
        <v>1.2430228529779138E-4</v>
      </c>
      <c r="AI52" s="137">
        <f t="shared" ref="AI52:AI62" si="30">IF(AND($AA52="",AG52=""),"",$AA52-AG52)</f>
        <v>4386.9299999999994</v>
      </c>
      <c r="AJ52" s="458">
        <f t="shared" ref="AJ52:AJ62" si="31">IFERROR(AA52/AA$20,0)</f>
        <v>9.9460149439601492E-2</v>
      </c>
      <c r="AK52" s="459">
        <f t="shared" ref="AK52:AK62" si="32">IFERROR(AD52/AD$20,0)</f>
        <v>0</v>
      </c>
      <c r="AL52" s="460">
        <f t="shared" ref="AL52:AL62" si="33">IFERROR(AG52/AG$20,0)</f>
        <v>1.087380204558267E-2</v>
      </c>
      <c r="AM52" s="461">
        <f t="shared" ref="AM52:AM62" si="34">+IFERROR(ROUND(($AB52-AE52)*100,2)&amp;" pts.",0)</f>
        <v>0</v>
      </c>
      <c r="AN52" s="462" t="str">
        <f t="shared" ref="AN52:AN62" si="35">+IFERROR(ROUND(($AB52-AH52)*100,2)&amp;" pts.",0)</f>
        <v>0.04 pts.</v>
      </c>
      <c r="AO52" s="11"/>
    </row>
    <row r="53" spans="1:41" x14ac:dyDescent="0.25">
      <c r="A53" s="61" t="s">
        <v>34</v>
      </c>
      <c r="B53" s="62"/>
      <c r="C53" s="11"/>
      <c r="D53" s="11"/>
      <c r="E53" s="11"/>
      <c r="F53" s="11"/>
      <c r="G53" s="11"/>
      <c r="H53" s="84" t="s">
        <v>874</v>
      </c>
      <c r="I53" s="118" t="str">
        <f>IF(_epmOfflineCondition_,"T4",_xll.EVPRO($B$1,$H53,"STYLE"))</f>
        <v>T4</v>
      </c>
      <c r="J53" s="118" t="str">
        <f>IF(_epmOfflineCondition_,"Y",_xll.EVPRO($B$1,$H53,"CALC"))</f>
        <v>Y</v>
      </c>
      <c r="K53" s="175" t="str">
        <f t="shared" si="24"/>
        <v>&gt;</v>
      </c>
      <c r="L53" s="86" t="str">
        <f>IF(_epmOfflineCondition_,"",_xll.EVPRO($B$1,H53,"JDEID"))</f>
        <v/>
      </c>
      <c r="M53" s="86" t="str">
        <f>IF(_epmOfflineCondition_,"",IF(AND(I53="N",J53="N"),_xll.EVPRO($B$1,H53,"PSFTID"),""))</f>
        <v/>
      </c>
      <c r="N53" s="86" t="str">
        <f>IF(_epmOfflineCondition_,"Contributory Savings Plan",IF(_xll.EVDES(H53,$B$1)="#NODATA","",_xll.EVDES(H53,$B$1)))</f>
        <v>Contributory Savings Plan</v>
      </c>
      <c r="O53" s="134">
        <v>5037.21</v>
      </c>
      <c r="P53" s="134">
        <v>1959.24</v>
      </c>
      <c r="Q53" s="134">
        <v>1688.67</v>
      </c>
      <c r="R53" s="134">
        <v>1986.88</v>
      </c>
      <c r="S53" s="134">
        <v>2168.71</v>
      </c>
      <c r="T53" s="134">
        <v>1650.14</v>
      </c>
      <c r="U53" s="134">
        <v>1527.84</v>
      </c>
      <c r="V53" s="134">
        <v>1817.83</v>
      </c>
      <c r="W53" s="134">
        <v>1460.77</v>
      </c>
      <c r="X53" s="134">
        <v>1508.88</v>
      </c>
      <c r="Y53" s="134">
        <v>1814.19</v>
      </c>
      <c r="Z53" s="134">
        <v>1509.23</v>
      </c>
      <c r="AA53" s="134">
        <f t="shared" si="25"/>
        <v>24129.589999999997</v>
      </c>
      <c r="AB53" s="138">
        <f t="shared" si="26"/>
        <v>2.8773693441919409E-3</v>
      </c>
      <c r="AC53" s="136"/>
      <c r="AD53" s="134">
        <v>16567.216087004799</v>
      </c>
      <c r="AE53" s="138">
        <f t="shared" si="27"/>
        <v>1.2697706000206351E-3</v>
      </c>
      <c r="AF53" s="137">
        <f t="shared" si="28"/>
        <v>7562.3739129951973</v>
      </c>
      <c r="AG53" s="134">
        <v>12777.92</v>
      </c>
      <c r="AH53" s="138">
        <f t="shared" si="29"/>
        <v>3.9212083576565309E-3</v>
      </c>
      <c r="AI53" s="137">
        <f t="shared" si="30"/>
        <v>11351.669999999996</v>
      </c>
      <c r="AJ53" s="458">
        <f t="shared" si="31"/>
        <v>0.50082171025321698</v>
      </c>
      <c r="AK53" s="459">
        <f t="shared" si="32"/>
        <v>0.34386085693243668</v>
      </c>
      <c r="AL53" s="460">
        <f t="shared" si="33"/>
        <v>0.3430222007462887</v>
      </c>
      <c r="AM53" s="461" t="str">
        <f t="shared" si="34"/>
        <v>0.16 pts.</v>
      </c>
      <c r="AN53" s="462" t="str">
        <f t="shared" si="35"/>
        <v>-0.1 pts.</v>
      </c>
      <c r="AO53" s="11"/>
    </row>
    <row r="54" spans="1:41" x14ac:dyDescent="0.25">
      <c r="A54" s="61" t="s">
        <v>35</v>
      </c>
      <c r="B54" s="62"/>
      <c r="C54" s="11"/>
      <c r="D54" s="11"/>
      <c r="E54" s="11"/>
      <c r="F54" s="11"/>
      <c r="G54" s="11"/>
      <c r="H54" s="84" t="s">
        <v>875</v>
      </c>
      <c r="I54" s="118" t="str">
        <f>IF(_epmOfflineCondition_,"N",_xll.EVPRO($B$1,$H54,"STYLE"))</f>
        <v>N</v>
      </c>
      <c r="J54" s="118" t="str">
        <f>IF(_epmOfflineCondition_,"N",_xll.EVPRO($B$1,$H54,"CALC"))</f>
        <v>N</v>
      </c>
      <c r="K54" s="175" t="str">
        <f t="shared" si="24"/>
        <v/>
      </c>
      <c r="L54" s="86" t="str">
        <f>IF(_epmOfflineCondition_,"693160",_xll.EVPRO($B$1,H54,"JDEID"))</f>
        <v>693160</v>
      </c>
      <c r="M54" s="86" t="str">
        <f>IF(_epmOfflineCondition_,"490700",IF(AND(I54="N",J54="N"),_xll.EVPRO($B$1,H54,"PSFTID"),""))</f>
        <v>490700</v>
      </c>
      <c r="N54" s="86" t="str">
        <f>IF(_epmOfflineCondition_,"Dental Insurance",IF(_xll.EVDES(H54,$B$1)="#NODATA","",_xll.EVDES(H54,$B$1)))</f>
        <v>Dental Insurance</v>
      </c>
      <c r="O54" s="134">
        <v>502.57</v>
      </c>
      <c r="P54" s="134">
        <v>530.39</v>
      </c>
      <c r="Q54" s="134">
        <v>593.89</v>
      </c>
      <c r="R54" s="134">
        <v>615.16999999999996</v>
      </c>
      <c r="S54" s="134">
        <v>462.35</v>
      </c>
      <c r="T54" s="134">
        <v>468.11</v>
      </c>
      <c r="U54" s="134">
        <v>440.69</v>
      </c>
      <c r="V54" s="134">
        <v>533.23</v>
      </c>
      <c r="W54" s="134">
        <v>603.51</v>
      </c>
      <c r="X54" s="134">
        <v>462.24</v>
      </c>
      <c r="Y54" s="134">
        <v>433.29</v>
      </c>
      <c r="Z54" s="134">
        <v>298.56</v>
      </c>
      <c r="AA54" s="134">
        <f t="shared" si="25"/>
        <v>5944</v>
      </c>
      <c r="AB54" s="138">
        <f t="shared" si="26"/>
        <v>7.0880124286723891E-4</v>
      </c>
      <c r="AC54" s="136"/>
      <c r="AD54" s="134">
        <v>9577.3799999999992</v>
      </c>
      <c r="AE54" s="138">
        <f t="shared" si="27"/>
        <v>7.3404460262727457E-4</v>
      </c>
      <c r="AF54" s="137">
        <f t="shared" si="28"/>
        <v>-3633.3799999999992</v>
      </c>
      <c r="AG54" s="134">
        <v>5583.56</v>
      </c>
      <c r="AH54" s="138">
        <f t="shared" si="29"/>
        <v>1.7134480523807241E-3</v>
      </c>
      <c r="AI54" s="137">
        <f t="shared" si="30"/>
        <v>360.4399999999996</v>
      </c>
      <c r="AJ54" s="458">
        <f t="shared" si="31"/>
        <v>0.12337069323370693</v>
      </c>
      <c r="AK54" s="459">
        <f t="shared" si="32"/>
        <v>0.1987833125778331</v>
      </c>
      <c r="AL54" s="460">
        <f t="shared" si="33"/>
        <v>0.14989020428981772</v>
      </c>
      <c r="AM54" s="461" t="str">
        <f t="shared" si="34"/>
        <v>0 pts.</v>
      </c>
      <c r="AN54" s="462" t="str">
        <f t="shared" si="35"/>
        <v>-0.1 pts.</v>
      </c>
      <c r="AO54" s="11"/>
    </row>
    <row r="55" spans="1:41" x14ac:dyDescent="0.25">
      <c r="A55" s="61" t="s">
        <v>36</v>
      </c>
      <c r="B55" s="62"/>
      <c r="C55" s="11"/>
      <c r="D55" s="11"/>
      <c r="E55" s="11"/>
      <c r="F55" s="11"/>
      <c r="G55" s="11"/>
      <c r="H55" s="84" t="s">
        <v>876</v>
      </c>
      <c r="I55" s="118" t="str">
        <f>IF(_epmOfflineCondition_,"N",_xll.EVPRO($B$1,$H55,"STYLE"))</f>
        <v>N</v>
      </c>
      <c r="J55" s="118" t="str">
        <f>IF(_epmOfflineCondition_,"N",_xll.EVPRO($B$1,$H55,"CALC"))</f>
        <v>N</v>
      </c>
      <c r="K55" s="175" t="str">
        <f t="shared" si="24"/>
        <v/>
      </c>
      <c r="L55" s="86" t="str">
        <f>IF(_epmOfflineCondition_,"693200",_xll.EVPRO($B$1,H55,"JDEID"))</f>
        <v>693200</v>
      </c>
      <c r="M55" s="86" t="str">
        <f>IF(_epmOfflineCondition_,"490046",IF(AND(I55="N",J55="N"),_xll.EVPRO($B$1,H55,"PSFTID"),""))</f>
        <v>490046</v>
      </c>
      <c r="N55" s="86" t="str">
        <f>IF(_epmOfflineCondition_,"Disability Insurance",IF(_xll.EVDES(H55,$B$1)="#NODATA","",_xll.EVDES(H55,$B$1)))</f>
        <v>Disability Insurance</v>
      </c>
      <c r="O55" s="134">
        <v>-23.47</v>
      </c>
      <c r="P55" s="134">
        <v>1.4</v>
      </c>
      <c r="Q55" s="134">
        <v>1.1500000000000301</v>
      </c>
      <c r="R55" s="134">
        <v>73.650000000000006</v>
      </c>
      <c r="S55" s="134">
        <v>1.1499999999999999</v>
      </c>
      <c r="T55" s="134">
        <v>1.21</v>
      </c>
      <c r="U55" s="134">
        <v>1.0900000000000001</v>
      </c>
      <c r="V55" s="134">
        <v>93.47</v>
      </c>
      <c r="W55" s="134">
        <v>33.71</v>
      </c>
      <c r="X55" s="134">
        <v>31.18</v>
      </c>
      <c r="Y55" s="134">
        <v>1.1200000000000001</v>
      </c>
      <c r="Z55" s="134">
        <v>-24.79</v>
      </c>
      <c r="AA55" s="134">
        <f t="shared" si="25"/>
        <v>190.87000000000006</v>
      </c>
      <c r="AB55" s="138">
        <f t="shared" si="26"/>
        <v>2.2760580959971386E-5</v>
      </c>
      <c r="AC55" s="136"/>
      <c r="AD55" s="134">
        <v>-3000.4810499999999</v>
      </c>
      <c r="AE55" s="138">
        <f t="shared" si="27"/>
        <v>-2.2996758195225811E-4</v>
      </c>
      <c r="AF55" s="137">
        <f t="shared" si="28"/>
        <v>3191.3510499999998</v>
      </c>
      <c r="AG55" s="134">
        <v>321.89</v>
      </c>
      <c r="AH55" s="138">
        <f t="shared" si="29"/>
        <v>9.8779594663768488E-5</v>
      </c>
      <c r="AI55" s="137">
        <f t="shared" si="30"/>
        <v>-131.01999999999992</v>
      </c>
      <c r="AJ55" s="458">
        <f t="shared" si="31"/>
        <v>3.9616023246160249E-3</v>
      </c>
      <c r="AK55" s="459">
        <f t="shared" si="32"/>
        <v>-6.2276485056039846E-2</v>
      </c>
      <c r="AL55" s="460">
        <f t="shared" si="33"/>
        <v>8.6411103057636041E-3</v>
      </c>
      <c r="AM55" s="461" t="str">
        <f t="shared" si="34"/>
        <v>0.03 pts.</v>
      </c>
      <c r="AN55" s="462" t="str">
        <f t="shared" si="35"/>
        <v>-0.01 pts.</v>
      </c>
      <c r="AO55" s="11"/>
    </row>
    <row r="56" spans="1:41" x14ac:dyDescent="0.25">
      <c r="A56" s="61" t="s">
        <v>37</v>
      </c>
      <c r="B56" s="62"/>
      <c r="C56" s="11"/>
      <c r="D56" s="11"/>
      <c r="E56" s="11"/>
      <c r="F56" s="11"/>
      <c r="G56" s="11"/>
      <c r="H56" s="84" t="s">
        <v>877</v>
      </c>
      <c r="I56" s="118" t="str">
        <f>IF(_epmOfflineCondition_,"N",_xll.EVPRO($B$1,$H56,"STYLE"))</f>
        <v>N</v>
      </c>
      <c r="J56" s="118" t="str">
        <f>IF(_epmOfflineCondition_,"N",_xll.EVPRO($B$1,$H56,"CALC"))</f>
        <v>N</v>
      </c>
      <c r="K56" s="175" t="str">
        <f t="shared" si="24"/>
        <v/>
      </c>
      <c r="L56" s="86" t="str">
        <f>IF(_epmOfflineCondition_,"693280",_xll.EVPRO($B$1,H56,"JDEID"))</f>
        <v>693280</v>
      </c>
      <c r="M56" s="86" t="str">
        <f>IF(_epmOfflineCondition_,"490043",IF(AND(I56="N",J56="N"),_xll.EVPRO($B$1,H56,"PSFTID"),""))</f>
        <v>490043</v>
      </c>
      <c r="N56" s="86" t="str">
        <f>IF(_epmOfflineCondition_,"Group Life Insurance",IF(_xll.EVDES(H56,$B$1)="#NODATA","",_xll.EVDES(H56,$B$1)))</f>
        <v>Group Life Insurance</v>
      </c>
      <c r="O56" s="134">
        <v>66.010000000000005</v>
      </c>
      <c r="P56" s="134">
        <v>68.260000000000005</v>
      </c>
      <c r="Q56" s="134">
        <v>76.8</v>
      </c>
      <c r="R56" s="134">
        <v>69.81</v>
      </c>
      <c r="S56" s="134">
        <v>56.61</v>
      </c>
      <c r="T56" s="134">
        <v>56.56</v>
      </c>
      <c r="U56" s="134">
        <v>54.99</v>
      </c>
      <c r="V56" s="134">
        <v>80.819999999999993</v>
      </c>
      <c r="W56" s="134">
        <v>62.41</v>
      </c>
      <c r="X56" s="134">
        <v>76.400000000000006</v>
      </c>
      <c r="Y56" s="134">
        <v>60.81</v>
      </c>
      <c r="Z56" s="134">
        <v>53.37</v>
      </c>
      <c r="AA56" s="134">
        <f t="shared" si="25"/>
        <v>782.85</v>
      </c>
      <c r="AB56" s="138">
        <f t="shared" si="26"/>
        <v>9.3352128697614059E-5</v>
      </c>
      <c r="AC56" s="136"/>
      <c r="AD56" s="134">
        <v>4258.2796799999996</v>
      </c>
      <c r="AE56" s="138">
        <f t="shared" si="27"/>
        <v>3.2636976037093632E-4</v>
      </c>
      <c r="AF56" s="137">
        <f t="shared" si="28"/>
        <v>-3475.4296799999997</v>
      </c>
      <c r="AG56" s="134">
        <v>866.63</v>
      </c>
      <c r="AH56" s="138">
        <f t="shared" si="29"/>
        <v>2.6594600678325417E-4</v>
      </c>
      <c r="AI56" s="137">
        <f t="shared" si="30"/>
        <v>-83.779999999999973</v>
      </c>
      <c r="AJ56" s="458">
        <f t="shared" si="31"/>
        <v>1.6248443337484434E-2</v>
      </c>
      <c r="AK56" s="459">
        <f t="shared" si="32"/>
        <v>8.838272478206724E-2</v>
      </c>
      <c r="AL56" s="460">
        <f t="shared" si="33"/>
        <v>2.326461034603098E-2</v>
      </c>
      <c r="AM56" s="461" t="str">
        <f t="shared" si="34"/>
        <v>-0.02 pts.</v>
      </c>
      <c r="AN56" s="462" t="str">
        <f t="shared" si="35"/>
        <v>-0.02 pts.</v>
      </c>
      <c r="AO56" s="11"/>
    </row>
    <row r="57" spans="1:41" x14ac:dyDescent="0.25">
      <c r="A57" s="61" t="s">
        <v>38</v>
      </c>
      <c r="B57" s="62"/>
      <c r="C57" s="11"/>
      <c r="D57" s="11"/>
      <c r="E57" s="11"/>
      <c r="F57" s="11"/>
      <c r="G57" s="11"/>
      <c r="H57" s="84" t="s">
        <v>878</v>
      </c>
      <c r="I57" s="118" t="str">
        <f>IF(_epmOfflineCondition_,"T4",_xll.EVPRO($B$1,$H57,"STYLE"))</f>
        <v>T4</v>
      </c>
      <c r="J57" s="118" t="str">
        <f>IF(_epmOfflineCondition_,"Y",_xll.EVPRO($B$1,$H57,"CALC"))</f>
        <v>Y</v>
      </c>
      <c r="K57" s="175" t="str">
        <f t="shared" si="24"/>
        <v>&gt;</v>
      </c>
      <c r="L57" s="86" t="str">
        <f>IF(_epmOfflineCondition_,"",_xll.EVPRO($B$1,H57,"JDEID"))</f>
        <v/>
      </c>
      <c r="M57" s="86" t="str">
        <f>IF(_epmOfflineCondition_,"",IF(AND(I57="N",J57="N"),_xll.EVPRO($B$1,H57,"PSFTID"),""))</f>
        <v/>
      </c>
      <c r="N57" s="86" t="str">
        <f>IF(_epmOfflineCondition_,"Health Insurance",IF(_xll.EVDES(H57,$B$1)="#NODATA","",_xll.EVDES(H57,$B$1)))</f>
        <v>Health Insurance</v>
      </c>
      <c r="O57" s="134">
        <v>-24102.49</v>
      </c>
      <c r="P57" s="134">
        <v>-409.2</v>
      </c>
      <c r="Q57" s="134">
        <v>4588.7299999999996</v>
      </c>
      <c r="R57" s="134">
        <v>-8744.59</v>
      </c>
      <c r="S57" s="134">
        <v>1255.4000000000001</v>
      </c>
      <c r="T57" s="134">
        <v>1256.52</v>
      </c>
      <c r="U57" s="134">
        <v>1255.79</v>
      </c>
      <c r="V57" s="134">
        <v>519.64</v>
      </c>
      <c r="W57" s="134">
        <v>1255.8699999999999</v>
      </c>
      <c r="X57" s="134">
        <v>2230.4699999999998</v>
      </c>
      <c r="Y57" s="134">
        <v>1747.37</v>
      </c>
      <c r="Z57" s="134">
        <v>-29.1299999999999</v>
      </c>
      <c r="AA57" s="134">
        <f t="shared" si="25"/>
        <v>-19175.620000000003</v>
      </c>
      <c r="AB57" s="138">
        <f t="shared" si="26"/>
        <v>-2.286625721525889E-3</v>
      </c>
      <c r="AC57" s="136"/>
      <c r="AD57" s="134"/>
      <c r="AE57" s="138" t="str">
        <f t="shared" si="27"/>
        <v/>
      </c>
      <c r="AF57" s="137">
        <f t="shared" si="28"/>
        <v>-19175.620000000003</v>
      </c>
      <c r="AG57" s="134">
        <v>19340.77</v>
      </c>
      <c r="AH57" s="138">
        <f t="shared" si="29"/>
        <v>5.9351748146421876E-3</v>
      </c>
      <c r="AI57" s="137">
        <f t="shared" si="30"/>
        <v>-38516.39</v>
      </c>
      <c r="AJ57" s="458">
        <f t="shared" si="31"/>
        <v>-0.39799958488999593</v>
      </c>
      <c r="AK57" s="459">
        <f t="shared" si="32"/>
        <v>0</v>
      </c>
      <c r="AL57" s="460">
        <f t="shared" si="33"/>
        <v>0.51920136372177927</v>
      </c>
      <c r="AM57" s="461">
        <f t="shared" si="34"/>
        <v>0</v>
      </c>
      <c r="AN57" s="462" t="str">
        <f t="shared" si="35"/>
        <v>-0.82 pts.</v>
      </c>
      <c r="AO57" s="11"/>
    </row>
    <row r="58" spans="1:41" x14ac:dyDescent="0.25">
      <c r="A58" s="61" t="s">
        <v>39</v>
      </c>
      <c r="B58" s="62"/>
      <c r="C58" s="11"/>
      <c r="D58" s="11"/>
      <c r="E58" s="11"/>
      <c r="F58" s="11"/>
      <c r="G58" s="11"/>
      <c r="H58" s="84" t="s">
        <v>879</v>
      </c>
      <c r="I58" s="118" t="str">
        <f>IF(_epmOfflineCondition_,"T4",_xll.EVPRO($B$1,$H58,"STYLE"))</f>
        <v>T4</v>
      </c>
      <c r="J58" s="118" t="str">
        <f>IF(_epmOfflineCondition_,"Y",_xll.EVPRO($B$1,$H58,"CALC"))</f>
        <v>Y</v>
      </c>
      <c r="K58" s="175" t="str">
        <f t="shared" si="24"/>
        <v>&gt;</v>
      </c>
      <c r="L58" s="86" t="str">
        <f>IF(_epmOfflineCondition_,"",_xll.EVPRO($B$1,H58,"JDEID"))</f>
        <v/>
      </c>
      <c r="M58" s="86" t="str">
        <f>IF(_epmOfflineCondition_,"",IF(AND(I58="N",J58="N"),_xll.EVPRO($B$1,H58,"PSFTID"),""))</f>
        <v/>
      </c>
      <c r="N58" s="86" t="str">
        <f>IF(_epmOfflineCondition_,"Meals",IF(_xll.EVDES(H58,$B$1)="#NODATA","",_xll.EVDES(H58,$B$1)))</f>
        <v>Meals</v>
      </c>
      <c r="O58" s="134">
        <v>3.74</v>
      </c>
      <c r="P58" s="134">
        <v>3.59</v>
      </c>
      <c r="Q58" s="134">
        <v>3.36</v>
      </c>
      <c r="R58" s="134">
        <v>3.42</v>
      </c>
      <c r="S58" s="134">
        <v>3.4</v>
      </c>
      <c r="T58" s="134">
        <v>100.12</v>
      </c>
      <c r="U58" s="134">
        <v>3.59</v>
      </c>
      <c r="V58" s="134">
        <v>3.03</v>
      </c>
      <c r="W58" s="134">
        <v>4.1900000000000004</v>
      </c>
      <c r="X58" s="134">
        <v>5.0199999999999996</v>
      </c>
      <c r="Y58" s="134">
        <v>1504.69</v>
      </c>
      <c r="Z58" s="134">
        <v>1554.08</v>
      </c>
      <c r="AA58" s="134">
        <f t="shared" si="25"/>
        <v>3192.23</v>
      </c>
      <c r="AB58" s="138">
        <f t="shared" si="26"/>
        <v>3.806622798650885E-4</v>
      </c>
      <c r="AC58" s="136"/>
      <c r="AD58" s="134">
        <v>5227.5930918718004</v>
      </c>
      <c r="AE58" s="138">
        <f t="shared" si="27"/>
        <v>4.006614015336263E-4</v>
      </c>
      <c r="AF58" s="137">
        <f t="shared" si="28"/>
        <v>-2035.3630918718004</v>
      </c>
      <c r="AG58" s="134">
        <v>200.34</v>
      </c>
      <c r="AH58" s="138">
        <f t="shared" si="29"/>
        <v>6.1479089114105376E-5</v>
      </c>
      <c r="AI58" s="137">
        <f t="shared" si="30"/>
        <v>2991.89</v>
      </c>
      <c r="AJ58" s="458">
        <f t="shared" si="31"/>
        <v>6.6256330427563306E-2</v>
      </c>
      <c r="AK58" s="459">
        <f t="shared" si="32"/>
        <v>0.10850130950335825</v>
      </c>
      <c r="AL58" s="460">
        <f t="shared" si="33"/>
        <v>5.3781106547475237E-3</v>
      </c>
      <c r="AM58" s="461" t="str">
        <f t="shared" si="34"/>
        <v>0 pts.</v>
      </c>
      <c r="AN58" s="462" t="str">
        <f t="shared" si="35"/>
        <v>0.03 pts.</v>
      </c>
      <c r="AO58" s="11"/>
    </row>
    <row r="59" spans="1:41" x14ac:dyDescent="0.25">
      <c r="A59" s="61" t="s">
        <v>40</v>
      </c>
      <c r="B59" s="62"/>
      <c r="C59" s="11"/>
      <c r="D59" s="11"/>
      <c r="E59" s="11"/>
      <c r="F59" s="11"/>
      <c r="G59" s="11"/>
      <c r="H59" s="84" t="s">
        <v>880</v>
      </c>
      <c r="I59" s="118" t="str">
        <f>IF(_epmOfflineCondition_,"N",_xll.EVPRO($B$1,$H59,"STYLE"))</f>
        <v>N</v>
      </c>
      <c r="J59" s="118" t="str">
        <f>IF(_epmOfflineCondition_,"N",_xll.EVPRO($B$1,$H59,"CALC"))</f>
        <v>N</v>
      </c>
      <c r="K59" s="175" t="str">
        <f t="shared" si="24"/>
        <v/>
      </c>
      <c r="L59" s="86" t="str">
        <f>IF(_epmOfflineCondition_,"693480",_xll.EVPRO($B$1,H59,"JDEID"))</f>
        <v>693480</v>
      </c>
      <c r="M59" s="86" t="str">
        <f>IF(_epmOfflineCondition_,"490750",IF(AND(I59="N",J59="N"),_xll.EVPRO($B$1,H59,"PSFTID"),""))</f>
        <v>490750</v>
      </c>
      <c r="N59" s="86" t="str">
        <f>IF(_epmOfflineCondition_,"Nonunion Insurance",IF(_xll.EVDES(H59,$B$1)="#NODATA","",_xll.EVDES(H59,$B$1)))</f>
        <v>Nonunion Insurance</v>
      </c>
      <c r="O59" s="134">
        <v>9435.56</v>
      </c>
      <c r="P59" s="134">
        <v>9833.94</v>
      </c>
      <c r="Q59" s="134">
        <v>11446.37</v>
      </c>
      <c r="R59" s="134">
        <v>10626.7</v>
      </c>
      <c r="S59" s="134">
        <v>8918.85</v>
      </c>
      <c r="T59" s="134">
        <v>8762.73</v>
      </c>
      <c r="U59" s="134">
        <v>8284.77</v>
      </c>
      <c r="V59" s="134">
        <v>8333.6299999999992</v>
      </c>
      <c r="W59" s="134">
        <v>9370.25</v>
      </c>
      <c r="X59" s="134">
        <v>-3347.13</v>
      </c>
      <c r="Y59" s="134">
        <v>8836.4500000000007</v>
      </c>
      <c r="Z59" s="134">
        <v>7441.46</v>
      </c>
      <c r="AA59" s="134">
        <f t="shared" si="25"/>
        <v>97943.580000000016</v>
      </c>
      <c r="AB59" s="138">
        <f t="shared" si="26"/>
        <v>1.1679429884735339E-2</v>
      </c>
      <c r="AC59" s="136"/>
      <c r="AD59" s="134">
        <v>167712.21799999801</v>
      </c>
      <c r="AE59" s="138">
        <f t="shared" si="27"/>
        <v>1.2854063263392222E-2</v>
      </c>
      <c r="AF59" s="137">
        <f t="shared" si="28"/>
        <v>-69768.637999997998</v>
      </c>
      <c r="AG59" s="134">
        <v>68894.7</v>
      </c>
      <c r="AH59" s="138">
        <f t="shared" si="29"/>
        <v>2.1141975645350683E-2</v>
      </c>
      <c r="AI59" s="137">
        <f t="shared" si="30"/>
        <v>29048.880000000019</v>
      </c>
      <c r="AJ59" s="458">
        <f t="shared" si="31"/>
        <v>2.0328679950186803</v>
      </c>
      <c r="AK59" s="459">
        <f t="shared" si="32"/>
        <v>3.4809509755084687</v>
      </c>
      <c r="AL59" s="460">
        <f t="shared" si="33"/>
        <v>1.8494724973826204</v>
      </c>
      <c r="AM59" s="461" t="str">
        <f t="shared" si="34"/>
        <v>-0.12 pts.</v>
      </c>
      <c r="AN59" s="462" t="str">
        <f t="shared" si="35"/>
        <v>-0.95 pts.</v>
      </c>
      <c r="AO59" s="11"/>
    </row>
    <row r="60" spans="1:41" x14ac:dyDescent="0.25">
      <c r="A60" s="61" t="s">
        <v>41</v>
      </c>
      <c r="B60" s="62"/>
      <c r="C60" s="11"/>
      <c r="D60" s="11"/>
      <c r="E60" s="11"/>
      <c r="F60" s="11"/>
      <c r="G60" s="11"/>
      <c r="H60" s="84" t="s">
        <v>922</v>
      </c>
      <c r="I60" s="118" t="str">
        <f>IF(_epmOfflineCondition_,"N",_xll.EVPRO($B$1,$H60,"STYLE"))</f>
        <v>N</v>
      </c>
      <c r="J60" s="118" t="str">
        <f>IF(_epmOfflineCondition_,"N",_xll.EVPRO($B$1,$H60,"CALC"))</f>
        <v>N</v>
      </c>
      <c r="K60" s="175" t="str">
        <f t="shared" si="24"/>
        <v/>
      </c>
      <c r="L60" s="86" t="str">
        <f>IF(_epmOfflineCondition_,"693520",_xll.EVPRO($B$1,H60,"JDEID"))</f>
        <v>693520</v>
      </c>
      <c r="M60" s="86" t="str">
        <f>IF(_epmOfflineCondition_,"490020",IF(AND(I60="N",J60="N"),_xll.EVPRO($B$1,H60,"PSFTID"),""))</f>
        <v>490020</v>
      </c>
      <c r="N60" s="86" t="str">
        <f>IF(_epmOfflineCondition_,"Nonunion Pension",IF(_xll.EVDES(H60,$B$1)="#NODATA","",_xll.EVDES(H60,$B$1)))</f>
        <v>Nonunion Pension</v>
      </c>
      <c r="O60" s="134"/>
      <c r="P60" s="134"/>
      <c r="Q60" s="134"/>
      <c r="R60" s="134"/>
      <c r="S60" s="134"/>
      <c r="T60" s="134"/>
      <c r="U60" s="134"/>
      <c r="V60" s="134"/>
      <c r="W60" s="134"/>
      <c r="X60" s="134"/>
      <c r="Y60" s="134"/>
      <c r="Z60" s="134"/>
      <c r="AA60" s="134">
        <f t="shared" si="25"/>
        <v>0</v>
      </c>
      <c r="AB60" s="138" t="str">
        <f t="shared" si="26"/>
        <v/>
      </c>
      <c r="AC60" s="136"/>
      <c r="AD60" s="134">
        <v>11352</v>
      </c>
      <c r="AE60" s="138">
        <f t="shared" si="27"/>
        <v>8.7005781633649518E-4</v>
      </c>
      <c r="AF60" s="137">
        <f t="shared" si="28"/>
        <v>-11352</v>
      </c>
      <c r="AG60" s="134"/>
      <c r="AH60" s="138" t="str">
        <f t="shared" si="29"/>
        <v/>
      </c>
      <c r="AI60" s="137">
        <f t="shared" si="30"/>
        <v>0</v>
      </c>
      <c r="AJ60" s="458">
        <f t="shared" si="31"/>
        <v>0</v>
      </c>
      <c r="AK60" s="459">
        <f t="shared" si="32"/>
        <v>0.23561643835616439</v>
      </c>
      <c r="AL60" s="460">
        <f t="shared" si="33"/>
        <v>0</v>
      </c>
      <c r="AM60" s="461">
        <f t="shared" si="34"/>
        <v>0</v>
      </c>
      <c r="AN60" s="462">
        <f t="shared" si="35"/>
        <v>0</v>
      </c>
      <c r="AO60" s="11"/>
    </row>
    <row r="61" spans="1:41" x14ac:dyDescent="0.25">
      <c r="A61" s="61" t="s">
        <v>42</v>
      </c>
      <c r="B61" s="62"/>
      <c r="C61" s="11"/>
      <c r="D61" s="11"/>
      <c r="E61" s="11"/>
      <c r="F61" s="11"/>
      <c r="G61" s="11"/>
      <c r="H61" s="84" t="s">
        <v>881</v>
      </c>
      <c r="I61" s="118" t="str">
        <f>IF(_epmOfflineCondition_,"T4",_xll.EVPRO($B$1,$H61,"STYLE"))</f>
        <v>T4</v>
      </c>
      <c r="J61" s="118" t="str">
        <f>IF(_epmOfflineCondition_,"Y",_xll.EVPRO($B$1,$H61,"CALC"))</f>
        <v>Y</v>
      </c>
      <c r="K61" s="175" t="str">
        <f t="shared" si="24"/>
        <v>&gt;</v>
      </c>
      <c r="L61" s="86" t="str">
        <f>IF(_epmOfflineCondition_,"",_xll.EVPRO($B$1,H61,"JDEID"))</f>
        <v/>
      </c>
      <c r="M61" s="86" t="str">
        <f>IF(_epmOfflineCondition_,"",IF(AND(I61="N",J61="N"),_xll.EVPRO($B$1,H61,"PSFTID"),""))</f>
        <v/>
      </c>
      <c r="N61" s="86" t="str">
        <f>IF(_epmOfflineCondition_,"Workers Comp Expense",IF(_xll.EVDES(H61,$B$1)="#NODATA","",_xll.EVDES(H61,$B$1)))</f>
        <v>Workers Comp Expense</v>
      </c>
      <c r="O61" s="228">
        <v>4629.04</v>
      </c>
      <c r="P61" s="228">
        <v>4629.38</v>
      </c>
      <c r="Q61" s="228">
        <v>4629.41</v>
      </c>
      <c r="R61" s="228">
        <v>4630.01</v>
      </c>
      <c r="S61" s="228">
        <v>4825.1400000000003</v>
      </c>
      <c r="T61" s="228">
        <v>4726.78</v>
      </c>
      <c r="U61" s="228">
        <v>4629.88</v>
      </c>
      <c r="V61" s="228">
        <v>4628.6499999999996</v>
      </c>
      <c r="W61" s="228">
        <v>-1204.29</v>
      </c>
      <c r="X61" s="228">
        <v>3175.68</v>
      </c>
      <c r="Y61" s="228">
        <v>3171.16</v>
      </c>
      <c r="Z61" s="228">
        <v>3168.35</v>
      </c>
      <c r="AA61" s="228">
        <f t="shared" si="25"/>
        <v>45639.189999999995</v>
      </c>
      <c r="AB61" s="230">
        <f t="shared" si="26"/>
        <v>5.4423140301907902E-3</v>
      </c>
      <c r="AC61" s="136"/>
      <c r="AD61" s="228">
        <v>45805.887784424398</v>
      </c>
      <c r="AE61" s="230">
        <f t="shared" si="27"/>
        <v>3.510726805943519E-3</v>
      </c>
      <c r="AF61" s="231">
        <f t="shared" si="28"/>
        <v>-166.69778442440293</v>
      </c>
      <c r="AG61" s="228">
        <v>48170.67</v>
      </c>
      <c r="AH61" s="230">
        <f t="shared" si="29"/>
        <v>1.4782314633204365E-2</v>
      </c>
      <c r="AI61" s="231">
        <f t="shared" si="30"/>
        <v>-2531.4800000000032</v>
      </c>
      <c r="AJ61" s="467">
        <f t="shared" si="31"/>
        <v>0.94726421751764212</v>
      </c>
      <c r="AK61" s="468">
        <f t="shared" si="32"/>
        <v>0.95072411341686169</v>
      </c>
      <c r="AL61" s="469">
        <f t="shared" si="33"/>
        <v>1.293137633889023</v>
      </c>
      <c r="AM61" s="470" t="str">
        <f t="shared" si="34"/>
        <v>0.19 pts.</v>
      </c>
      <c r="AN61" s="471" t="str">
        <f t="shared" si="35"/>
        <v>-0.93 pts.</v>
      </c>
      <c r="AO61" s="11"/>
    </row>
    <row r="62" spans="1:41" x14ac:dyDescent="0.25">
      <c r="A62" s="61" t="s">
        <v>43</v>
      </c>
      <c r="B62" s="62"/>
      <c r="C62" s="11"/>
      <c r="D62" s="11"/>
      <c r="E62" s="11"/>
      <c r="F62" s="11"/>
      <c r="G62" s="11"/>
      <c r="H62" s="84" t="s">
        <v>817</v>
      </c>
      <c r="I62" s="184" t="str">
        <f>IF(_epmOfflineCondition_,"T3",_xll.EVPRO($B$1,$H62,"STYLE"))</f>
        <v>T3</v>
      </c>
      <c r="J62" s="184" t="str">
        <f>IF(_epmOfflineCondition_,"Y",_xll.EVPRO($B$1,$H62,"CALC"))</f>
        <v>Y</v>
      </c>
      <c r="K62" s="185" t="str">
        <f t="shared" si="24"/>
        <v/>
      </c>
      <c r="L62" s="186" t="str">
        <f>IF(_epmOfflineCondition_,"",_xll.EVPRO($B$1,H62,"JDEID"))</f>
        <v/>
      </c>
      <c r="M62" s="186" t="str">
        <f>IF(_epmOfflineCondition_,"",IF(AND(I62="N",J62="N"),_xll.EVPRO($B$1,H62,"PSFTID"),""))</f>
        <v/>
      </c>
      <c r="N62" s="186" t="str">
        <f>IF(_epmOfflineCondition_,"Employee Benefits",IF(_xll.EVDES(H62,$B$1)="#NODATA","",_xll.EVDES(H62,$B$1)))</f>
        <v>Employee Benefits</v>
      </c>
      <c r="O62" s="146">
        <v>-3929.9699999999898</v>
      </c>
      <c r="P62" s="146">
        <v>16944.95</v>
      </c>
      <c r="Q62" s="146">
        <v>23258.400000000001</v>
      </c>
      <c r="R62" s="146">
        <v>9471.07</v>
      </c>
      <c r="S62" s="146">
        <v>17956.61</v>
      </c>
      <c r="T62" s="146">
        <v>17418.53</v>
      </c>
      <c r="U62" s="146">
        <v>16438.64</v>
      </c>
      <c r="V62" s="146">
        <v>15997.8</v>
      </c>
      <c r="W62" s="146">
        <v>12458.98</v>
      </c>
      <c r="X62" s="146">
        <v>4330.3</v>
      </c>
      <c r="Y62" s="146">
        <v>18809.54</v>
      </c>
      <c r="Z62" s="146">
        <v>14283.83</v>
      </c>
      <c r="AA62" s="146">
        <f t="shared" si="25"/>
        <v>163438.68</v>
      </c>
      <c r="AB62" s="147">
        <f t="shared" si="26"/>
        <v>1.9489491843300965E-2</v>
      </c>
      <c r="AC62" s="251"/>
      <c r="AD62" s="146">
        <v>257500.09359329901</v>
      </c>
      <c r="AE62" s="147">
        <f t="shared" si="27"/>
        <v>1.973572666827245E-2</v>
      </c>
      <c r="AF62" s="148">
        <f t="shared" si="28"/>
        <v>-94061.413593299018</v>
      </c>
      <c r="AG62" s="146">
        <v>156561.54</v>
      </c>
      <c r="AH62" s="147">
        <f t="shared" si="29"/>
        <v>4.804462847909341E-2</v>
      </c>
      <c r="AI62" s="148">
        <f t="shared" si="30"/>
        <v>6877.1399999999849</v>
      </c>
      <c r="AJ62" s="206">
        <f t="shared" si="31"/>
        <v>3.3922515566625155</v>
      </c>
      <c r="AK62" s="207">
        <f t="shared" si="32"/>
        <v>5.3445432460211499</v>
      </c>
      <c r="AL62" s="209">
        <f t="shared" si="33"/>
        <v>4.202881533381654</v>
      </c>
      <c r="AM62" s="429" t="str">
        <f t="shared" si="34"/>
        <v>-0.02 pts.</v>
      </c>
      <c r="AN62" s="591" t="str">
        <f t="shared" si="35"/>
        <v>-2.86 pts.</v>
      </c>
      <c r="AO62" s="11"/>
    </row>
    <row r="63" spans="1:41" x14ac:dyDescent="0.25">
      <c r="A63" s="61" t="s">
        <v>44</v>
      </c>
      <c r="B63" s="62"/>
      <c r="C63" s="11"/>
      <c r="D63" s="11"/>
      <c r="E63" s="11"/>
      <c r="F63" s="11"/>
      <c r="G63" s="11"/>
      <c r="H63" s="102"/>
      <c r="I63" s="102"/>
      <c r="J63" s="102"/>
      <c r="K63" s="102"/>
      <c r="L63" s="102"/>
      <c r="M63" s="102"/>
      <c r="N63" s="102"/>
      <c r="O63" s="199"/>
      <c r="P63" s="200"/>
      <c r="Q63" s="200"/>
      <c r="R63" s="200"/>
      <c r="S63" s="200"/>
      <c r="T63" s="200"/>
      <c r="U63" s="200"/>
      <c r="V63" s="200"/>
      <c r="W63" s="200"/>
      <c r="X63" s="200"/>
      <c r="Y63" s="200"/>
      <c r="Z63" s="200"/>
      <c r="AA63" s="200"/>
      <c r="AB63" s="114"/>
      <c r="AC63" s="11"/>
      <c r="AD63" s="199"/>
      <c r="AE63" s="200"/>
      <c r="AF63" s="114"/>
      <c r="AG63" s="199"/>
      <c r="AH63" s="200"/>
      <c r="AI63" s="114"/>
      <c r="AJ63" s="11"/>
      <c r="AK63" s="11"/>
      <c r="AL63" s="11"/>
      <c r="AM63" s="11"/>
      <c r="AN63" s="11"/>
      <c r="AO63" s="11"/>
    </row>
    <row r="64" spans="1:41" ht="15.75" thickBot="1" x14ac:dyDescent="0.3">
      <c r="A64" s="61" t="s">
        <v>45</v>
      </c>
      <c r="B64" s="62"/>
      <c r="C64" s="11"/>
      <c r="D64" s="11"/>
      <c r="E64" s="11"/>
      <c r="F64" s="11"/>
      <c r="G64" s="11"/>
      <c r="H64" s="84" t="s">
        <v>818</v>
      </c>
      <c r="I64" s="132" t="str">
        <f>IF(_epmOfflineCondition_,"T2",_xll.EVPRO($B$1,$H64,"STYLE"))</f>
        <v>T2</v>
      </c>
      <c r="J64" s="132" t="str">
        <f>IF(_epmOfflineCondition_,"Y",_xll.EVPRO($B$1,$H64,"CALC"))</f>
        <v>Y</v>
      </c>
      <c r="K64" s="102"/>
      <c r="L64" s="55"/>
      <c r="M64" s="55"/>
      <c r="N64" s="102" t="str">
        <f>IF(_epmOfflineCondition_,"Total Payroll Related",IF(_xll.EVDES(H64,$B$1)="#NODATA","",_xll.EVDES(H64,$B$1)))</f>
        <v>Total Payroll Related</v>
      </c>
      <c r="O64" s="161">
        <v>38488.42</v>
      </c>
      <c r="P64" s="161">
        <v>49207.27</v>
      </c>
      <c r="Q64" s="161">
        <v>58898.17</v>
      </c>
      <c r="R64" s="161">
        <v>42116.32</v>
      </c>
      <c r="S64" s="161">
        <v>51360.83</v>
      </c>
      <c r="T64" s="161">
        <v>46437.18</v>
      </c>
      <c r="U64" s="161">
        <v>53103.45</v>
      </c>
      <c r="V64" s="161">
        <v>46637.26</v>
      </c>
      <c r="W64" s="161">
        <v>46908.7</v>
      </c>
      <c r="X64" s="161">
        <v>29538.75</v>
      </c>
      <c r="Y64" s="161">
        <v>58424.7</v>
      </c>
      <c r="Z64" s="161">
        <v>48488.06</v>
      </c>
      <c r="AA64" s="161">
        <f>IF($I64="B1","",SUM(O64:Z64))</f>
        <v>569609.1100000001</v>
      </c>
      <c r="AB64" s="162">
        <f>IF(AA64=0,"",IFERROR(AA64/AA$19,""))</f>
        <v>6.7923897226867744E-2</v>
      </c>
      <c r="AC64" s="136"/>
      <c r="AD64" s="161">
        <v>796284.57435171201</v>
      </c>
      <c r="AE64" s="162">
        <f>IF(AD64=0,"",IFERROR(AD64/AD$19,""))</f>
        <v>6.1030093194405041E-2</v>
      </c>
      <c r="AF64" s="163">
        <f>IF(AND($AA64="",AD64=""),"",$AA64-AD64)</f>
        <v>-226675.46435171191</v>
      </c>
      <c r="AG64" s="161">
        <v>474663.25</v>
      </c>
      <c r="AH64" s="162">
        <f>IF(AG64=0,"",IFERROR(AG64/AG$19,""))</f>
        <v>0.14566169634591633</v>
      </c>
      <c r="AI64" s="163">
        <f>IF(AND($AA64="",AG64=""),"",$AA64-AG64)</f>
        <v>94945.860000000102</v>
      </c>
      <c r="AJ64" s="442">
        <f>IFERROR(AA64/AA$20,0)</f>
        <v>11.822522000830222</v>
      </c>
      <c r="AK64" s="443">
        <f>IFERROR(AD64/AD$20,0)</f>
        <v>16.527284648229806</v>
      </c>
      <c r="AL64" s="444">
        <f>IFERROR(AG64/AG$20,0)</f>
        <v>12.7422955088454</v>
      </c>
      <c r="AM64" s="445" t="str">
        <f>+IFERROR(ROUND(($AB64-AE64)*100,2)&amp;" pts.",0)</f>
        <v>0.69 pts.</v>
      </c>
      <c r="AN64" s="552" t="str">
        <f>+IFERROR(ROUND(($AB64-AH64)*100,2)&amp;" pts.",0)</f>
        <v>-7.77 pts.</v>
      </c>
      <c r="AO64" s="11"/>
    </row>
    <row r="65" spans="1:41" ht="16.5" hidden="1" thickTop="1" thickBot="1" x14ac:dyDescent="0.3">
      <c r="A65" s="61" t="s">
        <v>46</v>
      </c>
      <c r="B65" s="62"/>
      <c r="C65" s="11"/>
      <c r="D65" s="11"/>
      <c r="E65" s="11"/>
      <c r="F65" s="11"/>
      <c r="G65" s="11"/>
      <c r="H65" s="84"/>
      <c r="I65" s="132" t="str">
        <f>IF(_epmOfflineCondition_,"",_xll.EVPRO($B$1,$H65,"STYLE"))</f>
        <v/>
      </c>
      <c r="J65" s="132" t="str">
        <f>IF(_epmOfflineCondition_,"",_xll.EVPRO($B$1,$H65,"CALC"))</f>
        <v/>
      </c>
      <c r="K65" s="102"/>
      <c r="L65" s="55"/>
      <c r="M65" s="55"/>
      <c r="N65" s="102" t="str">
        <f>IF(_epmOfflineCondition_,"",IF(_xll.EVDES(H65,$B$1)="#NODATA","",_xll.EVDES(H65,$B$1)))</f>
        <v/>
      </c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Y65" s="161"/>
      <c r="Z65" s="161"/>
      <c r="AA65" s="161">
        <f>IF($I65="B1","",SUM(O65:Z65))</f>
        <v>0</v>
      </c>
      <c r="AB65" s="162" t="str">
        <f>IF(AA65=0,"",IFERROR(AA65/AA$19,""))</f>
        <v/>
      </c>
      <c r="AC65" s="136"/>
      <c r="AD65" s="161"/>
      <c r="AE65" s="162" t="str">
        <f>IF(AD65=0,"",IFERROR(AD65/AD$19,""))</f>
        <v/>
      </c>
      <c r="AF65" s="163">
        <f>IF(AND($AA65="",AD65=""),"",$AA65-AD65)</f>
        <v>0</v>
      </c>
      <c r="AG65" s="161"/>
      <c r="AH65" s="162" t="str">
        <f>IF(AG65=0,"",IFERROR(AG65/AG$19,""))</f>
        <v/>
      </c>
      <c r="AI65" s="163">
        <f>IF(AND($AA65="",AG65=""),"",$AA65-AG65)</f>
        <v>0</v>
      </c>
      <c r="AJ65" s="442">
        <f>IFERROR(AA65/AA$20,0)</f>
        <v>0</v>
      </c>
      <c r="AK65" s="443">
        <f>IFERROR(AD65/AD$20,0)</f>
        <v>0</v>
      </c>
      <c r="AL65" s="444">
        <f>IFERROR(AG65/AG$20,0)</f>
        <v>0</v>
      </c>
      <c r="AM65" s="445">
        <f>+IFERROR(ROUND(($AB65-AE65)*100,2)&amp;" pts.",0)</f>
        <v>0</v>
      </c>
      <c r="AN65" s="552">
        <f>+IFERROR(ROUND(($AB65-AH65)*100,2)&amp;" pts.",0)</f>
        <v>0</v>
      </c>
      <c r="AO65" s="11"/>
    </row>
    <row r="66" spans="1:41" ht="15.75" thickTop="1" x14ac:dyDescent="0.2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</row>
    <row r="67" spans="1:41" x14ac:dyDescent="0.25">
      <c r="A67" s="11"/>
      <c r="B67" s="11"/>
      <c r="C67" s="11"/>
      <c r="D67" s="11"/>
      <c r="E67" s="11"/>
      <c r="F67" s="11"/>
      <c r="G67" s="11"/>
      <c r="H67" s="11"/>
      <c r="I67" s="55"/>
      <c r="J67" s="55"/>
      <c r="K67" s="11"/>
      <c r="L67" s="55"/>
      <c r="M67" s="55"/>
      <c r="N67" s="100" t="str">
        <f>N64&amp;" - Check"</f>
        <v>Total Payroll Related - Check</v>
      </c>
      <c r="O67" s="205">
        <f t="shared" ref="O67:AA67" si="36">SUMIF($H$35:$H$64,"PAY_TAXES",O$35:O$64)+SUMIF($H$35:$H$64,"SUP_PAY",O$35:O$64)+SUMIF($H$35:$H$64,"EMP_BEN",O$35:O$64)-SUMIF($H$35:$H$64,"PAY_RELATED",O$35:O$64)</f>
        <v>0</v>
      </c>
      <c r="P67" s="205">
        <f t="shared" si="36"/>
        <v>0</v>
      </c>
      <c r="Q67" s="205">
        <f t="shared" si="36"/>
        <v>0</v>
      </c>
      <c r="R67" s="205">
        <f t="shared" si="36"/>
        <v>0</v>
      </c>
      <c r="S67" s="205">
        <f t="shared" si="36"/>
        <v>0</v>
      </c>
      <c r="T67" s="205">
        <f t="shared" si="36"/>
        <v>0</v>
      </c>
      <c r="U67" s="205">
        <f t="shared" si="36"/>
        <v>0</v>
      </c>
      <c r="V67" s="205">
        <f t="shared" si="36"/>
        <v>0</v>
      </c>
      <c r="W67" s="205">
        <f t="shared" si="36"/>
        <v>0</v>
      </c>
      <c r="X67" s="205">
        <f t="shared" si="36"/>
        <v>0</v>
      </c>
      <c r="Y67" s="205">
        <f t="shared" si="36"/>
        <v>0</v>
      </c>
      <c r="Z67" s="205">
        <f t="shared" si="36"/>
        <v>0</v>
      </c>
      <c r="AA67" s="205">
        <f t="shared" si="36"/>
        <v>0</v>
      </c>
      <c r="AB67" s="96"/>
      <c r="AC67" s="11"/>
      <c r="AD67" s="205">
        <f>SUMIF($H$35:$H$64,"PAY_TAXES",AD$35:AD$64)+SUMIF($H$35:$H$64,"SUP_PAY",AD$35:AD$64)+SUMIF($H$35:$H$64,"EMP_BEN",AD$35:AD$64)-SUMIF($H$35:$H$64,"PAY_RELATED",AD$35:AD$64)</f>
        <v>0</v>
      </c>
      <c r="AE67" s="96"/>
      <c r="AF67" s="87"/>
      <c r="AG67" s="205">
        <f>SUMIF($H$35:$H$64,"PAY_TAXES",AG$35:AG$64)+SUMIF($H$35:$H$64,"SUP_PAY",AG$35:AG$64)+SUMIF($H$35:$H$64,"EMP_BEN",AG$35:AG$64)-SUMIF($H$35:$H$64,"PAY_RELATED",AG$35:AG$64)</f>
        <v>0</v>
      </c>
      <c r="AH67" s="96"/>
      <c r="AI67" s="87"/>
      <c r="AJ67" s="11"/>
      <c r="AK67" s="11"/>
      <c r="AL67" s="11"/>
      <c r="AM67" s="11"/>
      <c r="AN67" s="11"/>
      <c r="AO67" s="11"/>
    </row>
    <row r="68" spans="1:41" x14ac:dyDescent="0.2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</row>
    <row r="69" spans="1:41" x14ac:dyDescent="0.25">
      <c r="A69" s="11"/>
      <c r="B69" s="11"/>
      <c r="C69" s="11"/>
      <c r="D69" s="11"/>
      <c r="E69" s="11"/>
      <c r="F69" s="11"/>
      <c r="G69" s="11"/>
      <c r="H69" s="11"/>
      <c r="I69" s="55"/>
      <c r="J69" s="55"/>
      <c r="K69" s="11"/>
      <c r="L69" s="55"/>
      <c r="M69" s="55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</row>
    <row r="70" spans="1:41" x14ac:dyDescent="0.25">
      <c r="A70" s="11"/>
      <c r="B70" s="11"/>
      <c r="C70" s="11"/>
      <c r="D70" s="11"/>
      <c r="E70" s="11"/>
      <c r="F70" s="11"/>
      <c r="G70" s="11"/>
      <c r="H70" s="11"/>
      <c r="I70" s="55"/>
      <c r="J70" s="55"/>
      <c r="K70" s="11"/>
      <c r="L70" s="55"/>
      <c r="M70" s="55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</row>
    <row r="71" spans="1:41" x14ac:dyDescent="0.25">
      <c r="A71" s="11"/>
      <c r="B71" s="11"/>
      <c r="C71" s="11"/>
      <c r="D71" s="11"/>
      <c r="E71" s="11"/>
      <c r="F71" s="11"/>
      <c r="G71" s="11"/>
      <c r="H71" s="11"/>
      <c r="I71" s="55"/>
      <c r="J71" s="55"/>
      <c r="K71" s="11"/>
      <c r="L71" s="55"/>
      <c r="M71" s="55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</row>
    <row r="72" spans="1:41" x14ac:dyDescent="0.25">
      <c r="A72" s="11"/>
      <c r="B72" s="11"/>
      <c r="C72" s="11"/>
      <c r="D72" s="11"/>
      <c r="E72" s="11"/>
      <c r="F72" s="11"/>
      <c r="G72" s="11"/>
      <c r="H72" s="11"/>
      <c r="I72" s="55"/>
      <c r="J72" s="55"/>
      <c r="K72" s="11"/>
      <c r="L72" s="55"/>
      <c r="M72" s="55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</row>
    <row r="73" spans="1:41" x14ac:dyDescent="0.25">
      <c r="A73" s="11"/>
      <c r="B73" s="11"/>
      <c r="C73" s="11"/>
      <c r="D73" s="11"/>
      <c r="E73" s="11"/>
      <c r="F73" s="11"/>
      <c r="G73" s="11"/>
      <c r="H73" s="11"/>
      <c r="I73" s="55"/>
      <c r="J73" s="55"/>
      <c r="K73" s="11"/>
      <c r="L73" s="55"/>
      <c r="M73" s="55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</row>
    <row r="74" spans="1:41" x14ac:dyDescent="0.25">
      <c r="A74" s="11"/>
      <c r="B74" s="11"/>
      <c r="C74" s="11"/>
      <c r="D74" s="11"/>
      <c r="E74" s="11"/>
      <c r="F74" s="11"/>
      <c r="G74" s="11"/>
      <c r="H74" s="11"/>
      <c r="I74" s="55"/>
      <c r="J74" s="55"/>
      <c r="K74" s="11"/>
      <c r="L74" s="55"/>
      <c r="M74" s="55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</row>
    <row r="75" spans="1:41" x14ac:dyDescent="0.25">
      <c r="A75" s="11"/>
      <c r="B75" s="11"/>
      <c r="C75" s="11"/>
      <c r="D75" s="11"/>
      <c r="E75" s="11"/>
      <c r="F75" s="11"/>
      <c r="G75" s="11"/>
      <c r="H75" s="55"/>
      <c r="I75" s="55"/>
      <c r="J75" s="11"/>
      <c r="K75" s="11"/>
      <c r="L75" s="55"/>
      <c r="M75" s="55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</row>
    <row r="76" spans="1:41" x14ac:dyDescent="0.25">
      <c r="A76" s="11"/>
      <c r="B76" s="11"/>
      <c r="C76" s="11"/>
      <c r="D76" s="11"/>
      <c r="E76" s="11"/>
      <c r="F76" s="11"/>
      <c r="G76" s="11"/>
      <c r="H76" s="55"/>
      <c r="I76" s="55"/>
      <c r="J76" s="11"/>
      <c r="K76" s="11"/>
      <c r="L76" s="55"/>
      <c r="M76" s="55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</row>
    <row r="77" spans="1:41" x14ac:dyDescent="0.25">
      <c r="A77" s="11"/>
      <c r="B77" s="11"/>
      <c r="C77" s="11"/>
      <c r="D77" s="11"/>
      <c r="E77" s="11"/>
      <c r="F77" s="11"/>
      <c r="G77" s="11"/>
      <c r="H77" s="55"/>
      <c r="I77" s="55"/>
      <c r="J77" s="11"/>
      <c r="K77" s="11"/>
      <c r="L77" s="55"/>
      <c r="M77" s="55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</row>
    <row r="78" spans="1:41" x14ac:dyDescent="0.25">
      <c r="A78" s="11"/>
      <c r="B78" s="11"/>
      <c r="C78" s="11"/>
      <c r="D78" s="11"/>
      <c r="E78" s="11"/>
      <c r="F78" s="11"/>
      <c r="G78" s="11"/>
      <c r="H78" s="55"/>
      <c r="I78" s="55"/>
      <c r="J78" s="11"/>
      <c r="K78" s="11"/>
      <c r="L78" s="55"/>
      <c r="M78" s="55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  <row r="79" spans="1:41" x14ac:dyDescent="0.25">
      <c r="A79" s="11"/>
      <c r="B79" s="11"/>
      <c r="C79" s="11"/>
      <c r="D79" s="11"/>
      <c r="E79" s="11"/>
      <c r="F79" s="11"/>
      <c r="G79" s="11"/>
      <c r="H79" s="55"/>
      <c r="I79" s="55"/>
      <c r="J79" s="11"/>
      <c r="K79" s="11"/>
      <c r="L79" s="55"/>
      <c r="M79" s="55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</row>
    <row r="80" spans="1:41" x14ac:dyDescent="0.25">
      <c r="A80" s="11"/>
      <c r="B80" s="11"/>
      <c r="C80" s="11"/>
      <c r="D80" s="11"/>
      <c r="E80" s="11"/>
      <c r="F80" s="11"/>
      <c r="G80" s="11"/>
      <c r="H80" s="55"/>
      <c r="I80" s="55"/>
      <c r="J80" s="11"/>
      <c r="K80" s="11"/>
      <c r="L80" s="55"/>
      <c r="M80" s="55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x14ac:dyDescent="0.25">
      <c r="A81" s="11"/>
      <c r="B81" s="11"/>
      <c r="C81" s="11"/>
      <c r="D81" s="11"/>
      <c r="E81" s="11"/>
      <c r="F81" s="11"/>
      <c r="G81" s="11"/>
      <c r="H81" s="55"/>
      <c r="I81" s="55"/>
      <c r="J81" s="11"/>
      <c r="K81" s="11"/>
      <c r="L81" s="55"/>
      <c r="M81" s="55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</row>
    <row r="82" spans="1:41" x14ac:dyDescent="0.25">
      <c r="A82" s="11"/>
      <c r="B82" s="11"/>
      <c r="C82" s="11"/>
      <c r="D82" s="11"/>
      <c r="E82" s="11"/>
      <c r="F82" s="11"/>
      <c r="G82" s="11"/>
      <c r="H82" s="55"/>
      <c r="I82" s="55"/>
      <c r="J82" s="11"/>
      <c r="K82" s="11"/>
      <c r="L82" s="55"/>
      <c r="M82" s="55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x14ac:dyDescent="0.25">
      <c r="A83" s="11"/>
      <c r="B83" s="11"/>
      <c r="C83" s="11"/>
      <c r="D83" s="11"/>
      <c r="E83" s="11"/>
      <c r="F83" s="11"/>
      <c r="G83" s="11"/>
      <c r="H83" s="55"/>
      <c r="I83" s="55"/>
      <c r="J83" s="11"/>
      <c r="K83" s="11"/>
      <c r="L83" s="55"/>
      <c r="M83" s="55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x14ac:dyDescent="0.25">
      <c r="A84" s="11"/>
      <c r="B84" s="11"/>
      <c r="C84" s="11"/>
      <c r="D84" s="11"/>
      <c r="E84" s="11"/>
      <c r="F84" s="11"/>
      <c r="G84" s="11"/>
      <c r="H84" s="55"/>
      <c r="I84" s="55"/>
      <c r="J84" s="11"/>
      <c r="K84" s="11"/>
      <c r="L84" s="55"/>
      <c r="M84" s="55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x14ac:dyDescent="0.25">
      <c r="A85" s="11"/>
      <c r="B85" s="11"/>
      <c r="C85" s="11"/>
      <c r="D85" s="11"/>
      <c r="E85" s="11"/>
      <c r="F85" s="11"/>
      <c r="G85" s="11"/>
      <c r="H85" s="55"/>
      <c r="I85" s="55"/>
      <c r="J85" s="11"/>
      <c r="K85" s="11"/>
      <c r="L85" s="55"/>
      <c r="M85" s="55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x14ac:dyDescent="0.25">
      <c r="A86" s="11"/>
      <c r="B86" s="11"/>
      <c r="C86" s="11"/>
      <c r="D86" s="11"/>
      <c r="E86" s="11"/>
      <c r="F86" s="11"/>
      <c r="G86" s="11"/>
      <c r="H86" s="55"/>
      <c r="I86" s="55"/>
      <c r="J86" s="11"/>
      <c r="K86" s="11"/>
      <c r="L86" s="55"/>
      <c r="M86" s="55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x14ac:dyDescent="0.25">
      <c r="A87" s="11"/>
      <c r="B87" s="11"/>
      <c r="C87" s="11"/>
      <c r="D87" s="11"/>
      <c r="E87" s="11"/>
      <c r="F87" s="11"/>
      <c r="G87" s="11"/>
      <c r="H87" s="55"/>
      <c r="I87" s="55"/>
      <c r="J87" s="11"/>
      <c r="K87" s="11"/>
      <c r="L87" s="55"/>
      <c r="M87" s="55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x14ac:dyDescent="0.25">
      <c r="A88" s="11"/>
      <c r="B88" s="11"/>
      <c r="C88" s="11"/>
      <c r="D88" s="11"/>
      <c r="E88" s="11"/>
      <c r="F88" s="11"/>
      <c r="G88" s="11"/>
      <c r="H88" s="55"/>
      <c r="I88" s="55"/>
      <c r="J88" s="11"/>
      <c r="K88" s="11"/>
      <c r="L88" s="55"/>
      <c r="M88" s="55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x14ac:dyDescent="0.25">
      <c r="A89" s="11"/>
      <c r="B89" s="11"/>
      <c r="C89" s="11"/>
      <c r="D89" s="11"/>
      <c r="E89" s="11"/>
      <c r="F89" s="11"/>
      <c r="G89" s="11"/>
      <c r="H89" s="55"/>
      <c r="I89" s="55"/>
      <c r="J89" s="11"/>
      <c r="K89" s="11"/>
      <c r="L89" s="55"/>
      <c r="M89" s="55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x14ac:dyDescent="0.25">
      <c r="A90" s="11"/>
      <c r="B90" s="11"/>
      <c r="C90" s="11"/>
      <c r="D90" s="11"/>
      <c r="E90" s="11"/>
      <c r="F90" s="11"/>
      <c r="G90" s="11"/>
      <c r="H90" s="55"/>
      <c r="I90" s="55"/>
      <c r="J90" s="11"/>
      <c r="K90" s="11"/>
      <c r="L90" s="55"/>
      <c r="M90" s="55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x14ac:dyDescent="0.25">
      <c r="A91" s="11"/>
      <c r="B91" s="11"/>
      <c r="C91" s="11"/>
      <c r="D91" s="11"/>
      <c r="E91" s="11"/>
      <c r="F91" s="11"/>
      <c r="G91" s="11"/>
      <c r="H91" s="55"/>
      <c r="I91" s="55"/>
      <c r="J91" s="11"/>
      <c r="K91" s="11"/>
      <c r="L91" s="55"/>
      <c r="M91" s="55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x14ac:dyDescent="0.25">
      <c r="A92" s="11"/>
      <c r="B92" s="11"/>
      <c r="C92" s="11"/>
      <c r="D92" s="11"/>
      <c r="E92" s="11"/>
      <c r="F92" s="11"/>
      <c r="G92" s="11"/>
      <c r="H92" s="55"/>
      <c r="I92" s="55"/>
      <c r="J92" s="11"/>
      <c r="K92" s="11"/>
      <c r="L92" s="55"/>
      <c r="M92" s="55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x14ac:dyDescent="0.25">
      <c r="A93" s="11"/>
      <c r="B93" s="11"/>
      <c r="C93" s="11"/>
      <c r="D93" s="11"/>
      <c r="E93" s="11"/>
      <c r="F93" s="11"/>
      <c r="G93" s="11"/>
      <c r="H93" s="55"/>
      <c r="I93" s="55"/>
      <c r="J93" s="11"/>
      <c r="K93" s="11"/>
      <c r="L93" s="55"/>
      <c r="M93" s="55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x14ac:dyDescent="0.25">
      <c r="A94" s="11"/>
      <c r="B94" s="11"/>
      <c r="C94" s="11"/>
      <c r="D94" s="11"/>
      <c r="E94" s="11"/>
      <c r="F94" s="11"/>
      <c r="G94" s="11"/>
      <c r="H94" s="55"/>
      <c r="I94" s="55"/>
      <c r="J94" s="11"/>
      <c r="K94" s="11"/>
      <c r="L94" s="55"/>
      <c r="M94" s="55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x14ac:dyDescent="0.25">
      <c r="A95" s="11"/>
      <c r="B95" s="11"/>
      <c r="C95" s="11"/>
      <c r="D95" s="11"/>
      <c r="E95" s="11"/>
      <c r="F95" s="11"/>
      <c r="G95" s="11"/>
      <c r="H95" s="55"/>
      <c r="I95" s="55"/>
      <c r="J95" s="11"/>
      <c r="K95" s="11"/>
      <c r="L95" s="55"/>
      <c r="M95" s="55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x14ac:dyDescent="0.25">
      <c r="A96" s="11"/>
      <c r="B96" s="11"/>
      <c r="C96" s="11"/>
      <c r="D96" s="11"/>
      <c r="E96" s="11"/>
      <c r="F96" s="11"/>
      <c r="G96" s="11"/>
      <c r="H96" s="55"/>
      <c r="I96" s="55"/>
      <c r="J96" s="11"/>
      <c r="K96" s="11"/>
      <c r="L96" s="55"/>
      <c r="M96" s="55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x14ac:dyDescent="0.25">
      <c r="A97" s="11"/>
      <c r="B97" s="11"/>
      <c r="C97" s="11"/>
      <c r="D97" s="11"/>
      <c r="E97" s="11"/>
      <c r="F97" s="11"/>
      <c r="G97" s="11"/>
      <c r="H97" s="55"/>
      <c r="I97" s="55"/>
      <c r="J97" s="11"/>
      <c r="K97" s="11"/>
      <c r="L97" s="55"/>
      <c r="M97" s="55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</sheetData>
  <sheetProtection algorithmName="SHA-512" hashValue="tCfQekCDmaGskjIlcVgGiW6PGG7S5jt6rIGcmfmNfMUbitifdHBppfaCHyzU8HBz/PrzJNBsqqngF98k+Qf2RA==" saltValue="ppdyGl+ap/KPvAa6ohbTvA==" spinCount="100000" sheet="1" scenarios="1"/>
  <mergeCells count="2">
    <mergeCell ref="AD31:AE31"/>
    <mergeCell ref="AG31:AH31"/>
  </mergeCells>
  <dataValidations disablePrompts="1" count="2">
    <dataValidation type="list" allowBlank="1" sqref="B29" xr:uid="{00000000-0002-0000-2800-000000000000}">
      <formula1>"SELF,ALL,BAS,DEP,BASMEMBERS,MEMBERS,NOEXPAND,GDEP"</formula1>
    </dataValidation>
    <dataValidation type="list" allowBlank="1" sqref="B28" xr:uid="{00000000-0002-0000-2800-000001000000}">
      <formula1>"ACCOUNT,BUSINESSUNIT,CATEGORY,DATASRC,DEPARTMENT,INTCO,MEASURES,RPTCURRENCY,TIME"</formula1>
    </dataValidation>
  </dataValidations>
  <pageMargins left="0.25" right="0.25" top="0.5" bottom="0.5" header="0.3" footer="0.3"/>
  <pageSetup scale="50" fitToHeight="0" orientation="landscape" r:id="rId1"/>
  <headerFooter>
    <oddFooter>&amp;L&amp;F&amp;C&amp;P of &amp;N&amp;R&amp;D</oddFooter>
  </headerFooter>
  <customProperties>
    <customPr name="EpmWorksheetKeyString_GUID" r:id="rId2"/>
    <customPr name="FPMExcelClientCellBasedFunctionStatus" r:id="rId3"/>
    <customPr name="FPMExcelClientRefreshTime" r:id="rId4"/>
  </customProperties>
  <legacy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80</vt:i4>
      </vt:variant>
    </vt:vector>
  </HeadingPairs>
  <TitlesOfParts>
    <vt:vector size="121" baseType="lpstr">
      <vt:lpstr>SetUp</vt:lpstr>
      <vt:lpstr>Summary</vt:lpstr>
      <vt:lpstr>Rooms</vt:lpstr>
      <vt:lpstr>MMA</vt:lpstr>
      <vt:lpstr>Resv</vt:lpstr>
      <vt:lpstr>FB_Cons</vt:lpstr>
      <vt:lpstr>FB_KPI</vt:lpstr>
      <vt:lpstr>Venue1</vt:lpstr>
      <vt:lpstr>Venue1_KPI</vt:lpstr>
      <vt:lpstr>Venue2</vt:lpstr>
      <vt:lpstr>Venue2_KPI</vt:lpstr>
      <vt:lpstr>Venue3</vt:lpstr>
      <vt:lpstr>Venue3_KPI</vt:lpstr>
      <vt:lpstr>Venue4</vt:lpstr>
      <vt:lpstr>Venue4_KPI</vt:lpstr>
      <vt:lpstr>VenueBar</vt:lpstr>
      <vt:lpstr>VenueBar_KPI</vt:lpstr>
      <vt:lpstr>IRD</vt:lpstr>
      <vt:lpstr>IRD_KPI</vt:lpstr>
      <vt:lpstr>BCC</vt:lpstr>
      <vt:lpstr>BCC_KPI</vt:lpstr>
      <vt:lpstr>Mini_Bar</vt:lpstr>
      <vt:lpstr>OTH_OP</vt:lpstr>
      <vt:lpstr>Telcom_Legacy</vt:lpstr>
      <vt:lpstr>HC_SPA</vt:lpstr>
      <vt:lpstr>Parking</vt:lpstr>
      <vt:lpstr>Retail</vt:lpstr>
      <vt:lpstr>FB_Retail</vt:lpstr>
      <vt:lpstr>Minor_Op</vt:lpstr>
      <vt:lpstr>MISC_INC</vt:lpstr>
      <vt:lpstr>AG</vt:lpstr>
      <vt:lpstr>HR_Detail</vt:lpstr>
      <vt:lpstr>IT</vt:lpstr>
      <vt:lpstr>SM</vt:lpstr>
      <vt:lpstr>POM</vt:lpstr>
      <vt:lpstr>EC</vt:lpstr>
      <vt:lpstr>Mgt_Fees</vt:lpstr>
      <vt:lpstr>Non_Op</vt:lpstr>
      <vt:lpstr>Laundry</vt:lpstr>
      <vt:lpstr>Dining</vt:lpstr>
      <vt:lpstr>PR_Related</vt:lpstr>
      <vt:lpstr>AG!Print_Area</vt:lpstr>
      <vt:lpstr>BCC!Print_Area</vt:lpstr>
      <vt:lpstr>BCC_KPI!Print_Area</vt:lpstr>
      <vt:lpstr>Dining!Print_Area</vt:lpstr>
      <vt:lpstr>EC!Print_Area</vt:lpstr>
      <vt:lpstr>FB_Cons!Print_Area</vt:lpstr>
      <vt:lpstr>FB_KPI!Print_Area</vt:lpstr>
      <vt:lpstr>FB_Retail!Print_Area</vt:lpstr>
      <vt:lpstr>HC_SPA!Print_Area</vt:lpstr>
      <vt:lpstr>HR_Detail!Print_Area</vt:lpstr>
      <vt:lpstr>IRD!Print_Area</vt:lpstr>
      <vt:lpstr>IRD_KPI!Print_Area</vt:lpstr>
      <vt:lpstr>IT!Print_Area</vt:lpstr>
      <vt:lpstr>Laundry!Print_Area</vt:lpstr>
      <vt:lpstr>Mgt_Fees!Print_Area</vt:lpstr>
      <vt:lpstr>Mini_Bar!Print_Area</vt:lpstr>
      <vt:lpstr>Minor_Op!Print_Area</vt:lpstr>
      <vt:lpstr>MISC_INC!Print_Area</vt:lpstr>
      <vt:lpstr>MMA!Print_Area</vt:lpstr>
      <vt:lpstr>Non_Op!Print_Area</vt:lpstr>
      <vt:lpstr>OTH_OP!Print_Area</vt:lpstr>
      <vt:lpstr>Parking!Print_Area</vt:lpstr>
      <vt:lpstr>POM!Print_Area</vt:lpstr>
      <vt:lpstr>PR_Related!Print_Area</vt:lpstr>
      <vt:lpstr>Resv!Print_Area</vt:lpstr>
      <vt:lpstr>Retail!Print_Area</vt:lpstr>
      <vt:lpstr>Rooms!Print_Area</vt:lpstr>
      <vt:lpstr>SM!Print_Area</vt:lpstr>
      <vt:lpstr>Summary!Print_Area</vt:lpstr>
      <vt:lpstr>Telcom_Legacy!Print_Area</vt:lpstr>
      <vt:lpstr>Venue1!Print_Area</vt:lpstr>
      <vt:lpstr>Venue1_KPI!Print_Area</vt:lpstr>
      <vt:lpstr>Venue2!Print_Area</vt:lpstr>
      <vt:lpstr>Venue2_KPI!Print_Area</vt:lpstr>
      <vt:lpstr>Venue3!Print_Area</vt:lpstr>
      <vt:lpstr>Venue3_KPI!Print_Area</vt:lpstr>
      <vt:lpstr>Venue4!Print_Area</vt:lpstr>
      <vt:lpstr>Venue4_KPI!Print_Area</vt:lpstr>
      <vt:lpstr>VenueBar!Print_Area</vt:lpstr>
      <vt:lpstr>VenueBar_KPI!Print_Area</vt:lpstr>
      <vt:lpstr>AG!Print_Titles</vt:lpstr>
      <vt:lpstr>BCC!Print_Titles</vt:lpstr>
      <vt:lpstr>BCC_KPI!Print_Titles</vt:lpstr>
      <vt:lpstr>Dining!Print_Titles</vt:lpstr>
      <vt:lpstr>EC!Print_Titles</vt:lpstr>
      <vt:lpstr>FB_Cons!Print_Titles</vt:lpstr>
      <vt:lpstr>FB_KPI!Print_Titles</vt:lpstr>
      <vt:lpstr>FB_Retail!Print_Titles</vt:lpstr>
      <vt:lpstr>HC_SPA!Print_Titles</vt:lpstr>
      <vt:lpstr>HR_Detail!Print_Titles</vt:lpstr>
      <vt:lpstr>IRD!Print_Titles</vt:lpstr>
      <vt:lpstr>IRD_KPI!Print_Titles</vt:lpstr>
      <vt:lpstr>IT!Print_Titles</vt:lpstr>
      <vt:lpstr>Laundry!Print_Titles</vt:lpstr>
      <vt:lpstr>Mgt_Fees!Print_Titles</vt:lpstr>
      <vt:lpstr>Mini_Bar!Print_Titles</vt:lpstr>
      <vt:lpstr>Minor_Op!Print_Titles</vt:lpstr>
      <vt:lpstr>MISC_INC!Print_Titles</vt:lpstr>
      <vt:lpstr>MMA!Print_Titles</vt:lpstr>
      <vt:lpstr>Non_Op!Print_Titles</vt:lpstr>
      <vt:lpstr>OTH_OP!Print_Titles</vt:lpstr>
      <vt:lpstr>Parking!Print_Titles</vt:lpstr>
      <vt:lpstr>POM!Print_Titles</vt:lpstr>
      <vt:lpstr>PR_Related!Print_Titles</vt:lpstr>
      <vt:lpstr>Resv!Print_Titles</vt:lpstr>
      <vt:lpstr>Retail!Print_Titles</vt:lpstr>
      <vt:lpstr>Rooms!Print_Titles</vt:lpstr>
      <vt:lpstr>SM!Print_Titles</vt:lpstr>
      <vt:lpstr>Summary!Print_Titles</vt:lpstr>
      <vt:lpstr>Telcom_Legacy!Print_Titles</vt:lpstr>
      <vt:lpstr>Venue1!Print_Titles</vt:lpstr>
      <vt:lpstr>Venue1_KPI!Print_Titles</vt:lpstr>
      <vt:lpstr>Venue2!Print_Titles</vt:lpstr>
      <vt:lpstr>Venue2_KPI!Print_Titles</vt:lpstr>
      <vt:lpstr>Venue3!Print_Titles</vt:lpstr>
      <vt:lpstr>Venue3_KPI!Print_Titles</vt:lpstr>
      <vt:lpstr>Venue4!Print_Titles</vt:lpstr>
      <vt:lpstr>Venue4_KPI!Print_Titles</vt:lpstr>
      <vt:lpstr>VenueBar!Print_Titles</vt:lpstr>
      <vt:lpstr>VenueBar_KPI!Print_Titles</vt:lpstr>
    </vt:vector>
  </TitlesOfParts>
  <Company>Kimpton Hotels &amp; Restaurants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kpressley</dc:creator>
  <cp:lastModifiedBy>Hyun Lee</cp:lastModifiedBy>
  <cp:lastPrinted>2016-05-27T16:00:29Z</cp:lastPrinted>
  <dcterms:created xsi:type="dcterms:W3CDTF">2014-09-26T18:28:08Z</dcterms:created>
  <dcterms:modified xsi:type="dcterms:W3CDTF">2020-01-15T04:08:36Z</dcterms:modified>
</cp:coreProperties>
</file>